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drawings/drawing6.xml" ContentType="application/vnd.openxmlformats-officedocument.drawing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drawings/drawing10.xml" ContentType="application/vnd.openxmlformats-officedocument.drawing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drawings/drawing13.xml" ContentType="application/vnd.openxmlformats-officedocument.drawing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SheetTabs="0" xWindow="-15" yWindow="6120" windowWidth="19230" windowHeight="6165" tabRatio="912" activeTab="58"/>
  </bookViews>
  <sheets>
    <sheet name="MedicatieIV" sheetId="10" r:id="rId1"/>
    <sheet name="ber_IVmed" sheetId="12" r:id="rId2"/>
    <sheet name="tblMedicatieIV" sheetId="11" r:id="rId3"/>
    <sheet name="Med_disc" sheetId="13" r:id="rId4"/>
    <sheet name="ber_Med_disc" sheetId="14" r:id="rId5"/>
    <sheet name="tblMedDisc" sheetId="69" r:id="rId6"/>
    <sheet name="Infusen" sheetId="17" r:id="rId7"/>
    <sheet name="ber_Infusen" sheetId="18" r:id="rId8"/>
    <sheet name="tblInfusen" sheetId="70" r:id="rId9"/>
    <sheet name="Intake" sheetId="20" r:id="rId10"/>
    <sheet name="ber_normaal" sheetId="19" r:id="rId11"/>
    <sheet name="ber_PO" sheetId="27" r:id="rId12"/>
    <sheet name="ber_totalen" sheetId="24" r:id="rId13"/>
    <sheet name="tblPO" sheetId="26" r:id="rId14"/>
    <sheet name="Lab" sheetId="58" r:id="rId15"/>
    <sheet name="Ber_Lab" sheetId="57" r:id="rId16"/>
    <sheet name="Aanvullende afspraken Ped" sheetId="60" r:id="rId17"/>
    <sheet name="ber_AanvullendeAfsprakenPed" sheetId="59" r:id="rId18"/>
    <sheet name="tblAanvullendeAfspraken" sheetId="51" r:id="rId19"/>
    <sheet name="AcuteOpvang" sheetId="3" r:id="rId20"/>
    <sheet name="HEIGHTNL.CRF" sheetId="1" r:id="rId21"/>
    <sheet name="WEIGHTNL.CRF" sheetId="2" r:id="rId22"/>
    <sheet name="AfsprakenCMV" sheetId="5" r:id="rId23"/>
    <sheet name="Medicatie" sheetId="16" r:id="rId24"/>
    <sheet name="ber_tijden" sheetId="15" r:id="rId25"/>
    <sheet name="TPN2tot6kg" sheetId="28" r:id="rId26"/>
    <sheet name="TPN7tot15kg" sheetId="29" r:id="rId27"/>
    <sheet name="TPN16tot30kg" sheetId="30" r:id="rId28"/>
    <sheet name="TPN31tot50kg" sheetId="31" r:id="rId29"/>
    <sheet name="TPNboven50kg" sheetId="32" r:id="rId30"/>
    <sheet name="ber_TPN" sheetId="21" r:id="rId31"/>
    <sheet name="&lt;--Pediatrie" sheetId="63" r:id="rId32"/>
    <sheet name="Afspraken" sheetId="39" r:id="rId33"/>
    <sheet name="Berekeningen" sheetId="45" r:id="rId34"/>
    <sheet name="WerkBriefActueel" sheetId="74" r:id="rId35"/>
    <sheet name="Afspraken1700" sheetId="73" r:id="rId36"/>
    <sheet name="Berekeningen1700" sheetId="72" r:id="rId37"/>
    <sheet name="WerkBrief" sheetId="36" r:id="rId38"/>
    <sheet name="tblMedicatieIVNeo" sheetId="71" r:id="rId39"/>
    <sheet name="Advies" sheetId="40" r:id="rId40"/>
    <sheet name="Lijsten" sheetId="42" r:id="rId41"/>
    <sheet name="tblVoeding" sheetId="68" r:id="rId42"/>
    <sheet name="Medicatie Neo" sheetId="61" r:id="rId43"/>
    <sheet name="ber_tijden_Neo" sheetId="62" r:id="rId44"/>
    <sheet name="Aanvullende afspraken Neo" sheetId="50" r:id="rId45"/>
    <sheet name="ber_AanvullendeAfsprakenNeo" sheetId="52" r:id="rId46"/>
    <sheet name="Lab Neo" sheetId="56" r:id="rId47"/>
    <sheet name="Ber_Lab_Neo" sheetId="55" r:id="rId48"/>
    <sheet name="AcuteOpvang Neo" sheetId="49" r:id="rId49"/>
    <sheet name="Print" sheetId="33" r:id="rId50"/>
    <sheet name="Apotheek" sheetId="38" r:id="rId51"/>
    <sheet name="&lt;-Neo" sheetId="64" r:id="rId52"/>
    <sheet name="AfsprakenTekst" sheetId="9" r:id="rId53"/>
    <sheet name="Patienten" sheetId="8" r:id="rId54"/>
    <sheet name="dbBead" sheetId="6" r:id="rId55"/>
    <sheet name="&lt;--Patient" sheetId="65" r:id="rId56"/>
    <sheet name="ber_Opm" sheetId="4" r:id="rId57"/>
    <sheet name="conversie" sheetId="25" r:id="rId58"/>
    <sheet name="Temp" sheetId="7" r:id="rId59"/>
  </sheets>
  <functionGroups builtInGroupCount="17"/>
  <definedNames>
    <definedName name="_Aanvullend_Booleans">ber_AanvullendeAfsprakenNeo!$B$7:$B$11,ber_AanvullendeAfsprakenNeo!$D$11:$D$14,ber_AanvullendeAfsprakenNeo!$B$15:$B$19,ber_AanvullendeAfsprakenNeo!$B$22:$B$32,ber_AanvullendeAfsprakenNeo!$B$34,ber_AanvullendeAfsprakenNeo!$B$37,ber_AanvullendeAfsprakenNeo!$B$40,ber_AanvullendeAfsprakenNeo!$B$43:$B$46,ber_AanvullendeAfsprakenNeo!$D$43:$D$45,ber_AanvullendeAfsprakenNeo!$F$7:$F$8,ber_AanvullendeAfsprakenNeo!$F$12:$F$15,ber_AanvullendeAfsprakenNeo!$F$17:$F$18,ber_AanvullendeAfsprakenNeo!$F$21:$F$23,ber_AanvullendeAfsprakenNeo!$F$31,ber_AanvullendeAfsprakenNeo!$H$8:$H$11,ber_AanvullendeAfsprakenNeo!$H$13,ber_AanvullendeAfsprakenNeo!$H$15:$H$16,ber_AanvullendeAfsprakenNeo!$H$18:$H$20,ber_AanvullendeAfsprakenNeo!$H$22:$H$30,ber_AanvullendeAfsprakenNeo!$J$7:$J$20,ber_AanvullendeAfsprakenNeo!$J$24,ber_AanvullendeAfsprakenNeo!$L$21:$L$27,ber_AanvullendeAfsprakenNeo!$L$28,ber_AanvullendeAfsprakenNeo!$J$29</definedName>
    <definedName name="_Aanvullend_Booleans_Ped">ber_AanvullendeAfsprakenPed!$B$7,ber_AanvullendeAfsprakenPed!$B$8,ber_AanvullendeAfsprakenPed!$B$9,ber_AanvullendeAfsprakenPed!$B$10,ber_AanvullendeAfsprakenPed!$B$11,ber_AanvullendeAfsprakenPed!$D$11,ber_AanvullendeAfsprakenPed!$D$12,ber_AanvullendeAfsprakenPed!$D$13,ber_AanvullendeAfsprakenPed!$D$14,ber_AanvullendeAfsprakenPed!$B$15,ber_AanvullendeAfsprakenPed!$B$16,ber_AanvullendeAfsprakenPed!$B$17,ber_AanvullendeAfsprakenPed!$B$20,ber_AanvullendeAfsprakenPed!$B$21,ber_AanvullendeAfsprakenPed!$B$22,ber_AanvullendeAfsprakenPed!$B$23,ber_AanvullendeAfsprakenPed!$B$24,ber_AanvullendeAfsprakenPed!$B$25,ber_AanvullendeAfsprakenPed!$B$27,ber_AanvullendeAfsprakenPed!$B$30,ber_AanvullendeAfsprakenPed!$B$33,ber_AanvullendeAfsprakenPed!$B$36,ber_AanvullendeAfsprakenPed!$B$37,ber_AanvullendeAfsprakenPed!$B$38,ber_AanvullendeAfsprakenPed!$B$39,ber_AanvullendeAfsprakenPed!$D$36,ber_AanvullendeAfsprakenPed!$D$37,ber_AanvullendeAfsprakenPed!$D$38,ber_AanvullendeAfsprakenPed!$F$7,ber_AanvullendeAfsprakenPed!$F$8,ber_AanvullendeAfsprakenPed!$F$9,ber_AanvullendeAfsprakenPed!$F$10,ber_AanvullendeAfsprakenPed!$F$11,ber_AanvullendeAfsprakenPed!$F$12,ber_AanvullendeAfsprakenPed!$F$13,ber_AanvullendeAfsprakenPed!$F$14,ber_AanvullendeAfsprakenPed!$F$15,ber_AanvullendeAfsprakenPed!$B$42,ber_AanvullendeAfsprakenPed!$B$43,ber_AanvullendeAfsprakenPed!$B$44,ber_AanvullendeAfsprakenPed!$F$16,ber_AanvullendeAfsprakenPed!$F$18</definedName>
    <definedName name="_Aanvullend_Controles">ber_AanvullendeAfsprakenNeo!$B$56</definedName>
    <definedName name="_Aanvullend_Controles_Ped">ber_AanvullendeAfsprakenPed!$B$47</definedName>
    <definedName name="_Aanvullend_Data">ber_AanvullendeAfsprakenNeo!$B$12,ber_AanvullendeAfsprakenNeo!$D$22,ber_AanvullendeAfsprakenNeo!$D$34:$D$42,ber_AanvullendeAfsprakenNeo!$D$46:$D$47,ber_AanvullendeAfsprakenNeo!$K$17,ber_AanvullendeAfsprakenNeo!$L$17,ber_AanvullendeAfsprakenNeo!$L$20,ber_AanvullendeAfsprakenNeo!$G$31,ber_AanvullendeAfsprakenNeo!$D$27,ber_AanvullendeAfsprakenNeo!$C$8,ber_AanvullendeAfsprakenNeo!$D$8,ber_AanvullendeAfsprakenNeo!$D$9,ber_AanvullendeAfsprakenNeo!$C$9,ber_AanvullendeAfsprakenNeo!$K$29,ber_AanvullendeAfsprakenNeo!$C$18,ber_AanvullendeAfsprakenNeo!$D$18,ber_AanvullendeAfsprakenNeo!$K$20</definedName>
    <definedName name="_Aanvullend_Data_Ped">ber_AanvullendeAfsprakenPed!$D$7,ber_AanvullendeAfsprakenPed!$D$8,ber_AanvullendeAfsprakenPed!$D$9,ber_AanvullendeAfsprakenPed!$D$10,ber_AanvullendeAfsprakenPed!$B$12,ber_AanvullendeAfsprakenPed!$D$27,ber_AanvullendeAfsprakenPed!$D$28,ber_AanvullendeAfsprakenPed!$D$29,ber_AanvullendeAfsprakenPed!$D$30,ber_AanvullendeAfsprakenPed!$D$31,ber_AanvullendeAfsprakenPed!$D$32,ber_AanvullendeAfsprakenPed!$D$33,ber_AanvullendeAfsprakenPed!$D$34,ber_AanvullendeAfsprakenPed!$D$35,ber_AanvullendeAfsprakenPed!$D$39,ber_AanvullendeAfsprakenPed!$D$40,ber_AanvullendeAfsprakenPed!$F$17,ber_AanvullendeAfsprakenPed!$C$7,ber_AanvullendeAfsprakenPed!$C$8,ber_AanvullendeAfsprakenPed!$C$9,ber_AanvullendeAfsprakenPed!$C$10,ber_AanvullendeAfsprakenPed!$G$16,ber_AanvullendeAfsprakenPed!$G$18,ber_AanvullendeAfsprakenPed!$H$18,ber_AanvullendeAfsprakenPed!$C$42,ber_AanvullendeAfsprakenPed!$C$43</definedName>
    <definedName name="_Aanvullend_Instellingen">ber_AanvullendeAfsprakenNeo!$B$58</definedName>
    <definedName name="_Aanvullend_Instellingen_Ped">ber_AanvullendeAfsprakenPed!$B$49</definedName>
    <definedName name="_Aanvullend_Kweken">ber_AanvullendeAfsprakenNeo!$B$59</definedName>
    <definedName name="_Aanvullend_MRIvertrektijd">ber_AanvullendeAfsprakenNeo!$D$27</definedName>
    <definedName name="_Aanvullend_Onderzoek">ber_AanvullendeAfsprakenNeo!$B$57</definedName>
    <definedName name="_Aanvullend_Onderzoek_Ped">ber_AanvullendeAfsprakenPed!$B$48</definedName>
    <definedName name="_Aanvullend_Overig">ber_AanvullendeAfsprakenNeo!$B$60</definedName>
    <definedName name="_Aanvullend_Overig_Ped">ber_AanvullendeAfsprakenPed!$B$50</definedName>
    <definedName name="_AchterNaam">dbBead!$D$2</definedName>
    <definedName name="_AchterNaamNICU">Berekeningen!$B$1</definedName>
    <definedName name="_AchterNaamNICU1700">Berekeningen1700!$B$1</definedName>
    <definedName name="_ArtLijn">Berekeningen!$B$18</definedName>
    <definedName name="_ArtLijn1700">Berekeningen1700!$B$18</definedName>
    <definedName name="_Arts">Berekeningen!$F$1</definedName>
    <definedName name="_Arts1700">Berekeningen1700!$F$1</definedName>
    <definedName name="_Bed">Berekeningen!$B$2</definedName>
    <definedName name="_Bed1700">Berekeningen1700!$B$2</definedName>
    <definedName name="_CaCl2">Berekeningen!$D$39</definedName>
    <definedName name="_CaCl21700">Berekeningen1700!$D$39</definedName>
    <definedName name="_Dag1700">Berekeningen1700!$B$6</definedName>
    <definedName name="_Dagen">Berekeningen!$D$5</definedName>
    <definedName name="_Dagen1700">Berekeningen1700!$D$5</definedName>
    <definedName name="_DagKeuze">Berekeningen!$D$36</definedName>
    <definedName name="_DagKeuze1700">Berekeningen1700!$D$36</definedName>
    <definedName name="_Eenheid_1">Berekeningen!$G$20</definedName>
    <definedName name="_Eenheid_2">Berekeningen!$G$21</definedName>
    <definedName name="_Eenheid_3">Berekeningen!$G$22</definedName>
    <definedName name="_Eenheid_4">Berekeningen!$G$23</definedName>
    <definedName name="_Eenheid_5">Berekeningen!$G$24</definedName>
    <definedName name="_Eenheid_6">Berekeningen!$G$25</definedName>
    <definedName name="_Eenheid_7">Berekeningen!$G$26</definedName>
    <definedName name="_Eenheid_8">Berekeningen!$G$27</definedName>
    <definedName name="_Eenheid_9">Berekeningen!$G$28</definedName>
    <definedName name="_Eenheid1700_1">Berekeningen1700!$G$20</definedName>
    <definedName name="_Eenheid1700_2">Berekeningen1700!$G$21</definedName>
    <definedName name="_Eenheid1700_3">Berekeningen1700!$G$22</definedName>
    <definedName name="_Eenheid1700_4">Berekeningen1700!$G$23</definedName>
    <definedName name="_Eenheid1700_5">Berekeningen1700!$G$24</definedName>
    <definedName name="_Eenheid1700_6">Berekeningen1700!$G$25</definedName>
    <definedName name="_Eenheid1700_7">Berekeningen1700!$G$26</definedName>
    <definedName name="_Eenheid1700_8">Berekeningen1700!$G$27</definedName>
    <definedName name="_Eenheid1700_9">Berekeningen1700!$G$28</definedName>
    <definedName name="_Extra">Berekeningen!$K$14</definedName>
    <definedName name="_Extra_1">Berekeningen!$K$20</definedName>
    <definedName name="_Extra_10">Berekeningen!$K$18</definedName>
    <definedName name="_Extra_11">Berekeningen!$K$29</definedName>
    <definedName name="_Extra_12">Berekeningen!$K$30</definedName>
    <definedName name="_Extra_13">Berekeningen!$K$31</definedName>
    <definedName name="_Extra_2">Berekeningen!$K$21</definedName>
    <definedName name="_Extra_3">Berekeningen!$K$22</definedName>
    <definedName name="_Extra_4">Berekeningen!$K$23</definedName>
    <definedName name="_Extra_5">Berekeningen!$K$24</definedName>
    <definedName name="_Extra_6">Berekeningen!$K$25</definedName>
    <definedName name="_Extra_7">Berekeningen!$K$26</definedName>
    <definedName name="_Extra_8">Berekeningen!$K$27</definedName>
    <definedName name="_Extra_9">Berekeningen!$K$28</definedName>
    <definedName name="_Extra1700">Berekeningen1700!$K$14</definedName>
    <definedName name="_Extra1700_1">Berekeningen1700!$K$20</definedName>
    <definedName name="_Extra1700_10">Berekeningen1700!$K$18</definedName>
    <definedName name="_Extra1700_11">Berekeningen1700!$K$29</definedName>
    <definedName name="_Extra1700_12">Berekeningen1700!$K$30</definedName>
    <definedName name="_Extra1700_13">Berekeningen1700!$K$31</definedName>
    <definedName name="_Extra1700_2">Berekeningen1700!$K$21</definedName>
    <definedName name="_Extra1700_3">Berekeningen1700!$K$22</definedName>
    <definedName name="_Extra1700_4">Berekeningen1700!$K$23</definedName>
    <definedName name="_Extra1700_5">Berekeningen1700!$K$24</definedName>
    <definedName name="_Extra1700_6">Berekeningen1700!$K$25</definedName>
    <definedName name="_Extra1700_7">Berekeningen1700!$K$26</definedName>
    <definedName name="_Extra1700_8">Berekeningen1700!$K$27</definedName>
    <definedName name="_Extra1700_9">Berekeningen1700!$K$28</definedName>
    <definedName name="_xlnm._FilterDatabase" localSheetId="53" hidden="1">Patienten!$A$1:$Q$577</definedName>
    <definedName name="_xlnm._FilterDatabase" localSheetId="58" hidden="1">Temp!$A$2:$B$437</definedName>
    <definedName name="_Fototherapie">Berekeningen!$B$15</definedName>
    <definedName name="_Fototherapie1700">Berekeningen1700!$B$15</definedName>
    <definedName name="_Frequentie_1">Berekeningen!$D$10</definedName>
    <definedName name="_Frequentie_2">Berekeningen!$D$12</definedName>
    <definedName name="_Frequentie1700_1">Berekeningen1700!$D$10</definedName>
    <definedName name="_Frequentie1700_2">Berekeningen1700!$D$12</definedName>
    <definedName name="_GeboorteDatum">Berekeningen!$B$3</definedName>
    <definedName name="_GeboorteDatum1700">Berekeningen1700!$B$3</definedName>
    <definedName name="_Gewicht">Berekeningen!$B$4</definedName>
    <definedName name="_Gewicht1700">Berekeningen1700!$B$4</definedName>
    <definedName name="_GlucSterkte">Berekeningen!$D$45</definedName>
    <definedName name="_GlucSterkte1700">Berekeningen1700!$D$45</definedName>
    <definedName name="_Hoeveelheid_1">Berekeningen!$D$11</definedName>
    <definedName name="_Hoeveelheid_2">Berekeningen!$D$13</definedName>
    <definedName name="_Hoeveelheid1700_1">Berekeningen1700!$D$11</definedName>
    <definedName name="_Hoeveelheid1700_2">Berekeningen1700!$D$13</definedName>
    <definedName name="_IntakePerKg">Berekeningen!$D$16</definedName>
    <definedName name="_IntakePerKg1700">Berekeningen1700!$D$16</definedName>
    <definedName name="_IntraLipid">Berekeningen!$D$35</definedName>
    <definedName name="_IntraLipid1700">Berekeningen1700!$D$35</definedName>
    <definedName name="_KCl">Berekeningen!$D$38</definedName>
    <definedName name="_KCl1700">Berekeningen1700!$D$38</definedName>
    <definedName name="_Medicament_1">Berekeningen!$B$20</definedName>
    <definedName name="_Medicament_2">Berekeningen!$B$21</definedName>
    <definedName name="_Medicament_3">Berekeningen!$B$22</definedName>
    <definedName name="_Medicament_4">Berekeningen!$B$23</definedName>
    <definedName name="_Medicament_5">Berekeningen!$B$24</definedName>
    <definedName name="_Medicament_6">Berekeningen!$B$25</definedName>
    <definedName name="_Medicament_7">Berekeningen!$B$26</definedName>
    <definedName name="_Medicament_8">Berekeningen!$B$27</definedName>
    <definedName name="_Medicament_9">Berekeningen!$B$28</definedName>
    <definedName name="_Medicament1700_1">Berekeningen1700!$B$20</definedName>
    <definedName name="_Medicament1700_2">Berekeningen1700!$B$21</definedName>
    <definedName name="_Medicament1700_3">Berekeningen1700!$B$22</definedName>
    <definedName name="_Medicament1700_4">Berekeningen1700!$B$23</definedName>
    <definedName name="_Medicament1700_5">Berekeningen1700!$B$24</definedName>
    <definedName name="_Medicament1700_6">Berekeningen1700!$B$25</definedName>
    <definedName name="_Medicament1700_7">Berekeningen1700!$B$26</definedName>
    <definedName name="_Medicament1700_8">Berekeningen1700!$B$27</definedName>
    <definedName name="_Medicament1700_9">Berekeningen1700!$B$28</definedName>
    <definedName name="_MedSterkte_1">Berekeningen!$C$20</definedName>
    <definedName name="_MedSterkte_2">Berekeningen!$C$21</definedName>
    <definedName name="_MedSterkte_3">Berekeningen!$C$22</definedName>
    <definedName name="_MedSterkte_4">Berekeningen!$C$23</definedName>
    <definedName name="_MedSterkte_5">Berekeningen!$C$24</definedName>
    <definedName name="_MedSterkte_6">Berekeningen!$C$25</definedName>
    <definedName name="_MedSterkte_7">Berekeningen!$C$26</definedName>
    <definedName name="_MedSterkte_8">Berekeningen!$C$27</definedName>
    <definedName name="_MedSterkte_9">Berekeningen!$C$28</definedName>
    <definedName name="_MedSterkte1700_1">Berekeningen1700!$C$20</definedName>
    <definedName name="_MedSterkte1700_2">Berekeningen1700!$C$21</definedName>
    <definedName name="_MedSterkte1700_3">Berekeningen1700!$C$22</definedName>
    <definedName name="_MedSterkte1700_4">Berekeningen1700!$C$23</definedName>
    <definedName name="_MedSterkte1700_5">Berekeningen1700!$C$24</definedName>
    <definedName name="_MedSterkte1700_6">Berekeningen1700!$C$25</definedName>
    <definedName name="_MedSterkte1700_7">Berekeningen1700!$C$26</definedName>
    <definedName name="_MedSterkte1700_8">Berekeningen1700!$C$27</definedName>
    <definedName name="_MedSterkte1700_9">Berekeningen1700!$C$28</definedName>
    <definedName name="_MedTekst_1">Berekeningen!$B$32</definedName>
    <definedName name="_MedTekst_2">Berekeningen!$B$33</definedName>
    <definedName name="_MedTekst1700_1">Berekeningen1700!$B$32</definedName>
    <definedName name="_MedTekst1700_2">Berekeningen1700!$B$33</definedName>
    <definedName name="_MgCl2">Berekeningen!$D$40</definedName>
    <definedName name="_MgCl21700">Berekeningen1700!$D$40</definedName>
    <definedName name="_NaCl">Berekeningen!$D$37</definedName>
    <definedName name="_NaCl1700">Berekeningen1700!$D$37</definedName>
    <definedName name="_NeoInfuusContinu1">Berekeningen!$B$90</definedName>
    <definedName name="_NeoInfuusContinu10">Berekeningen!$B$99</definedName>
    <definedName name="_NeoInfuusContinu11">Berekeningen!$B$100</definedName>
    <definedName name="_NeoInfuusContinu12">Berekeningen!$B$101</definedName>
    <definedName name="_NeoInfuusContinu13">Berekeningen!$B$102</definedName>
    <definedName name="_NeoInfuusContinu14">Berekeningen!$B$103</definedName>
    <definedName name="_NeoInfuusContinu15">Berekeningen!$B$104</definedName>
    <definedName name="_NeoInfuusContinu16">Berekeningen!$B$105</definedName>
    <definedName name="_NeoInfuusContinu17">Berekeningen!$B$106</definedName>
    <definedName name="_NeoInfuusContinu1700_1">Berekeningen1700!$B$90</definedName>
    <definedName name="_NeoInfuusContinu1700_10">Berekeningen1700!$B$99</definedName>
    <definedName name="_NeoInfuusContinu1700_11">Berekeningen1700!$B$100</definedName>
    <definedName name="_NeoInfuusContinu1700_12">Berekeningen1700!$B$101</definedName>
    <definedName name="_NeoInfuusContinu1700_13">Berekeningen1700!$B$102</definedName>
    <definedName name="_NeoInfuusContinu1700_14">Berekeningen1700!$B$103</definedName>
    <definedName name="_NeoInfuusContinu1700_15">Berekeningen1700!$B$104</definedName>
    <definedName name="_NeoInfuusContinu1700_16">Berekeningen1700!$B$105</definedName>
    <definedName name="_NeoInfuusContinu1700_17">Berekeningen1700!$B$106</definedName>
    <definedName name="_NeoInfuusContinu1700_18">Berekeningen1700!$B$107</definedName>
    <definedName name="_NeoInfuusContinu1700_19">Berekeningen1700!$B$108</definedName>
    <definedName name="_NeoInfuusContinu1700_2">Berekeningen1700!$B$91</definedName>
    <definedName name="_NeoInfuusContinu1700_20">Berekeningen1700!$B$109</definedName>
    <definedName name="_NeoInfuusContinu1700_21">Berekeningen1700!$B$110</definedName>
    <definedName name="_NeoInfuusContinu1700_22">Berekeningen1700!$B$111</definedName>
    <definedName name="_NeoInfuusContinu1700_23">Berekeningen1700!$B$112</definedName>
    <definedName name="_NeoInfuusContinu1700_24">Berekeningen1700!$B$113</definedName>
    <definedName name="_NeoInfuusContinu1700_25">Berekeningen1700!$B$114</definedName>
    <definedName name="_NeoInfuusContinu1700_26">Berekeningen1700!$B$115</definedName>
    <definedName name="_NeoInfuusContinu1700_27">Berekeningen1700!$B$116</definedName>
    <definedName name="_NeoInfuusContinu1700_3">Berekeningen1700!$B$92</definedName>
    <definedName name="_NeoInfuusContinu1700_4">Berekeningen1700!$B$93</definedName>
    <definedName name="_NeoInfuusContinu1700_5">Berekeningen1700!$B$94</definedName>
    <definedName name="_NeoInfuusContinu1700_6">Berekeningen1700!$B$95</definedName>
    <definedName name="_NeoInfuusContinu1700_7">Berekeningen1700!$B$96</definedName>
    <definedName name="_NeoInfuusContinu1700_8">Berekeningen1700!$B$97</definedName>
    <definedName name="_NeoInfuusContinu1700_9">Berekeningen1700!$B$98</definedName>
    <definedName name="_NeoInfuusContinu18">Berekeningen!$B$107</definedName>
    <definedName name="_NeoInfuusContinu19">Berekeningen!$B$108</definedName>
    <definedName name="_NeoInfuusContinu2">Berekeningen!$B$91</definedName>
    <definedName name="_NeoInfuusContinu20">Berekeningen!$B$109</definedName>
    <definedName name="_NeoInfuusContinu21">Berekeningen!$B$110</definedName>
    <definedName name="_NeoInfuusContinu22">Berekeningen!$B$111</definedName>
    <definedName name="_NeoInfuusContinu23">Berekeningen!$B$112</definedName>
    <definedName name="_NeoInfuusContinu24">Berekeningen!$B$113</definedName>
    <definedName name="_NeoInfuusContinu25">Berekeningen!$B$114</definedName>
    <definedName name="_NeoInfuusContinu26">Berekeningen!$B$115</definedName>
    <definedName name="_NeoInfuusContinu27">Berekeningen!$B$116</definedName>
    <definedName name="_NeoInfuusContinu3">Berekeningen!$B$92</definedName>
    <definedName name="_NeoInfuusContinu4">Berekeningen!$B$93</definedName>
    <definedName name="_NeoInfuusContinu5">Berekeningen!$B$94</definedName>
    <definedName name="_NeoInfuusContinu6">Berekeningen!$B$95</definedName>
    <definedName name="_NeoInfuusContinu7">Berekeningen!$B$96</definedName>
    <definedName name="_NeoInfuusContinu8">Berekeningen!$B$97</definedName>
    <definedName name="_NeoInfuusContinu9">Berekeningen!$B$98</definedName>
    <definedName name="_NeoVoeding1">Berekeningen!$B$73</definedName>
    <definedName name="_NeoVoeding10">Berekeningen!$B$82</definedName>
    <definedName name="_NeoVoeding11">Berekeningen!$B$83</definedName>
    <definedName name="_NeoVoeding12">Berekeningen!$B$84</definedName>
    <definedName name="_NeoVoeding13">Berekeningen!$B$85</definedName>
    <definedName name="_NeoVoeding14">Berekeningen!$B$86</definedName>
    <definedName name="_NeoVoeding15">Berekeningen!$B$87</definedName>
    <definedName name="_NeoVoeding1700_1">Berekeningen1700!$B$73</definedName>
    <definedName name="_NeoVoeding1700_10">Berekeningen1700!$B$82</definedName>
    <definedName name="_NeoVoeding1700_11">Berekeningen1700!$B$83</definedName>
    <definedName name="_NeoVoeding1700_12">Berekeningen1700!$B$84</definedName>
    <definedName name="_NeoVoeding1700_13">Berekeningen1700!$B$85</definedName>
    <definedName name="_NeoVoeding1700_14">Berekeningen1700!$B$86</definedName>
    <definedName name="_NeoVoeding1700_15">Berekeningen1700!$B$87</definedName>
    <definedName name="_NeoVoeding1700_2">Berekeningen1700!$B$74</definedName>
    <definedName name="_NeoVoeding1700_3">Berekeningen1700!$B$75</definedName>
    <definedName name="_NeoVoeding1700_4">Berekeningen1700!$B$76</definedName>
    <definedName name="_NeoVoeding1700_5">Berekeningen1700!$B$77</definedName>
    <definedName name="_NeoVoeding1700_6">Berekeningen1700!$B$78</definedName>
    <definedName name="_NeoVoeding1700_7">Berekeningen1700!$B$79</definedName>
    <definedName name="_NeoVoeding1700_8">Berekeningen1700!$B$80</definedName>
    <definedName name="_NeoVoeding1700_9">Berekeningen1700!$B$81</definedName>
    <definedName name="_NeoVoeding2">Berekeningen!$B$74</definedName>
    <definedName name="_NeoVoeding3">Berekeningen!$B$75</definedName>
    <definedName name="_NeoVoeding4">Berekeningen!$B$76</definedName>
    <definedName name="_NeoVoeding5">Berekeningen!$B$77</definedName>
    <definedName name="_NeoVoeding6">Berekeningen!$B$78</definedName>
    <definedName name="_NeoVoeding7">Berekeningen!$B$79</definedName>
    <definedName name="_NeoVoeding8">Berekeningen!$B$80</definedName>
    <definedName name="_NeoVoeding9">Berekeningen!$B$81</definedName>
    <definedName name="_NICUMix">Berekeningen!$D$43</definedName>
    <definedName name="_NICUMix1700">Berekeningen1700!$D$43</definedName>
    <definedName name="_OplHoev_1">Berekeningen!$D$20</definedName>
    <definedName name="_OplHoev_2">Berekeningen!$D$21</definedName>
    <definedName name="_OplHoev_3">Berekeningen!$D$22</definedName>
    <definedName name="_OplHoev_4">Berekeningen!$D$23</definedName>
    <definedName name="_OplHoev_5">Berekeningen!$D$24</definedName>
    <definedName name="_OplHoev_6">Berekeningen!$D$25</definedName>
    <definedName name="_OplHoev_7">Berekeningen!$D$26</definedName>
    <definedName name="_OplHoev_8">Berekeningen!$D$27</definedName>
    <definedName name="_OplHoev_9">Berekeningen!$D$28</definedName>
    <definedName name="_OplHoev1700_1">Berekeningen1700!$D$20</definedName>
    <definedName name="_OplHoev1700_2">Berekeningen1700!$D$21</definedName>
    <definedName name="_OplHoev1700_3">Berekeningen1700!$D$22</definedName>
    <definedName name="_OplHoev1700_4">Berekeningen1700!$D$23</definedName>
    <definedName name="_OplHoev1700_5">Berekeningen1700!$D$24</definedName>
    <definedName name="_OplHoev1700_6">Berekeningen1700!$D$25</definedName>
    <definedName name="_OplHoev1700_7">Berekeningen1700!$D$26</definedName>
    <definedName name="_OplHoev1700_8">Berekeningen1700!$D$27</definedName>
    <definedName name="_OplHoev1700_9">Berekeningen1700!$D$28</definedName>
    <definedName name="_Oplossing_1">Berekeningen!$E$20</definedName>
    <definedName name="_Oplossing_10">Berekeningen!$E$29</definedName>
    <definedName name="_Oplossing_11">Berekeningen!$E$30</definedName>
    <definedName name="_Oplossing_12">Berekeningen!$E$31</definedName>
    <definedName name="_Oplossing_2">Berekeningen!$E$21</definedName>
    <definedName name="_Oplossing_3">Berekeningen!$E$22</definedName>
    <definedName name="_Oplossing_4">Berekeningen!$E$23</definedName>
    <definedName name="_Oplossing_5">Berekeningen!$E$24</definedName>
    <definedName name="_Oplossing_6">Berekeningen!$E$25</definedName>
    <definedName name="_Oplossing_7">Berekeningen!$E$26</definedName>
    <definedName name="_Oplossing_8">Berekeningen!$E$27</definedName>
    <definedName name="_Oplossing_9">Berekeningen!$E$28</definedName>
    <definedName name="_Oplossing1700_1">Berekeningen1700!$E$20</definedName>
    <definedName name="_Oplossing1700_10">Berekeningen1700!$E$29</definedName>
    <definedName name="_Oplossing1700_11">Berekeningen1700!$E$30</definedName>
    <definedName name="_Oplossing1700_12">Berekeningen1700!$E$31</definedName>
    <definedName name="_Oplossing1700_2">Berekeningen1700!$E$21</definedName>
    <definedName name="_Oplossing1700_3">Berekeningen1700!$E$22</definedName>
    <definedName name="_Oplossing1700_4">Berekeningen1700!$E$23</definedName>
    <definedName name="_Oplossing1700_5">Berekeningen1700!$E$24</definedName>
    <definedName name="_Oplossing1700_6">Berekeningen1700!$E$25</definedName>
    <definedName name="_Oplossing1700_7">Berekeningen1700!$E$26</definedName>
    <definedName name="_Oplossing1700_8">Berekeningen1700!$E$27</definedName>
    <definedName name="_Oplossing1700_9">Berekeningen1700!$E$28</definedName>
    <definedName name="_Parenteraal">Berekeningen!$B$17</definedName>
    <definedName name="_Parenteraal1700">Berekeningen1700!$B$17</definedName>
    <definedName name="_PatNum">Berekeningen!$F$3</definedName>
    <definedName name="_PatNum1700">Berekeningen1700!$F$3</definedName>
    <definedName name="_Percentage_0">Berekeningen!$L$52</definedName>
    <definedName name="_Percentage_1">Berekeningen!$L$53</definedName>
    <definedName name="_Percentage_2">Berekeningen!$L$54</definedName>
    <definedName name="_Percentage_3">Berekeningen!$L$55</definedName>
    <definedName name="_Percentage_4">Berekeningen!$L$56</definedName>
    <definedName name="_Percentage_5">Berekeningen!$L$58</definedName>
    <definedName name="_Percentage_6">Berekeningen!$L$59</definedName>
    <definedName name="_Percentage_7">Berekeningen!$L$60</definedName>
    <definedName name="_Percentage_8">Berekeningen!$L$61</definedName>
    <definedName name="_Percentage1700_0">Berekeningen1700!$L$52</definedName>
    <definedName name="_Percentage1700_1">Berekeningen1700!$L$53</definedName>
    <definedName name="_Percentage1700_2">Berekeningen1700!$L$54</definedName>
    <definedName name="_Percentage1700_3">Berekeningen1700!$L$55</definedName>
    <definedName name="_Percentage1700_4">Berekeningen1700!$L$56</definedName>
    <definedName name="_Percentage1700_5">Berekeningen1700!$L$58</definedName>
    <definedName name="_Percentage1700_6">Berekeningen1700!$L$59</definedName>
    <definedName name="_Percentage1700_7">Berekeningen1700!$L$60</definedName>
    <definedName name="_Percentage1700_8">Berekeningen1700!$L$61</definedName>
    <definedName name="_PercentageKeuze_0">Berekeningen!$K$52</definedName>
    <definedName name="_PercentageKeuze_1">Berekeningen!$K$53</definedName>
    <definedName name="_PercentageKeuze_2">Berekeningen!$K$54</definedName>
    <definedName name="_PercentageKeuze_3">Berekeningen!$K$55</definedName>
    <definedName name="_PercentageKeuze_4">Berekeningen!$K$56</definedName>
    <definedName name="_PercentageKeuze_5">Berekeningen!$K$58</definedName>
    <definedName name="_PercentageKeuze_6">Berekeningen!$K$59</definedName>
    <definedName name="_PercentageKeuze_7">Berekeningen!$K$60</definedName>
    <definedName name="_PercentageKeuze_8">Berekeningen!$K$61</definedName>
    <definedName name="_PercentageKeuze1700_0">Berekeningen1700!$K$52</definedName>
    <definedName name="_PercentageKeuze1700_1">Berekeningen1700!$K$53</definedName>
    <definedName name="_PercentageKeuze1700_2">Berekeningen1700!$K$54</definedName>
    <definedName name="_PercentageKeuze1700_3">Berekeningen1700!$K$55</definedName>
    <definedName name="_PercentageKeuze1700_4">Berekeningen1700!$K$56</definedName>
    <definedName name="_PercentageKeuze1700_5">Berekeningen1700!$K$58</definedName>
    <definedName name="_PercentageKeuze1700_6">Berekeningen1700!$K$59</definedName>
    <definedName name="_PercentageKeuze1700_7">Berekeningen1700!$K$60</definedName>
    <definedName name="_PercentageKeuze1700_8">Berekeningen1700!$K$61</definedName>
    <definedName name="_Primene">Berekeningen!$D$42</definedName>
    <definedName name="_Primene1700">Berekeningen1700!$D$42</definedName>
    <definedName name="_SoluVit">Berekeningen!$D$41</definedName>
    <definedName name="_SoluVit1700">Berekeningen1700!$D$41</definedName>
    <definedName name="_SSTB">Berekeningen!$D$44</definedName>
    <definedName name="_SSTB1700">Berekeningen1700!$D$44</definedName>
    <definedName name="_Stand_1">Berekeningen!$F$20</definedName>
    <definedName name="_Stand_10">Berekeningen!$F$29</definedName>
    <definedName name="_Stand_11">Berekeningen!$F$30</definedName>
    <definedName name="_Stand_12">Berekeningen!$F$31</definedName>
    <definedName name="_Stand_2">Berekeningen!$F$21</definedName>
    <definedName name="_Stand_3">Berekeningen!$F$22</definedName>
    <definedName name="_Stand_4">Berekeningen!$F$23</definedName>
    <definedName name="_Stand_5">Berekeningen!$F$24</definedName>
    <definedName name="_Stand_6">Berekeningen!$F$25</definedName>
    <definedName name="_Stand_7">Berekeningen!$F$26</definedName>
    <definedName name="_Stand_8">Berekeningen!$F$27</definedName>
    <definedName name="_Stand_9">Berekeningen!$F$28</definedName>
    <definedName name="_Stand1700_1">Berekeningen1700!$F$20</definedName>
    <definedName name="_Stand1700_10">Berekeningen1700!$F$29</definedName>
    <definedName name="_Stand1700_11">Berekeningen1700!$F$30</definedName>
    <definedName name="_Stand1700_12">Berekeningen1700!$F$31</definedName>
    <definedName name="_Stand1700_2">Berekeningen1700!$F$21</definedName>
    <definedName name="_Stand1700_3">Berekeningen1700!$F$22</definedName>
    <definedName name="_Stand1700_4">Berekeningen1700!$F$23</definedName>
    <definedName name="_Stand1700_5">Berekeningen1700!$F$24</definedName>
    <definedName name="_Stand1700_6">Berekeningen1700!$F$25</definedName>
    <definedName name="_Stand1700_7">Berekeningen1700!$F$26</definedName>
    <definedName name="_Stand1700_8">Berekeningen1700!$F$27</definedName>
    <definedName name="_Stand1700_9">Berekeningen1700!$F$28</definedName>
    <definedName name="_Sterkte_1">Berekeningen!$C$20</definedName>
    <definedName name="_Sterkte_2">Berekeningen!$C$21</definedName>
    <definedName name="_Sterkte_3">Berekeningen!$C$22</definedName>
    <definedName name="_Sterkte_4">Berekeningen!$C$23</definedName>
    <definedName name="_Sterkte_5">Berekeningen!$C$24</definedName>
    <definedName name="_Sterkte_6">Berekeningen!$C$25</definedName>
    <definedName name="_Sterkte_7">Berekeningen!$C$26</definedName>
    <definedName name="_Sterkte_8">Berekeningen!$C$27</definedName>
    <definedName name="_Sterkte_9">Berekeningen!$C$28</definedName>
    <definedName name="_Supervisor">Berekeningen!$A$63</definedName>
    <definedName name="_Supervisor1700">Berekeningen1700!$A$63</definedName>
    <definedName name="_Toevoeging_0">Berekeningen!$B$52</definedName>
    <definedName name="_Toevoeging_1">Berekeningen!$B$53</definedName>
    <definedName name="_Toevoeging_2">Berekeningen!$B$54</definedName>
    <definedName name="_Toevoeging_3">Berekeningen!$B$55</definedName>
    <definedName name="_Toevoeging_4">Berekeningen!$B$56</definedName>
    <definedName name="_Toevoeging_5">Berekeningen!$B$58</definedName>
    <definedName name="_Toevoeging_6">Berekeningen!$B$59</definedName>
    <definedName name="_Toevoeging_7">Berekeningen!$B$60</definedName>
    <definedName name="_Toevoeging_8">Berekeningen!$B$61</definedName>
    <definedName name="_Toevoeging1700_0">Berekeningen1700!$B$52</definedName>
    <definedName name="_Toevoeging1700_1">Berekeningen1700!$B$53</definedName>
    <definedName name="_Toevoeging1700_2">Berekeningen1700!$B$54</definedName>
    <definedName name="_Toevoeging1700_3">Berekeningen1700!$B$55</definedName>
    <definedName name="_Toevoeging1700_4">Berekeningen1700!$B$56</definedName>
    <definedName name="_Toevoeging1700_5">Berekeningen1700!$B$58</definedName>
    <definedName name="_Toevoeging1700_6">Berekeningen1700!$B$59</definedName>
    <definedName name="_Toevoeging1700_7">Berekeningen1700!$B$60</definedName>
    <definedName name="_Toevoeging1700_8">Berekeningen1700!$B$61</definedName>
    <definedName name="_Voeding">Berekeningen!$D$14</definedName>
    <definedName name="_Voeding1700">Berekeningen1700!$D$14</definedName>
    <definedName name="_VoedingBMFWaarden">Lijsten!$AB$3:$AB$5</definedName>
    <definedName name="_VoedingToevoegingenBMF">Lijsten!$M$51:$Y$52</definedName>
    <definedName name="_VoedingToevoegingenKunstvoeding">Lijsten!$L$44:$Y$48</definedName>
    <definedName name="_VoedingToevoegingenMoedermelk">Lijsten!$L$33:$Y$39</definedName>
    <definedName name="_VoedingToevoegingenWaarden">Lijsten!$AC$3:$AC$13</definedName>
    <definedName name="_VoorNaam">dbBead!$E$2</definedName>
    <definedName name="_VoornaamNICU">Berekeningen!$C$1</definedName>
    <definedName name="_VoornaamNICU1700">Berekeningen1700!$C$1</definedName>
    <definedName name="_Weken">Berekeningen!$D$4</definedName>
    <definedName name="_Weken1700">Berekeningen1700!$D$4</definedName>
    <definedName name="_WerkbriefActueelIntravasaleToegangBreuk">WerkBriefActueel!$N$6</definedName>
    <definedName name="_WerkbriefActueelIntravasaleToegangGeheel">WerkBriefActueel!$M$6</definedName>
    <definedName name="_WerkbriefActueelIntravasaleToegangStand">WerkBriefActueel!$A$6</definedName>
    <definedName name="_WerkbriefActueelIntravasaleToegangTekst">WerkBriefActueel!$C$6</definedName>
    <definedName name="_WerkbriefActueelTPNCaClBreuk">WerkBriefActueel!$N$10</definedName>
    <definedName name="_WerkbriefActueelTPNCaClGeheel">WerkBriefActueel!$M$10</definedName>
    <definedName name="_WerkbriefActueelTPNCaClTekst">WerkBriefActueel!$H$10</definedName>
    <definedName name="_WerkbriefActueelTPNGlucBreuk">WerkBriefActueel!$N$16</definedName>
    <definedName name="_WerkbriefActueelTPNGlucGeheel">WerkBriefActueel!$M$16</definedName>
    <definedName name="_WerkbriefActueelTPNGlucTekst">WerkBriefActueel!$H$16</definedName>
    <definedName name="_WerkbriefActueelTPNKacetaatBreuk">WerkBriefActueel!$N$9</definedName>
    <definedName name="_WerkbriefActueelTPNKacetaatGeheel">WerkBriefActueel!$M$9</definedName>
    <definedName name="_WerkbriefActueelTPNKacetaatTekst">WerkBriefActueel!$H$9</definedName>
    <definedName name="_WerkbriefActueelTPNMgClBreuk">WerkBriefActueel!$N$11</definedName>
    <definedName name="_WerkbriefActueelTPNMgClGeheel">WerkBriefActueel!$M$11</definedName>
    <definedName name="_WerkbriefActueelTPNMgClTekst">WerkBriefActueel!$H$11</definedName>
    <definedName name="_WerkbriefActueelTPNNaClBreuk">WerkBriefActueel!$N$8</definedName>
    <definedName name="_WerkbriefActueelTPNNaClGeheel">WerkBriefActueel!$M$8</definedName>
    <definedName name="_WerkbriefActueelTPNNaCLTekst">WerkBriefActueel!$H$8</definedName>
    <definedName name="_WerkbriefActueelTPNNICUmixBreuk">WerkBriefActueel!$N$14</definedName>
    <definedName name="_WerkbriefActueelTPNNICUmixGeheel">WerkBriefActueel!$M$14</definedName>
    <definedName name="_WerkbriefActueelTPNNICUmixTekst">WerkBriefActueel!$H$14</definedName>
    <definedName name="_WerkbriefActueelTPNPrimeneBreuk">WerkBriefActueel!$N$13</definedName>
    <definedName name="_WerkbriefActueelTPNPrimeneGeheel">WerkBriefActueel!$M$13</definedName>
    <definedName name="_WerkbriefActueelTPNPrimeneTekst">WerkBriefActueel!$H$13</definedName>
    <definedName name="_WerkbriefActueelTPNSamBBreuk">WerkBriefActueel!$N$15</definedName>
    <definedName name="_WerkbriefActueelTPNSamBGeheel">WerkBriefActueel!$M$15</definedName>
    <definedName name="_WerkbriefActueelTPNSamBTekst">WerkBriefActueel!$H$15</definedName>
    <definedName name="_WerkbriefActueelTPNSoluvitBreuk">WerkBriefActueel!$N$12</definedName>
    <definedName name="_WerkbriefActueelTPNSoluvitGeheel">WerkBriefActueel!$M$12</definedName>
    <definedName name="_WerkbriefActueelTPNSoluvitTekst">WerkBriefActueel!$H$12</definedName>
    <definedName name="_WerkbriefActueelTPNStand">WerkBriefActueel!$A$8</definedName>
    <definedName name="_WerkbriefActueelTPNTotaalBreuk">WerkBriefActueel!$N$17</definedName>
    <definedName name="_WerkbriefActueelTPNTotaalGeheel">WerkBriefActueel!$M$17</definedName>
    <definedName name="_WerkbriefIntravasaleToegangBreuk">WerkBrief!$N$6</definedName>
    <definedName name="_WerkbriefIntravasaleToegangGeheel">WerkBrief!$M$6</definedName>
    <definedName name="_WerkbriefIntravasaleToegangStand">WerkBrief!$A$6</definedName>
    <definedName name="_WerkbriefIntravasaleToegangTekst">WerkBrief!$C$6</definedName>
    <definedName name="_WerkbriefTPNCaClBreuk">WerkBrief!$N$10</definedName>
    <definedName name="_WerkbriefTPNCaClGeheel">WerkBrief!$M$10</definedName>
    <definedName name="_WerkbriefTPNCaClTekst">WerkBrief!$H$10</definedName>
    <definedName name="_WerkbriefTPNGlucBreuk">WerkBrief!$N$16</definedName>
    <definedName name="_WerkbriefTPNGlucGeheel">WerkBrief!$M$16</definedName>
    <definedName name="_WerkbriefTPNGlucTekst">WerkBrief!$H$16</definedName>
    <definedName name="_WerkbriefTPNKacetaatBreuk">WerkBrief!$N$9</definedName>
    <definedName name="_WerkbriefTPNKacetaatGeheel">WerkBrief!$M$9</definedName>
    <definedName name="_WerkbriefTPNKacetaatTekst">WerkBrief!$H$9</definedName>
    <definedName name="_WerkbriefTPNMgClBreuk">WerkBrief!$N$11</definedName>
    <definedName name="_WerkbriefTPNMgClGeheel">WerkBrief!$M$11</definedName>
    <definedName name="_WerkbriefTPNMgClTekst">WerkBrief!$H$11</definedName>
    <definedName name="_WerkbriefTPNNaClBreuk">WerkBrief!$N$8</definedName>
    <definedName name="_WerkbriefTPNNaClGeheel">WerkBrief!$M$8</definedName>
    <definedName name="_WerkbriefTPNNaCLTekst">WerkBrief!$H$8</definedName>
    <definedName name="_WerkbriefTPNNICUmixBreuk">WerkBrief!$N$14</definedName>
    <definedName name="_WerkbriefTPNNICUmixGeheel">WerkBrief!$M$14</definedName>
    <definedName name="_WerkbriefTPNNICUmixTekst">WerkBrief!$H$14</definedName>
    <definedName name="_WerkbriefTPNPrimeneBreuk">WerkBrief!$N$13</definedName>
    <definedName name="_WerkbriefTPNPrimeneGeheel">WerkBrief!$M$13</definedName>
    <definedName name="_WerkbriefTPNPrimeneTekst">WerkBrief!$H$13</definedName>
    <definedName name="_WerkbriefTPNSamBBreuk">WerkBrief!$N$15</definedName>
    <definedName name="_WerkbriefTPNSamBGeheel">WerkBrief!$M$15</definedName>
    <definedName name="_WerkbriefTPNSamBTekst">WerkBrief!$H$15</definedName>
    <definedName name="_WerkbriefTPNSoluvitBreuk">WerkBrief!$N$12</definedName>
    <definedName name="_WerkbriefTPNSoluvitGeheel">WerkBrief!$M$12</definedName>
    <definedName name="_WerkbriefTPNSoluvitTekst">WerkBrief!$H$12</definedName>
    <definedName name="_WerkbriefTPNStand">WerkBrief!$A$8</definedName>
    <definedName name="_WerkbriefTPNTotaalBreuk">WerkBrief!$N$17</definedName>
    <definedName name="_WerkbriefTPNTotaalGeheel">WerkBrief!$M$17</definedName>
    <definedName name="Aanvullend_aEEG">tblAanvullendeAfspraken!$A$2:$A$5</definedName>
    <definedName name="Aanvullend_LiquorDrainSub1">tblAanvullendeAfspraken!$J$2:$J$5</definedName>
    <definedName name="Aanvullend_NIBD">tblAanvullendeAfspraken!$E$2:$E$6</definedName>
    <definedName name="Aanvullend_Overige_Ped">ber_AanvullendeAfsprakenPed!$F$17</definedName>
    <definedName name="Aanvullend_PerPeriode">tblAanvullendeAfspraken!$I$2:$I$5</definedName>
    <definedName name="Aanvullend_ThoraxDrainSub1">tblAanvullendeAfspraken!$B$2:$B$8</definedName>
    <definedName name="Aanvullend_ThoraxDrainSub2">tblAanvullendeAfspraken!$C$2:$C$6</definedName>
    <definedName name="Aanvullend_ThoraxDrainSub3">tblAanvullendeAfspraken!$D$2:$D$5</definedName>
    <definedName name="Aanvullend_Verliezen_Ped">ber_AanvullendeAfsprakenPed!$H$18</definedName>
    <definedName name="Aanvullend_Vertrektijden">tblAanvullendeAfspraken!$G$2:$H$98</definedName>
    <definedName name="Aanvullend_Verwijderen">tblAanvullendeAfspraken!$F$2:$F$6</definedName>
    <definedName name="Aanvullend_WondkweekTekst">ber_AanvullendeAfsprakenNeo!$G$31</definedName>
    <definedName name="AanvullendNeoBool_aEEG">ber_AanvullendeAfsprakenNeo!$B$22</definedName>
    <definedName name="AanvullendNeoBool_ArmLinks">ber_AanvullendeAfsprakenNeo!$D$11</definedName>
    <definedName name="AanvullendNeoBool_ArmRechts">ber_AanvullendeAfsprakenNeo!$D$12</definedName>
    <definedName name="AanvullendNeoBool_BeenLinks">ber_AanvullendeAfsprakenNeo!$D$13</definedName>
    <definedName name="AanvullendNeoBool_BeenRechts">ber_AanvullendeAfsprakenNeo!$D$14</definedName>
    <definedName name="AanvullendNeoBool_Bloedkweek">ber_AanvullendeAfsprakenNeo!$F$7</definedName>
    <definedName name="AanvullendNeoBool_CatheterDemeure">ber_AanvullendeAfsprakenNeo!$J$7</definedName>
    <definedName name="AanvullendNeoBool_CT">ber_AanvullendeAfsprakenNeo!$B$23</definedName>
    <definedName name="AanvullendNeoBool_ECG">ber_AanvullendeAfsprakenNeo!$B$24</definedName>
    <definedName name="AanvullendNeoBool_EchoBuik">ber_AanvullendeAfsprakenNeo!$B$25</definedName>
    <definedName name="AanvullendNeoBool_EchoHart">ber_AanvullendeAfsprakenNeo!$B$26</definedName>
    <definedName name="AanvullendNeoBool_FaecesBacterieel">ber_AanvullendeAfsprakenNeo!$H$8</definedName>
    <definedName name="AanvullendNeoBool_Faeceskweek">ber_AanvullendeAfsprakenNeo!$F$8</definedName>
    <definedName name="AanvullendNeoBool_FaecesRotaAdeno">ber_AanvullendeAfsprakenNeo!$H$9</definedName>
    <definedName name="AanvullendNeoBool_FaecesSchimmelGist">ber_AanvullendeAfsprakenNeo!$H$10</definedName>
    <definedName name="AanvullendNeoBool_FaecesViraal">ber_AanvullendeAfsprakenNeo!$H$11</definedName>
    <definedName name="AanvullendNeoBool_Finnigan">ber_AanvullendeAfsprakenNeo!$B$7</definedName>
    <definedName name="AanvullendNeoBool_Fototherapie">ber_AanvullendeAfsprakenNeo!$J$29</definedName>
    <definedName name="AanvullendNeoBool_FototherapieStop">ber_AanvullendeAfsprakenNeo!$J$8</definedName>
    <definedName name="AanvullendNeoBool_Gatrostoma">ber_AanvullendeAfsprakenNeo!$J$9</definedName>
    <definedName name="AanvullendNeoBool_Gewicht">ber_AanvullendeAfsprakenNeo!$B$8</definedName>
    <definedName name="AanvullendNeoBool_InfuusOpSlot">ber_AanvullendeAfsprakenNeo!$J$10</definedName>
    <definedName name="AanvullendNeoBool_InfuusUit">ber_AanvullendeAfsprakenNeo!$J$11</definedName>
    <definedName name="AanvullendNeoBool_Keelkweek">ber_AanvullendeAfsprakenNeo!$F$12</definedName>
    <definedName name="AanvullendNeoBool_Lengte">ber_AanvullendeAfsprakenNeo!$B$9</definedName>
    <definedName name="AanvullendNeoBool_Liquor">ber_AanvullendeAfsprakenNeo!$B$46</definedName>
    <definedName name="AanvullendNeoBool_MaagsondeOpenHoog">ber_AanvullendeAfsprakenNeo!$J$12</definedName>
    <definedName name="AanvullendNeoBool_Monitor">ber_AanvullendeAfsprakenNeo!$B$10</definedName>
    <definedName name="AanvullendNeoBool_MRI">ber_AanvullendeAfsprakenNeo!$B$27</definedName>
    <definedName name="AanvullendNeoBool_Neusspoelsel">ber_AanvullendeAfsprakenNeo!$F$13</definedName>
    <definedName name="AanvullendNeoBool_NeusspoelselViraal">ber_AanvullendeAfsprakenNeo!$H$13</definedName>
    <definedName name="AanvullendNeoBool_NIBD">ber_AanvullendeAfsprakenNeo!$B$11</definedName>
    <definedName name="AanvullendNeoBool_NIBDAll">ber_AanvullendeAfsprakenNeo!$B$15</definedName>
    <definedName name="AanvullendNeoBool_NIRS1">ber_AanvullendeAfsprakenNeo!$B$28</definedName>
    <definedName name="AanvullendNeoBool_NIRS2">ber_AanvullendeAfsprakenNeo!$B$29</definedName>
    <definedName name="AanvullendNeoBool_NIRSnier">ber_AanvullendeAfsprakenNeo!$B$30</definedName>
    <definedName name="AanvullendNeoBool_OntslagAkkoord">ber_AanvullendeAfsprakenNeo!$J$15</definedName>
    <definedName name="AanvullendNeoBool_OntslagInOverleg">ber_AanvullendeAfsprakenNeo!$J$13</definedName>
    <definedName name="AanvullendNeoBool_OntslagNaVisite">ber_AanvullendeAfsprakenNeo!$J$14</definedName>
    <definedName name="AanvullendNeoBool_Opnamekweken">ber_AanvullendeAfsprakenNeo!$F$14</definedName>
    <definedName name="AanvullendNeoBool_OppervlakteGistSchimmel">ber_AanvullendeAfsprakenNeo!$H$16</definedName>
    <definedName name="AanvullendNeoBool_Oppervlaktekweken">ber_AanvullendeAfsprakenNeo!$F$15</definedName>
    <definedName name="AanvullendNeoBool_OppervlakteOpname">ber_AanvullendeAfsprakenNeo!$H$15</definedName>
    <definedName name="AanvullendNeoBool_Pacemakerdraden">ber_AanvullendeAfsprakenNeo!$J$16</definedName>
    <definedName name="AanvullendNeoBool_Peritoneaal">ber_AanvullendeAfsprakenNeo!$B$43</definedName>
    <definedName name="AanvullendNeoBool_PeritoneaalVacuum">ber_AanvullendeAfsprakenNeo!$D$43</definedName>
    <definedName name="AanvullendNeoBool_Pigtail">ber_AanvullendeAfsprakenNeo!$B$44</definedName>
    <definedName name="AanvullendNeoBool_PigtailVacuum">ber_AanvullendeAfsprakenNeo!$D$44</definedName>
    <definedName name="AanvullendNeoBool_Redon">ber_AanvullendeAfsprakenNeo!$B$45</definedName>
    <definedName name="AanvullendNeoBool_RedonVacuum">ber_AanvullendeAfsprakenNeo!$D$45</definedName>
    <definedName name="AanvullendNeoBool_Rickham">ber_AanvullendeAfsprakenNeo!$J$17</definedName>
    <definedName name="AanvullendNeoBool_RS">ber_AanvullendeAfsprakenNeo!$J$18</definedName>
    <definedName name="AanvullendNeoBool_RSdiagnostiek">ber_AanvullendeAfsprakenNeo!$F$17</definedName>
    <definedName name="AanvullendNeoBool_SaturatiePost">ber_AanvullendeAfsprakenNeo!$B$16</definedName>
    <definedName name="AanvullendNeoBool_SaturatiePre">ber_AanvullendeAfsprakenNeo!$B$17</definedName>
    <definedName name="AanvullendNeoBool_Schedel">ber_AanvullendeAfsprakenNeo!$B$18</definedName>
    <definedName name="AanvullendNeoBool_SputumBacterieel">ber_AanvullendeAfsprakenNeo!$H$18</definedName>
    <definedName name="AanvullendNeoBool_Sputumkweek">ber_AanvullendeAfsprakenNeo!$F$18</definedName>
    <definedName name="AanvullendNeoBool_SputumUreaplasmaMycoplasma">ber_AanvullendeAfsprakenNeo!$H$19</definedName>
    <definedName name="AanvullendNeoBool_SputumViraal">ber_AanvullendeAfsprakenNeo!$H$20</definedName>
    <definedName name="AanvullendNeoBool_Thorax1">ber_AanvullendeAfsprakenNeo!$B$34</definedName>
    <definedName name="AanvullendNeoBool_Thorax2">ber_AanvullendeAfsprakenNeo!$B$37</definedName>
    <definedName name="AanvullendNeoBool_Thorax3">ber_AanvullendeAfsprakenNeo!$B$40</definedName>
    <definedName name="AanvullendNeoBool_Uitzuigkweek">ber_AanvullendeAfsprakenNeo!$F$21</definedName>
    <definedName name="AanvullendNeoBool_Urine">ber_AanvullendeAfsprakenNeo!$F$23</definedName>
    <definedName name="AanvullendNeoBool_Urine24uur">ber_AanvullendeAfsprakenNeo!$H$27</definedName>
    <definedName name="AanvullendNeoBool_UrineCMV">ber_AanvullendeAfsprakenNeo!$H$28</definedName>
    <definedName name="AanvullendNeoBool_Urinekweek">ber_AanvullendeAfsprakenNeo!$F$22</definedName>
    <definedName name="AanvullendNeoBool_UrinekweekBacterieel">ber_AanvullendeAfsprakenNeo!$H$22</definedName>
    <definedName name="AanvullendNeoBool_UrineMetabool">ber_AanvullendeAfsprakenNeo!$H$29</definedName>
    <definedName name="AanvullendNeoBool_UrineNatriumKalium">ber_AanvullendeAfsprakenNeo!$H$23</definedName>
    <definedName name="AanvullendNeoBool_UrineRchitis">ber_AanvullendeAfsprakenNeo!$H$30</definedName>
    <definedName name="AanvullendNeoBool_UrineSediment">ber_AanvullendeAfsprakenNeo!$H$24</definedName>
    <definedName name="AanvullendNeoBool_UrineSedimentKweek">ber_AanvullendeAfsprakenNeo!$H$25</definedName>
    <definedName name="AanvullendNeoBool_UrineSedimentMaWoVr">ber_AanvullendeAfsprakenNeo!$H$26</definedName>
    <definedName name="AanvullendNeoBool_Urostoma">ber_AanvullendeAfsprakenNeo!$J$19</definedName>
    <definedName name="AanvullendNeoBool_Verliezen">ber_AanvullendeAfsprakenNeo!$J$20</definedName>
    <definedName name="AanvullendNeoBool_VerliezenFFP">ber_AanvullendeAfsprakenNeo!$L$23</definedName>
    <definedName name="AanvullendNeoBool_VerliezenNaCl">ber_AanvullendeAfsprakenNeo!$L$22</definedName>
    <definedName name="AanvullendNeoBool_VerliezenRingerslactaat">ber_AanvullendeAfsprakenNeo!$L$21</definedName>
    <definedName name="AanvullendNeoBool_Verwijderen">ber_AanvullendeAfsprakenNeo!$J$24</definedName>
    <definedName name="AanvullendNeoBool_VerwijderenCAD">ber_AanvullendeAfsprakenNeo!$L$24</definedName>
    <definedName name="AanvullendNeoBool_VerwijderenNVL">ber_AanvullendeAfsprakenNeo!$L$25</definedName>
    <definedName name="AanvullendNeoBool_VerwijderenPAL">ber_AanvullendeAfsprakenNeo!$L$26</definedName>
    <definedName name="AanvullendNeoBool_VerwijderenSilastic">ber_AanvullendeAfsprakenNeo!$L$27</definedName>
    <definedName name="AanvullendNeoBool_Vochtbalans">ber_AanvullendeAfsprakenNeo!$B$19</definedName>
    <definedName name="AanvullendNeoBool_XBOZ">ber_AanvullendeAfsprakenNeo!$B$31</definedName>
    <definedName name="AanvullendNeoBool_XThorax">ber_AanvullendeAfsprakenNeo!$B$32</definedName>
    <definedName name="AanvullendNeoData_AantalLampen">ber_AanvullendeAfsprakenNeo!$K$29</definedName>
    <definedName name="AanvullendNeoData_aEEG">ber_AanvullendeAfsprakenNeo!$D$22</definedName>
    <definedName name="AanvullendNeoData_GewichtFrequentie">ber_AanvullendeAfsprakenNeo!$C$8</definedName>
    <definedName name="AanvullendNeoData_GewichtPer">ber_AanvullendeAfsprakenNeo!$D$8</definedName>
    <definedName name="AanvullendNeoData_LengteFrequentie">ber_AanvullendeAfsprakenNeo!$C$9</definedName>
    <definedName name="AanvullendNeoData_LengtePer">ber_AanvullendeAfsprakenNeo!$D$9</definedName>
    <definedName name="AanvullendNeoData_LiquorHoogte">ber_AanvullendeAfsprakenNeo!$D$47</definedName>
    <definedName name="AanvullendNeoData_LiquorSub">ber_AanvullendeAfsprakenNeo!$D$46</definedName>
    <definedName name="AanvullendNeoData_NIBDdd">ber_AanvullendeAfsprakenNeo!$B$12</definedName>
    <definedName name="AanvullendNeoData_Rickhamdd">ber_AanvullendeAfsprakenNeo!$K$17</definedName>
    <definedName name="AanvullendNeoData_Rickhamml">ber_AanvullendeAfsprakenNeo!$L$17</definedName>
    <definedName name="AanvullendNeoData_SchedelFrequentie">ber_AanvullendeAfsprakenNeo!$C$18</definedName>
    <definedName name="AanvullendNeoData_SchedelPer">ber_AanvullendeAfsprakenNeo!$D$18</definedName>
    <definedName name="AanvullendNeoData_Thorax1Sub1">ber_AanvullendeAfsprakenNeo!$D$36</definedName>
    <definedName name="AanvullendNeoData_Thorax1Sub2">ber_AanvullendeAfsprakenNeo!$D$34</definedName>
    <definedName name="AanvullendNeoData_Thorax1Sub3">ber_AanvullendeAfsprakenNeo!$D$35</definedName>
    <definedName name="AanvullendNeoData_Thorax2Sub1">ber_AanvullendeAfsprakenNeo!$D$39</definedName>
    <definedName name="AanvullendNeoData_Thorax2Sub2">ber_AanvullendeAfsprakenNeo!$D$37</definedName>
    <definedName name="AanvullendNeoData_Thorax2Sub3">ber_AanvullendeAfsprakenNeo!$D$38</definedName>
    <definedName name="AanvullendNeoData_Thorax3Sub1">ber_AanvullendeAfsprakenNeo!$D$42</definedName>
    <definedName name="AanvullendNeoData_Thorax3Sub2">ber_AanvullendeAfsprakenNeo!$D$40</definedName>
    <definedName name="AanvullendNeoData_Thorax3Sub3">ber_AanvullendeAfsprakenNeo!$D$41</definedName>
    <definedName name="AanvullendNeoData_VerliezenFrequentie">ber_AanvullendeAfsprakenNeo!$K$20</definedName>
    <definedName name="AanvullendNeoData_Vertrek">ber_AanvullendeAfsprakenNeo!$D$27</definedName>
    <definedName name="AanvullendNeoData_Wondkweek">ber_AanvullendeAfsprakenNeo!$G$31</definedName>
    <definedName name="AanvullendPedBool_ArmLinks">ber_AanvullendeAfsprakenPed!$D$11</definedName>
    <definedName name="AanvullendPedBool_ArmRechts">ber_AanvullendeAfsprakenPed!$D$12</definedName>
    <definedName name="AanvullendPedBool_BeenLinks">ber_AanvullendeAfsprakenPed!$D$13</definedName>
    <definedName name="AanvullendPedBool_BeenRechts">ber_AanvullendeAfsprakenPed!$D$14</definedName>
    <definedName name="AanvullendPedBool_Buik">ber_AanvullendeAfsprakenPed!$B$10</definedName>
    <definedName name="AanvullendPedBool_Catheter">ber_AanvullendeAfsprakenPed!$F$7</definedName>
    <definedName name="AanvullendPedBool_CFM">ber_AanvullendeAfsprakenPed!$B$20</definedName>
    <definedName name="AanvullendPedBool_Duodenumsonde">ber_AanvullendeAfsprakenPed!$F$10</definedName>
    <definedName name="AanvullendPedBool_ECG">ber_AanvullendeAfsprakenPed!$B$21</definedName>
    <definedName name="AanvullendPedBool_Gastrostoma">ber_AanvullendeAfsprakenPed!$F$12</definedName>
    <definedName name="AanvullendPedBool_GCS">ber_AanvullendeAfsprakenPed!$B$42</definedName>
    <definedName name="AanvullendPedBool_Gewicht">ber_AanvullendeAfsprakenPed!$B$7</definedName>
    <definedName name="AanvullendPedBool_HardeKraag">ber_AanvullendeAfsprakenPed!$F$15</definedName>
    <definedName name="AanvullendPedBool_Headblocks">ber_AanvullendeAfsprakenPed!$F$13</definedName>
    <definedName name="AanvullendPedBool_ICP">ber_AanvullendeAfsprakenPed!$B$24</definedName>
    <definedName name="AanvullendPedBool_Lengte">ber_AanvullendeAfsprakenPed!$B$8</definedName>
    <definedName name="AanvullendPedBool_Liquor">ber_AanvullendeAfsprakenPed!$B$39</definedName>
    <definedName name="AanvullendPedBool_Maagretentie">ber_AanvullendeAfsprakenPed!$F$16</definedName>
    <definedName name="AanvullendPedBool_Maagsonde">ber_AanvullendeAfsprakenPed!$F$9</definedName>
    <definedName name="AanvullendPedBool_NIBD">ber_AanvullendeAfsprakenPed!$B$11</definedName>
    <definedName name="AanvullendPedBool_NIBDAlle">ber_AanvullendeAfsprakenPed!$B$15</definedName>
    <definedName name="AanvullendPedBool_NIRS1">ber_AanvullendeAfsprakenPed!$B$22</definedName>
    <definedName name="AanvullendPedBool_NIRS2">ber_AanvullendeAfsprakenPed!$B$23</definedName>
    <definedName name="AanvullendPedBool_PEG">ber_AanvullendeAfsprakenPed!$F$11</definedName>
    <definedName name="AanvullendPedBool_Peritoneaal">ber_AanvullendeAfsprakenPed!$B$36</definedName>
    <definedName name="AanvullendPedBool_PeritoneaalVacuum">ber_AanvullendeAfsprakenPed!$D$36</definedName>
    <definedName name="AanvullendPedBool_Pigtail">ber_AanvullendeAfsprakenPed!$B$37</definedName>
    <definedName name="AanvullendPedBool_PigtailVacuum">ber_AanvullendeAfsprakenPed!$D$37</definedName>
    <definedName name="AanvullendPedBool_Pupil">ber_AanvullendeAfsprakenPed!$B$43</definedName>
    <definedName name="AanvullendPedBool_Redon">ber_AanvullendeAfsprakenPed!$B$38</definedName>
    <definedName name="AanvullendPedBool_RedonVacuum">ber_AanvullendeAfsprakenPed!$D$38</definedName>
    <definedName name="AanvullendPedBool_SaturatiePost">ber_AanvullendeAfsprakenPed!$B$16</definedName>
    <definedName name="AanvullendPedBool_SaturatiePre">ber_AanvullendeAfsprakenPed!$B$17</definedName>
    <definedName name="AanvullendPedBool_Schedel">ber_AanvullendeAfsprakenPed!$B$9</definedName>
    <definedName name="AanvullendPedBool_Sedatie">ber_AanvullendeAfsprakenPed!$B$44</definedName>
    <definedName name="AanvullendPedBool_Thorax1">ber_AanvullendeAfsprakenPed!$B$27</definedName>
    <definedName name="AanvullendPedBool_Thorax2">ber_AanvullendeAfsprakenPed!$B$30</definedName>
    <definedName name="AanvullendPedBool_Thorax3">ber_AanvullendeAfsprakenPed!$B$33</definedName>
    <definedName name="AanvullendPedBool_TOSCA">ber_AanvullendeAfsprakenPed!$B$25</definedName>
    <definedName name="AanvullendPedBool_Urostoma">ber_AanvullendeAfsprakenPed!$F$8</definedName>
    <definedName name="AanvullendPedBool_Verliezen">ber_AanvullendeAfsprakenPed!$F$18</definedName>
    <definedName name="AanvullendPedBool_ZachteKraag">ber_AanvullendeAfsprakenPed!$F$14</definedName>
    <definedName name="AanvullendPedData_GCSdd">ber_AanvullendeAfsprakenPed!$C$42</definedName>
    <definedName name="AanvullendPedData_GewichtFrequentie">ber_AanvullendeAfsprakenPed!$C$7</definedName>
    <definedName name="AanvullendPedData_GewichtPer">ber_AanvullendeAfsprakenPed!$D$7</definedName>
    <definedName name="AanvullendPedData_LengteFrequentie">ber_AanvullendeAfsprakenPed!$C$8</definedName>
    <definedName name="AanvullendPedData_LengtePer">ber_AanvullendeAfsprakenPed!$D$8</definedName>
    <definedName name="AanvullendPedData_LiquorHoogte">ber_AanvullendeAfsprakenPed!$D$40</definedName>
    <definedName name="AanvullendPedData_LiquorSub">ber_AanvullendeAfsprakenPed!$D$39</definedName>
    <definedName name="AanvullendPedData_MaagretentieUur">ber_AanvullendeAfsprakenPed!$G$16</definedName>
    <definedName name="AanvullendPedData_NIBDdd">ber_AanvullendeAfsprakenPed!$B$12</definedName>
    <definedName name="AanvullendPedData_Overig">ber_AanvullendeAfsprakenPed!$F$17</definedName>
    <definedName name="AanvullendPedData_SchedelFrequentie">ber_AanvullendeAfsprakenPed!$C$9</definedName>
    <definedName name="AanvullendPedData_SchedelPer">ber_AanvullendeAfsprakenPed!$D$9</definedName>
    <definedName name="AanvullendPedData_Thorax1Sub1">ber_AanvullendeAfsprakenPed!$D$29</definedName>
    <definedName name="AanvullendPedData_Thorax1Sub2">ber_AanvullendeAfsprakenPed!$D$27</definedName>
    <definedName name="AanvullendPedData_Thorax1Sub3">ber_AanvullendeAfsprakenPed!$D$28</definedName>
    <definedName name="AanvullendPedData_Thorax2Sub1">ber_AanvullendeAfsprakenPed!$D$32</definedName>
    <definedName name="AanvullendPedData_Thorax2Sub2">ber_AanvullendeAfsprakenPed!$D$30</definedName>
    <definedName name="AanvullendPedData_Thorax2Sub3">ber_AanvullendeAfsprakenPed!$D$31</definedName>
    <definedName name="AanvullendPedData_Thorax3Sub1">ber_AanvullendeAfsprakenPed!$D$35</definedName>
    <definedName name="AanvullendPedData_Thorax3Sub2">ber_AanvullendeAfsprakenPed!$D$33</definedName>
    <definedName name="AanvullendPedData_Thorax3Sub3">ber_AanvullendeAfsprakenPed!$D$34</definedName>
    <definedName name="AanvullendPedData_VerliezenStof">ber_AanvullendeAfsprakenPed!$H$18</definedName>
    <definedName name="AanvullendPedData_VerliezenUur">ber_AanvullendeAfsprakenPed!$G$18</definedName>
    <definedName name="_xlnm.Print_Area" localSheetId="19">AcuteOpvang!$B$2:$G$44</definedName>
    <definedName name="_xlnm.Print_Area" localSheetId="48">'AcuteOpvang Neo'!$B$2:$G$31</definedName>
    <definedName name="_xlnm.Print_Area" localSheetId="22">AfsprakenCMV!$A$2:$J$127</definedName>
    <definedName name="_xlnm.Print_Area" localSheetId="50">Apotheek!$A$1:$Q$63</definedName>
    <definedName name="_xlnm.Print_Area" localSheetId="23">Medicatie!$B$1:$AG$22</definedName>
    <definedName name="_xlnm.Print_Area" localSheetId="42">'Medicatie Neo'!$B$1:$AG$22</definedName>
    <definedName name="_xlnm.Print_Area" localSheetId="49">Print!$A$1:$Q$68</definedName>
    <definedName name="_xlnm.Print_Area" localSheetId="27">TPN16tot30kg!$A$1:$H$48</definedName>
    <definedName name="_xlnm.Print_Area" localSheetId="25">TPN2tot6kg!$A$1:$H$48</definedName>
    <definedName name="_xlnm.Print_Area" localSheetId="28">TPN31tot50kg!$A$1:$H$49</definedName>
    <definedName name="_xlnm.Print_Area" localSheetId="26">TPN7tot15kg!$A$1:$H$50</definedName>
    <definedName name="_xlnm.Print_Area" localSheetId="29">TPNboven50kg!$A$1:$H$52</definedName>
    <definedName name="_xlnm.Print_Area" localSheetId="37">WerkBrief!$A$1:$P$55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ber_Infusen!$E$8</definedName>
    <definedName name="Dag">Berekeningen!$B$6</definedName>
    <definedName name="dbPatientSave">Patienten!$A$1:$B$713</definedName>
    <definedName name="Dos">Lijsten!$J$3:$K$11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21">ber_Med_disc!$G$22</definedName>
    <definedName name="DosHoev_22">ber_Med_disc!$G$23</definedName>
    <definedName name="DosHoev_23">ber_Med_disc!$G$24</definedName>
    <definedName name="DosHoev_24">ber_Med_disc!$G$25</definedName>
    <definedName name="DosHoev_25">ber_Med_disc!$G$26</definedName>
    <definedName name="DosHoev_26">ber_Med_disc!$G$27</definedName>
    <definedName name="DosHoev_27">ber_Med_disc!$G$28</definedName>
    <definedName name="DosHoev_28">ber_Med_disc!$G$29</definedName>
    <definedName name="DosHoev_29">ber_Med_disc!$G$30</definedName>
    <definedName name="DosHoev_3">ber_Med_disc!$G$4</definedName>
    <definedName name="DosHoev_30">ber_Med_disc!$G$31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21">ber_Med_disc!$F$22</definedName>
    <definedName name="Eenheid_22">ber_Med_disc!$F$23</definedName>
    <definedName name="Eenheid_23">ber_Med_disc!$F$24</definedName>
    <definedName name="Eenheid_24">ber_Med_disc!$F$25</definedName>
    <definedName name="Eenheid_25">ber_Med_disc!$F$26</definedName>
    <definedName name="Eenheid_26">ber_Med_disc!$F$27</definedName>
    <definedName name="Eenheid_27">ber_Med_disc!$F$28</definedName>
    <definedName name="Eenheid_28">ber_Med_disc!$F$29</definedName>
    <definedName name="Eenheid_29">ber_Med_disc!$F$30</definedName>
    <definedName name="Eenheid_3">ber_Med_disc!$F$4</definedName>
    <definedName name="Eenheid_30">ber_Med_disc!$F$31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aktorLijst">Lijsten!$K$3:$K$8</definedName>
    <definedName name="FreqPO_1">ber_PO!$J$2</definedName>
    <definedName name="FreqPO_2">ber_PO!$J$3</definedName>
    <definedName name="FreqPO_3">ber_PO!$J$4</definedName>
    <definedName name="FreqPO_4">ber_PO!$J$5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21">ber_Med_disc!$D$22</definedName>
    <definedName name="Generic_22">ber_Med_disc!$D$23</definedName>
    <definedName name="Generic_23">ber_Med_disc!$D$24</definedName>
    <definedName name="Generic_24">ber_Med_disc!$D$25</definedName>
    <definedName name="Generic_25">ber_Med_disc!$D$26</definedName>
    <definedName name="Generic_26">ber_Med_disc!$D$27</definedName>
    <definedName name="Generic_27">ber_Med_disc!$D$28</definedName>
    <definedName name="Generic_28">ber_Med_disc!$D$29</definedName>
    <definedName name="Generic_29">ber_Med_disc!$D$30</definedName>
    <definedName name="Generic_3">ber_Med_disc!$D$4</definedName>
    <definedName name="Generic_30">ber_Med_disc!$D$31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ber_Infusen!$B$2</definedName>
    <definedName name="Infuus_2">ber_Infusen!$B$3</definedName>
    <definedName name="Infuus_3">ber_Infusen!$B$4</definedName>
    <definedName name="Infuus_4">ber_Infusen!$B$5</definedName>
    <definedName name="Infuus_5">ber_Infusen!$B$6</definedName>
    <definedName name="Infuus_6">ber_Infusen!$B$7</definedName>
    <definedName name="KCl">ber_TPN!$C$8</definedName>
    <definedName name="KCl_2">ber_TPN!$C$22</definedName>
    <definedName name="KClVol">ber_TPN!$E$8</definedName>
    <definedName name="KClVol_2">ber_TPN!$E$22</definedName>
    <definedName name="KeuzePO_1">ber_PO!$N$2</definedName>
    <definedName name="KeuzePO_2">ber_PO!$N$3</definedName>
    <definedName name="KeuzePO_3">ber_PO!$N$4</definedName>
    <definedName name="KeuzePO_4">ber_PO!$N$5</definedName>
    <definedName name="KNaFosfaat">ber_TPN!$C$11</definedName>
    <definedName name="KNaFosfaatVol">ber_TPN!$E$11</definedName>
    <definedName name="Lab_Data">Ber_Lab!$C$4:$C$35,Ber_Lab!$E$4:$E$34,Ber_Lab!$G$4:$G$34,Ber_Lab!$I$4:$I$34,Ber_Lab!$L$4:$L$34,Ber_Lab!$N$4:$N$34,Ber_Lab!$P$4:$P$34</definedName>
    <definedName name="Lab14_1">Ber_Lab!$E$4</definedName>
    <definedName name="Lab14_10">Ber_Lab!$E$13</definedName>
    <definedName name="Lab14_11">Ber_Lab!$E$14</definedName>
    <definedName name="Lab14_12">Ber_Lab!$E$15</definedName>
    <definedName name="Lab14_13">Ber_Lab!$E$16</definedName>
    <definedName name="Lab14_14">Ber_Lab!$E$17</definedName>
    <definedName name="Lab14_15">Ber_Lab!$E$18</definedName>
    <definedName name="Lab14_16">Ber_Lab!$E$19</definedName>
    <definedName name="Lab14_17">Ber_Lab!$E$20</definedName>
    <definedName name="Lab14_18">Ber_Lab!$E$21</definedName>
    <definedName name="Lab14_19">Ber_Lab!$E$22</definedName>
    <definedName name="Lab14_2">Ber_Lab!$E$5</definedName>
    <definedName name="Lab14_20">Ber_Lab!$E$23</definedName>
    <definedName name="Lab14_21">Ber_Lab!$E$24</definedName>
    <definedName name="Lab14_22">Ber_Lab!$E$25</definedName>
    <definedName name="Lab14_23">Ber_Lab!$E$26</definedName>
    <definedName name="Lab14_24">Ber_Lab!$E$27</definedName>
    <definedName name="Lab14_25">Ber_Lab!$E$28</definedName>
    <definedName name="Lab14_26">Ber_Lab!$E$29</definedName>
    <definedName name="Lab14_27">Ber_Lab!$E$30</definedName>
    <definedName name="Lab14_28">Ber_Lab!$E$31</definedName>
    <definedName name="Lab14_29">Ber_Lab!$E$32</definedName>
    <definedName name="Lab14_3">Ber_Lab!$E$6</definedName>
    <definedName name="Lab14_30">Ber_Lab!$E$33</definedName>
    <definedName name="Lab14_31">Ber_Lab!$E$34</definedName>
    <definedName name="Lab14_4">Ber_Lab!$E$7</definedName>
    <definedName name="Lab14_5">Ber_Lab!$E$8</definedName>
    <definedName name="Lab14_6">Ber_Lab!$E$9</definedName>
    <definedName name="Lab14_7">Ber_Lab!$E$10</definedName>
    <definedName name="Lab14_8">Ber_Lab!$E$11</definedName>
    <definedName name="Lab14_9">Ber_Lab!$E$12</definedName>
    <definedName name="Lab19_1">Ber_Lab!$G$4</definedName>
    <definedName name="Lab19_10">Ber_Lab!$G$13</definedName>
    <definedName name="Lab19_11">Ber_Lab!$G$14</definedName>
    <definedName name="Lab19_12">Ber_Lab!$G$15</definedName>
    <definedName name="Lab19_13">Ber_Lab!$G$16</definedName>
    <definedName name="Lab19_14">Ber_Lab!$G$17</definedName>
    <definedName name="Lab19_15">Ber_Lab!$G$18</definedName>
    <definedName name="Lab19_16">Ber_Lab!$G$19</definedName>
    <definedName name="Lab19_17">Ber_Lab!$G$20</definedName>
    <definedName name="Lab19_18">Ber_Lab!$G$21</definedName>
    <definedName name="Lab19_19">Ber_Lab!$G$22</definedName>
    <definedName name="Lab19_2">Ber_Lab!$G$5</definedName>
    <definedName name="Lab19_20">Ber_Lab!$G$23</definedName>
    <definedName name="Lab19_21">Ber_Lab!$G$24</definedName>
    <definedName name="Lab19_22">Ber_Lab!$G$25</definedName>
    <definedName name="Lab19_23">Ber_Lab!$G$26</definedName>
    <definedName name="Lab19_24">Ber_Lab!$G$27</definedName>
    <definedName name="Lab19_25">Ber_Lab!$G$28</definedName>
    <definedName name="Lab19_26">Ber_Lab!$G$29</definedName>
    <definedName name="Lab19_27">Ber_Lab!$G$30</definedName>
    <definedName name="Lab19_28">Ber_Lab!$G$31</definedName>
    <definedName name="Lab19_29">Ber_Lab!$G$32</definedName>
    <definedName name="Lab19_3">Ber_Lab!$G$6</definedName>
    <definedName name="Lab19_30">Ber_Lab!$G$33</definedName>
    <definedName name="Lab19_31">Ber_Lab!$G$34</definedName>
    <definedName name="Lab19_32">Ber_Lab!$G$35</definedName>
    <definedName name="Lab19_4">Ber_Lab!$G$7</definedName>
    <definedName name="Lab19_5">Ber_Lab!$G$8</definedName>
    <definedName name="Lab19_6">Ber_Lab!$G$9</definedName>
    <definedName name="Lab19_7">Ber_Lab!$G$10</definedName>
    <definedName name="Lab19_8">Ber_Lab!$G$11</definedName>
    <definedName name="Lab19_9">Ber_Lab!$G$12</definedName>
    <definedName name="Lab24_1">Ber_Lab!$I$4</definedName>
    <definedName name="Lab24_10">Ber_Lab!$I$13</definedName>
    <definedName name="Lab24_11">Ber_Lab!$I$14</definedName>
    <definedName name="Lab24_12">Ber_Lab!$I$15</definedName>
    <definedName name="Lab24_13">Ber_Lab!$I$16</definedName>
    <definedName name="Lab24_14">Ber_Lab!$I$17</definedName>
    <definedName name="Lab24_15">Ber_Lab!$I$18</definedName>
    <definedName name="Lab24_16">Ber_Lab!$I$19</definedName>
    <definedName name="Lab24_17">Ber_Lab!$I$20</definedName>
    <definedName name="Lab24_18">Ber_Lab!$I$21</definedName>
    <definedName name="Lab24_19">Ber_Lab!$I$22</definedName>
    <definedName name="Lab24_2">Ber_Lab!$I$5</definedName>
    <definedName name="Lab24_20">Ber_Lab!$I$23</definedName>
    <definedName name="Lab24_21">Ber_Lab!$I$24</definedName>
    <definedName name="Lab24_22">Ber_Lab!$I$25</definedName>
    <definedName name="Lab24_23">Ber_Lab!$I$26</definedName>
    <definedName name="Lab24_24">Ber_Lab!$I$27</definedName>
    <definedName name="Lab24_25">Ber_Lab!$I$28</definedName>
    <definedName name="Lab24_26">Ber_Lab!$I$29</definedName>
    <definedName name="Lab24_27">Ber_Lab!$I$30</definedName>
    <definedName name="Lab24_28">Ber_Lab!$I$31</definedName>
    <definedName name="Lab24_29">Ber_Lab!$I$32</definedName>
    <definedName name="Lab24_3">Ber_Lab!$I$6</definedName>
    <definedName name="Lab24_30">Ber_Lab!$I$33</definedName>
    <definedName name="Lab24_31">Ber_Lab!$I$34</definedName>
    <definedName name="Lab24_4">Ber_Lab!$I$7</definedName>
    <definedName name="Lab24_5">Ber_Lab!$I$8</definedName>
    <definedName name="Lab24_6">Ber_Lab!$I$9</definedName>
    <definedName name="Lab24_7">Ber_Lab!$I$10</definedName>
    <definedName name="Lab24_8">Ber_Lab!$I$11</definedName>
    <definedName name="Lab24_9">Ber_Lab!$I$12</definedName>
    <definedName name="LabDag1_1">Ber_Lab!$L$4</definedName>
    <definedName name="LabDag1_10">Ber_Lab!$L$13</definedName>
    <definedName name="LabDag1_11">Ber_Lab!$L$14</definedName>
    <definedName name="LabDag1_12">Ber_Lab!$L$15</definedName>
    <definedName name="LabDag1_13">Ber_Lab!$L$16</definedName>
    <definedName name="LabDag1_14">Ber_Lab!$L$17</definedName>
    <definedName name="LabDag1_15">Ber_Lab!$L$18</definedName>
    <definedName name="LabDag1_16">Ber_Lab!$L$19</definedName>
    <definedName name="LabDag1_17">Ber_Lab!$L$20</definedName>
    <definedName name="LabDag1_18">Ber_Lab!$L$21</definedName>
    <definedName name="LabDag1_19">Ber_Lab!$L$22</definedName>
    <definedName name="LabDag1_2">Ber_Lab!$L$5</definedName>
    <definedName name="LabDag1_20">Ber_Lab!$L$23</definedName>
    <definedName name="LabDag1_21">Ber_Lab!$L$24</definedName>
    <definedName name="LabDag1_22">Ber_Lab!$L$25</definedName>
    <definedName name="LabDag1_23">Ber_Lab!$L$26</definedName>
    <definedName name="LabDag1_24">Ber_Lab!$L$27</definedName>
    <definedName name="LabDag1_25">Ber_Lab!$L$28</definedName>
    <definedName name="LabDag1_26">Ber_Lab!$L$29</definedName>
    <definedName name="LabDag1_27">Ber_Lab!$L$30</definedName>
    <definedName name="LabDag1_28">Ber_Lab!$L$31</definedName>
    <definedName name="LabDag1_29">Ber_Lab!$L$32</definedName>
    <definedName name="LabDag1_3">Ber_Lab!$L$6</definedName>
    <definedName name="LabDag1_30">Ber_Lab!$L$33</definedName>
    <definedName name="LabDag1_31">Ber_Lab!$L$34</definedName>
    <definedName name="LabDag1_4">Ber_Lab!$L$7</definedName>
    <definedName name="LabDag1_5">Ber_Lab!$L$8</definedName>
    <definedName name="LabDag1_6">Ber_Lab!$L$9</definedName>
    <definedName name="LabDag1_7">Ber_Lab!$L$10</definedName>
    <definedName name="LabDag1_8">Ber_Lab!$L$11</definedName>
    <definedName name="LabDag1_9">Ber_Lab!$L$12</definedName>
    <definedName name="LabDag2_1">Ber_Lab!$N$4</definedName>
    <definedName name="LabDag2_10">Ber_Lab!$N$13</definedName>
    <definedName name="LabDag2_11">Ber_Lab!$N$14</definedName>
    <definedName name="LabDag2_12">Ber_Lab!$N$15</definedName>
    <definedName name="LabDag2_13">Ber_Lab!$N$16</definedName>
    <definedName name="LabDag2_14">Ber_Lab!$N$17</definedName>
    <definedName name="LabDag2_15">Ber_Lab!$N$18</definedName>
    <definedName name="LabDag2_16">Ber_Lab!$N$19</definedName>
    <definedName name="LabDag2_17">Ber_Lab!$N$20</definedName>
    <definedName name="LabDag2_18">Ber_Lab!$N$21</definedName>
    <definedName name="LabDag2_19">Ber_Lab!$N$22</definedName>
    <definedName name="LabDag2_2">Ber_Lab!$N$5</definedName>
    <definedName name="LabDag2_20">Ber_Lab!$N$23</definedName>
    <definedName name="LabDag2_21">Ber_Lab!$N$24</definedName>
    <definedName name="LabDag2_22">Ber_Lab!$N$25</definedName>
    <definedName name="LabDag2_23">Ber_Lab!$N$26</definedName>
    <definedName name="LabDag2_24">Ber_Lab!$N$27</definedName>
    <definedName name="LabDag2_25">Ber_Lab!$N$28</definedName>
    <definedName name="LabDag2_26">Ber_Lab!$N$29</definedName>
    <definedName name="LabDag2_27">Ber_Lab!$N$30</definedName>
    <definedName name="LabDag2_28">Ber_Lab!$N$31</definedName>
    <definedName name="LabDag2_29">Ber_Lab!$N$32</definedName>
    <definedName name="LabDag2_3">Ber_Lab!$N$6</definedName>
    <definedName name="LabDag2_30">Ber_Lab!$N$33</definedName>
    <definedName name="LabDag2_31">Ber_Lab!$N$34</definedName>
    <definedName name="LabDag2_4">Ber_Lab!$N$7</definedName>
    <definedName name="LabDag2_5">Ber_Lab!$N$8</definedName>
    <definedName name="LabDag2_6">Ber_Lab!$N$9</definedName>
    <definedName name="LabDag2_7">Ber_Lab!$N$10</definedName>
    <definedName name="LabDag2_8">Ber_Lab!$N$11</definedName>
    <definedName name="LabDag2_9">Ber_Lab!$N$12</definedName>
    <definedName name="LabDag3_1">Ber_Lab!$P$4</definedName>
    <definedName name="LabDag3_10">Ber_Lab!$P$13</definedName>
    <definedName name="LabDag3_11">Ber_Lab!$P$14</definedName>
    <definedName name="LabDag3_12">Ber_Lab!$P$15</definedName>
    <definedName name="LabDag3_13">Ber_Lab!$P$16</definedName>
    <definedName name="LabDag3_14">Ber_Lab!$P$17</definedName>
    <definedName name="LabDag3_15">Ber_Lab!$P$18</definedName>
    <definedName name="LabDag3_16">Ber_Lab!$P$19</definedName>
    <definedName name="LabDag3_17">Ber_Lab!$P$20</definedName>
    <definedName name="LabDag3_18">Ber_Lab!$P$21</definedName>
    <definedName name="LabDag3_19">Ber_Lab!$P$22</definedName>
    <definedName name="LabDag3_2">Ber_Lab!$P$5</definedName>
    <definedName name="LabDag3_20">Ber_Lab!$P$23</definedName>
    <definedName name="LabDag3_21">Ber_Lab!$P$24</definedName>
    <definedName name="LabDag3_22">Ber_Lab!$P$25</definedName>
    <definedName name="LabDag3_23">Ber_Lab!$P$26</definedName>
    <definedName name="LabDag3_24">Ber_Lab!$P$27</definedName>
    <definedName name="LabDag3_25">Ber_Lab!$P$28</definedName>
    <definedName name="LabDag3_26">Ber_Lab!$P$29</definedName>
    <definedName name="LabDag3_27">Ber_Lab!$P$30</definedName>
    <definedName name="LabDag3_28">Ber_Lab!$P$31</definedName>
    <definedName name="LabDag3_29">Ber_Lab!$P$32</definedName>
    <definedName name="LabDag3_3">Ber_Lab!$P$6</definedName>
    <definedName name="LabDag3_30">Ber_Lab!$P$33</definedName>
    <definedName name="LabDag3_31">Ber_Lab!$P$34</definedName>
    <definedName name="LabDag3_4">Ber_Lab!$P$7</definedName>
    <definedName name="LabDag3_5">Ber_Lab!$P$8</definedName>
    <definedName name="LabDag3_6">Ber_Lab!$P$9</definedName>
    <definedName name="LabDag3_7">Ber_Lab!$P$10</definedName>
    <definedName name="LabDag3_8">Ber_Lab!$P$11</definedName>
    <definedName name="LabDag3_9">Ber_Lab!$P$12</definedName>
    <definedName name="LabNeo_Data">Ber_Lab_Neo!$C$4:$C$35,Ber_Lab_Neo!$E$4:$E$34,Ber_Lab_Neo!$G$4:$G$34,Ber_Lab_Neo!$I$4:$I$34,Ber_Lab_Neo!$K$4:$K$34,Ber_Lab_Neo!$M$4:$M$34,Ber_Lab_Neo!$O$4:$O$34,Ber_Lab_Neo!$Q$4:$Q$34,Ber_Lab_Neo!$S$4:$S$34,Ber_Lab_Neo!$D$38</definedName>
    <definedName name="LabNeo04_1">Ber_Lab_Neo!$M$4</definedName>
    <definedName name="LabNeo04_10">Ber_Lab_Neo!$M$13</definedName>
    <definedName name="LabNeo04_11">Ber_Lab_Neo!$M$14</definedName>
    <definedName name="LabNeo04_12">Ber_Lab_Neo!$M$15</definedName>
    <definedName name="LabNeo04_13">Ber_Lab_Neo!$M$16</definedName>
    <definedName name="LabNeo04_14">Ber_Lab_Neo!$M$17</definedName>
    <definedName name="LabNeo04_15">Ber_Lab_Neo!$M$18</definedName>
    <definedName name="LabNeo04_16">Ber_Lab_Neo!$M$19</definedName>
    <definedName name="LabNeo04_17">Ber_Lab_Neo!$M$20</definedName>
    <definedName name="LabNeo04_18">Ber_Lab_Neo!$M$21</definedName>
    <definedName name="LabNeo04_19">Ber_Lab_Neo!$M$22</definedName>
    <definedName name="LabNeo04_2">Ber_Lab_Neo!$M$5</definedName>
    <definedName name="LabNeo04_20">Ber_Lab_Neo!$M$23</definedName>
    <definedName name="LabNeo04_21">Ber_Lab_Neo!$M$24</definedName>
    <definedName name="LabNeo04_22">Ber_Lab_Neo!$M$25</definedName>
    <definedName name="LabNeo04_23">Ber_Lab_Neo!$M$26</definedName>
    <definedName name="LabNeo04_24">Ber_Lab_Neo!$M$27</definedName>
    <definedName name="LabNeo04_25">Ber_Lab_Neo!$M$28</definedName>
    <definedName name="LabNeo04_26">Ber_Lab_Neo!$M$29</definedName>
    <definedName name="LabNeo04_27">Ber_Lab_Neo!$M$30</definedName>
    <definedName name="LabNeo04_28">Ber_Lab_Neo!$M$31</definedName>
    <definedName name="LabNeo04_29">Ber_Lab_Neo!$M$32</definedName>
    <definedName name="LabNeo04_3">Ber_Lab_Neo!$M$6</definedName>
    <definedName name="LabNeo04_30">Ber_Lab_Neo!$M$33</definedName>
    <definedName name="LabNeo04_31">Ber_Lab_Neo!$M$34</definedName>
    <definedName name="LabNeo04_4">Ber_Lab_Neo!$M$7</definedName>
    <definedName name="LabNeo04_5">Ber_Lab_Neo!$M$8</definedName>
    <definedName name="LabNeo04_6">Ber_Lab_Neo!$M$9</definedName>
    <definedName name="LabNeo04_7">Ber_Lab_Neo!$M$10</definedName>
    <definedName name="LabNeo04_8">Ber_Lab_Neo!$M$11</definedName>
    <definedName name="LabNeo04_9">Ber_Lab_Neo!$M$12</definedName>
    <definedName name="LabNeo12_1">Ber_Lab_Neo!$E$4</definedName>
    <definedName name="LabNeo12_10">Ber_Lab_Neo!$E$13</definedName>
    <definedName name="LabNeo12_11">Ber_Lab_Neo!$E$14</definedName>
    <definedName name="LabNeo12_12">Ber_Lab_Neo!$E$15</definedName>
    <definedName name="LabNeo12_13">Ber_Lab_Neo!$E$16</definedName>
    <definedName name="LabNeo12_14">Ber_Lab_Neo!$E$17</definedName>
    <definedName name="LabNeo12_15">Ber_Lab_Neo!$E$18</definedName>
    <definedName name="LabNeo12_16">Ber_Lab_Neo!$E$19</definedName>
    <definedName name="LabNeo12_17">Ber_Lab_Neo!$E$20</definedName>
    <definedName name="LabNeo12_18">Ber_Lab_Neo!$E$21</definedName>
    <definedName name="LabNeo12_19">Ber_Lab_Neo!$E$22</definedName>
    <definedName name="LabNeo12_2">Ber_Lab_Neo!$E$5</definedName>
    <definedName name="LabNeo12_20">Ber_Lab_Neo!$E$23</definedName>
    <definedName name="LabNeo12_21">Ber_Lab_Neo!$E$24</definedName>
    <definedName name="LabNeo12_22">Ber_Lab_Neo!$E$25</definedName>
    <definedName name="LabNeo12_23">Ber_Lab_Neo!$E$26</definedName>
    <definedName name="LabNeo12_24">Ber_Lab_Neo!$E$27</definedName>
    <definedName name="LabNeo12_25">Ber_Lab_Neo!$E$28</definedName>
    <definedName name="LabNeo12_26">Ber_Lab_Neo!$E$29</definedName>
    <definedName name="LabNeo12_27">Ber_Lab_Neo!$E$30</definedName>
    <definedName name="LabNeo12_28">Ber_Lab_Neo!$E$31</definedName>
    <definedName name="LabNeo12_29">Ber_Lab_Neo!$E$32</definedName>
    <definedName name="LabNeo12_3">Ber_Lab_Neo!$E$6</definedName>
    <definedName name="LabNeo12_30">Ber_Lab_Neo!$E$33</definedName>
    <definedName name="LabNeo12_31">Ber_Lab_Neo!$E$34</definedName>
    <definedName name="LabNeo12_4">Ber_Lab_Neo!$E$7</definedName>
    <definedName name="LabNeo12_5">Ber_Lab_Neo!$E$8</definedName>
    <definedName name="LabNeo12_6">Ber_Lab_Neo!$E$9</definedName>
    <definedName name="LabNeo12_7">Ber_Lab_Neo!$E$10</definedName>
    <definedName name="LabNeo12_8">Ber_Lab_Neo!$E$11</definedName>
    <definedName name="LabNeo12_9">Ber_Lab_Neo!$E$12</definedName>
    <definedName name="LabNeo16_1">Ber_Lab_Neo!$G$4</definedName>
    <definedName name="LabNeo16_10">Ber_Lab_Neo!$G$13</definedName>
    <definedName name="LabNeo16_11">Ber_Lab_Neo!$G$14</definedName>
    <definedName name="LabNeo16_12">Ber_Lab_Neo!$G$15</definedName>
    <definedName name="LabNeo16_13">Ber_Lab_Neo!$G$16</definedName>
    <definedName name="LabNeo16_14">Ber_Lab_Neo!$G$17</definedName>
    <definedName name="LabNeo16_15">Ber_Lab_Neo!$G$18</definedName>
    <definedName name="LabNeo16_16">Ber_Lab_Neo!$G$19</definedName>
    <definedName name="LabNeo16_17">Ber_Lab_Neo!$G$20</definedName>
    <definedName name="LabNeo16_18">Ber_Lab_Neo!$G$21</definedName>
    <definedName name="LabNeo16_19">Ber_Lab_Neo!$G$22</definedName>
    <definedName name="LabNeo16_2">Ber_Lab_Neo!$G$5</definedName>
    <definedName name="LabNeo16_20">Ber_Lab_Neo!$G$23</definedName>
    <definedName name="LabNeo16_21">Ber_Lab_Neo!$G$24</definedName>
    <definedName name="LabNeo16_22">Ber_Lab_Neo!$G$25</definedName>
    <definedName name="LabNeo16_23">Ber_Lab_Neo!$G$26</definedName>
    <definedName name="LabNeo16_24">Ber_Lab_Neo!$G$27</definedName>
    <definedName name="LabNeo16_25">Ber_Lab_Neo!$G$28</definedName>
    <definedName name="LabNeo16_26">Ber_Lab_Neo!$G$29</definedName>
    <definedName name="LabNeo16_27">Ber_Lab_Neo!$G$30</definedName>
    <definedName name="LabNeo16_28">Ber_Lab_Neo!$G$31</definedName>
    <definedName name="LabNeo16_29">Ber_Lab_Neo!$G$32</definedName>
    <definedName name="LabNeo16_3">Ber_Lab_Neo!$G$6</definedName>
    <definedName name="LabNeo16_30">Ber_Lab_Neo!$G$33</definedName>
    <definedName name="LabNeo16_31">Ber_Lab_Neo!$G$34</definedName>
    <definedName name="LabNeo16_4">Ber_Lab_Neo!$G$7</definedName>
    <definedName name="LabNeo16_5">Ber_Lab_Neo!$G$8</definedName>
    <definedName name="LabNeo16_6">Ber_Lab_Neo!$G$9</definedName>
    <definedName name="LabNeo16_7">Ber_Lab_Neo!$G$10</definedName>
    <definedName name="LabNeo16_8">Ber_Lab_Neo!$G$11</definedName>
    <definedName name="LabNeo16_9">Ber_Lab_Neo!$G$12</definedName>
    <definedName name="LabNeo20_1">Ber_Lab_Neo!$I$4</definedName>
    <definedName name="LabNeo20_10">Ber_Lab_Neo!$I$13</definedName>
    <definedName name="LabNeo20_11">Ber_Lab_Neo!$I$14</definedName>
    <definedName name="LabNeo20_12">Ber_Lab_Neo!$I$15</definedName>
    <definedName name="LabNeo20_13">Ber_Lab_Neo!$I$16</definedName>
    <definedName name="LabNeo20_14">Ber_Lab_Neo!$I$17</definedName>
    <definedName name="LabNeo20_15">Ber_Lab_Neo!$I$18</definedName>
    <definedName name="LabNeo20_16">Ber_Lab_Neo!$I$19</definedName>
    <definedName name="LabNeo20_17">Ber_Lab_Neo!$I$20</definedName>
    <definedName name="LabNeo20_18">Ber_Lab_Neo!$I$21</definedName>
    <definedName name="LabNeo20_19">Ber_Lab_Neo!$I$22</definedName>
    <definedName name="LabNeo20_2">Ber_Lab_Neo!$I$5</definedName>
    <definedName name="LabNeo20_20">Ber_Lab_Neo!$I$23</definedName>
    <definedName name="LabNeo20_21">Ber_Lab_Neo!$I$24</definedName>
    <definedName name="LabNeo20_22">Ber_Lab_Neo!$I$25</definedName>
    <definedName name="LabNeo20_23">Ber_Lab_Neo!$I$26</definedName>
    <definedName name="LabNeo20_24">Ber_Lab_Neo!$I$27</definedName>
    <definedName name="LabNeo20_25">Ber_Lab_Neo!$I$28</definedName>
    <definedName name="LabNeo20_26">Ber_Lab_Neo!$I$29</definedName>
    <definedName name="LabNeo20_27">Ber_Lab_Neo!$I$30</definedName>
    <definedName name="LabNeo20_28">Ber_Lab_Neo!$I$31</definedName>
    <definedName name="LabNeo20_29">Ber_Lab_Neo!$I$32</definedName>
    <definedName name="LabNeo20_3">Ber_Lab_Neo!$I$6</definedName>
    <definedName name="LabNeo20_30">Ber_Lab_Neo!$I$33</definedName>
    <definedName name="LabNeo20_31">Ber_Lab_Neo!$I$34</definedName>
    <definedName name="LabNeo20_4">Ber_Lab_Neo!$I$7</definedName>
    <definedName name="LabNeo20_5">Ber_Lab_Neo!$I$8</definedName>
    <definedName name="LabNeo20_6">Ber_Lab_Neo!$I$9</definedName>
    <definedName name="LabNeo20_7">Ber_Lab_Neo!$I$10</definedName>
    <definedName name="LabNeo20_8">Ber_Lab_Neo!$I$11</definedName>
    <definedName name="LabNeo20_9">Ber_Lab_Neo!$I$12</definedName>
    <definedName name="LabNeo24_1">Ber_Lab_Neo!$K$4</definedName>
    <definedName name="LabNeo24_10">Ber_Lab_Neo!$K$13</definedName>
    <definedName name="LabNeo24_11">Ber_Lab_Neo!$K$14</definedName>
    <definedName name="LabNeo24_12">Ber_Lab_Neo!$K$15</definedName>
    <definedName name="LabNeo24_13">Ber_Lab_Neo!$K$16</definedName>
    <definedName name="LabNeo24_14">Ber_Lab_Neo!$K$17</definedName>
    <definedName name="LabNeo24_15">Ber_Lab_Neo!$K$18</definedName>
    <definedName name="LabNeo24_16">Ber_Lab_Neo!$K$19</definedName>
    <definedName name="LabNeo24_17">Ber_Lab_Neo!$K$20</definedName>
    <definedName name="LabNeo24_18">Ber_Lab_Neo!$K$21</definedName>
    <definedName name="LabNeo24_19">Ber_Lab_Neo!$K$22</definedName>
    <definedName name="LabNeo24_2">Ber_Lab_Neo!$K$5</definedName>
    <definedName name="LabNeo24_20">Ber_Lab_Neo!$K$23</definedName>
    <definedName name="LabNeo24_21">Ber_Lab_Neo!$K$24</definedName>
    <definedName name="LabNeo24_22">Ber_Lab_Neo!$K$25</definedName>
    <definedName name="LabNeo24_23">Ber_Lab_Neo!$K$26</definedName>
    <definedName name="LabNeo24_24">Ber_Lab_Neo!$K$27</definedName>
    <definedName name="LabNeo24_25">Ber_Lab_Neo!$K$28</definedName>
    <definedName name="LabNeo24_26">Ber_Lab_Neo!$K$29</definedName>
    <definedName name="LabNeo24_27">Ber_Lab_Neo!$K$30</definedName>
    <definedName name="LabNeo24_28">Ber_Lab_Neo!$K$31</definedName>
    <definedName name="LabNeo24_29">Ber_Lab_Neo!$K$32</definedName>
    <definedName name="LabNeo24_3">Ber_Lab_Neo!$K$6</definedName>
    <definedName name="LabNeo24_30">Ber_Lab_Neo!$K$33</definedName>
    <definedName name="LabNeo24_31">Ber_Lab_Neo!$K$34</definedName>
    <definedName name="LabNeo24_4">Ber_Lab_Neo!$K$7</definedName>
    <definedName name="LabNeo24_5">Ber_Lab_Neo!$K$8</definedName>
    <definedName name="LabNeo24_6">Ber_Lab_Neo!$K$9</definedName>
    <definedName name="LabNeo24_7">Ber_Lab_Neo!$K$10</definedName>
    <definedName name="LabNeo24_8">Ber_Lab_Neo!$K$11</definedName>
    <definedName name="LabNeo24_9">Ber_Lab_Neo!$K$12</definedName>
    <definedName name="LabNeoDag1_1">Ber_Lab_Neo!$O$4</definedName>
    <definedName name="LabNeoDag1_10">Ber_Lab_Neo!$O$13</definedName>
    <definedName name="LabNeoDag1_11">Ber_Lab_Neo!$O$14</definedName>
    <definedName name="LabNeoDag1_12">Ber_Lab_Neo!$O$15</definedName>
    <definedName name="LabNeoDag1_13">Ber_Lab_Neo!$O$16</definedName>
    <definedName name="LabNeoDag1_14">Ber_Lab_Neo!$O$17</definedName>
    <definedName name="LabNeoDag1_15">Ber_Lab_Neo!$O$18</definedName>
    <definedName name="LabNeoDag1_16">Ber_Lab_Neo!$O$19</definedName>
    <definedName name="LabNeoDag1_17">Ber_Lab_Neo!$O$20</definedName>
    <definedName name="LabNeoDag1_18">Ber_Lab_Neo!$O$21</definedName>
    <definedName name="LabNeoDag1_19">Ber_Lab_Neo!$O$22</definedName>
    <definedName name="LabNeoDag1_2">Ber_Lab_Neo!$O$5</definedName>
    <definedName name="LabNeoDag1_20">Ber_Lab_Neo!$O$23</definedName>
    <definedName name="LabNeoDag1_21">Ber_Lab_Neo!$O$24</definedName>
    <definedName name="LabNeoDag1_22">Ber_Lab_Neo!$O$25</definedName>
    <definedName name="LabNeoDag1_23">Ber_Lab_Neo!$O$26</definedName>
    <definedName name="LabNeoDag1_24">Ber_Lab_Neo!$O$27</definedName>
    <definedName name="LabNeoDag1_25">Ber_Lab_Neo!$O$28</definedName>
    <definedName name="LabNeoDag1_26">Ber_Lab_Neo!$O$29</definedName>
    <definedName name="LabNeoDag1_27">Ber_Lab_Neo!$O$30</definedName>
    <definedName name="LabNeoDag1_28">Ber_Lab_Neo!$O$31</definedName>
    <definedName name="LabNeoDag1_29">Ber_Lab_Neo!$O$32</definedName>
    <definedName name="LabNeoDag1_3">Ber_Lab_Neo!$O$6</definedName>
    <definedName name="LabNeoDag1_30">Ber_Lab_Neo!$O$33</definedName>
    <definedName name="LabNeoDag1_31">Ber_Lab_Neo!$O$34</definedName>
    <definedName name="LabNeoDag1_4">Ber_Lab_Neo!$O$7</definedName>
    <definedName name="LabNeoDag1_5">Ber_Lab_Neo!$O$8</definedName>
    <definedName name="LabNeoDag1_6">Ber_Lab_Neo!$O$9</definedName>
    <definedName name="LabNeoDag1_7">Ber_Lab_Neo!$O$10</definedName>
    <definedName name="LabNeoDag1_8">Ber_Lab_Neo!$O$11</definedName>
    <definedName name="LabNeoDag1_9">Ber_Lab_Neo!$O$12</definedName>
    <definedName name="LabNeoDag2_1">Ber_Lab_Neo!$Q$4</definedName>
    <definedName name="LabNeoDag2_10">Ber_Lab_Neo!$Q$13</definedName>
    <definedName name="LabNeoDag2_11">Ber_Lab_Neo!$Q$14</definedName>
    <definedName name="LabNeoDag2_12">Ber_Lab_Neo!$Q$15</definedName>
    <definedName name="LabNeoDag2_13">Ber_Lab_Neo!$Q$16</definedName>
    <definedName name="LabNeoDag2_14">Ber_Lab_Neo!$Q$17</definedName>
    <definedName name="LabNeoDag2_15">Ber_Lab_Neo!$Q$18</definedName>
    <definedName name="LabNeoDag2_16">Ber_Lab_Neo!$Q$19</definedName>
    <definedName name="LabNeoDag2_17">Ber_Lab_Neo!$Q$20</definedName>
    <definedName name="LabNeoDag2_18">Ber_Lab_Neo!$Q$21</definedName>
    <definedName name="LabNeoDag2_19">Ber_Lab_Neo!$Q$22</definedName>
    <definedName name="LabNeoDag2_2">Ber_Lab_Neo!$Q$5</definedName>
    <definedName name="LabNeoDag2_20">Ber_Lab_Neo!$Q$23</definedName>
    <definedName name="LabNeoDag2_21">Ber_Lab_Neo!$Q$24</definedName>
    <definedName name="LabNeoDag2_22">Ber_Lab_Neo!$Q$25</definedName>
    <definedName name="LabNeoDag2_23">Ber_Lab_Neo!$Q$26</definedName>
    <definedName name="LabNeoDag2_24">Ber_Lab_Neo!$Q$27</definedName>
    <definedName name="LabNeoDag2_25">Ber_Lab_Neo!$Q$28</definedName>
    <definedName name="LabNeoDag2_26">Ber_Lab_Neo!$Q$29</definedName>
    <definedName name="LabNeoDag2_27">Ber_Lab_Neo!$Q$30</definedName>
    <definedName name="LabNeoDag2_28">Ber_Lab_Neo!$Q$31</definedName>
    <definedName name="LabNeoDag2_29">Ber_Lab_Neo!$Q$32</definedName>
    <definedName name="LabNeoDag2_3">Ber_Lab_Neo!$Q$6</definedName>
    <definedName name="LabNeoDag2_30">Ber_Lab_Neo!$Q$33</definedName>
    <definedName name="LabNeoDag2_31">Ber_Lab_Neo!$Q$34</definedName>
    <definedName name="LabNeoDag2_4">Ber_Lab_Neo!$Q$7</definedName>
    <definedName name="LabNeoDag2_5">Ber_Lab_Neo!$Q$8</definedName>
    <definedName name="LabNeoDag2_6">Ber_Lab_Neo!$Q$9</definedName>
    <definedName name="LabNeoDag2_7">Ber_Lab_Neo!$Q$10</definedName>
    <definedName name="LabNeoDag2_8">Ber_Lab_Neo!$Q$11</definedName>
    <definedName name="LabNeoDag2_9">Ber_Lab_Neo!$Q$12</definedName>
    <definedName name="LabNeoDag3_1">Ber_Lab_Neo!$S$4</definedName>
    <definedName name="LabNeoDag3_10">Ber_Lab_Neo!$S$13</definedName>
    <definedName name="LabNeoDag3_11">Ber_Lab_Neo!$S$14</definedName>
    <definedName name="LabNeoDag3_12">Ber_Lab_Neo!$S$15</definedName>
    <definedName name="LabNeoDag3_13">Ber_Lab_Neo!$S$16</definedName>
    <definedName name="LabNeoDag3_14">Ber_Lab_Neo!$S$17</definedName>
    <definedName name="LabNeoDag3_15">Ber_Lab_Neo!$S$18</definedName>
    <definedName name="LabNeoDag3_16">Ber_Lab_Neo!$S$19</definedName>
    <definedName name="LabNeoDag3_17">Ber_Lab_Neo!$S$20</definedName>
    <definedName name="LabNeoDag3_18">Ber_Lab_Neo!$S$21</definedName>
    <definedName name="LabNeoDag3_19">Ber_Lab_Neo!$S$22</definedName>
    <definedName name="LabNeoDag3_2">Ber_Lab_Neo!$S$5</definedName>
    <definedName name="LabNeoDag3_20">Ber_Lab_Neo!$S$23</definedName>
    <definedName name="LabNeoDag3_21">Ber_Lab_Neo!$S$24</definedName>
    <definedName name="LabNeoDag3_22">Ber_Lab_Neo!$S$25</definedName>
    <definedName name="LabNeoDag3_23">Ber_Lab_Neo!$S$26</definedName>
    <definedName name="LabNeoDag3_24">Ber_Lab_Neo!$S$27</definedName>
    <definedName name="LabNeoDag3_25">Ber_Lab_Neo!$S$28</definedName>
    <definedName name="LabNeoDag3_26">Ber_Lab_Neo!$S$29</definedName>
    <definedName name="LabNeoDag3_27">Ber_Lab_Neo!$S$30</definedName>
    <definedName name="LabNeoDag3_28">Ber_Lab_Neo!$S$31</definedName>
    <definedName name="LabNeoDag3_29">Ber_Lab_Neo!$S$32</definedName>
    <definedName name="LabNeoDag3_3">Ber_Lab_Neo!$S$6</definedName>
    <definedName name="LabNeoDag3_30">Ber_Lab_Neo!$S$33</definedName>
    <definedName name="LabNeoDag3_31">Ber_Lab_Neo!$S$34</definedName>
    <definedName name="LabNeoDag3_4">Ber_Lab_Neo!$S$7</definedName>
    <definedName name="LabNeoDag3_5">Ber_Lab_Neo!$S$8</definedName>
    <definedName name="LabNeoDag3_6">Ber_Lab_Neo!$S$9</definedName>
    <definedName name="LabNeoDag3_7">Ber_Lab_Neo!$S$10</definedName>
    <definedName name="LabNeoDag3_8">Ber_Lab_Neo!$S$11</definedName>
    <definedName name="LabNeoDag3_9">Ber_Lab_Neo!$S$12</definedName>
    <definedName name="LabNeoOpmerkingen">Ber_Lab_Neo!$D$38</definedName>
    <definedName name="LabNeoOpn_1">Ber_Lab_Neo!$C$4</definedName>
    <definedName name="LabNeoOpn_10">Ber_Lab_Neo!$C$13</definedName>
    <definedName name="LabNeoOpn_11">Ber_Lab_Neo!$C$14</definedName>
    <definedName name="LabNeoOpn_12">Ber_Lab_Neo!$C$15</definedName>
    <definedName name="LabNeoOpn_13">Ber_Lab_Neo!$C$16</definedName>
    <definedName name="LabNeoOpn_14">Ber_Lab_Neo!$C$17</definedName>
    <definedName name="LabNeoOpn_15">Ber_Lab_Neo!$C$18</definedName>
    <definedName name="LabNeoOpn_16">Ber_Lab_Neo!$C$19</definedName>
    <definedName name="LabNeoOpn_17">Ber_Lab_Neo!$C$20</definedName>
    <definedName name="LabNeoOpn_18">Ber_Lab_Neo!$C$21</definedName>
    <definedName name="LabNeoOpn_19">Ber_Lab_Neo!$C$22</definedName>
    <definedName name="LabNeoOpn_2">Ber_Lab_Neo!$C$5</definedName>
    <definedName name="LabNeoOpn_20">Ber_Lab_Neo!$C$23</definedName>
    <definedName name="LabNeoOpn_21">Ber_Lab_Neo!$C$24</definedName>
    <definedName name="LabNeoOpn_22">Ber_Lab_Neo!$C$25</definedName>
    <definedName name="LabNeoOpn_23">Ber_Lab_Neo!$C$26</definedName>
    <definedName name="LabNeoOpn_24">Ber_Lab_Neo!$C$27</definedName>
    <definedName name="LabNeoOpn_25">Ber_Lab_Neo!$C$28</definedName>
    <definedName name="LabNeoOpn_26">Ber_Lab_Neo!$C$29</definedName>
    <definedName name="LabNeoOpn_27">Ber_Lab_Neo!$C$30</definedName>
    <definedName name="LabNeoOpn_28">Ber_Lab_Neo!$C$31</definedName>
    <definedName name="LabNeoOpn_29">Ber_Lab_Neo!$C$32</definedName>
    <definedName name="LabNeoOpn_3">Ber_Lab_Neo!$C$6</definedName>
    <definedName name="LabNeoOpn_30">Ber_Lab_Neo!$C$33</definedName>
    <definedName name="LabNeoOpn_31">Ber_Lab_Neo!$C$34</definedName>
    <definedName name="LabNeoOpn_32">Ber_Lab_Neo!$C$35</definedName>
    <definedName name="LabNeoOpn_4">Ber_Lab_Neo!$C$7</definedName>
    <definedName name="LabNeoOpn_5">Ber_Lab_Neo!$C$8</definedName>
    <definedName name="LabNeoOpn_6">Ber_Lab_Neo!$C$9</definedName>
    <definedName name="LabNeoOpn_7">Ber_Lab_Neo!$C$10</definedName>
    <definedName name="LabNeoOpn_8">Ber_Lab_Neo!$C$11</definedName>
    <definedName name="LabNeoOpn_9">Ber_Lab_Neo!$C$12</definedName>
    <definedName name="LabOpn_1">Ber_Lab!$C$4</definedName>
    <definedName name="LabOpn_10">Ber_Lab!$C$13</definedName>
    <definedName name="LabOpn_11">Ber_Lab!$C$14</definedName>
    <definedName name="LabOpn_12">Ber_Lab!$C$15</definedName>
    <definedName name="LabOpn_13">Ber_Lab!$C$16</definedName>
    <definedName name="LabOpn_14">Ber_Lab!$C$17</definedName>
    <definedName name="LabOpn_15">Ber_Lab!$C$18</definedName>
    <definedName name="LabOpn_16">Ber_Lab!$C$19</definedName>
    <definedName name="LabOpn_17">Ber_Lab!$C$20</definedName>
    <definedName name="LabOpn_18">Ber_Lab!$C$21</definedName>
    <definedName name="LabOpn_19">Ber_Lab!$C$22</definedName>
    <definedName name="LabOpn_2">Ber_Lab!$C$5</definedName>
    <definedName name="LabOpn_20">Ber_Lab!$C$23</definedName>
    <definedName name="LabOpn_21">Ber_Lab!$C$24</definedName>
    <definedName name="LabOpn_22">Ber_Lab!$C$25</definedName>
    <definedName name="LabOpn_23">Ber_Lab!$C$26</definedName>
    <definedName name="LabOpn_24">Ber_Lab!$C$27</definedName>
    <definedName name="LabOpn_25">Ber_Lab!$C$28</definedName>
    <definedName name="LabOpn_26">Ber_Lab!$C$29</definedName>
    <definedName name="LabOpn_27">Ber_Lab!$C$30</definedName>
    <definedName name="LabOpn_28">Ber_Lab!$C$31</definedName>
    <definedName name="LabOpn_29">Ber_Lab!$C$32</definedName>
    <definedName name="LabOpn_3">Ber_Lab!$C$6</definedName>
    <definedName name="LabOpn_30">Ber_Lab!$C$33</definedName>
    <definedName name="LabOpn_31">Ber_Lab!$C$34</definedName>
    <definedName name="LabOpn_32">Ber_Lab!$C$35</definedName>
    <definedName name="LabOpn_4">Ber_Lab!$C$7</definedName>
    <definedName name="LabOpn_5">Ber_Lab!$C$8</definedName>
    <definedName name="LabOpn_6">Ber_Lab!$C$9</definedName>
    <definedName name="LabOpn_7">Ber_Lab!$C$10</definedName>
    <definedName name="LabOpn_8">Ber_Lab!$C$11</definedName>
    <definedName name="LabOpn_9">Ber_Lab!$C$12</definedName>
    <definedName name="Lengte">dbBead!$H$2</definedName>
    <definedName name="LijstenLijstToevoegingenKV">Lijsten!$M$44:$Y$48</definedName>
    <definedName name="LijstenLijstToevoegingenMM">Lijsten!$M$33:$Y$39</definedName>
    <definedName name="LijstenLijstVoeding">Lijsten!$M$3:$Z$19</definedName>
    <definedName name="LijstenOpzoektabelKV">Lijsten!$M$43:$Y$48</definedName>
    <definedName name="LijstenOpzoektabelMM">Lijsten!$M$32:$Y$39</definedName>
    <definedName name="LijstenOpzoektabelVoeding">Lijsten!$M$2:$Z$19</definedName>
    <definedName name="lijstIntralipidSmof">Lijsten!$AE$3:$AE$4</definedName>
    <definedName name="lijstToevoegingenKVPrint">Lijsten!$L$44:$L$48</definedName>
    <definedName name="lijstToevoegingenMMPrint">Lijsten!$L$33:$L$39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camenten">tblMedicatieIVNeo!$B$2:$K$26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21">ber_Med_disc!$Q$22</definedName>
    <definedName name="MedInloop_22">ber_Med_disc!$Q$23</definedName>
    <definedName name="MedInloop_23">ber_Med_disc!$Q$24</definedName>
    <definedName name="MedInloop_24">ber_Med_disc!$Q$25</definedName>
    <definedName name="MedInloop_25">ber_Med_disc!$Q$26</definedName>
    <definedName name="MedInloop_26">ber_Med_disc!$Q$27</definedName>
    <definedName name="MedInloop_27">ber_Med_disc!$Q$28</definedName>
    <definedName name="MedInloop_28">ber_Med_disc!$Q$29</definedName>
    <definedName name="MedInloop_29">ber_Med_disc!$Q$30</definedName>
    <definedName name="MedInloop_3">ber_Med_disc!$Q$4</definedName>
    <definedName name="MedInloop_30">ber_Med_disc!$Q$31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">ber_IVmed!$E$3</definedName>
    <definedName name="MedIVMlOpl_10">ber_IVmed!$E$12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MlOpl_2">ber_IVmed!$E$4</definedName>
    <definedName name="MedIVMlOpl_3">ber_IVmed!$E$5</definedName>
    <definedName name="MedIVMlOpl_4">ber_IVmed!$E$6</definedName>
    <definedName name="MedIVMlOpl_5">ber_IVmed!$E$7</definedName>
    <definedName name="MedIVMlOpl_6">ber_IVmed!$E$8</definedName>
    <definedName name="MedIVMlOpl_7">ber_IVmed!$E$9</definedName>
    <definedName name="MedIVMlOpl_8">ber_IVmed!$E$10</definedName>
    <definedName name="MedIVMlOpl_9">ber_IVmed!$E$11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ber_Med_disc!$B$42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21">ber_Med_disc!$C$22</definedName>
    <definedName name="MedKeuze_22">ber_Med_disc!$C$23</definedName>
    <definedName name="MedKeuze_23">ber_Med_disc!$C$24</definedName>
    <definedName name="MedKeuze_24">ber_Med_disc!$C$25</definedName>
    <definedName name="MedKeuze_25">ber_Med_disc!$C$26</definedName>
    <definedName name="MedKeuze_26">ber_Med_disc!$C$27</definedName>
    <definedName name="MedKeuze_27">ber_Med_disc!$C$28</definedName>
    <definedName name="MedKeuze_28">ber_Med_disc!$C$29</definedName>
    <definedName name="MedKeuze_29">ber_Med_disc!$C$30</definedName>
    <definedName name="MedKeuze_3">ber_Med_disc!$C$4</definedName>
    <definedName name="MedKeuze_30">ber_Med_disc!$C$31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21">ber_Med_disc!$O$22</definedName>
    <definedName name="MedOpl_22">ber_Med_disc!$O$23</definedName>
    <definedName name="MedOpl_23">ber_Med_disc!$O$24</definedName>
    <definedName name="MedOpl_24">ber_Med_disc!$O$25</definedName>
    <definedName name="MedOpl_25">ber_Med_disc!$O$26</definedName>
    <definedName name="MedOpl_26">ber_Med_disc!$O$27</definedName>
    <definedName name="MedOpl_27">ber_Med_disc!$O$28</definedName>
    <definedName name="MedOpl_28">ber_Med_disc!$O$29</definedName>
    <definedName name="MedOpl_29">ber_Med_disc!$O$30</definedName>
    <definedName name="MedOpl_3">ber_Med_disc!$O$4</definedName>
    <definedName name="MedOpl_30">ber_Med_disc!$O$31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21">ber_Med_disc!$N$22</definedName>
    <definedName name="MedOplVol_22">ber_Med_disc!$N$23</definedName>
    <definedName name="MedOplVol_23">ber_Med_disc!$N$24</definedName>
    <definedName name="MedOplVol_24">ber_Med_disc!$N$25</definedName>
    <definedName name="MedOplVol_25">ber_Med_disc!$N$26</definedName>
    <definedName name="MedOplVol_26">ber_Med_disc!$N$27</definedName>
    <definedName name="MedOplVol_27">ber_Med_disc!$N$28</definedName>
    <definedName name="MedOplVol_28">ber_Med_disc!$N$29</definedName>
    <definedName name="MedOplVol_29">ber_Med_disc!$N$30</definedName>
    <definedName name="MedOplVol_3">ber_Med_disc!$N$4</definedName>
    <definedName name="MedOplVol_30">ber_Med_disc!$N$31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21">ber_Med_disc!$I$22</definedName>
    <definedName name="MedTijden_22">ber_Med_disc!$I$23</definedName>
    <definedName name="MedTijden_23">ber_Med_disc!$I$24</definedName>
    <definedName name="MedTijden_24">ber_Med_disc!$I$25</definedName>
    <definedName name="MedTijden_25">ber_Med_disc!$I$26</definedName>
    <definedName name="MedTijden_26">ber_Med_disc!$I$27</definedName>
    <definedName name="MedTijden_27">ber_Med_disc!$I$28</definedName>
    <definedName name="MedTijden_28">ber_Med_disc!$I$29</definedName>
    <definedName name="MedTijden_29">ber_Med_disc!$I$30</definedName>
    <definedName name="MedTijden_3">ber_Med_disc!$I$4</definedName>
    <definedName name="MedTijden_30">ber_Med_disc!$I$31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21">ber_Med_disc!$L$22</definedName>
    <definedName name="MedToed_22">ber_Med_disc!$L$23</definedName>
    <definedName name="MedToed_23">ber_Med_disc!$L$24</definedName>
    <definedName name="MedToed_24">ber_Med_disc!$L$25</definedName>
    <definedName name="MedToed_25">ber_Med_disc!$L$26</definedName>
    <definedName name="MedToed_26">ber_Med_disc!$L$27</definedName>
    <definedName name="MedToed_27">ber_Med_disc!$L$28</definedName>
    <definedName name="MedToed_28">ber_Med_disc!$L$29</definedName>
    <definedName name="MedToed_29">ber_Med_disc!$L$30</definedName>
    <definedName name="MedToed_3">ber_Med_disc!$L$4</definedName>
    <definedName name="MedToed_30">ber_Med_disc!$L$31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ber_TPN!$C$21</definedName>
    <definedName name="NaClVol">ber_TPN!$E$7</definedName>
    <definedName name="NaClVol_2">ber_TPN!$E$21</definedName>
    <definedName name="Opl">Lijsten!$A$3:$H$18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15">ber_Opm!$C$36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21">ber_Opm!$C$37</definedName>
    <definedName name="opmMedDisc__22">ber_Opm!$C$38</definedName>
    <definedName name="opmMedDisc__23">ber_Opm!$C$39</definedName>
    <definedName name="opmMedDisc__24">ber_Opm!$C$40</definedName>
    <definedName name="opmMedDisc__25">ber_Opm!$C$41</definedName>
    <definedName name="opmMedDisc__26">ber_Opm!$C$42</definedName>
    <definedName name="opmMedDisc__27">ber_Opm!$C$43</definedName>
    <definedName name="opmMedDisc__28">ber_Opm!$C$44</definedName>
    <definedName name="opmMedDisc__29">ber_Opm!$C$45</definedName>
    <definedName name="opmMedDisc__3">ber_Opm!$C$18</definedName>
    <definedName name="opmMedDisc__30">ber_Opm!$C$46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PatNummer">dbBead!$A$2</definedName>
    <definedName name="patRec">Patienten!$S$1</definedName>
    <definedName name="Peditrace">ber_TPN!$E$5</definedName>
    <definedName name="PM">ber_Infusen!$D$2</definedName>
    <definedName name="PM_AO">ber_Infusen!$G$2</definedName>
    <definedName name="PM_AS">ber_Infusen!$G$5</definedName>
    <definedName name="PM_AV">ber_Infusen!$G$4</definedName>
    <definedName name="PM_Freq">ber_Infusen!$G$1</definedName>
    <definedName name="PM_Instelling">ber_Infusen!$G$1:$G$6</definedName>
    <definedName name="PM_Mod">ber_Infusen!$E$2</definedName>
    <definedName name="PM_Standaard">ber_Infusen!$H$1:$H$6</definedName>
    <definedName name="PM_VO">ber_Infusen!$G$3</definedName>
    <definedName name="PM_VS">ber_Infusen!$G$6</definedName>
    <definedName name="Pos">Lijsten!$M$3:$Y$19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21">ber_Med_disc!$U$22</definedName>
    <definedName name="RecNo_22">ber_Med_disc!$U$23</definedName>
    <definedName name="RecNo_23">ber_Med_disc!$U$24</definedName>
    <definedName name="RecNo_24">ber_Med_disc!$U$25</definedName>
    <definedName name="RecNo_25">ber_Med_disc!$U$26</definedName>
    <definedName name="RecNo_26">ber_Med_disc!$U$27</definedName>
    <definedName name="RecNo_27">ber_Med_disc!$U$28</definedName>
    <definedName name="RecNo_28">ber_Med_disc!$U$29</definedName>
    <definedName name="RecNo_29">ber_Med_disc!$U$30</definedName>
    <definedName name="RecNo_3">ber_Med_disc!$U$4</definedName>
    <definedName name="RecNo_30">ber_Med_disc!$U$31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Patienten!$C$2:$C$521</definedName>
    <definedName name="SelectedIntralipidSmof">Berekeningen!$F$35</definedName>
    <definedName name="SelectedIntralipidSmof1700">Berekeningen1700!$F$35</definedName>
    <definedName name="SMOF">ber_TPN!$C$16</definedName>
    <definedName name="Soluvit">ber_TPN!$C$15</definedName>
    <definedName name="SoluvitVol">ber_TPN!$E$15</definedName>
    <definedName name="Sonde">ber_PO!$O$2</definedName>
    <definedName name="SpecVoed_1">ber_PO!$H$2</definedName>
    <definedName name="SpecVoed_10">ber_PO!$H$11</definedName>
    <definedName name="SpecVoed_11">ber_PO!$H$12</definedName>
    <definedName name="SpecVoed_12">ber_PO!$H$13</definedName>
    <definedName name="SpecVoed_2">ber_PO!$H$3</definedName>
    <definedName name="SpecVoed_3">ber_PO!$H$4</definedName>
    <definedName name="SpecVoed_4">ber_PO!$H$5</definedName>
    <definedName name="SpecVoed_5">ber_PO!$H$6</definedName>
    <definedName name="SpecVoed_6">ber_PO!$H$7</definedName>
    <definedName name="SpecVoed_7">ber_PO!$H$8</definedName>
    <definedName name="SpecVoed_8">ber_PO!$H$9</definedName>
    <definedName name="SpecVoed_9">ber_PO!$H$10</definedName>
    <definedName name="SST2Stand">ber_TPN!$D$19</definedName>
    <definedName name="SSTglucose">ber_TPN!$B$6</definedName>
    <definedName name="SSTGlucose_2">ber_TPN!$B$20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21">ber_Med_disc!$E$22</definedName>
    <definedName name="StandDos_22">ber_Med_disc!$E$23</definedName>
    <definedName name="StandDos_23">ber_Med_disc!$E$24</definedName>
    <definedName name="StandDos_24">ber_Med_disc!$E$25</definedName>
    <definedName name="StandDos_25">ber_Med_disc!$E$26</definedName>
    <definedName name="StandDos_26">ber_Med_disc!$E$27</definedName>
    <definedName name="StandDos_27">ber_Med_disc!$E$28</definedName>
    <definedName name="StandDos_28">ber_Med_disc!$E$29</definedName>
    <definedName name="StandDos_29">ber_Med_disc!$E$30</definedName>
    <definedName name="StandDos_3">ber_Med_disc!$E$4</definedName>
    <definedName name="StandDos_30">ber_Med_disc!$E$31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21">ber_Med_disc!$B$22</definedName>
    <definedName name="StartDatum_22">ber_Med_disc!$B$23</definedName>
    <definedName name="StartDatum_23">ber_Med_disc!$B$24</definedName>
    <definedName name="StartDatum_24">ber_Med_disc!$B$25</definedName>
    <definedName name="StartDatum_25">ber_Med_disc!$B$26</definedName>
    <definedName name="StartDatum_26">ber_Med_disc!$B$27</definedName>
    <definedName name="StartDatum_27">ber_Med_disc!$B$28</definedName>
    <definedName name="StartDatum_28">ber_Med_disc!$B$29</definedName>
    <definedName name="StartDatum_29">ber_Med_disc!$B$30</definedName>
    <definedName name="StartDatum_3">ber_Med_disc!$B$4</definedName>
    <definedName name="StartDatum_30">ber_Med_disc!$B$31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abelAcuteTubeMaatKgNeo">'AcuteOpvang Neo'!$L$22:$N$24</definedName>
    <definedName name="tblBerMedContIV">ber_IVmed!$B$2:$E$12</definedName>
    <definedName name="tblInfusen">tblInfusen!$A$2:$A$34</definedName>
    <definedName name="tblInfusenBer">tblInfusen!$A$2:$C$34</definedName>
    <definedName name="tblMedDiscEenh">tblMedDisc!$E$2:$E$7</definedName>
    <definedName name="tblMedDiscOplVl">tblMedDisc!$B$2:$B$5</definedName>
    <definedName name="tblMedDiscTijden">tblMedDisc!$C$2:$D$14</definedName>
    <definedName name="tblMedDiscTijdenIndex">tblMedDisc!$C$2:$C$14</definedName>
    <definedName name="tblMedDiscTijdenValues">tblMedDisc!$D$2:$D$14</definedName>
    <definedName name="tblMedDiscToed">tblMedDisc!$A$2:$A$13</definedName>
    <definedName name="tblMedicationContIV">tblMedicatieIV!$B$3:$W$34</definedName>
    <definedName name="tblOmrekenCa">tblVoeding!$E$4</definedName>
    <definedName name="tblOmrekenCl">tblVoeding!$J$4</definedName>
    <definedName name="tblOmrekenFe">tblVoeding!$H$4</definedName>
    <definedName name="tblOmrekenK">tblVoeding!$D$4</definedName>
    <definedName name="tblOmrekenMg">tblVoeding!$G$4</definedName>
    <definedName name="tblOmrekenNA">tblVoeding!$C$4</definedName>
    <definedName name="tblOmrekenP">tblVoeding!$F$4</definedName>
    <definedName name="tblOmrekenVitD">tblVoeding!$I$4</definedName>
    <definedName name="tblOplossing">ber_IVmed!$Q$3:$Q$6</definedName>
    <definedName name="tblOpzoekenMedicatieIV">tblMedicatieIV!$A$3:$B$34</definedName>
    <definedName name="tblPacemakerModus">tblInfusen!$F$2:$F$5</definedName>
    <definedName name="tblPacemakerPositie">tblInfusen!$E$2:$E$5</definedName>
    <definedName name="tblPerOs">tblPO!$C$3:$O$27</definedName>
    <definedName name="tblPO_poederlijst">tblPO!$C$31:$C$54</definedName>
    <definedName name="tblPoeder">tblPO!$C$31:$O$54</definedName>
    <definedName name="tblSonde">tblPO!$Q$2:$Q$6</definedName>
    <definedName name="tblSSTGlucose">ber_TPN!$K$27:$K$40</definedName>
    <definedName name="tblTijden">ber_Med_disc!$C$28:$D$39</definedName>
    <definedName name="tblTPN">ber_TPN!$A$27:$I$28</definedName>
    <definedName name="tblVoedingBasislijst">tblVoeding!$B$8:$N$44</definedName>
    <definedName name="tblVoedingPO">tblPO!$C$3:$C$27</definedName>
    <definedName name="tblVoedingPoeder">tblVoeding!$B$49:$N$75</definedName>
    <definedName name="TPN">ber_TPN!$B$4</definedName>
    <definedName name="TpnNICU">Lijsten!$M$25:$V$26</definedName>
    <definedName name="TPNVol">ber_TPN!$E$4</definedName>
    <definedName name="VitIntra">ber_TPN!$C$14</definedName>
    <definedName name="VitIntraVol">ber_TPN!$E$14</definedName>
    <definedName name="VolPO_1">ber_PO!$K$2</definedName>
    <definedName name="VolPO_2">ber_PO!$K$3</definedName>
    <definedName name="VolPO_3">ber_PO!$K$4</definedName>
    <definedName name="VolPO_4">ber_PO!$K$5</definedName>
    <definedName name="Z_33CCADFA_0D48_46A6_8927_2B2144029216_.wvu.FilterData" localSheetId="53" hidden="1">Patienten!$A$1:$Q$577</definedName>
    <definedName name="Z_33CCADFA_0D48_46A6_8927_2B2144029216_.wvu.FilterData" localSheetId="58" hidden="1">Temp!$A$2:$B$437</definedName>
    <definedName name="Z_33CCADFA_0D48_46A6_8927_2B2144029216_.wvu.PrintArea" localSheetId="19" hidden="1">AcuteOpvang!$B$2:$G$44</definedName>
    <definedName name="Z_33CCADFA_0D48_46A6_8927_2B2144029216_.wvu.PrintArea" localSheetId="48" hidden="1">'AcuteOpvang Neo'!$B$2:$G$31</definedName>
    <definedName name="Z_33CCADFA_0D48_46A6_8927_2B2144029216_.wvu.PrintArea" localSheetId="22" hidden="1">AfsprakenCMV!$A$2:$J$127</definedName>
    <definedName name="Z_33CCADFA_0D48_46A6_8927_2B2144029216_.wvu.PrintArea" localSheetId="23" hidden="1">Medicatie!$B$1:$AG$22</definedName>
    <definedName name="Z_33CCADFA_0D48_46A6_8927_2B2144029216_.wvu.PrintArea" localSheetId="42" hidden="1">'Medicatie Neo'!$B$1:$AG$22</definedName>
    <definedName name="Z_33CCADFA_0D48_46A6_8927_2B2144029216_.wvu.PrintArea" localSheetId="27" hidden="1">TPN16tot30kg!$A$1:$H$48</definedName>
    <definedName name="Z_33CCADFA_0D48_46A6_8927_2B2144029216_.wvu.PrintArea" localSheetId="25" hidden="1">TPN2tot6kg!$A$1:$H$48</definedName>
    <definedName name="Z_33CCADFA_0D48_46A6_8927_2B2144029216_.wvu.PrintArea" localSheetId="28" hidden="1">TPN31tot50kg!$A$1:$H$49</definedName>
    <definedName name="Z_33CCADFA_0D48_46A6_8927_2B2144029216_.wvu.PrintArea" localSheetId="26" hidden="1">TPN7tot15kg!$A$1:$H$50</definedName>
    <definedName name="Z_33CCADFA_0D48_46A6_8927_2B2144029216_.wvu.PrintArea" localSheetId="29" hidden="1">TPNboven50kg!$A$1:$H$52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G31" i="16" l="1"/>
  <c r="G29" i="16"/>
  <c r="C29" i="16"/>
  <c r="C28" i="16"/>
  <c r="G27" i="16"/>
  <c r="C26" i="16"/>
  <c r="G25" i="16"/>
  <c r="C25" i="16"/>
  <c r="C24" i="16"/>
  <c r="G23" i="16"/>
  <c r="C63" i="9" l="1"/>
  <c r="D11" i="49" l="1"/>
  <c r="D10" i="49"/>
  <c r="D9" i="49"/>
  <c r="D8" i="49"/>
  <c r="D7" i="49"/>
  <c r="M65" i="13"/>
  <c r="H65" i="13"/>
  <c r="L64" i="13"/>
  <c r="O64" i="13" s="1"/>
  <c r="K64" i="13"/>
  <c r="J64" i="13"/>
  <c r="K65" i="13" s="1"/>
  <c r="H64" i="13"/>
  <c r="D32" i="16" s="1"/>
  <c r="D64" i="13"/>
  <c r="D65" i="13"/>
  <c r="M63" i="13"/>
  <c r="H63" i="13"/>
  <c r="L62" i="13"/>
  <c r="O62" i="13" s="1"/>
  <c r="K62" i="13"/>
  <c r="J62" i="13"/>
  <c r="K63" i="13" s="1"/>
  <c r="H62" i="13"/>
  <c r="D31" i="16" s="1"/>
  <c r="D62" i="13"/>
  <c r="D63" i="13"/>
  <c r="M61" i="13"/>
  <c r="H61" i="13"/>
  <c r="L60" i="13"/>
  <c r="O60" i="13" s="1"/>
  <c r="K60" i="13"/>
  <c r="J60" i="13"/>
  <c r="K61" i="13" s="1"/>
  <c r="H60" i="13"/>
  <c r="D30" i="16" s="1"/>
  <c r="D60" i="13"/>
  <c r="D61" i="13"/>
  <c r="M59" i="13"/>
  <c r="H59" i="13"/>
  <c r="L58" i="13"/>
  <c r="M58" i="13" s="1"/>
  <c r="K58" i="13"/>
  <c r="J58" i="13"/>
  <c r="K59" i="13" s="1"/>
  <c r="H58" i="13"/>
  <c r="D29" i="16" s="1"/>
  <c r="D58" i="13"/>
  <c r="D59" i="13"/>
  <c r="M57" i="13"/>
  <c r="H57" i="13"/>
  <c r="L56" i="13"/>
  <c r="M56" i="13" s="1"/>
  <c r="K56" i="13"/>
  <c r="J56" i="13"/>
  <c r="K57" i="13" s="1"/>
  <c r="H56" i="13"/>
  <c r="D28" i="16" s="1"/>
  <c r="D56" i="13"/>
  <c r="D57" i="13"/>
  <c r="M55" i="13"/>
  <c r="H55" i="13"/>
  <c r="L54" i="13"/>
  <c r="K54" i="13"/>
  <c r="J54" i="13"/>
  <c r="K55" i="13" s="1"/>
  <c r="H54" i="13"/>
  <c r="D27" i="16" s="1"/>
  <c r="D54" i="13"/>
  <c r="D55" i="13"/>
  <c r="D53" i="13"/>
  <c r="M53" i="13"/>
  <c r="H53" i="13"/>
  <c r="L52" i="13"/>
  <c r="K52" i="13"/>
  <c r="J52" i="13"/>
  <c r="K53" i="13" s="1"/>
  <c r="H52" i="13"/>
  <c r="D26" i="16" s="1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AD30" i="16" l="1"/>
  <c r="L30" i="16"/>
  <c r="Q30" i="16"/>
  <c r="N30" i="16"/>
  <c r="K30" i="16"/>
  <c r="AA30" i="16"/>
  <c r="I30" i="16"/>
  <c r="U30" i="16"/>
  <c r="V30" i="16"/>
  <c r="S30" i="16"/>
  <c r="J30" i="16"/>
  <c r="F30" i="16"/>
  <c r="W30" i="16"/>
  <c r="X30" i="16"/>
  <c r="T30" i="16"/>
  <c r="Y30" i="16"/>
  <c r="R30" i="16"/>
  <c r="O30" i="16"/>
  <c r="H30" i="16"/>
  <c r="AB30" i="16"/>
  <c r="AC30" i="16"/>
  <c r="P30" i="16"/>
  <c r="M30" i="16"/>
  <c r="Z30" i="16"/>
  <c r="AD29" i="16"/>
  <c r="V29" i="16"/>
  <c r="N29" i="16"/>
  <c r="F29" i="16"/>
  <c r="O29" i="16"/>
  <c r="AA29" i="16"/>
  <c r="S29" i="16"/>
  <c r="K29" i="16"/>
  <c r="AC29" i="16"/>
  <c r="W29" i="16"/>
  <c r="Z29" i="16"/>
  <c r="R29" i="16"/>
  <c r="J29" i="16"/>
  <c r="L29" i="16"/>
  <c r="AB29" i="16"/>
  <c r="Q29" i="16"/>
  <c r="U29" i="16"/>
  <c r="I29" i="16"/>
  <c r="H29" i="16"/>
  <c r="M29" i="16"/>
  <c r="P29" i="16"/>
  <c r="E29" i="16"/>
  <c r="T29" i="16"/>
  <c r="Y29" i="16"/>
  <c r="X29" i="16"/>
  <c r="V28" i="16"/>
  <c r="K28" i="16"/>
  <c r="AC28" i="16"/>
  <c r="F28" i="16"/>
  <c r="AA28" i="16"/>
  <c r="Z28" i="16"/>
  <c r="T28" i="16"/>
  <c r="I28" i="16"/>
  <c r="Y28" i="16"/>
  <c r="O28" i="16"/>
  <c r="U28" i="16"/>
  <c r="N28" i="16"/>
  <c r="J28" i="16"/>
  <c r="R28" i="16"/>
  <c r="H28" i="16"/>
  <c r="X28" i="16"/>
  <c r="M28" i="16"/>
  <c r="AD28" i="16"/>
  <c r="P28" i="16"/>
  <c r="W28" i="16"/>
  <c r="S28" i="16"/>
  <c r="L28" i="16"/>
  <c r="AB28" i="16"/>
  <c r="Q28" i="16"/>
  <c r="E28" i="16"/>
  <c r="AD27" i="16"/>
  <c r="AB27" i="16"/>
  <c r="Q27" i="16"/>
  <c r="K27" i="16"/>
  <c r="AA27" i="16"/>
  <c r="J27" i="16"/>
  <c r="Z27" i="16"/>
  <c r="X27" i="16"/>
  <c r="V27" i="16"/>
  <c r="L27" i="16"/>
  <c r="U27" i="16"/>
  <c r="O27" i="16"/>
  <c r="H27" i="16"/>
  <c r="N27" i="16"/>
  <c r="M27" i="16"/>
  <c r="P27" i="16"/>
  <c r="I27" i="16"/>
  <c r="Y27" i="16"/>
  <c r="S27" i="16"/>
  <c r="T27" i="16"/>
  <c r="R27" i="16"/>
  <c r="AC27" i="16"/>
  <c r="W27" i="16"/>
  <c r="F27" i="16"/>
  <c r="O54" i="13"/>
  <c r="M52" i="13"/>
  <c r="G30" i="16"/>
  <c r="Z32" i="16"/>
  <c r="AB32" i="16"/>
  <c r="U32" i="16"/>
  <c r="J32" i="16"/>
  <c r="AD32" i="16"/>
  <c r="W32" i="16"/>
  <c r="X32" i="16"/>
  <c r="Y32" i="16"/>
  <c r="N32" i="16"/>
  <c r="K32" i="16"/>
  <c r="AA32" i="16"/>
  <c r="I32" i="16"/>
  <c r="L32" i="16"/>
  <c r="M32" i="16"/>
  <c r="AC32" i="16"/>
  <c r="R32" i="16"/>
  <c r="O32" i="16"/>
  <c r="H32" i="16"/>
  <c r="T32" i="16"/>
  <c r="Q32" i="16"/>
  <c r="F32" i="16"/>
  <c r="V32" i="16"/>
  <c r="S32" i="16"/>
  <c r="P32" i="16"/>
  <c r="W31" i="16"/>
  <c r="O31" i="16"/>
  <c r="Z31" i="16"/>
  <c r="S31" i="16"/>
  <c r="V31" i="16"/>
  <c r="T31" i="16"/>
  <c r="I31" i="16"/>
  <c r="Y31" i="16"/>
  <c r="AA31" i="16"/>
  <c r="H31" i="16"/>
  <c r="X31" i="16"/>
  <c r="M31" i="16"/>
  <c r="J31" i="16"/>
  <c r="AC31" i="16"/>
  <c r="F31" i="16"/>
  <c r="L31" i="16"/>
  <c r="AB31" i="16"/>
  <c r="Q31" i="16"/>
  <c r="AD31" i="16"/>
  <c r="R31" i="16"/>
  <c r="K31" i="16"/>
  <c r="N31" i="16"/>
  <c r="P31" i="16"/>
  <c r="U31" i="16"/>
  <c r="M64" i="13"/>
  <c r="M62" i="13"/>
  <c r="M60" i="13"/>
  <c r="O58" i="13"/>
  <c r="O56" i="13"/>
  <c r="M54" i="13"/>
  <c r="G32" i="16" s="1"/>
  <c r="O52" i="13"/>
  <c r="M51" i="13"/>
  <c r="H51" i="13"/>
  <c r="L50" i="13"/>
  <c r="K50" i="13"/>
  <c r="J50" i="13"/>
  <c r="K51" i="13" s="1"/>
  <c r="H50" i="13"/>
  <c r="D25" i="16" s="1"/>
  <c r="D50" i="13"/>
  <c r="D25" i="13"/>
  <c r="M4" i="13"/>
  <c r="D51" i="13"/>
  <c r="O50" i="13" l="1"/>
  <c r="G28" i="16"/>
  <c r="M50" i="13"/>
  <c r="D49" i="13"/>
  <c r="M49" i="13"/>
  <c r="H49" i="13"/>
  <c r="L48" i="13"/>
  <c r="K48" i="13"/>
  <c r="J48" i="13"/>
  <c r="K49" i="13" s="1"/>
  <c r="H48" i="13"/>
  <c r="D24" i="16" s="1"/>
  <c r="D48" i="13"/>
  <c r="D23" i="13"/>
  <c r="N47" i="13"/>
  <c r="M47" i="13"/>
  <c r="H47" i="13"/>
  <c r="L46" i="13"/>
  <c r="K46" i="13"/>
  <c r="J46" i="13"/>
  <c r="K47" i="13" s="1"/>
  <c r="H46" i="13"/>
  <c r="D23" i="16" s="1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R31" i="14"/>
  <c r="V31" i="14"/>
  <c r="W31" i="14"/>
  <c r="Y31" i="14"/>
  <c r="AB31" i="14"/>
  <c r="K26" i="14" l="1"/>
  <c r="AE26" i="14" s="1"/>
  <c r="AD26" i="14" s="1"/>
  <c r="E27" i="16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4" i="16"/>
  <c r="Z24" i="16"/>
  <c r="R24" i="16"/>
  <c r="J24" i="16"/>
  <c r="W24" i="16"/>
  <c r="O24" i="16"/>
  <c r="F24" i="16"/>
  <c r="AD24" i="16"/>
  <c r="V24" i="16"/>
  <c r="N24" i="16"/>
  <c r="AA24" i="16"/>
  <c r="S24" i="16"/>
  <c r="K24" i="16"/>
  <c r="H24" i="16"/>
  <c r="X24" i="16"/>
  <c r="M24" i="16"/>
  <c r="E24" i="16"/>
  <c r="L24" i="16"/>
  <c r="AB24" i="16"/>
  <c r="Q24" i="16"/>
  <c r="P24" i="16"/>
  <c r="U24" i="16"/>
  <c r="T24" i="16"/>
  <c r="I24" i="16"/>
  <c r="Y24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X26" i="14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M59" i="45"/>
  <c r="N59" i="45"/>
  <c r="O59" i="45"/>
  <c r="P59" i="45"/>
  <c r="Q59" i="45"/>
  <c r="R59" i="45"/>
  <c r="S59" i="45"/>
  <c r="T59" i="45"/>
  <c r="U59" i="45"/>
  <c r="V59" i="45"/>
  <c r="W59" i="45"/>
  <c r="M60" i="45"/>
  <c r="N60" i="45"/>
  <c r="O60" i="45"/>
  <c r="P60" i="45"/>
  <c r="Q60" i="45"/>
  <c r="R60" i="45"/>
  <c r="S60" i="45"/>
  <c r="T60" i="45"/>
  <c r="U60" i="45"/>
  <c r="V60" i="45"/>
  <c r="W60" i="45"/>
  <c r="M61" i="45"/>
  <c r="N61" i="45"/>
  <c r="O61" i="45"/>
  <c r="P61" i="45"/>
  <c r="Q61" i="45"/>
  <c r="R61" i="45"/>
  <c r="S61" i="45"/>
  <c r="T61" i="45"/>
  <c r="U61" i="45"/>
  <c r="V61" i="45"/>
  <c r="W61" i="45"/>
  <c r="M54" i="45"/>
  <c r="N54" i="45"/>
  <c r="O54" i="45"/>
  <c r="P54" i="45"/>
  <c r="Q54" i="45"/>
  <c r="R54" i="45"/>
  <c r="S54" i="45"/>
  <c r="T54" i="45"/>
  <c r="U54" i="45"/>
  <c r="V54" i="45"/>
  <c r="W54" i="45"/>
  <c r="M55" i="45"/>
  <c r="N55" i="45"/>
  <c r="O55" i="45"/>
  <c r="P55" i="45"/>
  <c r="Q55" i="45"/>
  <c r="R55" i="45"/>
  <c r="S55" i="45"/>
  <c r="T55" i="45"/>
  <c r="U55" i="45"/>
  <c r="V55" i="45"/>
  <c r="W55" i="45"/>
  <c r="M56" i="45"/>
  <c r="N56" i="45"/>
  <c r="O56" i="45"/>
  <c r="P56" i="45"/>
  <c r="Q56" i="45"/>
  <c r="R56" i="45"/>
  <c r="S56" i="45"/>
  <c r="T56" i="45"/>
  <c r="U56" i="45"/>
  <c r="V56" i="45"/>
  <c r="W56" i="45"/>
  <c r="J55" i="13" l="1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B43" i="38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L61" i="45"/>
  <c r="L60" i="45"/>
  <c r="L59" i="45"/>
  <c r="L58" i="45"/>
  <c r="L56" i="45"/>
  <c r="L55" i="45"/>
  <c r="L54" i="45"/>
  <c r="L53" i="45"/>
  <c r="L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H21" i="72"/>
  <c r="H22" i="72"/>
  <c r="H23" i="72"/>
  <c r="H24" i="72"/>
  <c r="H25" i="72"/>
  <c r="H26" i="72"/>
  <c r="H27" i="72"/>
  <c r="H28" i="72"/>
  <c r="H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J28" i="72" l="1"/>
  <c r="N41" i="33"/>
  <c r="J27" i="72"/>
  <c r="N40" i="33"/>
  <c r="J26" i="72"/>
  <c r="N39" i="33"/>
  <c r="J25" i="72"/>
  <c r="N38" i="33"/>
  <c r="J24" i="72"/>
  <c r="N37" i="33"/>
  <c r="J23" i="72"/>
  <c r="N36" i="33"/>
  <c r="J22" i="72"/>
  <c r="N35" i="33"/>
  <c r="J21" i="72"/>
  <c r="N34" i="33"/>
  <c r="J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L61" i="72"/>
  <c r="B85" i="72" s="1"/>
  <c r="L60" i="72"/>
  <c r="B84" i="72" s="1"/>
  <c r="L59" i="72"/>
  <c r="B83" i="72" s="1"/>
  <c r="L58" i="72"/>
  <c r="B82" i="72" s="1"/>
  <c r="L56" i="72"/>
  <c r="B81" i="72" s="1"/>
  <c r="L55" i="72"/>
  <c r="B80" i="72" s="1"/>
  <c r="L54" i="72"/>
  <c r="B79" i="72" s="1"/>
  <c r="L53" i="72"/>
  <c r="B78" i="72" s="1"/>
  <c r="L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Y31" i="72"/>
  <c r="X31" i="72" s="1"/>
  <c r="L31" i="72"/>
  <c r="P31" i="72" s="1"/>
  <c r="Y30" i="72"/>
  <c r="X30" i="72" s="1"/>
  <c r="L30" i="72"/>
  <c r="R30" i="72" s="1"/>
  <c r="Y29" i="72"/>
  <c r="X29" i="72" s="1"/>
  <c r="L29" i="72"/>
  <c r="P29" i="72" s="1"/>
  <c r="Y28" i="72"/>
  <c r="L28" i="72"/>
  <c r="R28" i="72" s="1"/>
  <c r="Y27" i="72"/>
  <c r="L27" i="72"/>
  <c r="Y26" i="72"/>
  <c r="L26" i="72"/>
  <c r="P26" i="72" s="1"/>
  <c r="Y25" i="72"/>
  <c r="L25" i="72"/>
  <c r="P25" i="72" s="1"/>
  <c r="Y24" i="72"/>
  <c r="L24" i="72"/>
  <c r="R24" i="72" s="1"/>
  <c r="Y23" i="72"/>
  <c r="L23" i="72"/>
  <c r="Y22" i="72"/>
  <c r="L22" i="72"/>
  <c r="P22" i="72" s="1"/>
  <c r="Y21" i="72"/>
  <c r="L21" i="72"/>
  <c r="P21" i="72" s="1"/>
  <c r="Y20" i="72"/>
  <c r="I20" i="72" s="1"/>
  <c r="L20" i="72"/>
  <c r="R20" i="72" s="1"/>
  <c r="L18" i="72"/>
  <c r="L14" i="72"/>
  <c r="L49" i="72" s="1"/>
  <c r="D3" i="73" s="1"/>
  <c r="F63" i="33" s="1"/>
  <c r="B5" i="72"/>
  <c r="C14" i="73" s="1"/>
  <c r="D9" i="33" s="1"/>
  <c r="X25" i="72" l="1"/>
  <c r="I25" i="72"/>
  <c r="H37" i="73" s="1"/>
  <c r="M38" i="33" s="1"/>
  <c r="X23" i="72"/>
  <c r="I23" i="72"/>
  <c r="H35" i="73" s="1"/>
  <c r="M36" i="33" s="1"/>
  <c r="X27" i="72"/>
  <c r="I27" i="72"/>
  <c r="H39" i="73" s="1"/>
  <c r="M40" i="33" s="1"/>
  <c r="X26" i="72"/>
  <c r="I26" i="72"/>
  <c r="H38" i="73" s="1"/>
  <c r="M39" i="33" s="1"/>
  <c r="X24" i="72"/>
  <c r="I24" i="72"/>
  <c r="H36" i="73" s="1"/>
  <c r="M37" i="33" s="1"/>
  <c r="T53" i="72"/>
  <c r="P54" i="72"/>
  <c r="M55" i="72"/>
  <c r="U55" i="72"/>
  <c r="R56" i="72"/>
  <c r="O58" i="72"/>
  <c r="W58" i="72"/>
  <c r="T59" i="72"/>
  <c r="Q60" i="72"/>
  <c r="N61" i="72"/>
  <c r="V61" i="72"/>
  <c r="M54" i="72"/>
  <c r="U54" i="72"/>
  <c r="R55" i="72"/>
  <c r="O56" i="72"/>
  <c r="W56" i="72"/>
  <c r="P58" i="72"/>
  <c r="M59" i="72"/>
  <c r="Q59" i="72"/>
  <c r="U59" i="72"/>
  <c r="N60" i="72"/>
  <c r="R60" i="72"/>
  <c r="V60" i="72"/>
  <c r="O61" i="72"/>
  <c r="S61" i="72"/>
  <c r="W61" i="72"/>
  <c r="U52" i="72"/>
  <c r="T52" i="72"/>
  <c r="N54" i="72"/>
  <c r="R54" i="72"/>
  <c r="V54" i="72"/>
  <c r="O55" i="72"/>
  <c r="S55" i="72"/>
  <c r="W55" i="72"/>
  <c r="P56" i="72"/>
  <c r="T56" i="72"/>
  <c r="M58" i="72"/>
  <c r="Q58" i="72"/>
  <c r="U58" i="72"/>
  <c r="N59" i="72"/>
  <c r="R59" i="72"/>
  <c r="V59" i="72"/>
  <c r="O60" i="72"/>
  <c r="S60" i="72"/>
  <c r="W60" i="72"/>
  <c r="P61" i="72"/>
  <c r="T61" i="72"/>
  <c r="O52" i="72"/>
  <c r="W53" i="72"/>
  <c r="T54" i="72"/>
  <c r="Q55" i="72"/>
  <c r="N56" i="72"/>
  <c r="V56" i="72"/>
  <c r="S58" i="72"/>
  <c r="P59" i="72"/>
  <c r="M60" i="72"/>
  <c r="U60" i="72"/>
  <c r="R61" i="72"/>
  <c r="Q52" i="72"/>
  <c r="Q54" i="72"/>
  <c r="N55" i="72"/>
  <c r="V55" i="72"/>
  <c r="S56" i="72"/>
  <c r="T58" i="72"/>
  <c r="V52" i="72"/>
  <c r="O53" i="72"/>
  <c r="O54" i="72"/>
  <c r="S54" i="72"/>
  <c r="W54" i="72"/>
  <c r="P55" i="72"/>
  <c r="T55" i="72"/>
  <c r="M56" i="72"/>
  <c r="Q56" i="72"/>
  <c r="U56" i="72"/>
  <c r="N58" i="72"/>
  <c r="R58" i="72"/>
  <c r="V58" i="72"/>
  <c r="O59" i="72"/>
  <c r="S59" i="72"/>
  <c r="W59" i="72"/>
  <c r="P60" i="72"/>
  <c r="T60" i="72"/>
  <c r="M61" i="72"/>
  <c r="Q61" i="72"/>
  <c r="U61" i="72"/>
  <c r="P53" i="72"/>
  <c r="S53" i="72"/>
  <c r="M52" i="72"/>
  <c r="R52" i="72"/>
  <c r="W52" i="72"/>
  <c r="M53" i="72"/>
  <c r="Q53" i="72"/>
  <c r="U53" i="72"/>
  <c r="N52" i="72"/>
  <c r="S52" i="72"/>
  <c r="N53" i="72"/>
  <c r="R53" i="72"/>
  <c r="V53" i="72"/>
  <c r="X28" i="72"/>
  <c r="I28" i="72"/>
  <c r="H40" i="73" s="1"/>
  <c r="M41" i="33" s="1"/>
  <c r="X21" i="72"/>
  <c r="I21" i="72"/>
  <c r="H33" i="73" s="1"/>
  <c r="M34" i="33" s="1"/>
  <c r="X20" i="72"/>
  <c r="H32" i="73"/>
  <c r="M33" i="33" s="1"/>
  <c r="X22" i="72"/>
  <c r="I22" i="72"/>
  <c r="H34" i="73" s="1"/>
  <c r="M35" i="33" s="1"/>
  <c r="N22" i="72"/>
  <c r="Q26" i="72"/>
  <c r="S28" i="72"/>
  <c r="Q31" i="72"/>
  <c r="M26" i="72"/>
  <c r="N29" i="72"/>
  <c r="Q29" i="72"/>
  <c r="O28" i="72"/>
  <c r="R26" i="72"/>
  <c r="N26" i="72"/>
  <c r="Q25" i="72"/>
  <c r="M25" i="72"/>
  <c r="R25" i="72"/>
  <c r="N25" i="72"/>
  <c r="S25" i="72"/>
  <c r="O25" i="72"/>
  <c r="Q22" i="72"/>
  <c r="Q21" i="72"/>
  <c r="M21" i="72"/>
  <c r="R21" i="72"/>
  <c r="N21" i="72"/>
  <c r="S21" i="72"/>
  <c r="O21" i="72"/>
  <c r="R31" i="72"/>
  <c r="M31" i="72"/>
  <c r="N31" i="72"/>
  <c r="O30" i="72"/>
  <c r="S30" i="72"/>
  <c r="R29" i="72"/>
  <c r="M29" i="72"/>
  <c r="O24" i="72"/>
  <c r="S24" i="72"/>
  <c r="R22" i="72"/>
  <c r="M22" i="72"/>
  <c r="S20" i="72"/>
  <c r="O20" i="72"/>
  <c r="C6" i="72"/>
  <c r="I12" i="73"/>
  <c r="M5" i="33" s="1"/>
  <c r="O14" i="72"/>
  <c r="S14" i="72"/>
  <c r="W14" i="72"/>
  <c r="P52" i="72"/>
  <c r="S27" i="72"/>
  <c r="O27" i="72"/>
  <c r="Q27" i="72"/>
  <c r="R27" i="72"/>
  <c r="N27" i="72"/>
  <c r="M27" i="72"/>
  <c r="M18" i="72"/>
  <c r="S23" i="72"/>
  <c r="O23" i="72"/>
  <c r="R23" i="72"/>
  <c r="N23" i="72"/>
  <c r="Q23" i="72"/>
  <c r="M23" i="72"/>
  <c r="P27" i="72"/>
  <c r="P23" i="72"/>
  <c r="P20" i="72"/>
  <c r="P24" i="72"/>
  <c r="P28" i="72"/>
  <c r="M14" i="72"/>
  <c r="Q14" i="72"/>
  <c r="U14" i="72"/>
  <c r="M20" i="72"/>
  <c r="Q20" i="72"/>
  <c r="O22" i="72"/>
  <c r="S22" i="72"/>
  <c r="M24" i="72"/>
  <c r="Q24" i="72"/>
  <c r="O26" i="72"/>
  <c r="S26" i="72"/>
  <c r="M28" i="72"/>
  <c r="Q28" i="72"/>
  <c r="O29" i="72"/>
  <c r="S29" i="72"/>
  <c r="M30" i="72"/>
  <c r="Q30" i="72"/>
  <c r="O31" i="72"/>
  <c r="S31" i="72"/>
  <c r="P14" i="72"/>
  <c r="T14" i="72"/>
  <c r="P30" i="72"/>
  <c r="N14" i="72"/>
  <c r="R14" i="72"/>
  <c r="V14" i="72"/>
  <c r="N20" i="72"/>
  <c r="N24" i="72"/>
  <c r="N28" i="72"/>
  <c r="N30" i="72"/>
  <c r="N37" i="73" l="1"/>
  <c r="B95" i="72" s="1"/>
  <c r="N35" i="73"/>
  <c r="B93" i="72" s="1"/>
  <c r="N36" i="73"/>
  <c r="B94" i="72" s="1"/>
  <c r="N38" i="73"/>
  <c r="B96" i="72" s="1"/>
  <c r="N39" i="73"/>
  <c r="B97" i="72" s="1"/>
  <c r="S62" i="72"/>
  <c r="Q57" i="72"/>
  <c r="W62" i="72"/>
  <c r="R62" i="72"/>
  <c r="M62" i="72"/>
  <c r="P62" i="72"/>
  <c r="O62" i="72"/>
  <c r="T62" i="72"/>
  <c r="V62" i="72"/>
  <c r="O57" i="72"/>
  <c r="T57" i="72"/>
  <c r="N62" i="72"/>
  <c r="U62" i="72"/>
  <c r="Q62" i="72"/>
  <c r="Q49" i="72" s="1"/>
  <c r="I8" i="73" s="1"/>
  <c r="O68" i="33" s="1"/>
  <c r="S57" i="72"/>
  <c r="V57" i="72"/>
  <c r="W57" i="72"/>
  <c r="U57" i="72"/>
  <c r="P57" i="72"/>
  <c r="M57" i="72"/>
  <c r="N57" i="72"/>
  <c r="R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T49" i="72" l="1"/>
  <c r="D5" i="73" s="1"/>
  <c r="F65" i="33" s="1"/>
  <c r="P49" i="72"/>
  <c r="I6" i="73" s="1"/>
  <c r="O66" i="33" s="1"/>
  <c r="R49" i="72"/>
  <c r="D4" i="73" s="1"/>
  <c r="F64" i="33" s="1"/>
  <c r="O49" i="72"/>
  <c r="I5" i="73" s="1"/>
  <c r="O65" i="33" s="1"/>
  <c r="U49" i="72"/>
  <c r="D7" i="73" s="1"/>
  <c r="F67" i="33" s="1"/>
  <c r="V49" i="72"/>
  <c r="I7" i="73" s="1"/>
  <c r="O67" i="33" s="1"/>
  <c r="M49" i="72"/>
  <c r="I3" i="73" s="1"/>
  <c r="O63" i="33" s="1"/>
  <c r="S49" i="72"/>
  <c r="D6" i="73" s="1"/>
  <c r="F66" i="33" s="1"/>
  <c r="N49" i="72"/>
  <c r="I4" i="73" s="1"/>
  <c r="O64" i="33" s="1"/>
  <c r="W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H38" i="13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C725" i="8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B57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36" i="58" l="1"/>
  <c r="C36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s="1"/>
  <c r="D83" i="33" l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M4" i="57"/>
  <c r="O4" i="57"/>
  <c r="M5" i="57"/>
  <c r="O5" i="57"/>
  <c r="M6" i="57"/>
  <c r="O6" i="57"/>
  <c r="M7" i="57"/>
  <c r="O7" i="57"/>
  <c r="M8" i="57"/>
  <c r="O8" i="57"/>
  <c r="M9" i="57"/>
  <c r="O9" i="57"/>
  <c r="M10" i="57"/>
  <c r="O10" i="57"/>
  <c r="M11" i="57"/>
  <c r="O11" i="57"/>
  <c r="M12" i="57"/>
  <c r="O12" i="57"/>
  <c r="M13" i="57"/>
  <c r="O13" i="57"/>
  <c r="M14" i="57"/>
  <c r="O14" i="57"/>
  <c r="M15" i="57"/>
  <c r="O15" i="57"/>
  <c r="M16" i="57"/>
  <c r="O16" i="57"/>
  <c r="M17" i="57"/>
  <c r="O17" i="57"/>
  <c r="M18" i="57"/>
  <c r="O18" i="57"/>
  <c r="M19" i="57"/>
  <c r="O19" i="57"/>
  <c r="M20" i="57"/>
  <c r="O20" i="57"/>
  <c r="M21" i="57"/>
  <c r="O21" i="57"/>
  <c r="M22" i="57"/>
  <c r="O22" i="57"/>
  <c r="M23" i="57"/>
  <c r="O23" i="57"/>
  <c r="M24" i="57"/>
  <c r="O24" i="57"/>
  <c r="M25" i="57"/>
  <c r="O25" i="57"/>
  <c r="M26" i="57"/>
  <c r="O26" i="57"/>
  <c r="M27" i="57"/>
  <c r="O27" i="57"/>
  <c r="M28" i="57"/>
  <c r="O28" i="57"/>
  <c r="M29" i="57"/>
  <c r="O29" i="57"/>
  <c r="M30" i="57"/>
  <c r="O30" i="57"/>
  <c r="M31" i="57"/>
  <c r="O31" i="57"/>
  <c r="M32" i="57"/>
  <c r="O32" i="57"/>
  <c r="M33" i="57"/>
  <c r="O33" i="57"/>
  <c r="M34" i="57"/>
  <c r="O34" i="57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E5" i="49"/>
  <c r="C5" i="49"/>
  <c r="D23" i="49" s="1"/>
  <c r="D5" i="49"/>
  <c r="C3" i="49"/>
  <c r="B3" i="49"/>
  <c r="B2" i="49"/>
  <c r="D24" i="49" l="1"/>
  <c r="D25" i="49"/>
  <c r="D15" i="49"/>
  <c r="D27" i="49"/>
  <c r="E27" i="49"/>
  <c r="E14" i="49"/>
  <c r="E20" i="49"/>
  <c r="E19" i="49"/>
  <c r="G2" i="50"/>
  <c r="F4" i="50"/>
  <c r="E13" i="49"/>
  <c r="E17" i="49"/>
  <c r="D17" i="49"/>
  <c r="D19" i="49"/>
  <c r="E23" i="49"/>
  <c r="D20" i="49"/>
  <c r="E25" i="49"/>
  <c r="D12" i="49"/>
  <c r="D14" i="49"/>
  <c r="E24" i="49"/>
  <c r="D13" i="49" l="1"/>
  <c r="C134" i="9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Y31" i="45" l="1"/>
  <c r="X31" i="45" s="1"/>
  <c r="L31" i="45"/>
  <c r="P31" i="45" s="1"/>
  <c r="Y30" i="45"/>
  <c r="X30" i="45" s="1"/>
  <c r="L30" i="45"/>
  <c r="P30" i="45" s="1"/>
  <c r="Y29" i="45"/>
  <c r="X29" i="45" s="1"/>
  <c r="L29" i="45"/>
  <c r="P29" i="45" s="1"/>
  <c r="Y28" i="45"/>
  <c r="L28" i="45"/>
  <c r="P28" i="45" s="1"/>
  <c r="H28" i="45"/>
  <c r="J28" i="45" s="1"/>
  <c r="Y27" i="45"/>
  <c r="L27" i="45"/>
  <c r="P27" i="45" s="1"/>
  <c r="H27" i="45"/>
  <c r="J27" i="45" s="1"/>
  <c r="Y26" i="45"/>
  <c r="L26" i="45"/>
  <c r="P26" i="45" s="1"/>
  <c r="H26" i="45"/>
  <c r="J26" i="45" s="1"/>
  <c r="Y25" i="45"/>
  <c r="L25" i="45"/>
  <c r="H25" i="45"/>
  <c r="J25" i="45" s="1"/>
  <c r="Y24" i="45"/>
  <c r="L24" i="45"/>
  <c r="P24" i="45" s="1"/>
  <c r="H24" i="45"/>
  <c r="J24" i="45" s="1"/>
  <c r="Y23" i="45"/>
  <c r="L23" i="45"/>
  <c r="P23" i="45" s="1"/>
  <c r="H23" i="45"/>
  <c r="J23" i="45" s="1"/>
  <c r="Y22" i="45"/>
  <c r="L22" i="45"/>
  <c r="P22" i="45" s="1"/>
  <c r="H22" i="45"/>
  <c r="J22" i="45" s="1"/>
  <c r="Y21" i="45"/>
  <c r="L21" i="45"/>
  <c r="H21" i="45"/>
  <c r="J21" i="45" s="1"/>
  <c r="Y20" i="45"/>
  <c r="X20" i="45" s="1"/>
  <c r="L20" i="45"/>
  <c r="P20" i="45" s="1"/>
  <c r="H20" i="45"/>
  <c r="J20" i="45" s="1"/>
  <c r="L18" i="45"/>
  <c r="M18" i="45" s="1"/>
  <c r="L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X23" i="45"/>
  <c r="I23" i="45"/>
  <c r="H35" i="39" s="1"/>
  <c r="X24" i="45"/>
  <c r="I24" i="45"/>
  <c r="H36" i="39" s="1"/>
  <c r="X25" i="45"/>
  <c r="I25" i="45"/>
  <c r="H37" i="39" s="1"/>
  <c r="X26" i="45"/>
  <c r="I26" i="45"/>
  <c r="H38" i="39" s="1"/>
  <c r="X27" i="45"/>
  <c r="I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X22" i="45"/>
  <c r="I22" i="45"/>
  <c r="H34" i="39" s="1"/>
  <c r="T14" i="45"/>
  <c r="R14" i="45"/>
  <c r="C121" i="9"/>
  <c r="C122" i="9"/>
  <c r="C52" i="36"/>
  <c r="D38" i="38" s="1"/>
  <c r="X28" i="45"/>
  <c r="I28" i="45"/>
  <c r="H40" i="39" s="1"/>
  <c r="C31" i="36"/>
  <c r="D10" i="38" s="1"/>
  <c r="G51" i="38" s="1"/>
  <c r="X21" i="45"/>
  <c r="I21" i="45"/>
  <c r="H33" i="39" s="1"/>
  <c r="I20" i="45"/>
  <c r="H32" i="39" s="1"/>
  <c r="M26" i="45"/>
  <c r="N26" i="45"/>
  <c r="R26" i="45"/>
  <c r="M24" i="45"/>
  <c r="Q24" i="45"/>
  <c r="N22" i="45"/>
  <c r="J30" i="36"/>
  <c r="A22" i="36"/>
  <c r="A20" i="36"/>
  <c r="M20" i="36" s="1"/>
  <c r="O31" i="45"/>
  <c r="Q31" i="45"/>
  <c r="M31" i="45"/>
  <c r="R31" i="45"/>
  <c r="N31" i="45"/>
  <c r="S31" i="45"/>
  <c r="M30" i="45"/>
  <c r="Q30" i="45"/>
  <c r="O29" i="45"/>
  <c r="Q29" i="45"/>
  <c r="M29" i="45"/>
  <c r="R29" i="45"/>
  <c r="N29" i="45"/>
  <c r="S29" i="45"/>
  <c r="J51" i="36"/>
  <c r="M52" i="36"/>
  <c r="N52" i="36" s="1"/>
  <c r="Q27" i="45"/>
  <c r="J45" i="36"/>
  <c r="M44" i="36"/>
  <c r="N44" i="36" s="1"/>
  <c r="O44" i="36"/>
  <c r="M46" i="36"/>
  <c r="N46" i="36" s="1"/>
  <c r="S26" i="45"/>
  <c r="M43" i="36"/>
  <c r="N43" i="36" s="1"/>
  <c r="J42" i="36"/>
  <c r="B25" i="38"/>
  <c r="M40" i="36"/>
  <c r="N40" i="36" s="1"/>
  <c r="J39" i="36"/>
  <c r="J36" i="36"/>
  <c r="M23" i="45"/>
  <c r="B17" i="38"/>
  <c r="N23" i="45"/>
  <c r="O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M28" i="45"/>
  <c r="Q28" i="45"/>
  <c r="R27" i="45"/>
  <c r="M27" i="45"/>
  <c r="N27" i="45"/>
  <c r="Q26" i="45"/>
  <c r="O26" i="45"/>
  <c r="Q23" i="45"/>
  <c r="R23" i="45"/>
  <c r="S22" i="45"/>
  <c r="Q22" i="45"/>
  <c r="M22" i="45"/>
  <c r="R22" i="45"/>
  <c r="B6" i="45"/>
  <c r="I12" i="39"/>
  <c r="M20" i="45"/>
  <c r="Q20" i="45"/>
  <c r="C28" i="36"/>
  <c r="D6" i="38" s="1"/>
  <c r="A51" i="38" s="1"/>
  <c r="O26" i="36"/>
  <c r="K5" i="38"/>
  <c r="C18" i="33"/>
  <c r="M14" i="45"/>
  <c r="Q14" i="45"/>
  <c r="U14" i="45"/>
  <c r="S25" i="45"/>
  <c r="O25" i="45"/>
  <c r="R25" i="45"/>
  <c r="N25" i="45"/>
  <c r="Q25" i="45"/>
  <c r="M25" i="45"/>
  <c r="P25" i="45"/>
  <c r="B41" i="38"/>
  <c r="C54" i="36"/>
  <c r="A21" i="36"/>
  <c r="M21" i="36" s="1"/>
  <c r="N21" i="36" s="1"/>
  <c r="I5" i="38"/>
  <c r="J27" i="36"/>
  <c r="M28" i="36"/>
  <c r="D21" i="36"/>
  <c r="S21" i="45"/>
  <c r="O21" i="45"/>
  <c r="R21" i="45"/>
  <c r="N21" i="45"/>
  <c r="Q21" i="45"/>
  <c r="M21" i="45"/>
  <c r="P21" i="45"/>
  <c r="I9" i="38"/>
  <c r="I13" i="38"/>
  <c r="I17" i="38"/>
  <c r="I21" i="38"/>
  <c r="I25" i="38"/>
  <c r="I29" i="38"/>
  <c r="I33" i="38"/>
  <c r="I37" i="38"/>
  <c r="N14" i="45"/>
  <c r="V14" i="45"/>
  <c r="N20" i="45"/>
  <c r="R20" i="45"/>
  <c r="O23" i="45"/>
  <c r="S23" i="45"/>
  <c r="N24" i="45"/>
  <c r="R24" i="45"/>
  <c r="O27" i="45"/>
  <c r="S27" i="45"/>
  <c r="N28" i="45"/>
  <c r="R28" i="45"/>
  <c r="N30" i="45"/>
  <c r="R30" i="45"/>
  <c r="L49" i="45"/>
  <c r="O14" i="45"/>
  <c r="S14" i="45"/>
  <c r="W14" i="45"/>
  <c r="O20" i="45"/>
  <c r="S20" i="45"/>
  <c r="O24" i="45"/>
  <c r="S24" i="45"/>
  <c r="O28" i="45"/>
  <c r="S28" i="45"/>
  <c r="O30" i="45"/>
  <c r="S30" i="45"/>
  <c r="P14" i="45"/>
  <c r="D6" i="13"/>
  <c r="R58" i="45" l="1"/>
  <c r="M58" i="45"/>
  <c r="O58" i="45"/>
  <c r="U58" i="45"/>
  <c r="S58" i="45"/>
  <c r="N58" i="45"/>
  <c r="V58" i="45"/>
  <c r="P58" i="45"/>
  <c r="Q58" i="45"/>
  <c r="T58" i="45"/>
  <c r="W58" i="45"/>
  <c r="P53" i="45"/>
  <c r="T53" i="45"/>
  <c r="R53" i="45"/>
  <c r="N53" i="45"/>
  <c r="W53" i="45"/>
  <c r="Q53" i="45"/>
  <c r="M53" i="45"/>
  <c r="V53" i="45"/>
  <c r="O53" i="45"/>
  <c r="S53" i="45"/>
  <c r="U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W52" i="45"/>
  <c r="S52" i="45"/>
  <c r="O52" i="45"/>
  <c r="V52" i="45"/>
  <c r="R52" i="45"/>
  <c r="N52" i="45"/>
  <c r="P52" i="45"/>
  <c r="U52" i="45"/>
  <c r="Q52" i="45"/>
  <c r="M52" i="45"/>
  <c r="T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O62" i="45"/>
  <c r="V62" i="45"/>
  <c r="W62" i="45"/>
  <c r="T62" i="45"/>
  <c r="R62" i="45"/>
  <c r="S62" i="45"/>
  <c r="N62" i="45"/>
  <c r="U62" i="45"/>
  <c r="P62" i="45"/>
  <c r="Q62" i="45"/>
  <c r="M62" i="45"/>
  <c r="S57" i="45"/>
  <c r="W57" i="45"/>
  <c r="U57" i="45"/>
  <c r="T57" i="45"/>
  <c r="P57" i="45"/>
  <c r="V57" i="45"/>
  <c r="R57" i="45"/>
  <c r="N57" i="45"/>
  <c r="M57" i="45"/>
  <c r="Q57" i="45"/>
  <c r="O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L43" i="72"/>
  <c r="I59" i="73"/>
  <c r="L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L42" i="72"/>
  <c r="E57" i="73"/>
  <c r="F56" i="33" s="1"/>
  <c r="L40" i="72"/>
  <c r="E55" i="73"/>
  <c r="F54" i="33" s="1"/>
  <c r="L38" i="72"/>
  <c r="E53" i="73"/>
  <c r="F52" i="33" s="1"/>
  <c r="L37" i="72"/>
  <c r="E52" i="73"/>
  <c r="F51" i="33" s="1"/>
  <c r="L39" i="72"/>
  <c r="E54" i="73"/>
  <c r="F53" i="33" s="1"/>
  <c r="C38" i="45"/>
  <c r="L38" i="45" s="1"/>
  <c r="K59" i="39"/>
  <c r="K58" i="39"/>
  <c r="K48" i="39"/>
  <c r="C39" i="45"/>
  <c r="L39" i="45" s="1"/>
  <c r="C37" i="45"/>
  <c r="E52" i="39" s="1"/>
  <c r="C41" i="45"/>
  <c r="W41" i="45" s="1"/>
  <c r="K55" i="39"/>
  <c r="K57" i="39"/>
  <c r="C16" i="45"/>
  <c r="C17" i="45" s="1"/>
  <c r="L35" i="72"/>
  <c r="W35" i="72"/>
  <c r="L41" i="72"/>
  <c r="W41" i="72"/>
  <c r="C35" i="45"/>
  <c r="N18" i="38"/>
  <c r="O18" i="38" s="1"/>
  <c r="O21" i="38"/>
  <c r="N22" i="38" s="1"/>
  <c r="O22" i="38" s="1"/>
  <c r="N34" i="38"/>
  <c r="O34" i="38" s="1"/>
  <c r="O49" i="45"/>
  <c r="I5" i="39" s="1"/>
  <c r="Q49" i="45"/>
  <c r="I8" i="39" s="1"/>
  <c r="R49" i="45"/>
  <c r="D4" i="39" s="1"/>
  <c r="U49" i="45"/>
  <c r="D7" i="39" s="1"/>
  <c r="T49" i="45"/>
  <c r="D5" i="39" s="1"/>
  <c r="P49" i="45"/>
  <c r="I6" i="39" s="1"/>
  <c r="M49" i="45"/>
  <c r="I3" i="39" s="1"/>
  <c r="N49" i="45"/>
  <c r="I4" i="39" s="1"/>
  <c r="W49" i="45"/>
  <c r="D8" i="39" s="1"/>
  <c r="S49" i="45"/>
  <c r="D6" i="39" s="1"/>
  <c r="V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T43" i="72"/>
  <c r="N43" i="72"/>
  <c r="R43" i="72"/>
  <c r="O43" i="72"/>
  <c r="M43" i="72"/>
  <c r="S43" i="72"/>
  <c r="U43" i="72"/>
  <c r="Q43" i="72"/>
  <c r="P43" i="72"/>
  <c r="T44" i="72"/>
  <c r="N44" i="72"/>
  <c r="S44" i="72"/>
  <c r="P44" i="72"/>
  <c r="M44" i="72"/>
  <c r="U44" i="72"/>
  <c r="R44" i="72"/>
  <c r="Q44" i="72"/>
  <c r="O44" i="72"/>
  <c r="M15" i="74"/>
  <c r="M14" i="74"/>
  <c r="M10" i="74"/>
  <c r="M9" i="74"/>
  <c r="M23" i="36"/>
  <c r="N23" i="36" s="1"/>
  <c r="N13" i="36"/>
  <c r="M9" i="36"/>
  <c r="N9" i="36" s="1"/>
  <c r="L45" i="72"/>
  <c r="N38" i="72"/>
  <c r="R42" i="72"/>
  <c r="M13" i="36"/>
  <c r="M12" i="36"/>
  <c r="N12" i="36" s="1"/>
  <c r="V37" i="72"/>
  <c r="M8" i="36"/>
  <c r="N8" i="36" s="1"/>
  <c r="P40" i="72"/>
  <c r="M11" i="36"/>
  <c r="N11" i="36" s="1"/>
  <c r="O39" i="72"/>
  <c r="M10" i="36"/>
  <c r="N10" i="36" s="1"/>
  <c r="E48" i="39"/>
  <c r="F48" i="39" s="1"/>
  <c r="B104" i="45"/>
  <c r="V39" i="72"/>
  <c r="E56" i="39"/>
  <c r="L41" i="45"/>
  <c r="E53" i="39"/>
  <c r="V40" i="72"/>
  <c r="M37" i="72"/>
  <c r="E54" i="39"/>
  <c r="I52" i="39"/>
  <c r="L42" i="45"/>
  <c r="L37" i="45"/>
  <c r="L40" i="45"/>
  <c r="I53" i="39"/>
  <c r="W50" i="72"/>
  <c r="T35" i="72"/>
  <c r="L35" i="45"/>
  <c r="T35" i="45" s="1"/>
  <c r="W35" i="45"/>
  <c r="W50" i="45" s="1"/>
  <c r="C8" i="39" s="1"/>
  <c r="L44" i="45"/>
  <c r="I59" i="39"/>
  <c r="J59" i="39" s="1"/>
  <c r="L43" i="45"/>
  <c r="G58" i="39"/>
  <c r="H58" i="39" s="1"/>
  <c r="N10" i="38"/>
  <c r="O10" i="38" s="1"/>
  <c r="E57" i="39"/>
  <c r="E55" i="39"/>
  <c r="V39" i="45"/>
  <c r="O39" i="45"/>
  <c r="N38" i="45"/>
  <c r="I10" i="10"/>
  <c r="I11" i="10"/>
  <c r="I12" i="10"/>
  <c r="I13" i="10"/>
  <c r="I14" i="10"/>
  <c r="I15" i="10"/>
  <c r="I16" i="10"/>
  <c r="I17" i="10"/>
  <c r="I18" i="10"/>
  <c r="I9" i="10"/>
  <c r="G6" i="5"/>
  <c r="A23" i="74" l="1"/>
  <c r="N15" i="74"/>
  <c r="C114" i="9" s="1"/>
  <c r="M50" i="72"/>
  <c r="H3" i="73" s="1"/>
  <c r="M63" i="33" s="1"/>
  <c r="I60" i="73"/>
  <c r="G60" i="73"/>
  <c r="Q50" i="72"/>
  <c r="H8" i="73" s="1"/>
  <c r="M68" i="33" s="1"/>
  <c r="P50" i="72"/>
  <c r="H6" i="73" s="1"/>
  <c r="M66" i="33" s="1"/>
  <c r="O50" i="72"/>
  <c r="H5" i="73" s="1"/>
  <c r="M65" i="33" s="1"/>
  <c r="N50" i="72"/>
  <c r="H4" i="73" s="1"/>
  <c r="M64" i="33" s="1"/>
  <c r="T50" i="72"/>
  <c r="C5" i="73" s="1"/>
  <c r="D65" i="33" s="1"/>
  <c r="R50" i="72"/>
  <c r="N14" i="74"/>
  <c r="B113" i="45" s="1"/>
  <c r="N9" i="74"/>
  <c r="B108" i="45" s="1"/>
  <c r="N10" i="74"/>
  <c r="B109" i="45" s="1"/>
  <c r="M13" i="74"/>
  <c r="V40" i="45"/>
  <c r="M11" i="74"/>
  <c r="M8" i="74"/>
  <c r="M12" i="74"/>
  <c r="M16" i="36"/>
  <c r="N16" i="36" s="1"/>
  <c r="L50" i="72"/>
  <c r="C3" i="73" s="1"/>
  <c r="D63" i="33" s="1"/>
  <c r="S45" i="72"/>
  <c r="S50" i="72" s="1"/>
  <c r="C6" i="73" s="1"/>
  <c r="D66" i="33" s="1"/>
  <c r="E60" i="73"/>
  <c r="V50" i="72"/>
  <c r="H7" i="73" s="1"/>
  <c r="M67" i="33" s="1"/>
  <c r="R42" i="45"/>
  <c r="V37" i="45"/>
  <c r="W47" i="72"/>
  <c r="E8" i="73" s="1"/>
  <c r="H68" i="33" s="1"/>
  <c r="C8" i="73"/>
  <c r="D68" i="33" s="1"/>
  <c r="M37" i="45"/>
  <c r="P40" i="45"/>
  <c r="L45" i="45"/>
  <c r="T44" i="45"/>
  <c r="Q44" i="45"/>
  <c r="U44" i="45"/>
  <c r="O44" i="45"/>
  <c r="N44" i="45"/>
  <c r="P44" i="45"/>
  <c r="R44" i="45"/>
  <c r="M44" i="45"/>
  <c r="S44" i="45"/>
  <c r="T43" i="45"/>
  <c r="R43" i="45"/>
  <c r="U43" i="45"/>
  <c r="S43" i="45"/>
  <c r="P43" i="45"/>
  <c r="M43" i="45"/>
  <c r="N43" i="45"/>
  <c r="Q43" i="45"/>
  <c r="O43" i="45"/>
  <c r="W47" i="45"/>
  <c r="E8" i="39" s="1"/>
  <c r="N10" i="20"/>
  <c r="N11" i="20"/>
  <c r="N12" i="20"/>
  <c r="N13" i="20"/>
  <c r="N14" i="20"/>
  <c r="N15" i="20"/>
  <c r="N16" i="20"/>
  <c r="N17" i="20"/>
  <c r="N9" i="20"/>
  <c r="J60" i="73" l="1"/>
  <c r="L59" i="33" s="1"/>
  <c r="H60" i="73"/>
  <c r="I59" i="33" s="1"/>
  <c r="B114" i="45"/>
  <c r="C113" i="9"/>
  <c r="C109" i="9"/>
  <c r="N13" i="74"/>
  <c r="C112" i="9" s="1"/>
  <c r="C108" i="9"/>
  <c r="R47" i="72"/>
  <c r="E4" i="73" s="1"/>
  <c r="H64" i="33" s="1"/>
  <c r="C4" i="73"/>
  <c r="D64" i="33" s="1"/>
  <c r="M47" i="72"/>
  <c r="J3" i="73" s="1"/>
  <c r="Q63" i="33" s="1"/>
  <c r="Q47" i="72"/>
  <c r="J8" i="73" s="1"/>
  <c r="Q68" i="33" s="1"/>
  <c r="P47" i="72"/>
  <c r="J6" i="73" s="1"/>
  <c r="Q66" i="33" s="1"/>
  <c r="T47" i="72"/>
  <c r="E5" i="73" s="1"/>
  <c r="H65" i="33" s="1"/>
  <c r="N47" i="72"/>
  <c r="J4" i="73" s="1"/>
  <c r="Q64" i="33" s="1"/>
  <c r="O47" i="72"/>
  <c r="J5" i="73" s="1"/>
  <c r="Q65" i="33" s="1"/>
  <c r="L47" i="72"/>
  <c r="N8" i="74"/>
  <c r="B107" i="45" s="1"/>
  <c r="N11" i="74"/>
  <c r="B110" i="45" s="1"/>
  <c r="N12" i="74"/>
  <c r="B111" i="45" s="1"/>
  <c r="V50" i="45"/>
  <c r="H7" i="39" s="1"/>
  <c r="I60" i="39"/>
  <c r="J60" i="39" s="1"/>
  <c r="M16" i="74"/>
  <c r="E28" i="73"/>
  <c r="S47" i="72"/>
  <c r="E6" i="73" s="1"/>
  <c r="H66" i="33" s="1"/>
  <c r="U50" i="72"/>
  <c r="B111" i="72"/>
  <c r="B113" i="72"/>
  <c r="B112" i="72"/>
  <c r="B109" i="72"/>
  <c r="B108" i="72"/>
  <c r="B107" i="72"/>
  <c r="B114" i="72"/>
  <c r="B110" i="72"/>
  <c r="V47" i="72"/>
  <c r="J7" i="73" s="1"/>
  <c r="Q67" i="33" s="1"/>
  <c r="R50" i="45"/>
  <c r="G60" i="39"/>
  <c r="H60" i="39" s="1"/>
  <c r="E60" i="39"/>
  <c r="F60" i="39" s="1"/>
  <c r="L50" i="45"/>
  <c r="S45" i="45"/>
  <c r="S50" i="45" s="1"/>
  <c r="C6" i="39" s="1"/>
  <c r="P50" i="45"/>
  <c r="H6" i="39" s="1"/>
  <c r="N50" i="45"/>
  <c r="H4" i="39" s="1"/>
  <c r="Q50" i="45"/>
  <c r="H8" i="39" s="1"/>
  <c r="M50" i="45"/>
  <c r="H3" i="39" s="1"/>
  <c r="O50" i="45"/>
  <c r="H5" i="39" s="1"/>
  <c r="T50" i="45"/>
  <c r="C5" i="39" s="1"/>
  <c r="D13" i="24"/>
  <c r="D9" i="24"/>
  <c r="E18" i="73" l="1"/>
  <c r="F13" i="33" s="1"/>
  <c r="J13" i="33"/>
  <c r="B86" i="72"/>
  <c r="G30" i="33"/>
  <c r="C110" i="9"/>
  <c r="C107" i="9"/>
  <c r="B112" i="45"/>
  <c r="C111" i="9"/>
  <c r="U47" i="72"/>
  <c r="E7" i="73" s="1"/>
  <c r="H67" i="33" s="1"/>
  <c r="C7" i="73"/>
  <c r="D67" i="33" s="1"/>
  <c r="R47" i="45"/>
  <c r="E4" i="39" s="1"/>
  <c r="C4" i="39"/>
  <c r="E3" i="73"/>
  <c r="H63" i="33" s="1"/>
  <c r="V47" i="45"/>
  <c r="N16" i="74"/>
  <c r="M17" i="74" s="1"/>
  <c r="H5" i="36"/>
  <c r="C147" i="9"/>
  <c r="C3" i="39"/>
  <c r="F60" i="73"/>
  <c r="F59" i="33" s="1"/>
  <c r="B1" i="73"/>
  <c r="E28" i="39"/>
  <c r="B1" i="39"/>
  <c r="L47" i="45"/>
  <c r="M47" i="45"/>
  <c r="J3" i="39" s="1"/>
  <c r="P47" i="45"/>
  <c r="J6" i="39" s="1"/>
  <c r="C123" i="9"/>
  <c r="N47" i="45"/>
  <c r="J4" i="39" s="1"/>
  <c r="Q47" i="45"/>
  <c r="J8" i="39" s="1"/>
  <c r="O47" i="45"/>
  <c r="J5" i="39" s="1"/>
  <c r="S47" i="45"/>
  <c r="E6" i="39" s="1"/>
  <c r="T47" i="45"/>
  <c r="E5" i="39" s="1"/>
  <c r="U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N17" i="36" s="1"/>
  <c r="A8" i="36" s="1"/>
  <c r="B106" i="72" s="1"/>
  <c r="E18" i="39"/>
  <c r="E3" i="39"/>
  <c r="C150" i="9"/>
  <c r="C149" i="9"/>
  <c r="C143" i="9"/>
  <c r="U47" i="45"/>
  <c r="E7" i="39" s="1"/>
  <c r="J12" i="11"/>
  <c r="J11" i="11"/>
  <c r="H12" i="11"/>
  <c r="H11" i="11"/>
  <c r="F12" i="11"/>
  <c r="F11" i="11"/>
  <c r="S11" i="11"/>
  <c r="O11" i="11"/>
  <c r="N11" i="11"/>
  <c r="M11" i="11"/>
  <c r="C152" i="9" l="1"/>
  <c r="A8" i="74"/>
  <c r="C106" i="9" s="1"/>
  <c r="B105" i="72"/>
  <c r="C148" i="9"/>
  <c r="B73" i="45"/>
  <c r="C142" i="9"/>
  <c r="C153" i="9"/>
  <c r="C145" i="9"/>
  <c r="L11" i="11"/>
  <c r="P11" i="11" s="1"/>
  <c r="Q11" i="11"/>
  <c r="L9" i="12"/>
  <c r="L10" i="12"/>
  <c r="L11" i="12"/>
  <c r="L13" i="12"/>
  <c r="L14" i="12"/>
  <c r="L15" i="12"/>
  <c r="L16" i="12"/>
  <c r="L17" i="12"/>
  <c r="S12" i="11"/>
  <c r="L16" i="11"/>
  <c r="M16" i="11"/>
  <c r="N16" i="11"/>
  <c r="O16" i="11"/>
  <c r="B106" i="45" l="1"/>
  <c r="C105" i="9"/>
  <c r="B105" i="45"/>
  <c r="C146" i="9"/>
  <c r="P16" i="11"/>
  <c r="Q16" i="11"/>
  <c r="M3" i="12"/>
  <c r="M4" i="12"/>
  <c r="M5" i="12"/>
  <c r="O5" i="12"/>
  <c r="M6" i="12"/>
  <c r="N6" i="12"/>
  <c r="M7" i="12"/>
  <c r="O7" i="12"/>
  <c r="I8" i="12"/>
  <c r="M8" i="12"/>
  <c r="O8" i="12"/>
  <c r="M9" i="12"/>
  <c r="N9" i="12"/>
  <c r="O9" i="12"/>
  <c r="K10" i="12"/>
  <c r="M10" i="12"/>
  <c r="N10" i="12"/>
  <c r="O10" i="12"/>
  <c r="I11" i="12"/>
  <c r="K11" i="12"/>
  <c r="M11" i="12"/>
  <c r="N11" i="12"/>
  <c r="O11" i="12"/>
  <c r="K12" i="12"/>
  <c r="M12" i="12"/>
  <c r="O12" i="12"/>
  <c r="M13" i="12"/>
  <c r="N13" i="12"/>
  <c r="O13" i="12"/>
  <c r="I14" i="12"/>
  <c r="K14" i="12"/>
  <c r="M14" i="12"/>
  <c r="N14" i="12"/>
  <c r="O14" i="12"/>
  <c r="I15" i="12"/>
  <c r="K15" i="12"/>
  <c r="M15" i="12"/>
  <c r="N15" i="12"/>
  <c r="O15" i="12"/>
  <c r="I16" i="12"/>
  <c r="K16" i="12"/>
  <c r="M16" i="12"/>
  <c r="N16" i="12"/>
  <c r="O16" i="12"/>
  <c r="I17" i="12"/>
  <c r="K17" i="12"/>
  <c r="M17" i="12"/>
  <c r="N17" i="12"/>
  <c r="O17" i="12"/>
  <c r="O5" i="11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H8" i="12"/>
  <c r="N8" i="12" s="1"/>
  <c r="H12" i="12"/>
  <c r="I12" i="12" s="1"/>
  <c r="AB11" i="10"/>
  <c r="AB15" i="10"/>
  <c r="AB13" i="10"/>
  <c r="H10" i="12"/>
  <c r="AB9" i="10"/>
  <c r="G10" i="10"/>
  <c r="S16" i="11"/>
  <c r="M18" i="12"/>
  <c r="H11" i="12"/>
  <c r="J11" i="12" s="1"/>
  <c r="H9" i="12"/>
  <c r="K9" i="12" s="1"/>
  <c r="H7" i="12"/>
  <c r="H6" i="12"/>
  <c r="L6" i="12" s="1"/>
  <c r="H5" i="12"/>
  <c r="I5" i="12" s="1"/>
  <c r="H4" i="12"/>
  <c r="H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D13" i="10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Q4" i="11" s="1"/>
  <c r="L4" i="11"/>
  <c r="P4" i="11" s="1"/>
  <c r="D10" i="10" l="1"/>
  <c r="I6" i="12"/>
  <c r="O6" i="12"/>
  <c r="D12" i="10"/>
  <c r="D11" i="10"/>
  <c r="N3" i="12"/>
  <c r="O3" i="12"/>
  <c r="D16" i="10"/>
  <c r="J8" i="12"/>
  <c r="O4" i="12"/>
  <c r="I4" i="12"/>
  <c r="D17" i="10"/>
  <c r="E12" i="10"/>
  <c r="D14" i="10"/>
  <c r="I7" i="12"/>
  <c r="L7" i="12"/>
  <c r="N7" i="12"/>
  <c r="D15" i="10"/>
  <c r="I3" i="12"/>
  <c r="L3" i="12"/>
  <c r="D18" i="10"/>
  <c r="E17" i="10"/>
  <c r="E18" i="10"/>
  <c r="J12" i="12"/>
  <c r="L12" i="12"/>
  <c r="N12" i="12"/>
  <c r="J10" i="12"/>
  <c r="I10" i="12"/>
  <c r="E16" i="10"/>
  <c r="K8" i="12"/>
  <c r="E14" i="10"/>
  <c r="L8" i="12"/>
  <c r="K5" i="12"/>
  <c r="N5" i="12"/>
  <c r="J9" i="12"/>
  <c r="I9" i="12"/>
  <c r="J7" i="12"/>
  <c r="K7" i="12"/>
  <c r="J6" i="12"/>
  <c r="K6" i="12"/>
  <c r="E15" i="10"/>
  <c r="L4" i="12"/>
  <c r="N4" i="12"/>
  <c r="J5" i="12"/>
  <c r="L5" i="12"/>
  <c r="S23" i="11"/>
  <c r="E13" i="10"/>
  <c r="S13" i="11"/>
  <c r="S26" i="11"/>
  <c r="S22" i="11"/>
  <c r="S27" i="11"/>
  <c r="J3" i="12"/>
  <c r="K3" i="12"/>
  <c r="K4" i="12"/>
  <c r="J4" i="12"/>
  <c r="S6" i="11"/>
  <c r="E11" i="10"/>
  <c r="D9" i="10"/>
  <c r="E10" i="10"/>
  <c r="S33" i="11"/>
  <c r="S4" i="11"/>
  <c r="E9" i="10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O18" i="12" l="1"/>
  <c r="H16" i="10"/>
  <c r="H12" i="10"/>
  <c r="H15" i="10"/>
  <c r="H17" i="10"/>
  <c r="H18" i="10"/>
  <c r="N18" i="12"/>
  <c r="H11" i="10"/>
  <c r="H14" i="10"/>
  <c r="H9" i="10"/>
  <c r="H13" i="10"/>
  <c r="H10" i="10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F19" i="20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H16" i="12"/>
  <c r="J16" i="12" s="1"/>
  <c r="H17" i="12"/>
  <c r="J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J26" i="13"/>
  <c r="I26" i="13"/>
  <c r="J28" i="13"/>
  <c r="I28" i="13"/>
  <c r="J30" i="13"/>
  <c r="I30" i="13"/>
  <c r="J32" i="13"/>
  <c r="I32" i="13"/>
  <c r="J34" i="13"/>
  <c r="J36" i="13"/>
  <c r="I36" i="13"/>
  <c r="J38" i="13"/>
  <c r="K39" i="13" s="1"/>
  <c r="J40" i="13"/>
  <c r="K41" i="13" s="1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G1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5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G13" i="32"/>
  <c r="G15" i="32" s="1"/>
  <c r="A13" i="32" s="1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C23" i="16" l="1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G14" i="31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G15" i="30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H13" i="12"/>
  <c r="I13" i="12" s="1"/>
  <c r="I18" i="12" s="1"/>
  <c r="E20" i="10"/>
  <c r="H15" i="12"/>
  <c r="H14" i="12"/>
  <c r="J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2" i="20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4" i="30"/>
  <c r="G17" i="30"/>
  <c r="H4" i="21"/>
  <c r="H24" i="21" s="1"/>
  <c r="B11" i="24" s="1"/>
  <c r="L4" i="21"/>
  <c r="G13" i="3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G22" i="61" s="1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G22" i="16" l="1"/>
  <c r="H25" i="13"/>
  <c r="N25" i="13"/>
  <c r="O24" i="13"/>
  <c r="M25" i="13"/>
  <c r="M24" i="13"/>
  <c r="K25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B20" i="24"/>
  <c r="C20" i="24" s="1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G31" i="32" s="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J15" i="12"/>
  <c r="K13" i="12"/>
  <c r="L18" i="12" s="1"/>
  <c r="J13" i="12"/>
  <c r="H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12" i="16" l="1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G35" i="32" s="1"/>
  <c r="A27" i="32" s="1"/>
  <c r="F24" i="21"/>
  <c r="C10" i="28" s="1"/>
  <c r="G34" i="29"/>
  <c r="G39" i="29" s="1"/>
  <c r="A30" i="29" s="1"/>
  <c r="G34" i="31"/>
  <c r="G33" i="28"/>
  <c r="F83" i="5" s="1"/>
  <c r="D83" i="5" s="1"/>
  <c r="L83" i="5" s="1"/>
  <c r="G34" i="30"/>
  <c r="C12" i="9"/>
  <c r="G23" i="20"/>
  <c r="G17" i="21"/>
  <c r="C17" i="9"/>
  <c r="C20" i="9"/>
  <c r="C18" i="9"/>
  <c r="G5" i="16"/>
  <c r="G4" i="16"/>
  <c r="J18" i="12"/>
  <c r="B7" i="24" s="1"/>
  <c r="D7" i="24" s="1"/>
  <c r="D5" i="24" s="1"/>
  <c r="E5" i="24" s="1"/>
  <c r="C16" i="9"/>
  <c r="B21" i="24"/>
  <c r="C21" i="24" s="1"/>
  <c r="X4" i="14"/>
  <c r="AC4" i="14" s="1"/>
  <c r="C24" i="9" s="1"/>
  <c r="C11" i="9"/>
  <c r="X3" i="14"/>
  <c r="AC3" i="14" s="1"/>
  <c r="C23" i="9" s="1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G38" i="30" l="1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B4" i="24"/>
  <c r="B2" i="24" s="1"/>
  <c r="C2" i="24" s="1"/>
  <c r="F34" i="20" s="1"/>
  <c r="C10" i="29"/>
  <c r="G36" i="28"/>
  <c r="A29" i="28" s="1"/>
  <c r="E77" i="5" s="1"/>
  <c r="C68" i="9"/>
  <c r="F70" i="5"/>
  <c r="D70" i="5"/>
  <c r="C66" i="9" s="1"/>
  <c r="H97" i="5"/>
  <c r="C84" i="9" s="1"/>
  <c r="G24" i="21"/>
  <c r="B8" i="24" s="1"/>
  <c r="B5" i="24" s="1"/>
  <c r="C5" i="24" s="1"/>
  <c r="D36" i="20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17" i="24" l="1"/>
  <c r="D34" i="20"/>
  <c r="D26" i="10" s="1"/>
  <c r="F77" i="5"/>
  <c r="D77" i="5" s="1"/>
  <c r="C67" i="9" s="1"/>
  <c r="C69" i="9"/>
  <c r="D42" i="24"/>
  <c r="E42" i="24" s="1"/>
  <c r="E44" i="24" s="1"/>
  <c r="D35" i="20" s="1"/>
  <c r="J96" i="5"/>
  <c r="C86" i="9" s="1"/>
  <c r="F36" i="20"/>
  <c r="C70" i="9"/>
  <c r="D98" i="5"/>
  <c r="C80" i="9" s="1"/>
  <c r="D28" i="10"/>
  <c r="F97" i="5"/>
  <c r="C82" i="9" s="1"/>
  <c r="H27" i="10"/>
  <c r="D96" i="5" l="1"/>
  <c r="C78" i="9" s="1"/>
  <c r="F96" i="5"/>
  <c r="C81" i="9" s="1"/>
  <c r="D27" i="10"/>
</calcChain>
</file>

<file path=xl/sharedStrings.xml><?xml version="1.0" encoding="utf-8"?>
<sst xmlns="http://schemas.openxmlformats.org/spreadsheetml/2006/main" count="4693" uniqueCount="2681">
  <si>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</si>
  <si>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</si>
  <si>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</si>
  <si>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</si>
  <si>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</si>
  <si>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</si>
  <si>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</si>
  <si>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</si>
  <si>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</si>
  <si>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</si>
  <si>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</si>
  <si>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</si>
  <si>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</si>
  <si>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</si>
  <si>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</si>
  <si>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</si>
  <si>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</si>
  <si>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</si>
  <si>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</si>
  <si>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</si>
  <si>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</si>
  <si>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</si>
  <si>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</si>
  <si>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</si>
  <si>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</si>
  <si>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</si>
  <si>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</si>
  <si>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</si>
  <si>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</si>
  <si>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</si>
  <si>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</si>
  <si>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</si>
  <si>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</si>
  <si>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</si>
  <si>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</si>
  <si>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</si>
  <si>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</si>
  <si>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</si>
  <si>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</si>
  <si>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</si>
  <si>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</si>
  <si>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</si>
  <si>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</si>
  <si>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</si>
  <si>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</si>
  <si>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</si>
  <si>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</si>
  <si>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</si>
  <si>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</si>
  <si>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</si>
  <si>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</si>
  <si>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</si>
  <si>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</si>
  <si>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</si>
  <si>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</si>
  <si>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</si>
  <si>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</si>
  <si>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</si>
  <si>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</si>
  <si>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</si>
  <si>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</si>
  <si>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</si>
  <si>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</si>
  <si>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</si>
  <si>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</si>
  <si>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</si>
  <si>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NaCl 2,9% (0,5 mmol/ml)</t>
  </si>
  <si>
    <t>Gluc/zout 2/3 – 1/3  (3,3% / 0,3% Na 51 mmol/l)</t>
  </si>
  <si>
    <t>Gluc/zout 2/3 – 1/3  (3,3% / 0,3% Na 51 mmol/l)  met  KCl 30 mmol/l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</si>
  <si>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</si>
  <si>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</si>
  <si>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</si>
  <si>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</si>
  <si>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</si>
  <si>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</si>
  <si>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</si>
  <si>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</si>
  <si>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</si>
  <si>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</si>
  <si>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</si>
  <si>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</si>
  <si>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</si>
  <si>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</si>
  <si>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</si>
  <si>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</si>
  <si>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</si>
  <si>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</si>
  <si>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</si>
  <si>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</si>
  <si>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</si>
  <si>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</si>
  <si>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</si>
  <si>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</si>
  <si>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</si>
  <si>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</si>
  <si>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</si>
  <si>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</si>
  <si>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</si>
  <si>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</si>
  <si>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</si>
  <si>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</si>
  <si>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</si>
  <si>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</si>
  <si>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</si>
  <si>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</si>
  <si>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</si>
  <si>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</si>
  <si>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</si>
  <si>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</si>
  <si>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</si>
  <si>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</si>
  <si>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</si>
  <si>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</si>
  <si>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</si>
  <si>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</si>
  <si>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</si>
  <si>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</si>
  <si>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</si>
  <si>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</si>
  <si>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</si>
  <si>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</si>
  <si>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</si>
  <si>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</si>
  <si>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</si>
  <si>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</si>
  <si>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</si>
  <si>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MedDosHoev_15</t>
  </si>
  <si>
    <t>MedDosHoev_16</t>
  </si>
  <si>
    <t>MedDosHoev_17</t>
  </si>
  <si>
    <t>E/kg/uur</t>
  </si>
  <si>
    <t>E</t>
  </si>
  <si>
    <t>g</t>
  </si>
  <si>
    <t>Aanvullende afspraken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</si>
  <si>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</si>
  <si>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</si>
  <si>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</si>
  <si>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</si>
  <si>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</si>
  <si>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</si>
  <si>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</si>
  <si>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</si>
  <si>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</si>
  <si>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</si>
  <si>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</si>
  <si>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</si>
  <si>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</si>
  <si>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</si>
  <si>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</si>
  <si>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</si>
  <si>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</si>
  <si>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</si>
  <si>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</si>
  <si>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</si>
  <si>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</si>
  <si>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</si>
  <si>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</si>
  <si>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</si>
  <si>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</si>
  <si>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</si>
  <si>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</si>
  <si>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</si>
  <si>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</si>
  <si>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</si>
  <si>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</si>
  <si>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</si>
  <si>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</si>
  <si>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</si>
  <si>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</si>
  <si>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</si>
  <si>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</si>
  <si>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</si>
  <si>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</si>
  <si>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</si>
  <si>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</si>
  <si>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</si>
  <si>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</si>
  <si>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</si>
  <si>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</si>
  <si>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</si>
  <si>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</si>
  <si>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</si>
  <si>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</si>
  <si>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</si>
  <si>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</si>
  <si>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</si>
  <si>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</si>
  <si>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</si>
  <si>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</si>
  <si>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</si>
  <si>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</si>
  <si>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</si>
  <si>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</si>
  <si>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</si>
  <si>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</si>
  <si>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</si>
  <si>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</si>
  <si>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</si>
  <si>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</si>
  <si>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</si>
  <si>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</si>
  <si>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</si>
  <si>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</si>
  <si>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</si>
  <si>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</si>
  <si>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</si>
  <si>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</si>
  <si>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</si>
  <si>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</si>
  <si>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</si>
  <si>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</si>
  <si>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</si>
  <si>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</si>
  <si>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</si>
  <si>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</si>
  <si>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</si>
  <si>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</si>
  <si>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</si>
  <si>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</si>
  <si>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</si>
  <si>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</si>
  <si>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</si>
  <si>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</si>
  <si>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</si>
  <si>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</si>
  <si>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</si>
  <si>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</si>
  <si>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</si>
  <si>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</si>
  <si>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</si>
  <si>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</si>
  <si>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</si>
  <si>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</si>
  <si>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</si>
  <si>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</si>
  <si>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</si>
  <si>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</si>
  <si>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</si>
  <si>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</si>
  <si>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</si>
  <si>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</si>
  <si>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</si>
  <si>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</si>
  <si>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</si>
  <si>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</si>
  <si>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</si>
  <si>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</si>
  <si>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</si>
  <si>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</si>
  <si>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</si>
  <si>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</si>
  <si>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</si>
  <si>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</si>
  <si>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</si>
  <si>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</si>
  <si>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</si>
  <si>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</si>
  <si>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</si>
  <si>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</si>
  <si>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</si>
  <si>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</si>
  <si>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</si>
  <si>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</si>
  <si>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</si>
  <si>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</si>
  <si>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</si>
  <si>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</si>
  <si>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</si>
  <si>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</si>
  <si>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</si>
  <si>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</si>
  <si>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</si>
  <si>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</si>
  <si>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</si>
  <si>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</si>
  <si>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</si>
  <si>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</si>
  <si>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</si>
  <si>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</si>
  <si>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</si>
  <si>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</si>
  <si>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</si>
  <si>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</si>
  <si>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esketamine</t>
  </si>
  <si>
    <t>DosHoev</t>
  </si>
  <si>
    <t>DosTot</t>
  </si>
  <si>
    <t>Toed</t>
  </si>
  <si>
    <t>Laboratorium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</si>
  <si>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</si>
  <si>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</si>
  <si>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</si>
  <si>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</si>
  <si>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</si>
  <si>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</si>
  <si>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</si>
  <si>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</si>
  <si>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</si>
  <si>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</si>
  <si>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</si>
  <si>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</si>
  <si>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</si>
  <si>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</si>
  <si>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</si>
  <si>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</si>
  <si>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</si>
  <si>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</si>
  <si>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</si>
  <si>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</si>
  <si>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</si>
  <si>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</si>
  <si>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</si>
  <si>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</si>
  <si>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</si>
  <si>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</si>
  <si>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</si>
  <si>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</si>
  <si>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</si>
  <si>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</si>
  <si>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</si>
  <si>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</si>
  <si>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</si>
  <si>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</si>
  <si>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</si>
  <si>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</si>
  <si>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</si>
  <si>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</si>
  <si>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</si>
  <si>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</si>
  <si>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</si>
  <si>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</si>
  <si>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</si>
  <si>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</si>
  <si>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</si>
  <si>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</si>
  <si>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</si>
  <si>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</si>
  <si>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</si>
  <si>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</si>
  <si>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</si>
  <si>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</si>
  <si>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</si>
  <si>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</si>
  <si>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</si>
  <si>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</si>
  <si>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</si>
  <si>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</si>
  <si>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</si>
  <si>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</si>
  <si>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</si>
  <si>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</si>
  <si>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</si>
  <si>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</si>
  <si>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</si>
  <si>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</si>
  <si>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</si>
  <si>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</si>
  <si>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</si>
  <si>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</si>
  <si>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</si>
  <si>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</si>
  <si>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</si>
  <si>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</si>
  <si>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</si>
  <si>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</si>
  <si>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</si>
  <si>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</si>
  <si>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</si>
  <si>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</si>
  <si>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</si>
  <si>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</si>
  <si>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</si>
  <si>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</si>
  <si>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</si>
  <si>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</si>
  <si>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</si>
  <si>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</si>
  <si>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</si>
  <si>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</si>
  <si>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</si>
  <si>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</si>
  <si>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</si>
  <si>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</si>
  <si>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</si>
  <si>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</si>
  <si>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</si>
  <si>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</si>
  <si>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</si>
  <si>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</si>
  <si>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</si>
  <si>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</si>
  <si>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</si>
  <si>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</si>
  <si>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</si>
  <si>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</si>
  <si>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</si>
  <si>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</si>
  <si>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</si>
  <si>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</si>
  <si>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</si>
  <si>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</si>
  <si>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</si>
  <si>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</si>
  <si>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</si>
  <si>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</si>
  <si>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</si>
  <si>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</si>
  <si>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</si>
  <si>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</si>
  <si>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</si>
  <si>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</si>
  <si>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</si>
  <si>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</si>
  <si>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</si>
  <si>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</si>
  <si>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</si>
  <si>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</si>
  <si>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</si>
  <si>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</si>
  <si>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</si>
  <si>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</si>
  <si>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</si>
  <si>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</si>
  <si>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</si>
  <si>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</si>
  <si>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</si>
  <si>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</si>
  <si>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</si>
  <si>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</si>
  <si>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</si>
  <si>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</si>
  <si>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</si>
  <si>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</si>
  <si>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</si>
  <si>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</si>
  <si>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</si>
  <si>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</si>
  <si>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</si>
  <si>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</si>
  <si>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</si>
  <si>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</si>
  <si>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</si>
  <si>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</si>
  <si>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</si>
  <si>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</si>
  <si>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</si>
  <si>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</si>
  <si>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</si>
  <si>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</si>
  <si>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</si>
  <si>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</si>
  <si>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</si>
  <si>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</si>
  <si>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</si>
  <si>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</si>
  <si>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</si>
  <si>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</si>
  <si>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</si>
  <si>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</si>
  <si>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</si>
  <si>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</si>
  <si>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</si>
  <si>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</si>
  <si>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</si>
  <si>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</si>
  <si>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</si>
  <si>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</si>
  <si>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</si>
  <si>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</si>
  <si>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</si>
  <si>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</si>
  <si>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</si>
  <si>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</si>
  <si>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</si>
  <si>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</si>
  <si>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</si>
  <si>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</si>
  <si>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</si>
  <si>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</si>
  <si>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</si>
  <si>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</si>
  <si>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</si>
  <si>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</si>
  <si>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</si>
  <si>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</si>
  <si>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</si>
  <si>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</si>
  <si>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</si>
  <si>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</si>
  <si>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</si>
  <si>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</si>
  <si>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</si>
  <si>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</si>
  <si>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</si>
  <si>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</si>
  <si>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</si>
  <si>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</si>
  <si>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</si>
  <si>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</si>
  <si>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</si>
  <si>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</si>
  <si>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</si>
  <si>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</si>
  <si>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</si>
  <si>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</si>
  <si>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</si>
  <si>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</si>
  <si>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</si>
  <si>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</si>
  <si>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</si>
  <si>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</si>
  <si>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</si>
  <si>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</si>
  <si>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</si>
  <si>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</si>
  <si>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</si>
  <si>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</si>
  <si>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</si>
  <si>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</si>
  <si>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</si>
  <si>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</si>
  <si>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</si>
  <si>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</si>
  <si>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</si>
  <si>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</si>
  <si>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</si>
  <si>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</si>
  <si>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</si>
  <si>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</si>
  <si>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</si>
  <si>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</si>
  <si>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</si>
  <si>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</si>
  <si>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</si>
  <si>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</si>
  <si>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</si>
  <si>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</si>
  <si>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</si>
  <si>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</si>
  <si>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</si>
  <si>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</si>
  <si>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</si>
  <si>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</si>
  <si>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</si>
  <si>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</si>
  <si>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</si>
  <si>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</si>
  <si>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</si>
  <si>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</si>
  <si>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</si>
  <si>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</si>
  <si>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</si>
  <si>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</si>
  <si>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</si>
  <si>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</si>
  <si>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</si>
  <si>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</si>
  <si>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</si>
  <si>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</si>
  <si>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</si>
  <si>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</si>
  <si>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</si>
  <si>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</si>
  <si>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</si>
  <si>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</si>
  <si>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</si>
  <si>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</si>
  <si>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</si>
  <si>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</si>
  <si>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</si>
  <si>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</si>
  <si>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Comfort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</si>
  <si>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</si>
  <si>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</si>
  <si>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</si>
  <si>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</si>
  <si>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</si>
  <si>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</si>
  <si>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</si>
  <si>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</si>
  <si>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</si>
  <si>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</si>
  <si>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</si>
  <si>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</si>
  <si>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</si>
  <si>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</si>
  <si>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</si>
  <si>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</si>
  <si>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</si>
  <si>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</si>
  <si>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</si>
  <si>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</si>
  <si>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</si>
  <si>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</si>
  <si>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</si>
  <si>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</si>
  <si>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</si>
  <si>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</si>
  <si>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</si>
  <si>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</si>
  <si>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</si>
  <si>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</si>
  <si>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</si>
  <si>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</si>
  <si>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</si>
  <si>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</si>
  <si>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</si>
  <si>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</si>
  <si>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</si>
  <si>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</si>
  <si>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</si>
  <si>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</si>
  <si>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</si>
  <si>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</si>
  <si>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</si>
  <si>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</si>
  <si>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</si>
  <si>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</si>
  <si>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</si>
  <si>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</si>
  <si>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</si>
  <si>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</si>
  <si>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</si>
  <si>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</si>
  <si>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</si>
  <si>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</si>
  <si>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</si>
  <si>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</si>
  <si>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</si>
  <si>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</si>
  <si>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</si>
  <si>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</si>
  <si>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</si>
  <si>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</si>
  <si>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</si>
  <si>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</si>
  <si>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</si>
  <si>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</si>
  <si>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</si>
  <si>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</si>
  <si>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</si>
  <si>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</si>
  <si>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</si>
  <si>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</si>
  <si>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</si>
  <si>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</si>
  <si>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</si>
  <si>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</si>
  <si>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</si>
  <si>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</si>
  <si>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</si>
  <si>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</si>
  <si>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</si>
  <si>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</si>
  <si>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</si>
  <si>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</si>
  <si>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</si>
  <si>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</si>
  <si>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</si>
  <si>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</si>
  <si>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</si>
  <si>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</si>
  <si>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</si>
  <si>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</si>
  <si>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</si>
  <si>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</si>
  <si>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Adviesdosering</t>
  </si>
  <si>
    <t>MedIVOplVlst_5</t>
  </si>
  <si>
    <t>MedIVOplVlst_6</t>
  </si>
  <si>
    <t>MedIVOplVlst_7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</si>
  <si>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</si>
  <si>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</si>
  <si>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</si>
  <si>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</si>
  <si>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</si>
  <si>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</si>
  <si>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</si>
  <si>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</si>
  <si>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</si>
  <si>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</si>
  <si>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</si>
  <si>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</si>
  <si>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</si>
  <si>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</si>
  <si>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</si>
  <si>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</si>
  <si>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</si>
  <si>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</si>
  <si>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</si>
  <si>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</si>
  <si>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</si>
  <si>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</si>
  <si>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</si>
  <si>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</si>
  <si>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</si>
  <si>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</si>
  <si>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</si>
  <si>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</si>
  <si>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</si>
  <si>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</si>
  <si>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</si>
  <si>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</si>
  <si>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</si>
  <si>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</si>
  <si>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</si>
  <si>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</si>
  <si>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</si>
  <si>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</si>
  <si>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</si>
  <si>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</si>
  <si>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</si>
  <si>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</si>
  <si>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</si>
  <si>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</si>
  <si>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</si>
  <si>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</si>
  <si>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</si>
  <si>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</si>
  <si>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</si>
  <si>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</si>
  <si>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</si>
  <si>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</si>
  <si>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</si>
  <si>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</si>
  <si>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</si>
  <si>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</si>
  <si>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</si>
  <si>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</si>
  <si>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</si>
  <si>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</si>
  <si>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</si>
  <si>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</si>
  <si>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opmMedDisc__9</t>
  </si>
  <si>
    <t>midazolam</t>
  </si>
  <si>
    <t>MedToed_18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</si>
  <si>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</si>
  <si>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</si>
  <si>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</si>
  <si>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</si>
  <si>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</si>
  <si>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</si>
  <si>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</si>
  <si>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</si>
  <si>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</si>
  <si>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</si>
  <si>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</si>
  <si>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</si>
  <si>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</si>
  <si>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Intern</t>
  </si>
  <si>
    <t>MedTijden_7</t>
  </si>
  <si>
    <t>MedTijden_8</t>
  </si>
  <si>
    <t>MedTijden_9</t>
  </si>
  <si>
    <t>MedToed_1</t>
  </si>
  <si>
    <t>MedToed_10</t>
  </si>
  <si>
    <t>trach</t>
  </si>
  <si>
    <t>epid</t>
  </si>
  <si>
    <t>nasaal</t>
  </si>
  <si>
    <t>Opl</t>
  </si>
  <si>
    <t>OplVl</t>
  </si>
  <si>
    <t>TotOpl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</si>
  <si>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</si>
  <si>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</si>
  <si>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</si>
  <si>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</si>
  <si>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</si>
  <si>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</si>
  <si>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</si>
  <si>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</si>
  <si>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</si>
  <si>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</si>
  <si>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</si>
  <si>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</si>
  <si>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</si>
  <si>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</si>
  <si>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</si>
  <si>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</si>
  <si>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</si>
  <si>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</si>
  <si>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</si>
  <si>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</si>
  <si>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</si>
  <si>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</si>
  <si>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</si>
  <si>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</si>
  <si>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</si>
  <si>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</si>
  <si>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</si>
  <si>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</si>
  <si>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</si>
  <si>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</si>
  <si>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</si>
  <si>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</si>
  <si>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</si>
  <si>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</si>
  <si>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</si>
  <si>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</si>
  <si>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</si>
  <si>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</si>
  <si>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</si>
  <si>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</si>
  <si>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</si>
  <si>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</si>
  <si>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</si>
  <si>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</si>
  <si>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</si>
  <si>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</si>
  <si>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</si>
  <si>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</si>
  <si>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</si>
  <si>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</si>
  <si>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</si>
  <si>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</si>
  <si>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</si>
  <si>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</si>
  <si>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</si>
  <si>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</si>
  <si>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</si>
  <si>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</si>
  <si>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</si>
  <si>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</si>
  <si>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</si>
  <si>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</si>
  <si>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</si>
  <si>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</si>
  <si>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</si>
  <si>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</si>
  <si>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</si>
  <si>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</si>
  <si>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</si>
  <si>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</si>
  <si>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</si>
  <si>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</si>
  <si>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</si>
  <si>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</si>
  <si>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</si>
  <si>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</si>
  <si>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</si>
  <si>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</si>
  <si>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</si>
  <si>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</si>
  <si>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</si>
  <si>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</si>
  <si>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</si>
  <si>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</si>
  <si>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</si>
  <si>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</si>
  <si>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</si>
  <si>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</si>
  <si>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</si>
  <si>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</si>
  <si>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</si>
  <si>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</si>
  <si>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</si>
  <si>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</si>
  <si>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</si>
  <si>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</si>
  <si>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</si>
  <si>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</si>
  <si>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</si>
  <si>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</si>
  <si>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</si>
  <si>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</si>
  <si>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</si>
  <si>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</si>
  <si>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</si>
  <si>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</si>
  <si>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</si>
  <si>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</si>
  <si>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</si>
  <si>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</si>
  <si>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</si>
  <si>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</si>
  <si>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</si>
  <si>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</si>
  <si>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</si>
  <si>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</si>
  <si>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</si>
  <si>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</si>
  <si>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</si>
  <si>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</si>
  <si>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</si>
  <si>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</si>
  <si>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</si>
  <si>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</si>
  <si>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</si>
  <si>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</si>
  <si>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</si>
  <si>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</si>
  <si>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</si>
  <si>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</si>
  <si>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</si>
  <si>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</si>
  <si>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</si>
  <si>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</si>
  <si>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</si>
  <si>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</si>
  <si>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</si>
  <si>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</si>
  <si>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</si>
  <si>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</si>
  <si>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</si>
  <si>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</si>
  <si>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</si>
  <si>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</si>
  <si>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</si>
  <si>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</si>
  <si>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</si>
  <si>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</si>
  <si>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</si>
  <si>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</si>
  <si>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</si>
  <si>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</si>
  <si>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</si>
  <si>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</si>
  <si>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</si>
  <si>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</si>
  <si>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</si>
  <si>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</si>
  <si>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</si>
  <si>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</si>
  <si>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</si>
  <si>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</si>
  <si>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</si>
  <si>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</si>
  <si>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</si>
  <si>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</si>
  <si>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</si>
  <si>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</si>
  <si>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</si>
  <si>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</si>
  <si>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</si>
  <si>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</si>
  <si>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</si>
  <si>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</si>
  <si>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</si>
  <si>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</si>
  <si>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</si>
  <si>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</si>
  <si>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</si>
  <si>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</si>
  <si>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</si>
  <si>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</si>
  <si>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</si>
  <si>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</si>
  <si>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</si>
  <si>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</si>
  <si>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</si>
  <si>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</si>
  <si>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</si>
  <si>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</si>
  <si>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</si>
  <si>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</si>
  <si>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</si>
  <si>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</si>
  <si>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</si>
  <si>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</si>
  <si>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</si>
  <si>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</si>
  <si>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</si>
  <si>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</si>
  <si>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</si>
  <si>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</si>
  <si>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</si>
  <si>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</si>
  <si>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</si>
  <si>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</si>
  <si>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</si>
  <si>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</si>
  <si>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</si>
  <si>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</si>
  <si>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</si>
  <si>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</si>
  <si>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</si>
  <si>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</si>
  <si>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</si>
  <si>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</si>
  <si>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</si>
  <si>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</si>
  <si>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</si>
  <si>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</si>
  <si>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</si>
  <si>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</si>
  <si>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</si>
  <si>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</si>
  <si>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</si>
  <si>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</si>
  <si>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</si>
  <si>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</si>
  <si>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</si>
  <si>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</si>
  <si>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</si>
  <si>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</si>
  <si>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</si>
  <si>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</si>
  <si>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</si>
  <si>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</si>
  <si>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</si>
  <si>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</si>
  <si>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</si>
  <si>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</si>
  <si>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</si>
  <si>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</si>
  <si>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</si>
  <si>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</si>
  <si>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</si>
  <si>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</si>
  <si>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</si>
  <si>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</si>
  <si>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</si>
  <si>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</si>
  <si>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</si>
  <si>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</si>
  <si>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</si>
  <si>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</si>
  <si>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</si>
  <si>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</si>
  <si>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</si>
  <si>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</si>
  <si>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</si>
  <si>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</si>
  <si>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</si>
  <si>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</si>
  <si>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</si>
  <si>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</si>
  <si>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</si>
  <si>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</si>
  <si>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</si>
  <si>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</si>
  <si>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</si>
  <si>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</si>
  <si>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</si>
  <si>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</si>
  <si>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</si>
  <si>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</si>
  <si>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</si>
  <si>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</si>
  <si>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</si>
  <si>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</si>
  <si>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</si>
  <si>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</si>
  <si>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</si>
  <si>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</si>
  <si>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</si>
  <si>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</si>
  <si>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</si>
  <si>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</si>
  <si>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</si>
  <si>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</si>
  <si>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</si>
  <si>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</si>
  <si>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</si>
  <si>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</si>
  <si>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</si>
  <si>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</si>
  <si>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</si>
  <si>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</si>
  <si>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</si>
  <si>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</si>
  <si>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</si>
  <si>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</si>
  <si>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</si>
  <si>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</si>
  <si>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</si>
  <si>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</si>
  <si>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</si>
  <si>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</si>
  <si>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</si>
  <si>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</si>
  <si>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</si>
  <si>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</si>
  <si>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</si>
  <si>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</si>
  <si>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</si>
  <si>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</si>
  <si>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</si>
  <si>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</si>
  <si>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</si>
  <si>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</si>
  <si>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</si>
  <si>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</si>
  <si>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</si>
  <si>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</si>
  <si>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</si>
  <si>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</si>
  <si>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</si>
  <si>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</si>
  <si>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</si>
  <si>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</si>
  <si>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</si>
  <si>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</si>
  <si>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</si>
  <si>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</si>
  <si>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</si>
  <si>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</si>
  <si>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</si>
  <si>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</si>
  <si>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</si>
  <si>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</si>
  <si>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</si>
  <si>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</si>
  <si>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</si>
  <si>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</si>
  <si>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</si>
  <si>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</si>
  <si>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</si>
  <si>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</si>
  <si>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</si>
  <si>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</si>
  <si>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</si>
  <si>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</si>
  <si>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</si>
  <si>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</si>
  <si>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</si>
  <si>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</si>
  <si>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</si>
  <si>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</si>
  <si>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</si>
  <si>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</si>
  <si>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</si>
  <si>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</si>
  <si>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</si>
  <si>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</si>
  <si>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</si>
  <si>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</si>
  <si>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</si>
  <si>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</si>
  <si>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</si>
  <si>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</si>
  <si>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</si>
  <si>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</si>
  <si>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</si>
  <si>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</si>
  <si>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</si>
  <si>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</si>
  <si>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</si>
  <si>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</si>
  <si>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</si>
  <si>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</si>
  <si>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</si>
  <si>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</si>
  <si>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</si>
  <si>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</si>
  <si>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</si>
  <si>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</si>
  <si>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</si>
  <si>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</si>
  <si>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</si>
  <si>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</si>
  <si>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</si>
  <si>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</si>
  <si>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</si>
  <si>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</si>
  <si>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</si>
  <si>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</si>
  <si>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</si>
  <si>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</si>
  <si>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</si>
  <si>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</si>
  <si>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</si>
  <si>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</si>
  <si>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</si>
  <si>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</si>
  <si>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</si>
  <si>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</si>
  <si>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</si>
  <si>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</si>
  <si>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</si>
  <si>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</si>
  <si>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</si>
  <si>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</si>
  <si>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</si>
  <si>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</si>
  <si>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</si>
  <si>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</si>
  <si>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</si>
  <si>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</si>
  <si>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</si>
  <si>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</si>
  <si>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</si>
  <si>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</si>
  <si>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</si>
  <si>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</si>
  <si>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</si>
  <si>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</si>
  <si>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</si>
  <si>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</si>
  <si>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</si>
  <si>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</si>
  <si>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</si>
  <si>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</si>
  <si>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</si>
  <si>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</si>
  <si>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</si>
  <si>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</si>
  <si>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</si>
  <si>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</si>
  <si>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</si>
  <si>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</si>
  <si>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</si>
  <si>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</si>
  <si>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</si>
  <si>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</si>
  <si>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</si>
  <si>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</si>
  <si>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</si>
  <si>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</si>
  <si>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</si>
  <si>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</si>
  <si>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</si>
  <si>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</si>
  <si>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</si>
  <si>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</si>
  <si>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</si>
  <si>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</si>
  <si>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</si>
  <si>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_Toevoeging_1</t>
  </si>
  <si>
    <t>_Toevoeging_2</t>
  </si>
  <si>
    <t>_Toevoeging_3</t>
  </si>
  <si>
    <t>_Toevoeging_4</t>
  </si>
  <si>
    <t>_Voeding</t>
  </si>
  <si>
    <t>_Voornaam</t>
  </si>
  <si>
    <t>_Weken</t>
  </si>
  <si>
    <t>Nieuwe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</si>
  <si>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</si>
  <si>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</si>
  <si>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</si>
  <si>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</si>
  <si>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</si>
  <si>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</si>
  <si>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</si>
  <si>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</si>
  <si>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</si>
  <si>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</si>
  <si>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</si>
  <si>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</si>
  <si>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</si>
  <si>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</si>
  <si>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</si>
  <si>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</si>
  <si>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</si>
  <si>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</si>
  <si>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</si>
  <si>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</si>
  <si>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</si>
  <si>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</si>
  <si>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</si>
  <si>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</si>
  <si>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</si>
  <si>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</si>
  <si>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</si>
  <si>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</si>
  <si>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</si>
  <si>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</si>
  <si>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</si>
  <si>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</si>
  <si>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</si>
  <si>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</si>
  <si>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</si>
  <si>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</si>
  <si>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</si>
  <si>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</si>
  <si>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</si>
  <si>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</si>
  <si>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</si>
  <si>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</si>
  <si>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</si>
  <si>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</si>
  <si>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</si>
  <si>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</si>
  <si>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</si>
  <si>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</si>
  <si>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</si>
  <si>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</si>
  <si>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</si>
  <si>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</si>
  <si>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</si>
  <si>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0,05 mg/kg, max 10 mg /dosis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</si>
  <si>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</si>
  <si>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</si>
  <si>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</si>
  <si>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</si>
  <si>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</si>
  <si>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</si>
  <si>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</si>
  <si>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</si>
  <si>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</si>
  <si>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</si>
  <si>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</si>
  <si>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</si>
  <si>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</si>
  <si>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</si>
  <si>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</si>
  <si>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</si>
  <si>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</si>
  <si>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</si>
  <si>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</si>
  <si>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</si>
  <si>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</si>
  <si>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</si>
  <si>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</si>
  <si>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</si>
  <si>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</si>
  <si>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</si>
  <si>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</si>
  <si>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</si>
  <si>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</si>
  <si>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</si>
  <si>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</si>
  <si>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</si>
  <si>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</si>
  <si>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</si>
  <si>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</si>
  <si>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</si>
  <si>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</si>
  <si>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</si>
  <si>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</si>
  <si>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</si>
  <si>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</si>
  <si>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</si>
  <si>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</si>
  <si>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</si>
  <si>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</si>
  <si>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</si>
  <si>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</si>
  <si>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</si>
  <si>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</si>
  <si>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</si>
  <si>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</si>
  <si>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</si>
  <si>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</si>
  <si>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</si>
  <si>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</si>
  <si>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</si>
  <si>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</si>
  <si>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</si>
  <si>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</si>
  <si>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</si>
  <si>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</si>
  <si>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</si>
  <si>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</si>
  <si>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</si>
  <si>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</si>
  <si>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06:00 uur dag 2</t>
  </si>
  <si>
    <t>06:00 uur dag 3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</si>
  <si>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</si>
  <si>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</si>
  <si>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</si>
  <si>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</si>
  <si>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</si>
  <si>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</si>
  <si>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</si>
  <si>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</si>
  <si>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</si>
  <si>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Lab Neo</t>
  </si>
  <si>
    <t>10-100 nanogram/kg/min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</si>
  <si>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</si>
  <si>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</si>
  <si>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</si>
  <si>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</si>
  <si>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</si>
  <si>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</si>
  <si>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</si>
  <si>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</si>
  <si>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</si>
  <si>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</si>
  <si>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</si>
  <si>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</si>
  <si>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</si>
  <si>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</si>
  <si>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</si>
  <si>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</si>
  <si>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</si>
  <si>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</si>
  <si>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</si>
  <si>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</si>
  <si>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Lab14_3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</si>
  <si>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</si>
  <si>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</si>
  <si>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</si>
  <si>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</si>
  <si>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</si>
  <si>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</si>
  <si>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</si>
  <si>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</si>
  <si>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</si>
  <si>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</si>
  <si>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</si>
  <si>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</si>
  <si>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</si>
  <si>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</si>
  <si>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</si>
  <si>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</si>
  <si>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</si>
  <si>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</si>
  <si>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</si>
  <si>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</si>
  <si>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</si>
  <si>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</si>
  <si>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</si>
  <si>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</si>
  <si>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</si>
  <si>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</si>
  <si>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Lab19_3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</si>
  <si>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</si>
  <si>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</si>
  <si>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</si>
  <si>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</si>
  <si>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</si>
  <si>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</si>
  <si>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</si>
  <si>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</si>
  <si>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</si>
  <si>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</si>
  <si>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</si>
  <si>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</si>
  <si>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</si>
  <si>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</si>
  <si>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</si>
  <si>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</si>
  <si>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</si>
  <si>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</si>
  <si>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</si>
  <si>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</si>
  <si>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</si>
  <si>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</si>
  <si>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</si>
  <si>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</si>
  <si>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</si>
  <si>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</si>
  <si>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Lab24_3</t>
  </si>
  <si>
    <t>Lab24_4</t>
  </si>
  <si>
    <t>Lab24_5</t>
  </si>
  <si>
    <t>Lab24_6</t>
  </si>
  <si>
    <t>Lab24_7</t>
  </si>
  <si>
    <t>Lab24_8</t>
  </si>
  <si>
    <t>Lab24_9</t>
  </si>
  <si>
    <t>LabOpn_28</t>
  </si>
  <si>
    <t>LabOpn_29</t>
  </si>
  <si>
    <t>LabOpn_30</t>
  </si>
  <si>
    <t>LabOpn_31</t>
  </si>
  <si>
    <t>LabOpn_32</t>
  </si>
  <si>
    <t>LabDag1_28</t>
  </si>
  <si>
    <t>LabDag1_29</t>
  </si>
  <si>
    <t>LabDag1_30</t>
  </si>
  <si>
    <t>LabDag1_31</t>
  </si>
  <si>
    <t>Lab24_28</t>
  </si>
  <si>
    <t>Lab24_29</t>
  </si>
  <si>
    <t>Lab24_30</t>
  </si>
  <si>
    <t>Lab24_31</t>
  </si>
  <si>
    <t>Lab19_28</t>
  </si>
  <si>
    <t>Lab19_29</t>
  </si>
  <si>
    <t>Lab19_30</t>
  </si>
  <si>
    <t>Lab19_31</t>
  </si>
  <si>
    <t>Lab14_28</t>
  </si>
  <si>
    <t>Lab14_29</t>
  </si>
  <si>
    <t>Lab14_30</t>
  </si>
  <si>
    <t>Lab14_31</t>
  </si>
  <si>
    <t>Arterielijn: 12 ml NaCl 0,45% + hep. (5EH/ml)</t>
  </si>
  <si>
    <t>opmAfsprBlad__15</t>
  </si>
  <si>
    <t>Generic_1</t>
  </si>
  <si>
    <t>Generic_2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</si>
  <si>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</si>
  <si>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</si>
  <si>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</si>
  <si>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</si>
  <si>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</si>
  <si>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</si>
  <si>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</si>
  <si>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</si>
  <si>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</si>
  <si>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</si>
  <si>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</si>
  <si>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</si>
  <si>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</si>
  <si>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</si>
  <si>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</si>
  <si>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</si>
  <si>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</si>
  <si>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</si>
  <si>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</si>
  <si>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</si>
  <si>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</si>
  <si>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</si>
  <si>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</si>
  <si>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</si>
  <si>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</si>
  <si>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</si>
  <si>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</si>
  <si>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</si>
  <si>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</si>
  <si>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</si>
  <si>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</si>
  <si>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</si>
  <si>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</si>
  <si>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</si>
  <si>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</si>
  <si>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</si>
  <si>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</si>
  <si>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</si>
  <si>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</si>
  <si>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</si>
  <si>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</si>
  <si>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</si>
  <si>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</si>
  <si>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</si>
  <si>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</si>
  <si>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</si>
  <si>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</si>
  <si>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</si>
  <si>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</si>
  <si>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</si>
  <si>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</si>
  <si>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</si>
  <si>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</si>
  <si>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</si>
  <si>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</si>
  <si>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</si>
  <si>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</si>
  <si>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</si>
  <si>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</si>
  <si>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</si>
  <si>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</si>
  <si>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</si>
  <si>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</si>
  <si>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</si>
  <si>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</si>
  <si>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</si>
  <si>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</si>
  <si>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</si>
  <si>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</si>
  <si>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</si>
  <si>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</si>
  <si>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</si>
  <si>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</si>
  <si>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</si>
  <si>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</si>
  <si>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</si>
  <si>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</si>
  <si>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</si>
  <si>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</si>
  <si>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</si>
  <si>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</si>
  <si>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</si>
  <si>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</si>
  <si>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</si>
  <si>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</si>
  <si>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</si>
  <si>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</si>
  <si>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</si>
  <si>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</si>
  <si>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</si>
  <si>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</si>
  <si>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</si>
  <si>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</si>
  <si>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</si>
  <si>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</si>
  <si>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</si>
  <si>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</si>
  <si>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</si>
  <si>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</si>
  <si>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</si>
  <si>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</si>
  <si>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</si>
  <si>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</si>
  <si>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</si>
  <si>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</si>
  <si>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</si>
  <si>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</si>
  <si>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</si>
  <si>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</si>
  <si>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</si>
  <si>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</si>
  <si>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</si>
  <si>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</si>
  <si>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</si>
  <si>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</si>
  <si>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</si>
  <si>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</si>
  <si>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</si>
  <si>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</si>
  <si>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</si>
  <si>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</si>
  <si>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</si>
  <si>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</si>
  <si>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</si>
  <si>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</si>
  <si>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</si>
  <si>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</si>
  <si>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</si>
  <si>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</si>
  <si>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</si>
  <si>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</si>
  <si>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</si>
  <si>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</si>
  <si>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</si>
  <si>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</si>
  <si>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</si>
  <si>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</si>
  <si>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</si>
  <si>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</si>
  <si>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</si>
  <si>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</si>
  <si>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</si>
  <si>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</si>
  <si>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</si>
  <si>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</si>
  <si>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</si>
  <si>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</si>
  <si>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</si>
  <si>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</si>
  <si>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</si>
  <si>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</si>
  <si>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</si>
  <si>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</si>
  <si>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</si>
  <si>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</si>
  <si>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</si>
  <si>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</si>
  <si>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</si>
  <si>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</si>
  <si>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</si>
  <si>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</si>
  <si>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</si>
  <si>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</si>
  <si>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</si>
  <si>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</si>
  <si>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</si>
  <si>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</si>
  <si>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</si>
  <si>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</si>
  <si>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</si>
  <si>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</si>
  <si>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</si>
  <si>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</si>
  <si>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</si>
  <si>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</si>
  <si>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</si>
  <si>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</si>
  <si>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</si>
  <si>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</si>
  <si>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</si>
  <si>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</si>
  <si>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</si>
  <si>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</si>
  <si>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</si>
  <si>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</si>
  <si>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</si>
  <si>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</si>
  <si>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</si>
  <si>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</si>
  <si>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</si>
  <si>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</si>
  <si>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</si>
  <si>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</si>
  <si>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</si>
  <si>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</si>
  <si>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</si>
  <si>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</si>
  <si>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</si>
  <si>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</si>
  <si>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</si>
  <si>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</si>
  <si>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</si>
  <si>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</si>
  <si>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</si>
  <si>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</si>
  <si>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</si>
  <si>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</si>
  <si>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</si>
  <si>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</si>
  <si>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</si>
  <si>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</si>
  <si>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</si>
  <si>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</si>
  <si>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</si>
  <si>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</si>
  <si>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</si>
  <si>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</si>
  <si>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</si>
  <si>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</si>
  <si>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</si>
  <si>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</si>
  <si>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_Toevoeging_0</t>
  </si>
  <si>
    <t>_Toevoeging_5</t>
  </si>
  <si>
    <t>_Toevoeging_6</t>
  </si>
  <si>
    <t>_Toevoeging_7</t>
  </si>
  <si>
    <t>_Toevoeging_8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</si>
  <si>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</si>
  <si>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</si>
  <si>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</si>
  <si>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</si>
  <si>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</si>
  <si>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</si>
  <si>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</si>
  <si>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</si>
  <si>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</si>
  <si>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</si>
  <si>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</si>
  <si>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</si>
  <si>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</si>
  <si>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</si>
  <si>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</si>
  <si>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</si>
  <si>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</si>
  <si>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</si>
  <si>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</si>
  <si>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</si>
  <si>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</si>
  <si>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</si>
  <si>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</si>
  <si>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</si>
  <si>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</si>
  <si>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</si>
  <si>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</si>
  <si>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</si>
  <si>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</si>
  <si>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</si>
  <si>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</si>
  <si>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</si>
  <si>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</si>
  <si>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</si>
  <si>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</si>
  <si>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</si>
  <si>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</si>
  <si>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</si>
  <si>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</si>
  <si>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</si>
  <si>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</si>
  <si>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</si>
  <si>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</si>
  <si>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</si>
  <si>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</si>
  <si>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</si>
  <si>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</si>
  <si>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</si>
  <si>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</si>
  <si>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</si>
  <si>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</si>
  <si>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</si>
  <si>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</si>
  <si>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</si>
  <si>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</si>
  <si>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</si>
  <si>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</si>
  <si>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</si>
  <si>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</si>
  <si>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</si>
  <si>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</si>
  <si>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</si>
  <si>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</si>
  <si>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</si>
  <si>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</si>
  <si>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</si>
  <si>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</si>
  <si>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</si>
  <si>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</si>
  <si>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</si>
  <si>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</si>
  <si>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</si>
  <si>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</si>
  <si>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</si>
  <si>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</si>
  <si>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</si>
  <si>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</si>
  <si>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</si>
  <si>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</si>
  <si>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</si>
  <si>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</si>
  <si>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</si>
  <si>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</si>
  <si>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</si>
  <si>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</si>
  <si>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</si>
  <si>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</si>
  <si>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</si>
  <si>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</si>
  <si>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</si>
  <si>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</si>
  <si>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</si>
  <si>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</si>
  <si>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</si>
  <si>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</si>
  <si>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</si>
  <si>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</si>
  <si>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</si>
  <si>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</si>
  <si>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</si>
  <si>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</si>
  <si>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</si>
  <si>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</si>
  <si>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</si>
  <si>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</si>
  <si>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</si>
  <si>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</si>
  <si>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</si>
  <si>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</si>
  <si>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</si>
  <si>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</si>
  <si>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</si>
  <si>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</si>
  <si>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</si>
  <si>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</si>
  <si>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</si>
  <si>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</si>
  <si>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</si>
  <si>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</si>
  <si>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</si>
  <si>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</si>
  <si>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</si>
  <si>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</si>
  <si>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</si>
  <si>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</si>
  <si>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</si>
  <si>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</si>
  <si>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</si>
  <si>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</si>
  <si>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</si>
  <si>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</si>
  <si>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</si>
  <si>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</si>
  <si>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</si>
  <si>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</si>
  <si>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</si>
  <si>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</si>
  <si>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</si>
  <si>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</si>
  <si>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</si>
  <si>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</si>
  <si>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</si>
  <si>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</si>
  <si>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</si>
  <si>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</si>
  <si>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</si>
  <si>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</si>
  <si>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</si>
  <si>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</si>
  <si>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</si>
  <si>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</si>
  <si>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</si>
  <si>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</si>
  <si>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</si>
  <si>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</si>
  <si>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</si>
  <si>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</si>
  <si>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</si>
  <si>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</si>
  <si>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</si>
  <si>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</si>
  <si>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</si>
  <si>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</si>
  <si>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</si>
  <si>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</si>
  <si>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</si>
  <si>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</si>
  <si>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</si>
  <si>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</si>
  <si>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</si>
  <si>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</si>
  <si>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</si>
  <si>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</si>
  <si>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</si>
  <si>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</si>
  <si>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</si>
  <si>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</si>
  <si>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</si>
  <si>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</si>
  <si>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</si>
  <si>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</si>
  <si>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</si>
  <si>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</si>
  <si>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</si>
  <si>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</si>
  <si>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</si>
  <si>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</si>
  <si>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</si>
  <si>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</si>
  <si>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</si>
  <si>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</si>
  <si>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</si>
  <si>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</si>
  <si>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</si>
  <si>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</si>
  <si>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</si>
  <si>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</si>
  <si>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</si>
  <si>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</si>
  <si>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</si>
  <si>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</si>
  <si>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</si>
  <si>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</si>
  <si>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</si>
  <si>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</si>
  <si>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</si>
  <si>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</si>
  <si>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</si>
  <si>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</si>
  <si>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</si>
  <si>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</si>
  <si>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</si>
  <si>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</si>
  <si>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</si>
  <si>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</si>
  <si>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</si>
  <si>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</si>
  <si>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</si>
  <si>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</si>
  <si>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</si>
  <si>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</si>
  <si>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</si>
  <si>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</si>
  <si>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</si>
  <si>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</si>
  <si>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</si>
  <si>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</si>
  <si>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</si>
  <si>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</si>
  <si>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</si>
  <si>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</si>
  <si>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</si>
  <si>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</si>
  <si>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</si>
  <si>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</si>
  <si>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</si>
  <si>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</si>
  <si>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</si>
  <si>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</si>
  <si>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</si>
  <si>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</si>
  <si>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</si>
  <si>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</si>
  <si>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</si>
  <si>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</si>
  <si>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</si>
  <si>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</si>
  <si>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</si>
  <si>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</si>
  <si>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</si>
  <si>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</si>
  <si>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</si>
  <si>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</si>
  <si>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</si>
  <si>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</si>
  <si>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</si>
  <si>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</si>
  <si>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</si>
  <si>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</si>
  <si>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</si>
  <si>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</si>
  <si>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</si>
  <si>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</si>
  <si>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</si>
  <si>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</si>
  <si>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</si>
  <si>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</si>
  <si>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</si>
  <si>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</si>
  <si>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</si>
  <si>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</si>
  <si>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</si>
  <si>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</si>
  <si>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</si>
  <si>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</si>
  <si>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</si>
  <si>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</si>
  <si>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</si>
  <si>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</si>
  <si>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</si>
  <si>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</si>
  <si>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</si>
  <si>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</si>
  <si>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</si>
  <si>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</si>
  <si>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</si>
  <si>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</si>
  <si>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</si>
  <si>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</si>
  <si>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</si>
  <si>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</si>
  <si>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</si>
  <si>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</si>
  <si>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</si>
  <si>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</si>
  <si>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</si>
  <si>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</si>
  <si>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</si>
  <si>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</si>
  <si>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</si>
  <si>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</si>
  <si>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</si>
  <si>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</si>
  <si>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</si>
  <si>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</si>
  <si>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</si>
  <si>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</si>
  <si>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</si>
  <si>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</si>
  <si>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</si>
  <si>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</si>
  <si>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</si>
  <si>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</si>
  <si>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</si>
  <si>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</si>
  <si>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</si>
  <si>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</si>
  <si>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</si>
  <si>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</si>
  <si>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</si>
  <si>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</si>
  <si>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</si>
  <si>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</si>
  <si>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</si>
  <si>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</si>
  <si>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</si>
  <si>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</si>
  <si>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</si>
  <si>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</si>
  <si>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</si>
  <si>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</si>
  <si>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</si>
  <si>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</si>
  <si>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</si>
  <si>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</si>
  <si>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</si>
  <si>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</si>
  <si>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</si>
  <si>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</si>
  <si>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</si>
  <si>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</si>
  <si>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</si>
  <si>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</si>
  <si>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</si>
  <si>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</si>
  <si>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</si>
  <si>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</si>
  <si>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</si>
  <si>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</si>
  <si>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</si>
  <si>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</si>
  <si>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</si>
  <si>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</si>
  <si>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</si>
  <si>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</si>
  <si>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</si>
  <si>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</si>
  <si>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</si>
  <si>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</si>
  <si>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</si>
  <si>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</si>
  <si>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</si>
  <si>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</si>
  <si>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</si>
  <si>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</si>
  <si>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</si>
  <si>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</si>
  <si>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</si>
  <si>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</si>
  <si>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</si>
  <si>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</si>
  <si>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</si>
  <si>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</si>
  <si>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</si>
  <si>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</si>
  <si>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</si>
  <si>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</si>
  <si>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</si>
  <si>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</si>
  <si>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</si>
  <si>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</si>
  <si>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</si>
  <si>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</si>
  <si>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</si>
  <si>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</si>
  <si>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</si>
  <si>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</si>
  <si>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</si>
  <si>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</si>
  <si>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</si>
  <si>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</si>
  <si>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</si>
  <si>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</si>
  <si>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</si>
  <si>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</si>
  <si>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</si>
  <si>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</si>
  <si>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</si>
  <si>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</si>
  <si>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</si>
  <si>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</si>
  <si>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</si>
  <si>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</si>
  <si>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</si>
  <si>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</si>
  <si>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</si>
  <si>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</si>
  <si>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</si>
  <si>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</si>
  <si>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</si>
  <si>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</si>
  <si>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</si>
  <si>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</si>
  <si>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</si>
  <si>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</si>
  <si>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</si>
  <si>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</si>
  <si>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</si>
  <si>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</si>
  <si>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</si>
  <si>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</si>
  <si>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</si>
  <si>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</si>
  <si>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</si>
  <si>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</si>
  <si>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</si>
  <si>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</si>
  <si>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</si>
  <si>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</si>
  <si>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</si>
  <si>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</si>
  <si>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</si>
  <si>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</si>
  <si>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</si>
  <si>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</si>
  <si>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</si>
  <si>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</si>
  <si>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</si>
  <si>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</si>
  <si>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</si>
  <si>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</si>
  <si>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</si>
  <si>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</si>
  <si>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</si>
  <si>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</si>
  <si>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</si>
  <si>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</si>
  <si>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</si>
  <si>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</si>
  <si>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</si>
  <si>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</si>
  <si>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</si>
  <si>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</si>
  <si>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</si>
  <si>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</si>
  <si>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</si>
  <si>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</si>
  <si>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</si>
  <si>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</si>
  <si>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</si>
  <si>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</si>
  <si>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</si>
  <si>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</si>
  <si>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</si>
  <si>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</si>
  <si>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</si>
  <si>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</si>
  <si>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</si>
  <si>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</si>
  <si>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</si>
  <si>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</si>
  <si>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</si>
  <si>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</si>
  <si>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</si>
  <si>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</si>
  <si>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</si>
  <si>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</si>
  <si>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</si>
  <si>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</si>
  <si>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</si>
  <si>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</si>
  <si>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</si>
  <si>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</si>
  <si>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</si>
  <si>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</si>
  <si>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</si>
  <si>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</si>
  <si>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</si>
  <si>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</si>
  <si>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</si>
  <si>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</si>
  <si>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</si>
  <si>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</si>
  <si>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</si>
  <si>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</si>
  <si>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</si>
  <si>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</si>
  <si>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</si>
  <si>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</si>
  <si>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LabNeoOpn_32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</si>
  <si>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</si>
  <si>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</si>
  <si>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</si>
  <si>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</si>
  <si>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</si>
  <si>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</si>
  <si>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</si>
  <si>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</si>
  <si>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</si>
  <si>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</si>
  <si>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</si>
  <si>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</si>
  <si>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</si>
  <si>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</si>
  <si>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</si>
  <si>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</si>
  <si>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</si>
  <si>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</si>
  <si>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</si>
  <si>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</si>
  <si>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</si>
  <si>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</si>
  <si>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</si>
  <si>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</si>
  <si>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</si>
  <si>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</si>
  <si>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</si>
  <si>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</si>
  <si>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</si>
  <si>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</si>
  <si>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</si>
  <si>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</si>
  <si>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</si>
  <si>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</si>
  <si>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</si>
  <si>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</si>
  <si>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</si>
  <si>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</si>
  <si>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</si>
  <si>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</si>
  <si>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</si>
  <si>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</si>
  <si>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</si>
  <si>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</si>
  <si>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</si>
  <si>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</si>
  <si>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</si>
  <si>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</si>
  <si>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</si>
  <si>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</si>
  <si>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</si>
  <si>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</si>
  <si>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</si>
  <si>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</si>
  <si>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</si>
  <si>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</si>
  <si>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</si>
  <si>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</si>
  <si>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</si>
  <si>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</si>
  <si>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</si>
  <si>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</si>
  <si>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</si>
  <si>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</si>
  <si>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</si>
  <si>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</si>
  <si>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</si>
  <si>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</si>
  <si>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</si>
  <si>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</si>
  <si>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</si>
  <si>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</si>
  <si>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</si>
  <si>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</si>
  <si>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</si>
  <si>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</si>
  <si>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</si>
  <si>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</si>
  <si>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</si>
  <si>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</si>
  <si>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</si>
  <si>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</si>
  <si>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</si>
  <si>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</si>
  <si>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</si>
  <si>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</si>
  <si>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</si>
  <si>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</si>
  <si>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 xml:space="preserve">iv                            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</si>
  <si>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</si>
  <si>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</si>
  <si>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</si>
  <si>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</si>
  <si>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</si>
  <si>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</si>
  <si>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</si>
  <si>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</si>
  <si>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</si>
  <si>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</si>
  <si>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</si>
  <si>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</si>
  <si>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</si>
  <si>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</si>
  <si>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</si>
  <si>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</si>
  <si>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</si>
  <si>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</si>
  <si>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</si>
  <si>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</si>
  <si>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</si>
  <si>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</si>
  <si>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</si>
  <si>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</si>
  <si>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</si>
  <si>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</si>
  <si>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</si>
  <si>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</si>
  <si>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</si>
  <si>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</si>
  <si>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</si>
  <si>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</si>
  <si>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</si>
  <si>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</si>
  <si>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</si>
  <si>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</si>
  <si>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</si>
  <si>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</si>
  <si>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</si>
  <si>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</si>
  <si>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</si>
  <si>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</si>
  <si>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</si>
  <si>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</si>
  <si>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</si>
  <si>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</si>
  <si>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</si>
  <si>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</si>
  <si>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</si>
  <si>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</si>
  <si>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</si>
  <si>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</si>
  <si>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</si>
  <si>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</si>
  <si>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</si>
  <si>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</si>
  <si>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</si>
  <si>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</si>
  <si>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</si>
  <si>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</si>
  <si>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</si>
  <si>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</si>
  <si>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</si>
  <si>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</si>
  <si>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</si>
  <si>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</si>
  <si>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</si>
  <si>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</si>
  <si>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</si>
  <si>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</si>
  <si>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</si>
  <si>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</si>
  <si>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</si>
  <si>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</si>
  <si>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</si>
  <si>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</si>
  <si>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</si>
  <si>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</si>
  <si>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</si>
  <si>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</si>
  <si>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</si>
  <si>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</si>
  <si>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</si>
  <si>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</si>
  <si>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</si>
  <si>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</si>
  <si>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</si>
  <si>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</si>
  <si>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</si>
  <si>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</si>
  <si>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</si>
  <si>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</si>
  <si>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</si>
  <si>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</si>
  <si>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</si>
  <si>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</si>
  <si>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</si>
  <si>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</si>
  <si>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</si>
  <si>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</si>
  <si>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</si>
  <si>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</si>
  <si>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</si>
  <si>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</si>
  <si>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</si>
  <si>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</si>
  <si>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</si>
  <si>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</si>
  <si>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</si>
  <si>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</si>
  <si>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</si>
  <si>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</si>
  <si>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</si>
  <si>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</si>
  <si>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</si>
  <si>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</si>
  <si>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</si>
  <si>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</si>
  <si>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</si>
  <si>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</si>
  <si>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</si>
  <si>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</si>
  <si>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</si>
  <si>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</si>
  <si>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</si>
  <si>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</si>
  <si>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</si>
  <si>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</si>
  <si>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</si>
  <si>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</si>
  <si>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</si>
  <si>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</si>
  <si>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</si>
  <si>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</si>
  <si>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</si>
  <si>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</si>
  <si>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</si>
  <si>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</si>
  <si>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</si>
  <si>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</si>
  <si>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</si>
  <si>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Doxapram (Dopram)</t>
  </si>
  <si>
    <t>0,5-2 mg/kg/uur</t>
  </si>
  <si>
    <t>AanvullendNeoBool_FototherapieStop</t>
  </si>
  <si>
    <t>AanvullendNeoData_AantalLampen</t>
  </si>
  <si>
    <t>Voeding via gastrostoma</t>
  </si>
  <si>
    <t>Aalderen</t>
  </si>
  <si>
    <t>Lieke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</si>
  <si>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</si>
  <si>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</si>
  <si>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</si>
  <si>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</si>
  <si>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</si>
  <si>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</si>
  <si>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</si>
  <si>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</si>
  <si>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SelectedIntralipidSmof</t>
  </si>
  <si>
    <t xml:space="preserve">gentamicine 10 mg/ml          </t>
  </si>
  <si>
    <t>Augmentin (comb.prep.) (amoxicilline + clavulaanzuur)</t>
  </si>
  <si>
    <t xml:space="preserve">Natriumbicarbonaat (natriumwaterstof­carbonaat) 4.2 ml            </t>
  </si>
  <si>
    <t xml:space="preserve">paracetamol 60 mg/zetp        </t>
  </si>
  <si>
    <t xml:space="preserve">Pyridoxini HCl (pyridoxine) 50 mg/tabl        </t>
  </si>
  <si>
    <t xml:space="preserve">rect                          </t>
  </si>
  <si>
    <t xml:space="preserve">or                            </t>
  </si>
  <si>
    <t>eenmaal per 36u</t>
  </si>
  <si>
    <t>4,2%</t>
  </si>
  <si>
    <t>gentamicine</t>
  </si>
  <si>
    <t>amoxicilline+clavulaanzuur</t>
  </si>
  <si>
    <t>natriumwaterstof­carbonaat</t>
  </si>
  <si>
    <t>paracetamol</t>
  </si>
  <si>
    <t>pyridoxine</t>
  </si>
  <si>
    <t>PICC</t>
  </si>
  <si>
    <t>SelectedIntralipidSmof1700</t>
  </si>
  <si>
    <t>Zaterdag 08:00 uur</t>
  </si>
  <si>
    <t>Maandag 08:00 uur</t>
  </si>
  <si>
    <t>Zondag 08:00 uur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</si>
  <si>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</si>
  <si>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</si>
  <si>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</si>
  <si>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</si>
  <si>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</si>
  <si>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</si>
  <si>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</si>
  <si>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</si>
  <si>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</si>
  <si>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</si>
  <si>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</si>
  <si>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</si>
  <si>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</si>
  <si>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</si>
  <si>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</si>
  <si>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</si>
  <si>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</si>
  <si>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</si>
  <si>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</si>
  <si>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</si>
  <si>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</si>
  <si>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</si>
  <si>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</si>
  <si>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</si>
  <si>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</si>
  <si>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</si>
  <si>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</si>
  <si>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</si>
  <si>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</si>
  <si>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</si>
  <si>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</si>
  <si>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</si>
  <si>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</si>
  <si>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</si>
  <si>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</si>
  <si>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</si>
  <si>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</si>
  <si>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</si>
  <si>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</si>
  <si>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</si>
  <si>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</si>
  <si>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</si>
  <si>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</si>
  <si>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</si>
  <si>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</si>
  <si>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</si>
  <si>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</si>
  <si>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</si>
  <si>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</si>
  <si>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</si>
  <si>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</si>
  <si>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</si>
  <si>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</si>
  <si>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</si>
  <si>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</si>
  <si>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</si>
  <si>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</si>
  <si>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</si>
  <si>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</si>
  <si>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</si>
  <si>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</si>
  <si>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</si>
  <si>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SMOF 20% (incl vitintra)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</si>
  <si>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</si>
  <si>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</si>
  <si>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</si>
  <si>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</si>
  <si>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</si>
  <si>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</si>
  <si>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</si>
  <si>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</si>
  <si>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</si>
  <si>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</si>
  <si>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</si>
  <si>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</si>
  <si>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</si>
  <si>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</si>
  <si>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</si>
  <si>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</si>
  <si>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</si>
  <si>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</si>
  <si>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</si>
  <si>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</si>
  <si>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</si>
  <si>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</si>
  <si>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</si>
  <si>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</si>
  <si>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</si>
  <si>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</si>
  <si>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</si>
  <si>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</si>
  <si>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</si>
  <si>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</si>
  <si>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</si>
  <si>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</si>
  <si>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</si>
  <si>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</si>
  <si>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</si>
  <si>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</si>
  <si>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</si>
  <si>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</si>
  <si>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</si>
  <si>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</si>
  <si>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</si>
  <si>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</si>
  <si>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</si>
  <si>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</si>
  <si>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</si>
  <si>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</si>
  <si>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</si>
  <si>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</si>
  <si>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</si>
  <si>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</si>
  <si>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</si>
  <si>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</si>
  <si>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</si>
  <si>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</si>
  <si>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</si>
  <si>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</si>
  <si>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</si>
  <si>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</si>
  <si>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</si>
  <si>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</si>
  <si>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</si>
  <si>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</si>
  <si>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</si>
  <si>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</si>
  <si>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</si>
  <si>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</si>
  <si>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</si>
  <si>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</si>
  <si>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</si>
  <si>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</si>
  <si>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</si>
  <si>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</si>
  <si>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</si>
  <si>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</si>
  <si>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</si>
  <si>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</si>
  <si>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</si>
  <si>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</si>
  <si>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</si>
  <si>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</si>
  <si>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</si>
  <si>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</si>
  <si>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</si>
  <si>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</si>
  <si>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</si>
  <si>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</si>
  <si>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</si>
  <si>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</si>
  <si>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</si>
  <si>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</si>
  <si>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</si>
  <si>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</si>
  <si>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</si>
  <si>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</si>
  <si>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</si>
  <si>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</si>
  <si>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</si>
  <si>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</si>
  <si>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</si>
  <si>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</si>
  <si>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</si>
  <si>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</si>
  <si>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</si>
  <si>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</si>
  <si>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</si>
  <si>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</si>
  <si>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</si>
  <si>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</si>
  <si>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</si>
  <si>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</si>
  <si>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</si>
  <si>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</si>
  <si>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</si>
  <si>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</si>
  <si>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</si>
  <si>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</si>
  <si>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</si>
  <si>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</si>
  <si>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</si>
  <si>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</si>
  <si>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</si>
  <si>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</si>
  <si>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</si>
  <si>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</si>
  <si>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</si>
  <si>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</si>
  <si>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</si>
  <si>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</si>
  <si>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</si>
  <si>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</si>
  <si>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Gewicht min(Kg)</t>
  </si>
  <si>
    <t>Gewicht max(Kg)</t>
  </si>
  <si>
    <t>Navelvenelijn</t>
  </si>
  <si>
    <t>Navelarterielijn</t>
  </si>
  <si>
    <t>Unit 1.1</t>
  </si>
  <si>
    <t/>
  </si>
  <si>
    <t>Unit 1.2</t>
  </si>
  <si>
    <t>Reker</t>
  </si>
  <si>
    <t>Lisanne</t>
  </si>
  <si>
    <t>Unit 1.3</t>
  </si>
  <si>
    <t>Haan de</t>
  </si>
  <si>
    <t>Dean</t>
  </si>
  <si>
    <t>Unit 1.4</t>
  </si>
  <si>
    <t>Unit 1.5</t>
  </si>
  <si>
    <t>Unit 1.6</t>
  </si>
  <si>
    <t>Laar van</t>
  </si>
  <si>
    <t>Sarah</t>
  </si>
  <si>
    <t>Unit 1.7</t>
  </si>
  <si>
    <t>Liesker</t>
  </si>
  <si>
    <t>Thom</t>
  </si>
  <si>
    <t>Unit 1.8</t>
  </si>
  <si>
    <t>Weber</t>
  </si>
  <si>
    <t>Fenna</t>
  </si>
  <si>
    <t>Unit 1.9</t>
  </si>
  <si>
    <t>Unit 2.1</t>
  </si>
  <si>
    <t>Unit 2.2</t>
  </si>
  <si>
    <t>Unit 2.3</t>
  </si>
  <si>
    <t>van Dijk</t>
  </si>
  <si>
    <t>Daniek</t>
  </si>
  <si>
    <t>Unit 2.4</t>
  </si>
  <si>
    <t>pietje</t>
  </si>
  <si>
    <t>puk</t>
  </si>
  <si>
    <t>Unit 2.5</t>
  </si>
  <si>
    <t>Unit 2.6</t>
  </si>
  <si>
    <t>Unit 2.7</t>
  </si>
  <si>
    <t>Unit 2.8</t>
  </si>
  <si>
    <t>Unit 2.9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</si>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</sst>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dd/mmm/yy"/>
    <numFmt numFmtId="171" formatCode="00"/>
    <numFmt numFmtId="172" formatCode="dd/mm/yy"/>
    <numFmt numFmtId="173" formatCode="#,##0.000"/>
    <numFmt numFmtId="174" formatCode="d\ mmmm\ \y\y\y\y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8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4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9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  <xf numFmtId="0" fontId="9" fillId="0" borderId="0"/>
    <xf numFmtId="0" fontId="9" fillId="0" borderId="0"/>
    <xf numFmtId="0" fontId="8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7" fillId="0" borderId="0"/>
    <xf numFmtId="0" fontId="6" fillId="0" borderId="0"/>
    <xf numFmtId="0" fontId="9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6" fillId="0" borderId="0"/>
    <xf numFmtId="0" fontId="6" fillId="0" borderId="0"/>
    <xf numFmtId="0" fontId="9" fillId="0" borderId="0"/>
    <xf numFmtId="0" fontId="5" fillId="0" borderId="0"/>
    <xf numFmtId="0" fontId="9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27">
    <xf numFmtId="0" fontId="0" fillId="0" borderId="0" xfId="0"/>
    <xf numFmtId="0" fontId="0" fillId="0" borderId="0" xfId="0" applyAlignment="1">
      <alignment horizontal="left"/>
    </xf>
    <xf numFmtId="0" fontId="10" fillId="24" borderId="0" xfId="0" applyFont="1" applyFill="1"/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0" fontId="10" fillId="24" borderId="0" xfId="0" applyFont="1" applyFill="1" applyProtection="1"/>
    <xf numFmtId="0" fontId="16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Fill="1" applyBorder="1" applyProtection="1"/>
    <xf numFmtId="0" fontId="21" fillId="25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1" fillId="0" borderId="14" xfId="0" applyFont="1" applyBorder="1" applyAlignment="1">
      <alignment horizontal="center" vertical="top" wrapText="1"/>
    </xf>
    <xf numFmtId="0" fontId="21" fillId="0" borderId="0" xfId="0" applyFont="1" applyFill="1" applyBorder="1" applyAlignment="1"/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1" fillId="0" borderId="0" xfId="0" applyFont="1" applyFill="1" applyBorder="1" applyAlignment="1">
      <alignment horizontal="left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6" borderId="7" xfId="0" applyFont="1" applyFill="1" applyBorder="1" applyAlignment="1">
      <alignment wrapText="1"/>
    </xf>
    <xf numFmtId="0" fontId="18" fillId="26" borderId="32" xfId="0" applyFont="1" applyFill="1" applyBorder="1"/>
    <xf numFmtId="0" fontId="18" fillId="26" borderId="33" xfId="0" applyFont="1" applyFill="1" applyBorder="1"/>
    <xf numFmtId="0" fontId="18" fillId="26" borderId="34" xfId="0" applyFont="1" applyFill="1" applyBorder="1"/>
    <xf numFmtId="0" fontId="23" fillId="26" borderId="7" xfId="0" quotePrefix="1" applyNumberFormat="1" applyFont="1" applyFill="1" applyBorder="1"/>
    <xf numFmtId="0" fontId="23" fillId="26" borderId="35" xfId="0" quotePrefix="1" applyNumberFormat="1" applyFont="1" applyFill="1" applyBorder="1"/>
    <xf numFmtId="0" fontId="0" fillId="26" borderId="7" xfId="0" applyFill="1" applyBorder="1"/>
    <xf numFmtId="0" fontId="20" fillId="26" borderId="7" xfId="0" applyFont="1" applyFill="1" applyBorder="1"/>
    <xf numFmtId="16" fontId="20" fillId="26" borderId="7" xfId="0" applyNumberFormat="1" applyFont="1" applyFill="1" applyBorder="1" applyAlignment="1">
      <alignment horizontal="center" vertical="center" wrapText="1"/>
    </xf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19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19" fillId="26" borderId="0" xfId="0" applyNumberFormat="1" applyFont="1" applyFill="1" applyBorder="1" applyAlignment="1" applyProtection="1">
      <alignment horizontal="left"/>
      <protection locked="0"/>
    </xf>
    <xf numFmtId="0" fontId="19" fillId="26" borderId="0" xfId="0" applyFont="1" applyFill="1" applyBorder="1" applyAlignment="1" applyProtection="1">
      <alignment horizontal="left"/>
      <protection locked="0"/>
    </xf>
    <xf numFmtId="0" fontId="19" fillId="26" borderId="0" xfId="0" applyFont="1" applyFill="1" applyBorder="1" applyAlignment="1">
      <alignment horizontal="left"/>
    </xf>
    <xf numFmtId="0" fontId="13" fillId="26" borderId="0" xfId="0" applyFont="1" applyFill="1" applyBorder="1"/>
    <xf numFmtId="1" fontId="19" fillId="26" borderId="0" xfId="0" applyNumberFormat="1" applyFont="1" applyFill="1" applyBorder="1" applyAlignment="1">
      <alignment horizontal="left"/>
    </xf>
    <xf numFmtId="0" fontId="13" fillId="27" borderId="0" xfId="0" applyFont="1" applyFill="1"/>
    <xf numFmtId="0" fontId="13" fillId="27" borderId="0" xfId="0" applyFont="1" applyFill="1" applyBorder="1"/>
    <xf numFmtId="0" fontId="13" fillId="27" borderId="0" xfId="0" applyFont="1" applyFill="1" applyAlignment="1">
      <alignment horizontal="left"/>
    </xf>
    <xf numFmtId="14" fontId="29" fillId="27" borderId="0" xfId="0" applyNumberFormat="1" applyFont="1" applyFill="1" applyAlignment="1">
      <alignment horizontal="left" vertical="center"/>
    </xf>
    <xf numFmtId="0" fontId="19" fillId="27" borderId="0" xfId="0" applyFont="1" applyFill="1" applyAlignment="1">
      <alignment horizontal="left"/>
    </xf>
    <xf numFmtId="0" fontId="19" fillId="27" borderId="0" xfId="0" applyNumberFormat="1" applyFont="1" applyFill="1"/>
    <xf numFmtId="0" fontId="19" fillId="27" borderId="0" xfId="0" applyFont="1" applyFill="1" applyAlignment="1">
      <alignment horizontal="center"/>
    </xf>
    <xf numFmtId="0" fontId="19" fillId="27" borderId="0" xfId="0" applyFont="1" applyFill="1"/>
    <xf numFmtId="0" fontId="13" fillId="27" borderId="36" xfId="0" applyFont="1" applyFill="1" applyBorder="1" applyAlignment="1">
      <alignment horizontal="left"/>
    </xf>
    <xf numFmtId="0" fontId="13" fillId="27" borderId="36" xfId="0" applyFont="1" applyFill="1" applyBorder="1"/>
    <xf numFmtId="0" fontId="13" fillId="27" borderId="36" xfId="0" applyFont="1" applyFill="1" applyBorder="1" applyAlignment="1"/>
    <xf numFmtId="0" fontId="13" fillId="27" borderId="36" xfId="0" applyNumberFormat="1" applyFont="1" applyFill="1" applyBorder="1"/>
    <xf numFmtId="0" fontId="13" fillId="27" borderId="0" xfId="0" applyFont="1" applyFill="1" applyAlignment="1">
      <alignment wrapText="1"/>
    </xf>
    <xf numFmtId="14" fontId="13" fillId="27" borderId="0" xfId="0" applyNumberFormat="1" applyFont="1" applyFill="1" applyAlignment="1">
      <alignment horizontal="left"/>
    </xf>
    <xf numFmtId="0" fontId="10" fillId="0" borderId="0" xfId="0" applyFont="1" applyFill="1" applyProtection="1"/>
    <xf numFmtId="0" fontId="21" fillId="26" borderId="0" xfId="0" applyFont="1" applyFill="1" applyProtection="1"/>
    <xf numFmtId="0" fontId="21" fillId="26" borderId="0" xfId="0" applyFont="1" applyFill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1" fillId="0" borderId="0" xfId="0" applyFont="1" applyFill="1" applyBorder="1" applyProtection="1"/>
    <xf numFmtId="0" fontId="17" fillId="0" borderId="0" xfId="0" applyFont="1" applyFill="1" applyBorder="1" applyProtection="1"/>
    <xf numFmtId="0" fontId="21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1" fontId="12" fillId="0" borderId="0" xfId="0" applyNumberFormat="1" applyFont="1" applyFill="1" applyBorder="1" applyAlignment="1">
      <alignment horizontal="left"/>
    </xf>
    <xf numFmtId="0" fontId="12" fillId="0" borderId="0" xfId="0" applyFont="1" applyFill="1" applyBorder="1" applyAlignment="1" applyProtection="1">
      <alignment horizontal="center"/>
    </xf>
    <xf numFmtId="0" fontId="21" fillId="0" borderId="0" xfId="0" applyFont="1" applyFill="1" applyAlignment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12" fillId="0" borderId="36" xfId="0" applyFont="1" applyFill="1" applyBorder="1" applyAlignment="1" applyProtection="1">
      <alignment horizontal="center"/>
      <protection locked="0"/>
    </xf>
    <xf numFmtId="0" fontId="12" fillId="0" borderId="38" xfId="0" applyFont="1" applyFill="1" applyBorder="1" applyAlignment="1" applyProtection="1">
      <alignment horizontal="center"/>
      <protection locked="0"/>
    </xf>
    <xf numFmtId="0" fontId="12" fillId="0" borderId="38" xfId="0" applyFont="1" applyFill="1" applyBorder="1" applyProtection="1"/>
    <xf numFmtId="0" fontId="21" fillId="0" borderId="38" xfId="0" applyFont="1" applyFill="1" applyBorder="1" applyProtection="1"/>
    <xf numFmtId="0" fontId="12" fillId="0" borderId="37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Alignment="1" applyProtection="1">
      <alignment horizontal="left"/>
    </xf>
    <xf numFmtId="0" fontId="15" fillId="0" borderId="0" xfId="0" applyFont="1" applyFill="1" applyBorder="1" applyProtection="1"/>
    <xf numFmtId="0" fontId="15" fillId="27" borderId="0" xfId="0" applyFont="1" applyFill="1" applyProtection="1"/>
    <xf numFmtId="0" fontId="12" fillId="0" borderId="36" xfId="0" applyFont="1" applyFill="1" applyBorder="1" applyAlignment="1" applyProtection="1">
      <alignment horizontal="left"/>
    </xf>
    <xf numFmtId="0" fontId="17" fillId="25" borderId="0" xfId="0" applyFont="1" applyFill="1" applyBorder="1" applyProtection="1"/>
    <xf numFmtId="0" fontId="21" fillId="26" borderId="0" xfId="0" applyFont="1" applyFill="1" applyBorder="1"/>
    <xf numFmtId="0" fontId="15" fillId="28" borderId="0" xfId="0" applyFont="1" applyFill="1" applyBorder="1" applyProtection="1"/>
    <xf numFmtId="0" fontId="17" fillId="28" borderId="0" xfId="0" applyFont="1" applyFill="1" applyBorder="1" applyProtection="1"/>
    <xf numFmtId="0" fontId="15" fillId="28" borderId="0" xfId="0" applyFont="1" applyFill="1" applyProtection="1"/>
    <xf numFmtId="0" fontId="31" fillId="0" borderId="36" xfId="0" applyFont="1" applyFill="1" applyBorder="1" applyProtection="1"/>
    <xf numFmtId="0" fontId="31" fillId="0" borderId="37" xfId="0" applyFont="1" applyFill="1" applyBorder="1" applyProtection="1"/>
    <xf numFmtId="0" fontId="31" fillId="0" borderId="0" xfId="0" applyFont="1" applyFill="1" applyBorder="1" applyProtection="1"/>
    <xf numFmtId="166" fontId="21" fillId="26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left" vertical="center" wrapText="1"/>
    </xf>
    <xf numFmtId="0" fontId="32" fillId="26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6" borderId="0" xfId="0" applyFont="1" applyFill="1" applyBorder="1" applyProtection="1"/>
    <xf numFmtId="0" fontId="30" fillId="26" borderId="0" xfId="0" applyFont="1" applyFill="1" applyBorder="1" applyProtection="1"/>
    <xf numFmtId="0" fontId="17" fillId="25" borderId="39" xfId="0" applyFont="1" applyFill="1" applyBorder="1" applyProtection="1"/>
    <xf numFmtId="0" fontId="12" fillId="0" borderId="39" xfId="0" applyFont="1" applyFill="1" applyBorder="1" applyProtection="1"/>
    <xf numFmtId="0" fontId="21" fillId="0" borderId="39" xfId="0" applyFont="1" applyFill="1" applyBorder="1" applyProtection="1"/>
    <xf numFmtId="0" fontId="17" fillId="25" borderId="40" xfId="0" applyFont="1" applyFill="1" applyBorder="1" applyProtection="1"/>
    <xf numFmtId="0" fontId="12" fillId="0" borderId="40" xfId="0" applyFont="1" applyFill="1" applyBorder="1" applyProtection="1"/>
    <xf numFmtId="0" fontId="21" fillId="0" borderId="40" xfId="0" applyFont="1" applyFill="1" applyBorder="1" applyProtection="1"/>
    <xf numFmtId="0" fontId="21" fillId="25" borderId="40" xfId="0" applyFont="1" applyFill="1" applyBorder="1" applyProtection="1"/>
    <xf numFmtId="0" fontId="13" fillId="0" borderId="0" xfId="0" applyFont="1" applyFill="1" applyProtection="1"/>
    <xf numFmtId="0" fontId="19" fillId="0" borderId="0" xfId="0" applyFont="1" applyFill="1" applyProtection="1"/>
    <xf numFmtId="0" fontId="13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1" fillId="26" borderId="0" xfId="0" applyNumberFormat="1" applyFont="1" applyFill="1" applyBorder="1" applyAlignment="1" applyProtection="1">
      <alignment horizontal="left"/>
    </xf>
    <xf numFmtId="0" fontId="21" fillId="26" borderId="0" xfId="0" applyFont="1" applyFill="1" applyBorder="1" applyAlignment="1">
      <alignment horizontal="right"/>
    </xf>
    <xf numFmtId="0" fontId="21" fillId="26" borderId="41" xfId="0" applyFont="1" applyFill="1" applyBorder="1" applyAlignment="1">
      <alignment horizontal="right"/>
    </xf>
    <xf numFmtId="0" fontId="21" fillId="0" borderId="0" xfId="0" applyFont="1" applyFill="1" applyBorder="1" applyAlignment="1">
      <alignment horizontal="right"/>
    </xf>
    <xf numFmtId="0" fontId="12" fillId="0" borderId="0" xfId="0" applyFont="1" applyFill="1" applyBorder="1"/>
    <xf numFmtId="0" fontId="21" fillId="0" borderId="0" xfId="0" applyFont="1" applyFill="1" applyAlignment="1">
      <alignment horizontal="right"/>
    </xf>
    <xf numFmtId="0" fontId="21" fillId="0" borderId="42" xfId="0" applyFont="1" applyFill="1" applyBorder="1"/>
    <xf numFmtId="0" fontId="21" fillId="0" borderId="43" xfId="0" applyFont="1" applyFill="1" applyBorder="1"/>
    <xf numFmtId="49" fontId="21" fillId="0" borderId="0" xfId="0" applyNumberFormat="1" applyFont="1" applyFill="1" applyBorder="1" applyAlignment="1">
      <alignment horizontal="left" vertical="top" wrapText="1"/>
    </xf>
    <xf numFmtId="0" fontId="12" fillId="0" borderId="0" xfId="0" applyFont="1" applyFill="1" applyAlignment="1">
      <alignment horizontal="center"/>
    </xf>
    <xf numFmtId="0" fontId="17" fillId="0" borderId="0" xfId="0" applyFont="1" applyFill="1"/>
    <xf numFmtId="0" fontId="33" fillId="0" borderId="0" xfId="0" applyFont="1" applyFill="1" applyBorder="1"/>
    <xf numFmtId="0" fontId="21" fillId="0" borderId="42" xfId="0" applyFont="1" applyFill="1" applyBorder="1" applyAlignment="1">
      <alignment horizontal="center"/>
    </xf>
    <xf numFmtId="0" fontId="21" fillId="0" borderId="42" xfId="0" applyFont="1" applyFill="1" applyBorder="1" applyAlignment="1">
      <alignment horizontal="left"/>
    </xf>
    <xf numFmtId="0" fontId="12" fillId="0" borderId="42" xfId="0" applyFont="1" applyFill="1" applyBorder="1"/>
    <xf numFmtId="0" fontId="12" fillId="0" borderId="44" xfId="0" applyFont="1" applyFill="1" applyBorder="1"/>
    <xf numFmtId="0" fontId="21" fillId="0" borderId="44" xfId="0" applyFont="1" applyFill="1" applyBorder="1"/>
    <xf numFmtId="0" fontId="12" fillId="0" borderId="45" xfId="0" applyFont="1" applyFill="1" applyBorder="1"/>
    <xf numFmtId="0" fontId="21" fillId="0" borderId="0" xfId="0" applyFont="1" applyFill="1" applyBorder="1" applyProtection="1">
      <protection locked="0" hidden="1"/>
    </xf>
    <xf numFmtId="0" fontId="21" fillId="0" borderId="45" xfId="0" applyFont="1" applyFill="1" applyBorder="1" applyProtection="1">
      <protection locked="0" hidden="1"/>
    </xf>
    <xf numFmtId="0" fontId="21" fillId="0" borderId="46" xfId="0" applyFont="1" applyFill="1" applyBorder="1"/>
    <xf numFmtId="0" fontId="21" fillId="0" borderId="45" xfId="0" applyFont="1" applyFill="1" applyBorder="1"/>
    <xf numFmtId="0" fontId="21" fillId="0" borderId="47" xfId="0" applyFont="1" applyFill="1" applyBorder="1"/>
    <xf numFmtId="0" fontId="17" fillId="0" borderId="0" xfId="0" applyFont="1" applyFill="1" applyBorder="1"/>
    <xf numFmtId="0" fontId="21" fillId="26" borderId="42" xfId="0" applyFont="1" applyFill="1" applyBorder="1"/>
    <xf numFmtId="0" fontId="21" fillId="26" borderId="44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Alignment="1" applyProtection="1">
      <alignment horizontal="right"/>
      <protection locked="0" hidden="1"/>
    </xf>
    <xf numFmtId="0" fontId="21" fillId="26" borderId="0" xfId="0" applyFont="1" applyFill="1" applyProtection="1">
      <protection locked="0" hidden="1"/>
    </xf>
    <xf numFmtId="0" fontId="21" fillId="26" borderId="0" xfId="0" applyFont="1" applyFill="1" applyAlignment="1">
      <alignment horizontal="right"/>
    </xf>
    <xf numFmtId="0" fontId="15" fillId="28" borderId="0" xfId="0" applyFont="1" applyFill="1" applyBorder="1"/>
    <xf numFmtId="0" fontId="17" fillId="28" borderId="0" xfId="0" applyFont="1" applyFill="1" applyBorder="1"/>
    <xf numFmtId="0" fontId="21" fillId="26" borderId="41" xfId="0" applyFont="1" applyFill="1" applyBorder="1"/>
    <xf numFmtId="0" fontId="21" fillId="0" borderId="41" xfId="0" applyFont="1" applyFill="1" applyBorder="1" applyAlignment="1">
      <alignment horizontal="left"/>
    </xf>
    <xf numFmtId="0" fontId="21" fillId="0" borderId="41" xfId="0" applyFont="1" applyFill="1" applyBorder="1"/>
    <xf numFmtId="0" fontId="21" fillId="0" borderId="41" xfId="0" applyFont="1" applyFill="1" applyBorder="1" applyProtection="1">
      <protection locked="0" hidden="1"/>
    </xf>
    <xf numFmtId="0" fontId="12" fillId="26" borderId="0" xfId="0" applyFont="1" applyFill="1" applyBorder="1"/>
    <xf numFmtId="0" fontId="11" fillId="0" borderId="38" xfId="0" applyFont="1" applyFill="1" applyBorder="1" applyProtection="1"/>
    <xf numFmtId="0" fontId="11" fillId="0" borderId="37" xfId="0" applyFont="1" applyFill="1" applyBorder="1" applyProtection="1"/>
    <xf numFmtId="0" fontId="21" fillId="28" borderId="0" xfId="0" applyFont="1" applyFill="1" applyBorder="1"/>
    <xf numFmtId="0" fontId="21" fillId="28" borderId="0" xfId="0" applyFont="1" applyFill="1"/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7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20" fillId="0" borderId="0" xfId="0" applyFont="1" applyFill="1" applyBorder="1" applyProtection="1"/>
    <xf numFmtId="0" fontId="10" fillId="27" borderId="0" xfId="0" applyFont="1" applyFill="1"/>
    <xf numFmtId="0" fontId="10" fillId="27" borderId="0" xfId="0" applyFont="1" applyFill="1" applyAlignment="1">
      <alignment wrapText="1"/>
    </xf>
    <xf numFmtId="0" fontId="9" fillId="0" borderId="0" xfId="0" applyFont="1"/>
    <xf numFmtId="0" fontId="16" fillId="0" borderId="0" xfId="0" applyFont="1" applyFill="1" applyProtection="1"/>
    <xf numFmtId="0" fontId="21" fillId="29" borderId="0" xfId="0" applyFont="1" applyFill="1" applyProtection="1"/>
    <xf numFmtId="0" fontId="10" fillId="29" borderId="0" xfId="0" applyFont="1" applyFill="1" applyProtection="1"/>
    <xf numFmtId="0" fontId="21" fillId="29" borderId="0" xfId="0" applyFont="1" applyFill="1" applyBorder="1" applyAlignment="1">
      <alignment horizontal="left"/>
    </xf>
    <xf numFmtId="15" fontId="12" fillId="29" borderId="0" xfId="0" applyNumberFormat="1" applyFont="1" applyFill="1" applyBorder="1" applyAlignment="1">
      <alignment horizontal="left"/>
    </xf>
    <xf numFmtId="0" fontId="21" fillId="29" borderId="0" xfId="0" applyFont="1" applyFill="1" applyBorder="1" applyAlignment="1"/>
    <xf numFmtId="15" fontId="12" fillId="29" borderId="0" xfId="0" applyNumberFormat="1" applyFont="1" applyFill="1" applyBorder="1" applyAlignment="1" applyProtection="1">
      <alignment horizontal="left"/>
      <protection locked="0"/>
    </xf>
    <xf numFmtId="0" fontId="21" fillId="29" borderId="0" xfId="0" applyFont="1" applyFill="1"/>
    <xf numFmtId="0" fontId="12" fillId="29" borderId="0" xfId="0" applyFont="1" applyFill="1" applyBorder="1" applyAlignment="1" applyProtection="1">
      <alignment horizontal="left"/>
      <protection locked="0"/>
    </xf>
    <xf numFmtId="0" fontId="12" fillId="29" borderId="0" xfId="0" applyFont="1" applyFill="1" applyBorder="1" applyAlignment="1">
      <alignment horizontal="left"/>
    </xf>
    <xf numFmtId="0" fontId="21" fillId="29" borderId="0" xfId="0" applyFont="1" applyFill="1" applyBorder="1" applyProtection="1"/>
    <xf numFmtId="1" fontId="12" fillId="29" borderId="0" xfId="0" applyNumberFormat="1" applyFont="1" applyFill="1" applyBorder="1" applyAlignment="1">
      <alignment horizontal="left"/>
    </xf>
    <xf numFmtId="0" fontId="16" fillId="29" borderId="0" xfId="0" applyFont="1" applyFill="1" applyProtection="1"/>
    <xf numFmtId="0" fontId="16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Alignment="1">
      <alignment wrapText="1"/>
    </xf>
    <xf numFmtId="0" fontId="55" fillId="0" borderId="0" xfId="0" applyFont="1" applyFill="1" applyBorder="1" applyAlignment="1" applyProtection="1">
      <alignment horizontal="center"/>
    </xf>
    <xf numFmtId="0" fontId="9" fillId="0" borderId="0" xfId="0" applyFont="1" applyFill="1" applyProtection="1">
      <protection locked="0" hidden="1"/>
    </xf>
    <xf numFmtId="169" fontId="0" fillId="0" borderId="0" xfId="0" applyNumberFormat="1"/>
    <xf numFmtId="0" fontId="9" fillId="29" borderId="0" xfId="0" applyFont="1" applyFill="1" applyBorder="1" applyAlignment="1">
      <alignment horizontal="left"/>
    </xf>
    <xf numFmtId="0" fontId="19" fillId="26" borderId="0" xfId="0" applyFont="1" applyFill="1"/>
    <xf numFmtId="0" fontId="9" fillId="26" borderId="0" xfId="0" applyFont="1" applyFill="1" applyBorder="1" applyAlignment="1">
      <alignment horizontal="left"/>
    </xf>
    <xf numFmtId="0" fontId="9" fillId="0" borderId="0" xfId="42"/>
    <xf numFmtId="49" fontId="9" fillId="0" borderId="0" xfId="42" applyNumberFormat="1"/>
    <xf numFmtId="20" fontId="9" fillId="0" borderId="0" xfId="42" applyNumberFormat="1"/>
    <xf numFmtId="0" fontId="56" fillId="0" borderId="0" xfId="42" applyFont="1"/>
    <xf numFmtId="0" fontId="9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7" fillId="0" borderId="0" xfId="42" applyFont="1" applyBorder="1"/>
    <xf numFmtId="0" fontId="9" fillId="0" borderId="0" xfId="42" applyBorder="1"/>
    <xf numFmtId="0" fontId="57" fillId="0" borderId="23" xfId="42" applyFont="1" applyBorder="1"/>
    <xf numFmtId="0" fontId="9" fillId="0" borderId="23" xfId="42" applyBorder="1"/>
    <xf numFmtId="15" fontId="9" fillId="0" borderId="23" xfId="42" applyNumberFormat="1" applyBorder="1" applyAlignment="1">
      <alignment horizontal="left"/>
    </xf>
    <xf numFmtId="0" fontId="9" fillId="0" borderId="14" xfId="42" applyBorder="1"/>
    <xf numFmtId="0" fontId="9" fillId="0" borderId="15" xfId="42" applyBorder="1"/>
    <xf numFmtId="0" fontId="56" fillId="0" borderId="0" xfId="42" applyFont="1" applyBorder="1"/>
    <xf numFmtId="0" fontId="12" fillId="0" borderId="0" xfId="42" applyFont="1" applyBorder="1"/>
    <xf numFmtId="0" fontId="9" fillId="0" borderId="0" xfId="42" applyFont="1"/>
    <xf numFmtId="0" fontId="9" fillId="0" borderId="0" xfId="42" applyAlignment="1">
      <alignment horizontal="right"/>
    </xf>
    <xf numFmtId="0" fontId="9" fillId="0" borderId="0" xfId="42" applyBorder="1" applyAlignment="1">
      <alignment horizontal="center"/>
    </xf>
    <xf numFmtId="0" fontId="9" fillId="0" borderId="23" xfId="42" applyFont="1" applyBorder="1"/>
    <xf numFmtId="0" fontId="9" fillId="0" borderId="53" xfId="42" applyBorder="1"/>
    <xf numFmtId="0" fontId="9" fillId="0" borderId="54" xfId="42" applyBorder="1"/>
    <xf numFmtId="0" fontId="9" fillId="0" borderId="0" xfId="42" applyAlignment="1">
      <alignment horizontal="left"/>
    </xf>
    <xf numFmtId="0" fontId="9" fillId="0" borderId="55" xfId="42" applyFont="1" applyBorder="1"/>
    <xf numFmtId="0" fontId="12" fillId="0" borderId="55" xfId="42" applyFont="1" applyBorder="1"/>
    <xf numFmtId="0" fontId="9" fillId="0" borderId="56" xfId="42" applyFont="1" applyBorder="1"/>
    <xf numFmtId="0" fontId="9" fillId="0" borderId="55" xfId="42" applyFont="1" applyBorder="1" applyAlignment="1">
      <alignment horizontal="center"/>
    </xf>
    <xf numFmtId="0" fontId="9" fillId="0" borderId="56" xfId="42" applyBorder="1"/>
    <xf numFmtId="0" fontId="9" fillId="0" borderId="57" xfId="42" applyFont="1" applyBorder="1"/>
    <xf numFmtId="0" fontId="12" fillId="0" borderId="57" xfId="42" applyFont="1" applyBorder="1"/>
    <xf numFmtId="0" fontId="12" fillId="0" borderId="57" xfId="42" applyFont="1" applyBorder="1" applyAlignment="1">
      <alignment horizontal="right"/>
    </xf>
    <xf numFmtId="0" fontId="9" fillId="0" borderId="57" xfId="42" applyFont="1" applyBorder="1" applyAlignment="1">
      <alignment horizontal="center"/>
    </xf>
    <xf numFmtId="0" fontId="9" fillId="0" borderId="57" xfId="42" applyFont="1" applyBorder="1" applyAlignment="1">
      <alignment horizontal="right"/>
    </xf>
    <xf numFmtId="0" fontId="34" fillId="0" borderId="57" xfId="42" applyFont="1" applyBorder="1" applyAlignment="1">
      <alignment horizontal="left"/>
    </xf>
    <xf numFmtId="0" fontId="9" fillId="0" borderId="58" xfId="42" applyFont="1" applyBorder="1"/>
    <xf numFmtId="0" fontId="9" fillId="0" borderId="58" xfId="42" applyBorder="1"/>
    <xf numFmtId="0" fontId="9" fillId="0" borderId="59" xfId="42" applyBorder="1"/>
    <xf numFmtId="0" fontId="9" fillId="0" borderId="60" xfId="42" applyBorder="1"/>
    <xf numFmtId="0" fontId="9" fillId="0" borderId="34" xfId="42" applyBorder="1"/>
    <xf numFmtId="0" fontId="9" fillId="0" borderId="32" xfId="42" applyBorder="1"/>
    <xf numFmtId="0" fontId="9" fillId="0" borderId="61" xfId="42" applyBorder="1"/>
    <xf numFmtId="0" fontId="9" fillId="0" borderId="33" xfId="42" applyBorder="1"/>
    <xf numFmtId="0" fontId="12" fillId="0" borderId="32" xfId="42" applyFont="1" applyBorder="1"/>
    <xf numFmtId="0" fontId="9" fillId="0" borderId="33" xfId="42" applyFont="1" applyBorder="1"/>
    <xf numFmtId="0" fontId="9" fillId="0" borderId="34" xfId="42" applyFont="1" applyBorder="1"/>
    <xf numFmtId="0" fontId="9" fillId="0" borderId="62" xfId="42" applyBorder="1"/>
    <xf numFmtId="0" fontId="9" fillId="0" borderId="63" xfId="42" applyBorder="1"/>
    <xf numFmtId="0" fontId="9" fillId="0" borderId="64" xfId="42" applyBorder="1"/>
    <xf numFmtId="0" fontId="9" fillId="0" borderId="65" xfId="42" applyBorder="1"/>
    <xf numFmtId="0" fontId="20" fillId="0" borderId="0" xfId="42" applyFont="1"/>
    <xf numFmtId="0" fontId="9" fillId="0" borderId="0" xfId="42" applyFill="1"/>
    <xf numFmtId="0" fontId="9" fillId="0" borderId="0" xfId="42" applyFill="1" applyAlignment="1">
      <alignment horizontal="left"/>
    </xf>
    <xf numFmtId="0" fontId="12" fillId="0" borderId="0" xfId="42" applyFont="1" applyFill="1"/>
    <xf numFmtId="170" fontId="12" fillId="0" borderId="0" xfId="42" applyNumberFormat="1" applyFont="1" applyFill="1" applyAlignment="1">
      <alignment horizontal="left"/>
    </xf>
    <xf numFmtId="20" fontId="9" fillId="0" borderId="0" xfId="42" applyNumberFormat="1" applyFill="1" applyAlignment="1"/>
    <xf numFmtId="0" fontId="9" fillId="0" borderId="23" xfId="42" applyFill="1" applyBorder="1"/>
    <xf numFmtId="0" fontId="9" fillId="0" borderId="32" xfId="42" applyFill="1" applyBorder="1"/>
    <xf numFmtId="0" fontId="9" fillId="0" borderId="34" xfId="42" applyFill="1" applyBorder="1"/>
    <xf numFmtId="0" fontId="9" fillId="0" borderId="60" xfId="42" applyFill="1" applyBorder="1"/>
    <xf numFmtId="0" fontId="12" fillId="0" borderId="60" xfId="42" applyFont="1" applyFill="1" applyBorder="1"/>
    <xf numFmtId="0" fontId="9" fillId="0" borderId="0" xfId="42" applyFill="1" applyBorder="1"/>
    <xf numFmtId="0" fontId="9" fillId="0" borderId="68" xfId="42" applyFill="1" applyBorder="1"/>
    <xf numFmtId="0" fontId="12" fillId="0" borderId="32" xfId="42" applyFont="1" applyFill="1" applyBorder="1"/>
    <xf numFmtId="0" fontId="9" fillId="0" borderId="33" xfId="42" applyFill="1" applyBorder="1"/>
    <xf numFmtId="171" fontId="58" fillId="0" borderId="7" xfId="42" applyNumberFormat="1" applyFont="1" applyFill="1" applyBorder="1" applyAlignment="1">
      <alignment horizontal="right"/>
    </xf>
    <xf numFmtId="171" fontId="58" fillId="0" borderId="33" xfId="42" applyNumberFormat="1" applyFont="1" applyFill="1" applyBorder="1" applyAlignment="1">
      <alignment horizontal="right"/>
    </xf>
    <xf numFmtId="0" fontId="12" fillId="0" borderId="69" xfId="42" applyFont="1" applyFill="1" applyBorder="1"/>
    <xf numFmtId="0" fontId="9" fillId="0" borderId="66" xfId="42" applyFill="1" applyBorder="1"/>
    <xf numFmtId="0" fontId="9" fillId="0" borderId="49" xfId="42" applyFill="1" applyBorder="1"/>
    <xf numFmtId="0" fontId="9" fillId="0" borderId="67" xfId="42" applyFill="1" applyBorder="1"/>
    <xf numFmtId="1" fontId="58" fillId="0" borderId="35" xfId="42" applyNumberFormat="1" applyFont="1" applyFill="1" applyBorder="1" applyAlignment="1">
      <alignment horizontal="right"/>
    </xf>
    <xf numFmtId="171" fontId="58" fillId="0" borderId="35" xfId="42" applyNumberFormat="1" applyFont="1" applyFill="1" applyBorder="1" applyAlignment="1">
      <alignment horizontal="right"/>
    </xf>
    <xf numFmtId="0" fontId="9" fillId="0" borderId="69" xfId="42" applyFill="1" applyBorder="1"/>
    <xf numFmtId="1" fontId="58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1" fontId="58" fillId="0" borderId="0" xfId="42" applyNumberFormat="1" applyFont="1" applyFill="1" applyBorder="1" applyAlignment="1">
      <alignment horizontal="right"/>
    </xf>
    <xf numFmtId="1" fontId="59" fillId="0" borderId="0" xfId="42" applyNumberFormat="1" applyFont="1" applyFill="1" applyBorder="1" applyAlignment="1">
      <alignment horizontal="right"/>
    </xf>
    <xf numFmtId="171" fontId="59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9" fillId="0" borderId="7" xfId="42" applyFill="1" applyBorder="1"/>
    <xf numFmtId="0" fontId="12" fillId="0" borderId="7" xfId="42" applyFont="1" applyFill="1" applyBorder="1" applyAlignment="1">
      <alignment horizontal="left"/>
    </xf>
    <xf numFmtId="1" fontId="59" fillId="0" borderId="60" xfId="42" applyNumberFormat="1" applyFont="1" applyFill="1" applyBorder="1" applyAlignment="1">
      <alignment horizontal="right"/>
    </xf>
    <xf numFmtId="171" fontId="59" fillId="0" borderId="60" xfId="42" applyNumberFormat="1" applyFont="1" applyFill="1" applyBorder="1" applyAlignment="1">
      <alignment horizontal="right"/>
    </xf>
    <xf numFmtId="0" fontId="9" fillId="0" borderId="59" xfId="42" applyFill="1" applyBorder="1"/>
    <xf numFmtId="0" fontId="9" fillId="0" borderId="60" xfId="42" applyFill="1" applyBorder="1" applyAlignment="1">
      <alignment horizontal="right"/>
    </xf>
    <xf numFmtId="1" fontId="58" fillId="0" borderId="70" xfId="42" applyNumberFormat="1" applyFont="1" applyFill="1" applyBorder="1" applyAlignment="1">
      <alignment horizontal="right"/>
    </xf>
    <xf numFmtId="171" fontId="58" fillId="0" borderId="70" xfId="42" applyNumberFormat="1" applyFont="1" applyFill="1" applyBorder="1" applyAlignment="1">
      <alignment horizontal="right"/>
    </xf>
    <xf numFmtId="0" fontId="9" fillId="0" borderId="0" xfId="42" applyFill="1" applyBorder="1" applyAlignment="1">
      <alignment horizontal="right"/>
    </xf>
    <xf numFmtId="1" fontId="58" fillId="0" borderId="71" xfId="42" applyNumberFormat="1" applyFont="1" applyFill="1" applyBorder="1" applyAlignment="1">
      <alignment horizontal="right"/>
    </xf>
    <xf numFmtId="171" fontId="58" fillId="0" borderId="71" xfId="42" applyNumberFormat="1" applyFont="1" applyFill="1" applyBorder="1" applyAlignment="1">
      <alignment horizontal="right"/>
    </xf>
    <xf numFmtId="0" fontId="9" fillId="0" borderId="49" xfId="42" applyFill="1" applyBorder="1" applyAlignment="1">
      <alignment horizontal="right"/>
    </xf>
    <xf numFmtId="0" fontId="12" fillId="0" borderId="49" xfId="42" applyFont="1" applyFill="1" applyBorder="1"/>
    <xf numFmtId="0" fontId="60" fillId="0" borderId="0" xfId="42" applyFont="1" applyFill="1" applyBorder="1" applyAlignment="1">
      <alignment horizontal="right"/>
    </xf>
    <xf numFmtId="0" fontId="60" fillId="0" borderId="33" xfId="42" applyFont="1" applyFill="1" applyBorder="1" applyAlignment="1">
      <alignment horizontal="right"/>
    </xf>
    <xf numFmtId="0" fontId="56" fillId="0" borderId="32" xfId="42" applyFont="1" applyFill="1" applyBorder="1"/>
    <xf numFmtId="0" fontId="9" fillId="0" borderId="33" xfId="42" applyFill="1" applyBorder="1" applyAlignment="1">
      <alignment horizontal="right"/>
    </xf>
    <xf numFmtId="0" fontId="60" fillId="0" borderId="7" xfId="42" applyFont="1" applyFill="1" applyBorder="1" applyAlignment="1">
      <alignment horizontal="right"/>
    </xf>
    <xf numFmtId="0" fontId="9" fillId="0" borderId="0" xfId="42" applyFill="1" applyAlignment="1">
      <alignment horizontal="right"/>
    </xf>
    <xf numFmtId="0" fontId="61" fillId="0" borderId="0" xfId="42" applyFont="1"/>
    <xf numFmtId="0" fontId="12" fillId="26" borderId="7" xfId="42" applyFont="1" applyFill="1" applyBorder="1"/>
    <xf numFmtId="0" fontId="9" fillId="26" borderId="59" xfId="42" applyFill="1" applyBorder="1"/>
    <xf numFmtId="0" fontId="9" fillId="26" borderId="60" xfId="42" applyFill="1" applyBorder="1"/>
    <xf numFmtId="0" fontId="12" fillId="26" borderId="60" xfId="42" applyFont="1" applyFill="1" applyBorder="1"/>
    <xf numFmtId="0" fontId="9" fillId="26" borderId="60" xfId="42" applyFill="1" applyBorder="1" applyAlignment="1">
      <alignment horizontal="right"/>
    </xf>
    <xf numFmtId="1" fontId="62" fillId="26" borderId="70" xfId="42" applyNumberFormat="1" applyFont="1" applyFill="1" applyBorder="1" applyAlignment="1">
      <alignment horizontal="right"/>
    </xf>
    <xf numFmtId="171" fontId="62" fillId="26" borderId="70" xfId="42" applyNumberFormat="1" applyFont="1" applyFill="1" applyBorder="1" applyAlignment="1">
      <alignment horizontal="right"/>
    </xf>
    <xf numFmtId="0" fontId="9" fillId="26" borderId="69" xfId="42" applyFill="1" applyBorder="1"/>
    <xf numFmtId="0" fontId="9" fillId="26" borderId="0" xfId="42" applyFill="1" applyBorder="1"/>
    <xf numFmtId="0" fontId="9" fillId="26" borderId="0" xfId="42" applyFill="1" applyBorder="1" applyAlignment="1">
      <alignment horizontal="right"/>
    </xf>
    <xf numFmtId="0" fontId="12" fillId="26" borderId="0" xfId="42" applyFont="1" applyFill="1" applyBorder="1"/>
    <xf numFmtId="1" fontId="62" fillId="26" borderId="71" xfId="42" applyNumberFormat="1" applyFont="1" applyFill="1" applyBorder="1" applyAlignment="1">
      <alignment horizontal="right"/>
    </xf>
    <xf numFmtId="171" fontId="62" fillId="26" borderId="71" xfId="42" applyNumberFormat="1" applyFont="1" applyFill="1" applyBorder="1" applyAlignment="1">
      <alignment horizontal="right"/>
    </xf>
    <xf numFmtId="0" fontId="30" fillId="26" borderId="66" xfId="42" applyFont="1" applyFill="1" applyBorder="1"/>
    <xf numFmtId="0" fontId="30" fillId="26" borderId="49" xfId="42" applyFont="1" applyFill="1" applyBorder="1"/>
    <xf numFmtId="0" fontId="63" fillId="26" borderId="49" xfId="42" applyFont="1" applyFill="1" applyBorder="1"/>
    <xf numFmtId="0" fontId="9" fillId="26" borderId="49" xfId="42" applyFill="1" applyBorder="1"/>
    <xf numFmtId="0" fontId="9" fillId="26" borderId="49" xfId="42" applyFont="1" applyFill="1" applyBorder="1"/>
    <xf numFmtId="1" fontId="62" fillId="26" borderId="7" xfId="42" applyNumberFormat="1" applyFont="1" applyFill="1" applyBorder="1" applyAlignment="1">
      <alignment horizontal="right"/>
    </xf>
    <xf numFmtId="171" fontId="62" fillId="26" borderId="7" xfId="42" applyNumberFormat="1" applyFont="1" applyFill="1" applyBorder="1" applyAlignment="1">
      <alignment horizontal="right"/>
    </xf>
    <xf numFmtId="0" fontId="63" fillId="0" borderId="60" xfId="42" applyFont="1" applyFill="1" applyBorder="1"/>
    <xf numFmtId="1" fontId="62" fillId="0" borderId="33" xfId="42" applyNumberFormat="1" applyFont="1" applyFill="1" applyBorder="1" applyAlignment="1">
      <alignment horizontal="right"/>
    </xf>
    <xf numFmtId="171" fontId="62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60" xfId="42" applyFont="1" applyBorder="1"/>
    <xf numFmtId="0" fontId="9" fillId="0" borderId="60" xfId="42" applyBorder="1" applyAlignment="1">
      <alignment horizontal="right"/>
    </xf>
    <xf numFmtId="1" fontId="62" fillId="0" borderId="71" xfId="42" applyNumberFormat="1" applyFont="1" applyBorder="1" applyAlignment="1">
      <alignment horizontal="right"/>
    </xf>
    <xf numFmtId="171" fontId="62" fillId="0" borderId="71" xfId="42" applyNumberFormat="1" applyFont="1" applyBorder="1" applyAlignment="1">
      <alignment horizontal="right"/>
    </xf>
    <xf numFmtId="0" fontId="9" fillId="0" borderId="69" xfId="42" applyBorder="1"/>
    <xf numFmtId="0" fontId="9" fillId="0" borderId="0" xfId="42" applyBorder="1" applyAlignment="1">
      <alignment horizontal="right"/>
    </xf>
    <xf numFmtId="0" fontId="30" fillId="0" borderId="66" xfId="42" applyFont="1" applyBorder="1"/>
    <xf numFmtId="0" fontId="30" fillId="0" borderId="49" xfId="42" applyFont="1" applyBorder="1"/>
    <xf numFmtId="0" fontId="63" fillId="0" borderId="49" xfId="42" applyFont="1" applyBorder="1"/>
    <xf numFmtId="0" fontId="30" fillId="0" borderId="49" xfId="42" applyFont="1" applyBorder="1" applyAlignment="1">
      <alignment horizontal="right"/>
    </xf>
    <xf numFmtId="0" fontId="9" fillId="0" borderId="49" xfId="42" applyBorder="1"/>
    <xf numFmtId="0" fontId="9" fillId="0" borderId="49" xfId="42" applyFont="1" applyBorder="1"/>
    <xf numFmtId="1" fontId="62" fillId="0" borderId="7" xfId="42" applyNumberFormat="1" applyFont="1" applyBorder="1" applyAlignment="1">
      <alignment horizontal="right"/>
    </xf>
    <xf numFmtId="171" fontId="62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3" fillId="0" borderId="60" xfId="42" applyFont="1" applyBorder="1"/>
    <xf numFmtId="1" fontId="62" fillId="0" borderId="60" xfId="42" applyNumberFormat="1" applyFont="1" applyBorder="1" applyAlignment="1">
      <alignment horizontal="right"/>
    </xf>
    <xf numFmtId="171" fontId="62" fillId="0" borderId="60" xfId="42" applyNumberFormat="1" applyFont="1" applyBorder="1" applyAlignment="1">
      <alignment horizontal="right"/>
    </xf>
    <xf numFmtId="0" fontId="9" fillId="26" borderId="49" xfId="42" applyFill="1" applyBorder="1" applyAlignment="1">
      <alignment horizontal="right"/>
    </xf>
    <xf numFmtId="0" fontId="9" fillId="0" borderId="49" xfId="42" applyBorder="1" applyAlignment="1">
      <alignment horizontal="right"/>
    </xf>
    <xf numFmtId="0" fontId="9" fillId="0" borderId="33" xfId="42" applyBorder="1" applyAlignment="1">
      <alignment horizontal="right"/>
    </xf>
    <xf numFmtId="0" fontId="56" fillId="0" borderId="33" xfId="42" applyFont="1" applyBorder="1"/>
    <xf numFmtId="0" fontId="9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9" fillId="30" borderId="0" xfId="42" applyFill="1"/>
    <xf numFmtId="0" fontId="64" fillId="30" borderId="0" xfId="42" applyFont="1" applyFill="1" applyAlignment="1">
      <alignment horizontal="left"/>
    </xf>
    <xf numFmtId="0" fontId="56" fillId="30" borderId="0" xfId="42" applyFont="1" applyFill="1"/>
    <xf numFmtId="0" fontId="17" fillId="30" borderId="0" xfId="42" applyFont="1" applyFill="1"/>
    <xf numFmtId="0" fontId="20" fillId="30" borderId="0" xfId="42" applyFont="1" applyFill="1"/>
    <xf numFmtId="0" fontId="9" fillId="30" borderId="72" xfId="42" applyFill="1" applyBorder="1"/>
    <xf numFmtId="0" fontId="17" fillId="30" borderId="72" xfId="42" applyFont="1" applyFill="1" applyBorder="1"/>
    <xf numFmtId="0" fontId="20" fillId="30" borderId="72" xfId="42" applyFont="1" applyFill="1" applyBorder="1"/>
    <xf numFmtId="0" fontId="9" fillId="30" borderId="0" xfId="42" applyFill="1" applyBorder="1"/>
    <xf numFmtId="0" fontId="17" fillId="30" borderId="0" xfId="42" applyFont="1" applyFill="1" applyBorder="1"/>
    <xf numFmtId="0" fontId="20" fillId="30" borderId="0" xfId="42" applyFont="1" applyFill="1" applyBorder="1"/>
    <xf numFmtId="0" fontId="9" fillId="30" borderId="0" xfId="42" applyFill="1" applyAlignment="1">
      <alignment horizontal="right"/>
    </xf>
    <xf numFmtId="0" fontId="17" fillId="30" borderId="73" xfId="42" applyFont="1" applyFill="1" applyBorder="1"/>
    <xf numFmtId="0" fontId="9" fillId="30" borderId="73" xfId="42" applyFill="1" applyBorder="1"/>
    <xf numFmtId="0" fontId="66" fillId="30" borderId="0" xfId="42" applyFont="1" applyFill="1"/>
    <xf numFmtId="0" fontId="12" fillId="27" borderId="0" xfId="42" applyFont="1" applyFill="1" applyAlignment="1">
      <alignment horizontal="left"/>
    </xf>
    <xf numFmtId="0" fontId="12" fillId="30" borderId="0" xfId="42" applyFont="1" applyFill="1"/>
    <xf numFmtId="0" fontId="67" fillId="30" borderId="74" xfId="42" applyFont="1" applyFill="1" applyBorder="1" applyAlignment="1">
      <alignment horizontal="left"/>
    </xf>
    <xf numFmtId="0" fontId="9" fillId="30" borderId="74" xfId="42" applyFill="1" applyBorder="1"/>
    <xf numFmtId="0" fontId="67" fillId="30" borderId="0" xfId="42" applyFont="1" applyFill="1" applyBorder="1" applyAlignment="1">
      <alignment horizontal="left"/>
    </xf>
    <xf numFmtId="0" fontId="32" fillId="30" borderId="0" xfId="42" applyFont="1" applyFill="1"/>
    <xf numFmtId="0" fontId="9" fillId="27" borderId="0" xfId="42" applyFill="1" applyAlignment="1">
      <alignment horizontal="center"/>
    </xf>
    <xf numFmtId="0" fontId="9" fillId="30" borderId="0" xfId="42" applyFill="1" applyAlignment="1">
      <alignment horizontal="center"/>
    </xf>
    <xf numFmtId="0" fontId="9" fillId="27" borderId="0" xfId="42" applyFill="1" applyAlignment="1">
      <alignment horizontal="left"/>
    </xf>
    <xf numFmtId="0" fontId="32" fillId="30" borderId="0" xfId="42" applyFont="1" applyFill="1" applyAlignment="1">
      <alignment horizontal="right"/>
    </xf>
    <xf numFmtId="0" fontId="9" fillId="0" borderId="74" xfId="42" applyFill="1" applyBorder="1"/>
    <xf numFmtId="0" fontId="9" fillId="30" borderId="23" xfId="42" applyFill="1" applyBorder="1"/>
    <xf numFmtId="0" fontId="32" fillId="30" borderId="23" xfId="42" applyFont="1" applyFill="1" applyBorder="1"/>
    <xf numFmtId="0" fontId="12" fillId="30" borderId="0" xfId="42" applyFont="1" applyFill="1" applyAlignment="1">
      <alignment horizontal="left"/>
    </xf>
    <xf numFmtId="0" fontId="66" fillId="30" borderId="0" xfId="42" applyFont="1" applyFill="1" applyAlignment="1">
      <alignment horizontal="center"/>
    </xf>
    <xf numFmtId="0" fontId="67" fillId="30" borderId="0" xfId="42" applyFont="1" applyFill="1"/>
    <xf numFmtId="0" fontId="9" fillId="27" borderId="0" xfId="42" applyFill="1" applyBorder="1" applyAlignment="1">
      <alignment horizontal="left"/>
    </xf>
    <xf numFmtId="0" fontId="68" fillId="30" borderId="0" xfId="42" applyFont="1" applyFill="1" applyBorder="1"/>
    <xf numFmtId="0" fontId="9" fillId="30" borderId="0" xfId="42" applyFill="1" applyBorder="1" applyAlignment="1">
      <alignment horizontal="left"/>
    </xf>
    <xf numFmtId="0" fontId="9" fillId="30" borderId="76" xfId="42" applyFill="1" applyBorder="1"/>
    <xf numFmtId="0" fontId="9" fillId="27" borderId="76" xfId="42" applyFill="1" applyBorder="1" applyAlignment="1">
      <alignment horizontal="right"/>
    </xf>
    <xf numFmtId="0" fontId="9" fillId="27" borderId="76" xfId="42" applyFill="1" applyBorder="1"/>
    <xf numFmtId="0" fontId="9" fillId="27" borderId="76" xfId="42" applyFill="1" applyBorder="1" applyAlignment="1">
      <alignment horizontal="left"/>
    </xf>
    <xf numFmtId="49" fontId="31" fillId="30" borderId="74" xfId="42" applyNumberFormat="1" applyFont="1" applyFill="1" applyBorder="1"/>
    <xf numFmtId="0" fontId="9" fillId="30" borderId="74" xfId="42" applyFill="1" applyBorder="1" applyAlignment="1">
      <alignment horizontal="left"/>
    </xf>
    <xf numFmtId="0" fontId="9" fillId="30" borderId="77" xfId="42" applyFill="1" applyBorder="1"/>
    <xf numFmtId="0" fontId="9" fillId="27" borderId="77" xfId="42" applyFill="1" applyBorder="1" applyAlignment="1">
      <alignment horizontal="right"/>
    </xf>
    <xf numFmtId="0" fontId="9" fillId="27" borderId="77" xfId="42" applyFill="1" applyBorder="1"/>
    <xf numFmtId="0" fontId="9" fillId="27" borderId="77" xfId="42" applyFill="1" applyBorder="1" applyAlignment="1">
      <alignment horizontal="left"/>
    </xf>
    <xf numFmtId="0" fontId="9" fillId="30" borderId="75" xfId="42" applyFill="1" applyBorder="1"/>
    <xf numFmtId="0" fontId="67" fillId="30" borderId="75" xfId="42" applyFont="1" applyFill="1" applyBorder="1" applyAlignment="1">
      <alignment horizontal="left"/>
    </xf>
    <xf numFmtId="49" fontId="31" fillId="30" borderId="75" xfId="42" applyNumberFormat="1" applyFont="1" applyFill="1" applyBorder="1"/>
    <xf numFmtId="0" fontId="9" fillId="30" borderId="75" xfId="42" applyFill="1" applyBorder="1" applyAlignment="1">
      <alignment horizontal="left"/>
    </xf>
    <xf numFmtId="0" fontId="9" fillId="30" borderId="48" xfId="42" applyFill="1" applyBorder="1"/>
    <xf numFmtId="0" fontId="9" fillId="30" borderId="48" xfId="42" applyFill="1" applyBorder="1" applyAlignment="1">
      <alignment horizontal="right"/>
    </xf>
    <xf numFmtId="0" fontId="67" fillId="30" borderId="78" xfId="42" applyFont="1" applyFill="1" applyBorder="1" applyAlignment="1">
      <alignment horizontal="left"/>
    </xf>
    <xf numFmtId="49" fontId="31" fillId="30" borderId="78" xfId="42" applyNumberFormat="1" applyFont="1" applyFill="1" applyBorder="1"/>
    <xf numFmtId="0" fontId="9" fillId="30" borderId="78" xfId="42" applyFill="1" applyBorder="1" applyAlignment="1">
      <alignment horizontal="left"/>
    </xf>
    <xf numFmtId="0" fontId="17" fillId="30" borderId="76" xfId="42" applyFont="1" applyFill="1" applyBorder="1" applyAlignment="1">
      <alignment horizontal="left"/>
    </xf>
    <xf numFmtId="0" fontId="9" fillId="30" borderId="76" xfId="42" applyFill="1" applyBorder="1" applyAlignment="1">
      <alignment horizontal="right"/>
    </xf>
    <xf numFmtId="0" fontId="9" fillId="30" borderId="0" xfId="42" applyFill="1" applyBorder="1" applyAlignment="1">
      <alignment horizontal="right"/>
    </xf>
    <xf numFmtId="49" fontId="31" fillId="30" borderId="0" xfId="42" applyNumberFormat="1" applyFont="1" applyFill="1" applyBorder="1"/>
    <xf numFmtId="0" fontId="9" fillId="27" borderId="0" xfId="42" applyFill="1" applyBorder="1" applyAlignment="1">
      <alignment horizontal="right"/>
    </xf>
    <xf numFmtId="0" fontId="66" fillId="30" borderId="0" xfId="42" applyFont="1" applyFill="1" applyBorder="1"/>
    <xf numFmtId="0" fontId="9" fillId="30" borderId="73" xfId="42" applyFill="1" applyBorder="1" applyAlignment="1">
      <alignment horizontal="right"/>
    </xf>
    <xf numFmtId="0" fontId="9" fillId="27" borderId="73" xfId="42" applyFill="1" applyBorder="1" applyAlignment="1">
      <alignment horizontal="left"/>
    </xf>
    <xf numFmtId="0" fontId="15" fillId="30" borderId="0" xfId="42" applyFont="1" applyFill="1"/>
    <xf numFmtId="0" fontId="17" fillId="30" borderId="74" xfId="42" applyFont="1" applyFill="1" applyBorder="1"/>
    <xf numFmtId="0" fontId="9" fillId="27" borderId="74" xfId="42" applyFill="1" applyBorder="1" applyAlignment="1">
      <alignment horizontal="left"/>
    </xf>
    <xf numFmtId="0" fontId="17" fillId="30" borderId="75" xfId="42" applyFont="1" applyFill="1" applyBorder="1"/>
    <xf numFmtId="0" fontId="9" fillId="27" borderId="75" xfId="42" applyFill="1" applyBorder="1" applyAlignment="1">
      <alignment horizontal="left"/>
    </xf>
    <xf numFmtId="0" fontId="9" fillId="30" borderId="75" xfId="42" applyFill="1" applyBorder="1" applyAlignment="1">
      <alignment horizontal="right"/>
    </xf>
    <xf numFmtId="0" fontId="9" fillId="30" borderId="75" xfId="42" applyFill="1" applyBorder="1" applyAlignment="1">
      <alignment horizontal="center"/>
    </xf>
    <xf numFmtId="0" fontId="12" fillId="0" borderId="0" xfId="42" applyFont="1" applyAlignment="1">
      <alignment wrapText="1"/>
    </xf>
    <xf numFmtId="49" fontId="9" fillId="0" borderId="0" xfId="42" applyNumberFormat="1" applyAlignment="1">
      <alignment wrapText="1"/>
    </xf>
    <xf numFmtId="2" fontId="9" fillId="0" borderId="0" xfId="42" applyNumberFormat="1" applyAlignment="1">
      <alignment wrapText="1"/>
    </xf>
    <xf numFmtId="2" fontId="9" fillId="0" borderId="0" xfId="42" applyNumberFormat="1"/>
    <xf numFmtId="49" fontId="12" fillId="0" borderId="0" xfId="42" applyNumberFormat="1" applyFont="1" applyAlignment="1">
      <alignment wrapText="1"/>
    </xf>
    <xf numFmtId="2" fontId="12" fillId="0" borderId="0" xfId="42" applyNumberFormat="1" applyFont="1" applyAlignment="1">
      <alignment wrapText="1"/>
    </xf>
    <xf numFmtId="0" fontId="9" fillId="0" borderId="0" xfId="42" applyAlignment="1">
      <alignment wrapText="1"/>
    </xf>
    <xf numFmtId="0" fontId="9" fillId="0" borderId="0" xfId="42" applyNumberFormat="1"/>
    <xf numFmtId="14" fontId="9" fillId="0" borderId="0" xfId="42" applyNumberFormat="1"/>
    <xf numFmtId="0" fontId="65" fillId="29" borderId="0" xfId="42" applyFont="1" applyFill="1"/>
    <xf numFmtId="0" fontId="9" fillId="29" borderId="0" xfId="42" applyFill="1"/>
    <xf numFmtId="0" fontId="17" fillId="29" borderId="0" xfId="42" applyFont="1" applyFill="1"/>
    <xf numFmtId="0" fontId="9" fillId="29" borderId="0" xfId="42" applyFill="1" applyProtection="1"/>
    <xf numFmtId="0" fontId="9" fillId="29" borderId="0" xfId="42" applyFill="1" applyProtection="1">
      <protection locked="0"/>
    </xf>
    <xf numFmtId="170" fontId="9" fillId="29" borderId="0" xfId="42" applyNumberFormat="1" applyFill="1" applyAlignment="1">
      <alignment horizontal="left"/>
    </xf>
    <xf numFmtId="0" fontId="9" fillId="29" borderId="0" xfId="42" applyFill="1" applyAlignment="1">
      <alignment horizontal="right"/>
    </xf>
    <xf numFmtId="0" fontId="9" fillId="29" borderId="0" xfId="42" applyFill="1" applyAlignment="1">
      <alignment horizontal="center"/>
    </xf>
    <xf numFmtId="0" fontId="9" fillId="29" borderId="0" xfId="42" applyFill="1" applyAlignment="1">
      <alignment horizontal="left"/>
    </xf>
    <xf numFmtId="0" fontId="17" fillId="29" borderId="0" xfId="42" applyFont="1" applyFill="1" applyBorder="1"/>
    <xf numFmtId="0" fontId="9" fillId="29" borderId="0" xfId="42" applyFill="1" applyBorder="1" applyAlignment="1" applyProtection="1">
      <alignment vertical="center"/>
      <protection locked="0"/>
    </xf>
    <xf numFmtId="0" fontId="9" fillId="29" borderId="0" xfId="42" applyFill="1" applyBorder="1" applyProtection="1">
      <protection locked="0"/>
    </xf>
    <xf numFmtId="2" fontId="9" fillId="29" borderId="0" xfId="42" applyNumberFormat="1" applyFill="1"/>
    <xf numFmtId="0" fontId="17" fillId="29" borderId="73" xfId="42" applyFont="1" applyFill="1" applyBorder="1"/>
    <xf numFmtId="0" fontId="9" fillId="29" borderId="73" xfId="42" applyFill="1" applyBorder="1"/>
    <xf numFmtId="0" fontId="9" fillId="26" borderId="0" xfId="0" applyFont="1" applyFill="1" applyAlignment="1">
      <alignment horizontal="right"/>
    </xf>
    <xf numFmtId="0" fontId="12" fillId="26" borderId="0" xfId="0" applyFont="1" applyFill="1"/>
    <xf numFmtId="173" fontId="9" fillId="0" borderId="0" xfId="42" applyNumberFormat="1"/>
    <xf numFmtId="0" fontId="9" fillId="29" borderId="0" xfId="0" applyFont="1" applyFill="1" applyProtection="1"/>
    <xf numFmtId="0" fontId="0" fillId="0" borderId="0" xfId="0"/>
    <xf numFmtId="0" fontId="9" fillId="0" borderId="0" xfId="0" applyFont="1"/>
    <xf numFmtId="2" fontId="0" fillId="0" borderId="0" xfId="0" applyNumberFormat="1"/>
    <xf numFmtId="49" fontId="0" fillId="0" borderId="0" xfId="0" quotePrefix="1" applyNumberFormat="1"/>
    <xf numFmtId="49" fontId="9" fillId="0" borderId="0" xfId="0" quotePrefix="1" applyNumberFormat="1" applyFont="1"/>
    <xf numFmtId="0" fontId="21" fillId="26" borderId="0" xfId="0" applyFont="1" applyFill="1" applyBorder="1" applyAlignment="1">
      <alignment vertical="top"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0" fillId="0" borderId="79" xfId="0" applyBorder="1"/>
    <xf numFmtId="0" fontId="70" fillId="0" borderId="0" xfId="0" applyFont="1"/>
    <xf numFmtId="0" fontId="9" fillId="0" borderId="0" xfId="0" quotePrefix="1" applyFont="1"/>
    <xf numFmtId="0" fontId="9" fillId="0" borderId="0" xfId="42" applyFont="1" applyFill="1" applyBorder="1"/>
    <xf numFmtId="0" fontId="17" fillId="0" borderId="0" xfId="42" applyFont="1" applyFill="1" applyBorder="1"/>
    <xf numFmtId="174" fontId="9" fillId="0" borderId="0" xfId="42" applyNumberFormat="1" applyFont="1" applyFill="1" applyBorder="1" applyAlignment="1">
      <alignment horizontal="left"/>
    </xf>
    <xf numFmtId="174" fontId="71" fillId="0" borderId="0" xfId="42" applyNumberFormat="1" applyFont="1" applyFill="1" applyBorder="1" applyAlignment="1">
      <alignment horizontal="left"/>
    </xf>
    <xf numFmtId="0" fontId="9" fillId="0" borderId="0" xfId="42" applyFont="1" applyFill="1" applyBorder="1" applyAlignment="1">
      <alignment horizontal="left"/>
    </xf>
    <xf numFmtId="0" fontId="9" fillId="0" borderId="0" xfId="42" applyFont="1" applyFill="1"/>
    <xf numFmtId="0" fontId="17" fillId="0" borderId="0" xfId="42" applyFont="1" applyFill="1"/>
    <xf numFmtId="0" fontId="9" fillId="26" borderId="0" xfId="42" applyFont="1" applyFill="1" applyBorder="1"/>
    <xf numFmtId="0" fontId="72" fillId="26" borderId="0" xfId="42" applyFont="1" applyFill="1" applyBorder="1"/>
    <xf numFmtId="0" fontId="9" fillId="26" borderId="0" xfId="42" applyFill="1"/>
    <xf numFmtId="0" fontId="9" fillId="26" borderId="0" xfId="42" applyFont="1" applyFill="1"/>
    <xf numFmtId="0" fontId="9" fillId="30" borderId="0" xfId="42" applyFill="1" applyAlignment="1">
      <alignment vertical="center"/>
    </xf>
    <xf numFmtId="0" fontId="14" fillId="31" borderId="80" xfId="0" applyFont="1" applyFill="1" applyBorder="1"/>
    <xf numFmtId="0" fontId="24" fillId="31" borderId="23" xfId="0" applyFont="1" applyFill="1" applyBorder="1"/>
    <xf numFmtId="0" fontId="14" fillId="31" borderId="23" xfId="0" applyFont="1" applyFill="1" applyBorder="1"/>
    <xf numFmtId="0" fontId="14" fillId="31" borderId="0" xfId="0" applyFont="1" applyFill="1" applyBorder="1"/>
    <xf numFmtId="0" fontId="14" fillId="31" borderId="0" xfId="0" applyFont="1" applyFill="1" applyBorder="1" applyAlignment="1">
      <alignment vertical="center"/>
    </xf>
    <xf numFmtId="0" fontId="14" fillId="31" borderId="23" xfId="0" applyFont="1" applyFill="1" applyBorder="1" applyAlignment="1">
      <alignment horizontal="left" vertical="top"/>
    </xf>
    <xf numFmtId="0" fontId="70" fillId="0" borderId="0" xfId="0" applyFont="1" applyFill="1" applyProtection="1"/>
    <xf numFmtId="0" fontId="73" fillId="0" borderId="0" xfId="0" applyFont="1" applyFill="1" applyProtection="1"/>
    <xf numFmtId="0" fontId="7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9" fillId="0" borderId="0" xfId="0" applyFont="1" applyFill="1"/>
    <xf numFmtId="0" fontId="74" fillId="0" borderId="0" xfId="0" applyFont="1"/>
    <xf numFmtId="0" fontId="9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81" xfId="0" applyFont="1" applyBorder="1"/>
    <xf numFmtId="0" fontId="9" fillId="0" borderId="81" xfId="0" applyFont="1" applyBorder="1"/>
    <xf numFmtId="0" fontId="0" fillId="0" borderId="81" xfId="0" applyBorder="1"/>
    <xf numFmtId="0" fontId="12" fillId="0" borderId="0" xfId="43" applyFont="1"/>
    <xf numFmtId="0" fontId="9" fillId="0" borderId="0" xfId="43"/>
    <xf numFmtId="0" fontId="9" fillId="0" borderId="79" xfId="43" applyBorder="1"/>
    <xf numFmtId="0" fontId="12" fillId="0" borderId="81" xfId="43" applyFont="1" applyBorder="1"/>
    <xf numFmtId="0" fontId="9" fillId="0" borderId="0" xfId="43" applyFont="1"/>
    <xf numFmtId="0" fontId="9" fillId="0" borderId="81" xfId="43" applyFont="1" applyBorder="1"/>
    <xf numFmtId="0" fontId="9" fillId="0" borderId="0" xfId="43" applyFont="1" applyBorder="1"/>
    <xf numFmtId="0" fontId="9" fillId="0" borderId="81" xfId="43" applyBorder="1"/>
    <xf numFmtId="0" fontId="9" fillId="26" borderId="0" xfId="43" applyFont="1" applyFill="1"/>
    <xf numFmtId="0" fontId="9" fillId="26" borderId="0" xfId="43" applyFont="1" applyFill="1" applyBorder="1" applyAlignment="1">
      <alignment horizontal="left"/>
    </xf>
    <xf numFmtId="15" fontId="12" fillId="26" borderId="0" xfId="43" applyNumberFormat="1" applyFont="1" applyFill="1" applyBorder="1" applyAlignment="1">
      <alignment horizontal="left"/>
    </xf>
    <xf numFmtId="0" fontId="9" fillId="26" borderId="0" xfId="43" applyFont="1" applyFill="1" applyBorder="1" applyAlignment="1"/>
    <xf numFmtId="15" fontId="12" fillId="26" borderId="0" xfId="43" applyNumberFormat="1" applyFont="1" applyFill="1" applyBorder="1" applyAlignment="1" applyProtection="1">
      <alignment horizontal="left"/>
      <protection locked="0"/>
    </xf>
    <xf numFmtId="0" fontId="12" fillId="26" borderId="0" xfId="43" applyFont="1" applyFill="1" applyBorder="1" applyAlignment="1">
      <alignment horizontal="left"/>
    </xf>
    <xf numFmtId="0" fontId="12" fillId="26" borderId="0" xfId="43" applyFont="1" applyFill="1" applyBorder="1" applyAlignment="1" applyProtection="1">
      <alignment horizontal="left"/>
      <protection locked="0"/>
    </xf>
    <xf numFmtId="0" fontId="9" fillId="26" borderId="0" xfId="43" applyFont="1" applyFill="1" applyBorder="1"/>
    <xf numFmtId="1" fontId="12" fillId="26" borderId="0" xfId="43" applyNumberFormat="1" applyFont="1" applyFill="1" applyBorder="1" applyAlignment="1">
      <alignment horizontal="left"/>
    </xf>
    <xf numFmtId="0" fontId="9" fillId="0" borderId="0" xfId="43" applyFont="1" applyFill="1"/>
    <xf numFmtId="0" fontId="9" fillId="0" borderId="0" xfId="43" applyFill="1"/>
    <xf numFmtId="0" fontId="70" fillId="0" borderId="0" xfId="43" applyFont="1"/>
    <xf numFmtId="0" fontId="9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9" fillId="0" borderId="0" xfId="43" applyProtection="1">
      <protection locked="0"/>
    </xf>
    <xf numFmtId="0" fontId="9" fillId="0" borderId="79" xfId="43" applyBorder="1" applyProtection="1">
      <protection locked="0"/>
    </xf>
    <xf numFmtId="0" fontId="9" fillId="0" borderId="0" xfId="43" applyFont="1" applyFill="1" applyAlignment="1">
      <alignment horizontal="left" vertical="top"/>
    </xf>
    <xf numFmtId="0" fontId="9" fillId="0" borderId="0" xfId="43" applyBorder="1"/>
    <xf numFmtId="0" fontId="9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9" fillId="26" borderId="0" xfId="43" applyFont="1" applyFill="1" applyProtection="1">
      <protection locked="0"/>
    </xf>
    <xf numFmtId="0" fontId="21" fillId="29" borderId="0" xfId="0" applyFont="1" applyFill="1" applyProtection="1">
      <protection locked="0"/>
    </xf>
    <xf numFmtId="0" fontId="9" fillId="0" borderId="0" xfId="0" applyFont="1" applyAlignment="1" applyProtection="1">
      <alignment wrapText="1"/>
      <protection locked="0"/>
    </xf>
    <xf numFmtId="0" fontId="13" fillId="26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21" fillId="26" borderId="0" xfId="0" applyFont="1" applyFill="1" applyBorder="1" applyProtection="1">
      <protection locked="0"/>
    </xf>
    <xf numFmtId="0" fontId="9" fillId="0" borderId="0" xfId="42" applyFont="1" applyFill="1" applyBorder="1" applyProtection="1">
      <protection locked="0"/>
    </xf>
    <xf numFmtId="0" fontId="9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9" fillId="0" borderId="0" xfId="42" applyFill="1" applyProtection="1">
      <protection locked="0"/>
    </xf>
    <xf numFmtId="0" fontId="9" fillId="3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3" fillId="27" borderId="0" xfId="0" applyFont="1" applyFill="1" applyProtection="1">
      <protection locked="0"/>
    </xf>
    <xf numFmtId="0" fontId="21" fillId="0" borderId="0" xfId="0" applyFont="1" applyFill="1" applyBorder="1" applyProtection="1">
      <protection locked="0"/>
    </xf>
    <xf numFmtId="0" fontId="9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61" fillId="0" borderId="0" xfId="42" applyFont="1" applyProtection="1">
      <protection locked="0"/>
    </xf>
    <xf numFmtId="49" fontId="9" fillId="0" borderId="0" xfId="42" applyNumberFormat="1" applyAlignment="1" applyProtection="1">
      <alignment wrapText="1"/>
      <protection locked="0"/>
    </xf>
    <xf numFmtId="0" fontId="9" fillId="30" borderId="0" xfId="42" applyFill="1" applyBorder="1" applyProtection="1">
      <protection locked="0"/>
    </xf>
    <xf numFmtId="0" fontId="9" fillId="0" borderId="0" xfId="43" applyFont="1" applyFill="1" applyAlignment="1">
      <alignment vertical="top" wrapText="1"/>
    </xf>
    <xf numFmtId="0" fontId="75" fillId="30" borderId="0" xfId="42" applyFont="1" applyFill="1"/>
    <xf numFmtId="0" fontId="9" fillId="0" borderId="0" xfId="0" applyFont="1" applyFill="1" applyBorder="1" applyProtection="1"/>
    <xf numFmtId="0" fontId="20" fillId="0" borderId="7" xfId="0" applyFont="1" applyFill="1" applyBorder="1"/>
    <xf numFmtId="0" fontId="9" fillId="0" borderId="0" xfId="44" applyFont="1"/>
    <xf numFmtId="0" fontId="76" fillId="0" borderId="0" xfId="44" applyFont="1"/>
    <xf numFmtId="20" fontId="9" fillId="0" borderId="0" xfId="0" applyNumberFormat="1" applyFont="1"/>
    <xf numFmtId="0" fontId="9" fillId="0" borderId="0" xfId="43" applyAlignment="1">
      <alignment horizontal="left"/>
    </xf>
    <xf numFmtId="0" fontId="9" fillId="0" borderId="0" xfId="0" applyFont="1" applyAlignment="1">
      <alignment horizontal="left"/>
    </xf>
    <xf numFmtId="0" fontId="9" fillId="0" borderId="0" xfId="43" applyFont="1" applyBorder="1" applyProtection="1">
      <protection locked="0"/>
    </xf>
    <xf numFmtId="0" fontId="9" fillId="0" borderId="81" xfId="42" applyBorder="1"/>
    <xf numFmtId="0" fontId="9" fillId="0" borderId="79" xfId="42" applyBorder="1"/>
    <xf numFmtId="0" fontId="9" fillId="0" borderId="0" xfId="43" applyBorder="1" applyAlignment="1">
      <alignment vertical="top"/>
    </xf>
    <xf numFmtId="0" fontId="9" fillId="0" borderId="0" xfId="43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43" applyBorder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26" fillId="0" borderId="0" xfId="0" applyFont="1"/>
    <xf numFmtId="0" fontId="70" fillId="0" borderId="0" xfId="0" applyFont="1" applyFill="1"/>
    <xf numFmtId="0" fontId="77" fillId="0" borderId="0" xfId="0" applyFont="1" applyFill="1"/>
    <xf numFmtId="0" fontId="9" fillId="0" borderId="0" xfId="96" applyFont="1" applyFill="1"/>
    <xf numFmtId="167" fontId="9" fillId="0" borderId="0" xfId="96" applyNumberFormat="1" applyFont="1"/>
    <xf numFmtId="0" fontId="9" fillId="0" borderId="0" xfId="96" applyFont="1" applyAlignment="1">
      <alignment horizontal="right"/>
    </xf>
    <xf numFmtId="0" fontId="76" fillId="0" borderId="0" xfId="96" applyFont="1" applyFill="1"/>
    <xf numFmtId="167" fontId="9" fillId="0" borderId="0" xfId="96" applyNumberFormat="1" applyFont="1" applyFill="1"/>
    <xf numFmtId="0" fontId="9" fillId="0" borderId="0" xfId="96" applyFont="1" applyFill="1" applyAlignment="1">
      <alignment horizontal="right"/>
    </xf>
    <xf numFmtId="167" fontId="9" fillId="0" borderId="0" xfId="96" applyNumberFormat="1" applyFont="1" applyFill="1" applyAlignment="1">
      <alignment horizontal="right"/>
    </xf>
    <xf numFmtId="167" fontId="9" fillId="0" borderId="0" xfId="96" applyNumberFormat="1" applyFont="1" applyAlignment="1">
      <alignment horizontal="right"/>
    </xf>
    <xf numFmtId="0" fontId="9" fillId="0" borderId="0" xfId="42" applyFont="1" applyFill="1" applyAlignment="1">
      <alignment horizontal="right"/>
    </xf>
    <xf numFmtId="0" fontId="9" fillId="0" borderId="0" xfId="42"/>
    <xf numFmtId="168" fontId="9" fillId="0" borderId="0" xfId="42" applyNumberFormat="1"/>
    <xf numFmtId="2" fontId="9" fillId="0" borderId="0" xfId="42" applyNumberFormat="1" applyFont="1"/>
    <xf numFmtId="0" fontId="9" fillId="0" borderId="0" xfId="42" applyFont="1"/>
    <xf numFmtId="0" fontId="9" fillId="0" borderId="0" xfId="42" applyFont="1" applyFill="1"/>
    <xf numFmtId="0" fontId="9" fillId="0" borderId="0" xfId="96" applyFont="1"/>
    <xf numFmtId="167" fontId="9" fillId="0" borderId="0" xfId="42" applyNumberFormat="1" applyFont="1"/>
    <xf numFmtId="167" fontId="9" fillId="0" borderId="0" xfId="42" applyNumberFormat="1" applyFont="1" applyFill="1"/>
    <xf numFmtId="167" fontId="79" fillId="0" borderId="0" xfId="42" applyNumberFormat="1" applyFont="1" applyFill="1"/>
    <xf numFmtId="0" fontId="79" fillId="0" borderId="0" xfId="42" applyFont="1" applyProtection="1">
      <protection locked="0"/>
    </xf>
    <xf numFmtId="0" fontId="79" fillId="0" borderId="0" xfId="42" applyFont="1" applyFill="1" applyAlignment="1">
      <alignment horizontal="right"/>
    </xf>
    <xf numFmtId="167" fontId="79" fillId="0" borderId="0" xfId="42" applyNumberFormat="1" applyFont="1"/>
    <xf numFmtId="2" fontId="79" fillId="0" borderId="0" xfId="42" applyNumberFormat="1" applyFont="1"/>
    <xf numFmtId="169" fontId="9" fillId="0" borderId="0" xfId="42" applyNumberFormat="1" applyFill="1"/>
    <xf numFmtId="0" fontId="12" fillId="0" borderId="0" xfId="42" applyFont="1"/>
    <xf numFmtId="0" fontId="79" fillId="0" borderId="0" xfId="42" applyFont="1"/>
    <xf numFmtId="0" fontId="79" fillId="0" borderId="0" xfId="42" applyFont="1" applyFill="1"/>
    <xf numFmtId="0" fontId="21" fillId="0" borderId="0" xfId="0" applyFont="1" applyFill="1" applyBorder="1" applyAlignment="1">
      <alignment shrinkToFit="1"/>
    </xf>
    <xf numFmtId="0" fontId="70" fillId="0" borderId="0" xfId="0" applyFont="1" applyFill="1" applyBorder="1"/>
    <xf numFmtId="0" fontId="77" fillId="0" borderId="0" xfId="0" applyFont="1" applyFill="1" applyBorder="1" applyAlignment="1">
      <alignment shrinkToFit="1"/>
    </xf>
    <xf numFmtId="0" fontId="21" fillId="0" borderId="0" xfId="0" applyNumberFormat="1" applyFont="1" applyFill="1" applyBorder="1" applyAlignment="1"/>
    <xf numFmtId="0" fontId="21" fillId="0" borderId="0" xfId="0" applyFont="1" applyFill="1" applyBorder="1" applyAlignment="1" applyProtection="1">
      <alignment horizontal="left"/>
      <protection locked="0"/>
    </xf>
    <xf numFmtId="0" fontId="9" fillId="0" borderId="0" xfId="42"/>
    <xf numFmtId="0" fontId="12" fillId="0" borderId="0" xfId="42" applyFont="1" applyAlignment="1">
      <alignment wrapText="1"/>
    </xf>
    <xf numFmtId="0" fontId="4" fillId="0" borderId="0" xfId="131" applyFont="1"/>
    <xf numFmtId="0" fontId="78" fillId="0" borderId="0" xfId="131" applyFont="1"/>
    <xf numFmtId="0" fontId="80" fillId="0" borderId="0" xfId="42" applyFont="1" applyFill="1"/>
    <xf numFmtId="0" fontId="0" fillId="0" borderId="0" xfId="132" applyFont="1"/>
    <xf numFmtId="0" fontId="79" fillId="0" borderId="0" xfId="132" applyFont="1"/>
    <xf numFmtId="167" fontId="79" fillId="0" borderId="0" xfId="132" applyNumberFormat="1" applyFont="1"/>
    <xf numFmtId="0" fontId="80" fillId="0" borderId="0" xfId="132" applyFont="1" applyFill="1"/>
    <xf numFmtId="1" fontId="79" fillId="0" borderId="0" xfId="42" applyNumberFormat="1" applyFont="1"/>
    <xf numFmtId="1" fontId="80" fillId="0" borderId="0" xfId="42" applyNumberFormat="1" applyFont="1" applyFill="1"/>
    <xf numFmtId="0" fontId="79" fillId="0" borderId="0" xfId="132" applyFont="1" applyFill="1"/>
    <xf numFmtId="0" fontId="79" fillId="0" borderId="0" xfId="131" applyFont="1" applyFill="1"/>
    <xf numFmtId="0" fontId="80" fillId="0" borderId="0" xfId="131" applyFont="1" applyFill="1"/>
    <xf numFmtId="167" fontId="79" fillId="0" borderId="0" xfId="132" applyNumberFormat="1" applyFont="1" applyFill="1"/>
    <xf numFmtId="167" fontId="79" fillId="0" borderId="0" xfId="132" applyNumberFormat="1" applyFont="1" applyFill="1" applyAlignment="1">
      <alignment horizontal="right"/>
    </xf>
    <xf numFmtId="0" fontId="79" fillId="0" borderId="0" xfId="132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0" fillId="0" borderId="0" xfId="132" applyFont="1"/>
    <xf numFmtId="167" fontId="79" fillId="0" borderId="0" xfId="132" applyNumberFormat="1" applyFont="1" applyAlignment="1">
      <alignment horizontal="right"/>
    </xf>
    <xf numFmtId="0" fontId="79" fillId="0" borderId="0" xfId="132" applyFont="1" applyAlignment="1">
      <alignment horizontal="right"/>
    </xf>
    <xf numFmtId="0" fontId="80" fillId="0" borderId="0" xfId="132" applyFont="1" applyAlignment="1">
      <alignment horizontal="right"/>
    </xf>
    <xf numFmtId="0" fontId="4" fillId="0" borderId="0" xfId="131" applyFill="1"/>
    <xf numFmtId="168" fontId="9" fillId="0" borderId="0" xfId="42" applyNumberFormat="1" applyFont="1"/>
    <xf numFmtId="0" fontId="81" fillId="0" borderId="0" xfId="96" applyFont="1"/>
    <xf numFmtId="0" fontId="76" fillId="0" borderId="0" xfId="96" applyFont="1"/>
    <xf numFmtId="0" fontId="53" fillId="0" borderId="0" xfId="0" applyFont="1" applyFill="1"/>
    <xf numFmtId="0" fontId="12" fillId="0" borderId="0" xfId="0" applyFont="1" applyAlignment="1"/>
    <xf numFmtId="0" fontId="4" fillId="0" borderId="0" xfId="131" applyFont="1" applyFill="1"/>
    <xf numFmtId="0" fontId="82" fillId="32" borderId="82" xfId="0" applyFont="1" applyFill="1" applyBorder="1"/>
    <xf numFmtId="0" fontId="79" fillId="32" borderId="83" xfId="0" applyFont="1" applyFill="1" applyBorder="1"/>
    <xf numFmtId="0" fontId="79" fillId="32" borderId="84" xfId="0" applyFont="1" applyFill="1" applyBorder="1"/>
    <xf numFmtId="0" fontId="79" fillId="32" borderId="85" xfId="42" applyFont="1" applyFill="1" applyBorder="1"/>
    <xf numFmtId="0" fontId="79" fillId="32" borderId="0" xfId="42" applyFont="1" applyFill="1" applyBorder="1" applyAlignment="1">
      <alignment horizontal="left"/>
    </xf>
    <xf numFmtId="0" fontId="79" fillId="32" borderId="0" xfId="42" applyFont="1" applyFill="1" applyBorder="1"/>
    <xf numFmtId="0" fontId="79" fillId="32" borderId="86" xfId="42" applyFont="1" applyFill="1" applyBorder="1"/>
    <xf numFmtId="0" fontId="79" fillId="32" borderId="85" xfId="42" applyFont="1" applyFill="1" applyBorder="1" applyAlignment="1">
      <alignment horizontal="center"/>
    </xf>
    <xf numFmtId="0" fontId="79" fillId="32" borderId="0" xfId="42" applyFont="1" applyFill="1" applyBorder="1" applyAlignment="1">
      <alignment horizontal="center"/>
    </xf>
    <xf numFmtId="0" fontId="79" fillId="32" borderId="86" xfId="42" applyFont="1" applyFill="1" applyBorder="1" applyAlignment="1">
      <alignment horizontal="center"/>
    </xf>
    <xf numFmtId="0" fontId="79" fillId="32" borderId="87" xfId="42" applyFont="1" applyFill="1" applyBorder="1" applyAlignment="1">
      <alignment horizontal="center"/>
    </xf>
    <xf numFmtId="0" fontId="79" fillId="32" borderId="13" xfId="42" applyFont="1" applyFill="1" applyBorder="1" applyAlignment="1">
      <alignment horizontal="center"/>
    </xf>
    <xf numFmtId="0" fontId="82" fillId="32" borderId="13" xfId="42" applyFont="1" applyFill="1" applyBorder="1"/>
    <xf numFmtId="0" fontId="79" fillId="32" borderId="13" xfId="42" applyFont="1" applyFill="1" applyBorder="1"/>
    <xf numFmtId="0" fontId="79" fillId="32" borderId="88" xfId="0" applyFont="1" applyFill="1" applyBorder="1"/>
    <xf numFmtId="0" fontId="12" fillId="0" borderId="0" xfId="42" applyFont="1" applyAlignment="1">
      <alignment wrapText="1"/>
    </xf>
    <xf numFmtId="0" fontId="9" fillId="0" borderId="0" xfId="0" applyFont="1" applyBorder="1" applyProtection="1">
      <protection locked="0"/>
    </xf>
    <xf numFmtId="0" fontId="53" fillId="0" borderId="0" xfId="0" applyFont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83" fillId="0" borderId="0" xfId="0" applyFont="1" applyFill="1" applyBorder="1"/>
    <xf numFmtId="0" fontId="20" fillId="26" borderId="0" xfId="0" applyFont="1" applyFill="1" applyBorder="1" applyAlignment="1">
      <alignment horizontal="center"/>
    </xf>
    <xf numFmtId="0" fontId="20" fillId="26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6" borderId="0" xfId="0" applyFont="1" applyFill="1" applyBorder="1"/>
    <xf numFmtId="0" fontId="84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6" borderId="23" xfId="0" applyFont="1" applyFill="1" applyBorder="1" applyAlignment="1">
      <alignment horizontal="center"/>
    </xf>
    <xf numFmtId="0" fontId="20" fillId="26" borderId="23" xfId="0" applyFont="1" applyFill="1" applyBorder="1"/>
    <xf numFmtId="0" fontId="20" fillId="26" borderId="0" xfId="0" applyFont="1" applyFill="1" applyBorder="1" applyAlignment="1">
      <alignment horizontal="left" vertical="top"/>
    </xf>
    <xf numFmtId="0" fontId="20" fillId="26" borderId="23" xfId="0" applyFont="1" applyFill="1" applyBorder="1" applyAlignment="1">
      <alignment horizontal="left" vertical="top"/>
    </xf>
    <xf numFmtId="0" fontId="85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6" borderId="11" xfId="0" applyFont="1" applyFill="1" applyBorder="1"/>
    <xf numFmtId="0" fontId="20" fillId="0" borderId="11" xfId="0" applyFont="1" applyFill="1" applyBorder="1"/>
    <xf numFmtId="0" fontId="20" fillId="26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6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85" fillId="0" borderId="0" xfId="0" applyFont="1" applyFill="1" applyBorder="1"/>
    <xf numFmtId="0" fontId="23" fillId="26" borderId="23" xfId="0" applyFont="1" applyFill="1" applyBorder="1"/>
    <xf numFmtId="0" fontId="23" fillId="26" borderId="23" xfId="0" applyFont="1" applyFill="1" applyBorder="1" applyAlignment="1">
      <alignment horizontal="left"/>
    </xf>
    <xf numFmtId="0" fontId="20" fillId="26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48" xfId="0" applyFont="1" applyFill="1" applyBorder="1"/>
    <xf numFmtId="0" fontId="20" fillId="0" borderId="48" xfId="0" applyFont="1" applyFill="1" applyBorder="1" applyAlignment="1">
      <alignment horizontal="center"/>
    </xf>
    <xf numFmtId="0" fontId="78" fillId="35" borderId="0" xfId="131" applyFont="1" applyFill="1"/>
    <xf numFmtId="0" fontId="12" fillId="36" borderId="0" xfId="42" applyFont="1" applyFill="1"/>
    <xf numFmtId="0" fontId="9" fillId="37" borderId="0" xfId="42" applyFill="1" applyProtection="1">
      <protection locked="0"/>
    </xf>
    <xf numFmtId="0" fontId="64" fillId="37" borderId="0" xfId="42" applyFont="1" applyFill="1" applyAlignment="1">
      <alignment horizontal="left"/>
    </xf>
    <xf numFmtId="0" fontId="9" fillId="37" borderId="0" xfId="42" applyFill="1"/>
    <xf numFmtId="0" fontId="56" fillId="37" borderId="0" xfId="42" applyFont="1" applyFill="1"/>
    <xf numFmtId="0" fontId="17" fillId="37" borderId="0" xfId="42" applyFont="1" applyFill="1"/>
    <xf numFmtId="0" fontId="20" fillId="37" borderId="0" xfId="42" applyFont="1" applyFill="1"/>
    <xf numFmtId="0" fontId="9" fillId="37" borderId="72" xfId="42" applyFill="1" applyBorder="1"/>
    <xf numFmtId="0" fontId="17" fillId="37" borderId="72" xfId="42" applyFont="1" applyFill="1" applyBorder="1"/>
    <xf numFmtId="0" fontId="20" fillId="37" borderId="72" xfId="42" applyFont="1" applyFill="1" applyBorder="1"/>
    <xf numFmtId="0" fontId="9" fillId="37" borderId="0" xfId="42" applyFill="1" applyBorder="1" applyProtection="1">
      <protection locked="0"/>
    </xf>
    <xf numFmtId="0" fontId="17" fillId="37" borderId="0" xfId="42" applyFont="1" applyFill="1" applyBorder="1"/>
    <xf numFmtId="0" fontId="20" fillId="37" borderId="0" xfId="42" applyFont="1" applyFill="1" applyBorder="1"/>
    <xf numFmtId="0" fontId="9" fillId="37" borderId="0" xfId="42" applyFill="1" applyBorder="1"/>
    <xf numFmtId="0" fontId="9" fillId="37" borderId="0" xfId="42" applyFill="1" applyAlignment="1">
      <alignment horizontal="right"/>
    </xf>
    <xf numFmtId="0" fontId="9" fillId="37" borderId="0" xfId="42" applyFill="1" applyAlignment="1">
      <alignment horizontal="center"/>
    </xf>
    <xf numFmtId="0" fontId="9" fillId="37" borderId="0" xfId="42" applyFill="1" applyAlignment="1">
      <alignment horizontal="left"/>
    </xf>
    <xf numFmtId="0" fontId="17" fillId="37" borderId="73" xfId="42" applyFont="1" applyFill="1" applyBorder="1"/>
    <xf numFmtId="0" fontId="9" fillId="37" borderId="73" xfId="42" applyFill="1" applyBorder="1"/>
    <xf numFmtId="0" fontId="66" fillId="37" borderId="0" xfId="42" applyFont="1" applyFill="1"/>
    <xf numFmtId="0" fontId="12" fillId="37" borderId="0" xfId="42" applyFont="1" applyFill="1" applyAlignment="1">
      <alignment horizontal="left"/>
    </xf>
    <xf numFmtId="0" fontId="12" fillId="37" borderId="0" xfId="42" applyFont="1" applyFill="1"/>
    <xf numFmtId="0" fontId="67" fillId="37" borderId="74" xfId="42" applyFont="1" applyFill="1" applyBorder="1" applyAlignment="1">
      <alignment horizontal="left"/>
    </xf>
    <xf numFmtId="0" fontId="9" fillId="37" borderId="74" xfId="42" applyFill="1" applyBorder="1"/>
    <xf numFmtId="0" fontId="67" fillId="37" borderId="0" xfId="42" applyFont="1" applyFill="1" applyBorder="1" applyAlignment="1">
      <alignment horizontal="left"/>
    </xf>
    <xf numFmtId="0" fontId="32" fillId="37" borderId="0" xfId="42" applyFont="1" applyFill="1"/>
    <xf numFmtId="0" fontId="32" fillId="37" borderId="0" xfId="42" applyFont="1" applyFill="1" applyAlignment="1">
      <alignment horizontal="right"/>
    </xf>
    <xf numFmtId="0" fontId="75" fillId="37" borderId="0" xfId="42" applyFont="1" applyFill="1"/>
    <xf numFmtId="0" fontId="9" fillId="37" borderId="23" xfId="42" applyFill="1" applyBorder="1"/>
    <xf numFmtId="0" fontId="32" fillId="37" borderId="23" xfId="42" applyFont="1" applyFill="1" applyBorder="1"/>
    <xf numFmtId="0" fontId="66" fillId="37" borderId="0" xfId="42" applyFont="1" applyFill="1" applyAlignment="1">
      <alignment horizontal="center"/>
    </xf>
    <xf numFmtId="0" fontId="67" fillId="37" borderId="0" xfId="42" applyFont="1" applyFill="1"/>
    <xf numFmtId="0" fontId="9" fillId="37" borderId="0" xfId="42" applyFill="1" applyBorder="1" applyAlignment="1">
      <alignment horizontal="left"/>
    </xf>
    <xf numFmtId="0" fontId="68" fillId="37" borderId="0" xfId="42" applyFont="1" applyFill="1" applyBorder="1"/>
    <xf numFmtId="0" fontId="9" fillId="37" borderId="76" xfId="42" applyFill="1" applyBorder="1"/>
    <xf numFmtId="0" fontId="9" fillId="37" borderId="76" xfId="42" applyFill="1" applyBorder="1" applyAlignment="1">
      <alignment horizontal="right"/>
    </xf>
    <xf numFmtId="0" fontId="9" fillId="37" borderId="76" xfId="42" applyFill="1" applyBorder="1" applyAlignment="1">
      <alignment horizontal="left"/>
    </xf>
    <xf numFmtId="49" fontId="31" fillId="37" borderId="74" xfId="42" applyNumberFormat="1" applyFont="1" applyFill="1" applyBorder="1"/>
    <xf numFmtId="0" fontId="9" fillId="37" borderId="74" xfId="42" applyFill="1" applyBorder="1" applyAlignment="1">
      <alignment horizontal="left"/>
    </xf>
    <xf numFmtId="0" fontId="9" fillId="37" borderId="77" xfId="42" applyFill="1" applyBorder="1"/>
    <xf numFmtId="0" fontId="9" fillId="37" borderId="77" xfId="42" applyFill="1" applyBorder="1" applyAlignment="1">
      <alignment horizontal="right"/>
    </xf>
    <xf numFmtId="0" fontId="9" fillId="37" borderId="77" xfId="42" applyFill="1" applyBorder="1" applyAlignment="1">
      <alignment horizontal="left"/>
    </xf>
    <xf numFmtId="0" fontId="9" fillId="37" borderId="75" xfId="42" applyFill="1" applyBorder="1"/>
    <xf numFmtId="0" fontId="67" fillId="37" borderId="75" xfId="42" applyFont="1" applyFill="1" applyBorder="1" applyAlignment="1">
      <alignment horizontal="left"/>
    </xf>
    <xf numFmtId="49" fontId="31" fillId="37" borderId="75" xfId="42" applyNumberFormat="1" applyFont="1" applyFill="1" applyBorder="1"/>
    <xf numFmtId="0" fontId="9" fillId="37" borderId="75" xfId="42" applyFill="1" applyBorder="1" applyAlignment="1">
      <alignment horizontal="left"/>
    </xf>
    <xf numFmtId="0" fontId="9" fillId="37" borderId="48" xfId="42" applyFill="1" applyBorder="1"/>
    <xf numFmtId="0" fontId="9" fillId="37" borderId="48" xfId="42" applyFill="1" applyBorder="1" applyAlignment="1">
      <alignment horizontal="right"/>
    </xf>
    <xf numFmtId="0" fontId="67" fillId="37" borderId="78" xfId="42" applyFont="1" applyFill="1" applyBorder="1" applyAlignment="1">
      <alignment horizontal="left"/>
    </xf>
    <xf numFmtId="49" fontId="31" fillId="37" borderId="78" xfId="42" applyNumberFormat="1" applyFont="1" applyFill="1" applyBorder="1"/>
    <xf numFmtId="0" fontId="9" fillId="37" borderId="78" xfId="42" applyFill="1" applyBorder="1" applyAlignment="1">
      <alignment horizontal="left"/>
    </xf>
    <xf numFmtId="0" fontId="17" fillId="37" borderId="76" xfId="42" applyFont="1" applyFill="1" applyBorder="1" applyAlignment="1">
      <alignment horizontal="left"/>
    </xf>
    <xf numFmtId="0" fontId="9" fillId="37" borderId="0" xfId="42" applyFill="1" applyBorder="1" applyAlignment="1">
      <alignment horizontal="right"/>
    </xf>
    <xf numFmtId="49" fontId="31" fillId="37" borderId="0" xfId="42" applyNumberFormat="1" applyFont="1" applyFill="1" applyBorder="1"/>
    <xf numFmtId="0" fontId="66" fillId="37" borderId="0" xfId="42" applyFont="1" applyFill="1" applyBorder="1"/>
    <xf numFmtId="0" fontId="9" fillId="37" borderId="73" xfId="42" applyFill="1" applyBorder="1" applyAlignment="1">
      <alignment horizontal="right"/>
    </xf>
    <xf numFmtId="0" fontId="9" fillId="37" borderId="73" xfId="42" applyFill="1" applyBorder="1" applyAlignment="1">
      <alignment horizontal="left"/>
    </xf>
    <xf numFmtId="0" fontId="15" fillId="37" borderId="0" xfId="42" applyFont="1" applyFill="1"/>
    <xf numFmtId="0" fontId="17" fillId="37" borderId="74" xfId="42" applyFont="1" applyFill="1" applyBorder="1"/>
    <xf numFmtId="0" fontId="17" fillId="37" borderId="75" xfId="42" applyFont="1" applyFill="1" applyBorder="1"/>
    <xf numFmtId="0" fontId="9" fillId="37" borderId="75" xfId="42" applyFill="1" applyBorder="1" applyAlignment="1">
      <alignment horizontal="right"/>
    </xf>
    <xf numFmtId="0" fontId="9" fillId="37" borderId="75" xfId="42" applyFill="1" applyBorder="1" applyAlignment="1">
      <alignment horizontal="center"/>
    </xf>
    <xf numFmtId="0" fontId="9" fillId="0" borderId="0" xfId="42" applyNumberFormat="1" applyFill="1"/>
    <xf numFmtId="0" fontId="9" fillId="0" borderId="0" xfId="42" applyNumberFormat="1"/>
    <xf numFmtId="0" fontId="9" fillId="0" borderId="0" xfId="42" applyNumberFormat="1"/>
    <xf numFmtId="0" fontId="9" fillId="0" borderId="0" xfId="42"/>
    <xf numFmtId="0" fontId="9" fillId="0" borderId="0" xfId="42"/>
    <xf numFmtId="0" fontId="9" fillId="0" borderId="0" xfId="42" applyNumberFormat="1"/>
    <xf numFmtId="0" fontId="9" fillId="0" borderId="0" xfId="42"/>
    <xf numFmtId="0" fontId="9" fillId="0" borderId="0" xfId="42" applyNumberFormat="1"/>
    <xf numFmtId="0" fontId="9" fillId="0" borderId="0" xfId="42" applyNumberFormat="1"/>
    <xf numFmtId="170" fontId="12" fillId="0" borderId="0" xfId="42" applyNumberFormat="1" applyFont="1" applyFill="1" applyAlignment="1">
      <alignment horizontal="left"/>
    </xf>
    <xf numFmtId="0" fontId="1" fillId="0" borderId="0" xfId="158" applyFont="1" applyFill="1"/>
    <xf numFmtId="0" fontId="9" fillId="0" borderId="0" xfId="100" applyFont="1" applyFill="1"/>
    <xf numFmtId="0" fontId="9" fillId="0" borderId="0" xfId="100" applyFont="1" applyFill="1" applyBorder="1"/>
    <xf numFmtId="0" fontId="9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38" borderId="0" xfId="42" applyFont="1" applyFill="1"/>
    <xf numFmtId="0" fontId="9" fillId="38" borderId="0" xfId="42" applyFont="1" applyFill="1"/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Fill="1" applyAlignment="1"/>
    <xf numFmtId="0" fontId="13" fillId="27" borderId="0" xfId="0" applyFont="1" applyFill="1" applyBorder="1" applyAlignment="1"/>
    <xf numFmtId="0" fontId="34" fillId="0" borderId="0" xfId="0" applyFont="1" applyFill="1" applyBorder="1" applyAlignment="1">
      <alignment horizontal="center" vertical="top"/>
    </xf>
    <xf numFmtId="0" fontId="9" fillId="0" borderId="0" xfId="43" applyBorder="1" applyAlignment="1">
      <alignment horizontal="left" vertical="top"/>
    </xf>
    <xf numFmtId="0" fontId="21" fillId="26" borderId="0" xfId="0" applyFont="1" applyFill="1" applyBorder="1" applyAlignment="1">
      <alignment vertical="top" wrapText="1"/>
    </xf>
    <xf numFmtId="0" fontId="21" fillId="26" borderId="0" xfId="0" applyFont="1" applyFill="1" applyBorder="1" applyAlignment="1">
      <alignment horizontal="left" vertical="top" wrapText="1"/>
    </xf>
    <xf numFmtId="0" fontId="21" fillId="26" borderId="0" xfId="0" applyFont="1" applyFill="1" applyBorder="1" applyAlignment="1">
      <alignment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40" xfId="0" applyFont="1" applyFill="1" applyBorder="1" applyAlignment="1" applyProtection="1">
      <alignment horizontal="left" vertical="center" wrapTex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1" fillId="0" borderId="51" xfId="0" applyFont="1" applyBorder="1" applyAlignment="1">
      <alignment horizontal="center" vertical="top" wrapText="1"/>
    </xf>
    <xf numFmtId="0" fontId="21" fillId="0" borderId="52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50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51" xfId="0" applyFont="1" applyBorder="1" applyAlignment="1">
      <alignment vertical="top" wrapText="1"/>
    </xf>
    <xf numFmtId="0" fontId="26" fillId="0" borderId="52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1" fillId="0" borderId="50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87" fillId="31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70" fontId="12" fillId="0" borderId="0" xfId="42" applyNumberFormat="1" applyFont="1" applyFill="1" applyAlignment="1">
      <alignment horizontal="left"/>
    </xf>
    <xf numFmtId="21" fontId="9" fillId="0" borderId="0" xfId="42" applyNumberFormat="1" applyFill="1" applyAlignment="1">
      <alignment horizontal="left"/>
    </xf>
    <xf numFmtId="0" fontId="9" fillId="0" borderId="66" xfId="42" applyFill="1" applyBorder="1" applyAlignment="1">
      <alignment horizontal="left" wrapText="1"/>
    </xf>
    <xf numFmtId="0" fontId="9" fillId="0" borderId="67" xfId="42" applyFill="1" applyBorder="1" applyAlignment="1">
      <alignment horizontal="left" wrapText="1"/>
    </xf>
    <xf numFmtId="0" fontId="87" fillId="37" borderId="0" xfId="42" applyFont="1" applyFill="1" applyAlignment="1">
      <alignment horizontal="center" vertical="center"/>
    </xf>
    <xf numFmtId="0" fontId="9" fillId="0" borderId="0" xfId="42" applyAlignment="1">
      <alignment wrapText="1"/>
    </xf>
    <xf numFmtId="0" fontId="12" fillId="0" borderId="0" xfId="42" applyFont="1" applyAlignment="1">
      <alignment wrapText="1"/>
    </xf>
    <xf numFmtId="0" fontId="12" fillId="36" borderId="0" xfId="42" applyFont="1" applyFill="1" applyAlignment="1">
      <alignment horizontal="center"/>
    </xf>
    <xf numFmtId="0" fontId="12" fillId="33" borderId="0" xfId="42" applyFont="1" applyFill="1" applyAlignment="1">
      <alignment horizontal="center"/>
    </xf>
    <xf numFmtId="0" fontId="12" fillId="34" borderId="0" xfId="42" applyFont="1" applyFill="1" applyAlignment="1">
      <alignment horizontal="center"/>
    </xf>
    <xf numFmtId="0" fontId="9" fillId="0" borderId="0" xfId="0" applyFont="1" applyFill="1" applyAlignment="1">
      <alignment horizontal="left" vertical="top" wrapText="1"/>
    </xf>
    <xf numFmtId="0" fontId="12" fillId="0" borderId="23" xfId="42" applyFont="1" applyBorder="1" applyAlignment="1">
      <alignment horizontal="left"/>
    </xf>
    <xf numFmtId="14" fontId="9" fillId="0" borderId="0" xfId="42" applyNumberFormat="1" applyAlignment="1"/>
    <xf numFmtId="0" fontId="9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9" fillId="0" borderId="0" xfId="42" applyNumberFormat="1" applyAlignment="1">
      <alignment horizontal="left"/>
    </xf>
    <xf numFmtId="2" fontId="9" fillId="0" borderId="0" xfId="42" applyNumberFormat="1" applyAlignment="1"/>
    <xf numFmtId="0" fontId="9" fillId="0" borderId="15" xfId="42" applyBorder="1" applyAlignment="1"/>
    <xf numFmtId="172" fontId="20" fillId="0" borderId="0" xfId="42" applyNumberFormat="1" applyFont="1" applyAlignment="1">
      <alignment horizontal="left"/>
    </xf>
    <xf numFmtId="14" fontId="20" fillId="0" borderId="0" xfId="42" applyNumberFormat="1" applyFont="1" applyAlignment="1">
      <alignment horizontal="left"/>
    </xf>
    <xf numFmtId="0" fontId="9" fillId="0" borderId="0" xfId="42" applyAlignment="1">
      <alignment horizontal="left"/>
    </xf>
    <xf numFmtId="170" fontId="12" fillId="0" borderId="0" xfId="42" applyNumberFormat="1" applyFont="1" applyAlignment="1">
      <alignment horizontal="center"/>
    </xf>
    <xf numFmtId="21" fontId="9" fillId="0" borderId="0" xfId="42" applyNumberFormat="1" applyAlignment="1">
      <alignment horizontal="left"/>
    </xf>
  </cellXfs>
  <cellStyles count="164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 2" xfId="43"/>
    <cellStyle name="Note" xfId="37"/>
    <cellStyle name="Output" xfId="38"/>
    <cellStyle name="Standaard" xfId="0" builtinId="0"/>
    <cellStyle name="Standaard 10" xfId="133"/>
    <cellStyle name="Standaard 10 2" xfId="152"/>
    <cellStyle name="Standaard 11" xfId="158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3" xfId="137"/>
    <cellStyle name="Standaard 3 2 3 2" xfId="156"/>
    <cellStyle name="Standaard 3 2 4" xfId="142"/>
    <cellStyle name="Standaard 3 2 5" xfId="162"/>
    <cellStyle name="Standaard 3 3" xfId="125"/>
    <cellStyle name="Standaard 3 3 2" xfId="145"/>
    <cellStyle name="Standaard 3 4" xfId="132"/>
    <cellStyle name="Standaard 3 4 2" xfId="151"/>
    <cellStyle name="Standaard 3 5" xfId="134"/>
    <cellStyle name="Standaard 3 5 2" xfId="153"/>
    <cellStyle name="Standaard 3 6" xfId="139"/>
    <cellStyle name="Standaard 3 7" xfId="159"/>
    <cellStyle name="Standaard 4" xfId="69"/>
    <cellStyle name="Standaard 4 2" xfId="97"/>
    <cellStyle name="Standaard 4 2 2" xfId="129"/>
    <cellStyle name="Standaard 4 2 2 2" xfId="149"/>
    <cellStyle name="Standaard 4 2 3" xfId="138"/>
    <cellStyle name="Standaard 4 2 3 2" xfId="157"/>
    <cellStyle name="Standaard 4 2 4" xfId="143"/>
    <cellStyle name="Standaard 4 2 5" xfId="163"/>
    <cellStyle name="Standaard 4 3" xfId="126"/>
    <cellStyle name="Standaard 4 3 2" xfId="146"/>
    <cellStyle name="Standaard 4 4" xfId="135"/>
    <cellStyle name="Standaard 4 4 2" xfId="154"/>
    <cellStyle name="Standaard 4 5" xfId="140"/>
    <cellStyle name="Standaard 4 6" xfId="160"/>
    <cellStyle name="Standaard 5" xfId="71"/>
    <cellStyle name="Standaard 5 2" xfId="98"/>
    <cellStyle name="Standaard 6" xfId="70"/>
    <cellStyle name="Standaard 6 2" xfId="127"/>
    <cellStyle name="Standaard 6 2 2" xfId="147"/>
    <cellStyle name="Standaard 6 3" xfId="136"/>
    <cellStyle name="Standaard 6 3 2" xfId="155"/>
    <cellStyle name="Standaard 6 4" xfId="141"/>
    <cellStyle name="Standaard 6 5" xfId="161"/>
    <cellStyle name="Standaard 7" xfId="100"/>
    <cellStyle name="Standaard 7 2" xfId="130"/>
    <cellStyle name="Standaard 8" xfId="99"/>
    <cellStyle name="Standaard 8 2" xfId="144"/>
    <cellStyle name="Standaard 9" xfId="131"/>
    <cellStyle name="Standaard 9 2" xfId="150"/>
    <cellStyle name="Title" xfId="39"/>
    <cellStyle name="Total" xfId="40"/>
    <cellStyle name="Warning Text" xfId="41"/>
  </cellStyles>
  <dxfs count="22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val="3"/>
</file>

<file path=xl/ctrlProps/ctrlProp2.xml><?xml version="1.0" encoding="utf-8"?>
<formControlPr xmlns="http://schemas.microsoft.com/office/spreadsheetml/2009/9/main" objectType="Drop" dropStyle="combo" dx="16" fmlaLink="ber_IVmed!$B$4" fmlaRange="tblMedicationContIV" val="0"/>
</file>

<file path=xl/ctrlProps/ctrlProp3.xml><?xml version="1.0" encoding="utf-8"?>
<formControlPr xmlns="http://schemas.microsoft.com/office/spreadsheetml/2009/9/main" objectType="Drop" dropStyle="combo" dx="16" fmlaLink="ber_IVmed!$B$5" fmlaRange="tblMedicationContIV" val="0"/>
</file>

<file path=xl/ctrlProps/ctrlProp4.xml><?xml version="1.0" encoding="utf-8"?>
<formControlPr xmlns="http://schemas.microsoft.com/office/spreadsheetml/2009/9/main" objectType="Drop" dropStyle="combo" dx="16" fmlaLink="ber_IVmed!$B$6" fmlaRange="tblMedicationContIV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val="0"/>
</file>

<file path=xl/ctrlProps/ctrlProp8.xml><?xml version="1.0" encoding="utf-8"?>
<formControlPr xmlns="http://schemas.microsoft.com/office/spreadsheetml/2009/9/main" objectType="Drop" dropStyle="combo" dx="16" fmlaLink="ber_IVmed!$B$10" fmlaRange="tblMedicationContIV" val="2"/>
</file>

<file path=xl/ctrlProps/ctrlProp9.xml><?xml version="1.0" encoding="utf-8"?>
<formControlPr xmlns="http://schemas.microsoft.com/office/spreadsheetml/2009/9/main" objectType="Drop" dropStyle="combo" dx="16" fmlaLink="ber_IVmed!$B$11" fmlaRange="tblMedicationContIV" val="8"/>
</file>

<file path=xl/ctrlProps/ctrlProp10.xml><?xml version="1.0" encoding="utf-8"?>
<formControlPr xmlns="http://schemas.microsoft.com/office/spreadsheetml/2009/9/main" objectType="Drop" dropStyle="combo" dx="16" fmlaLink="ber_IVmed!$F$3" fmlaRange="tblOplossing" val="0"/>
</file>

<file path=xl/ctrlProps/ctrlProp11.xml><?xml version="1.0" encoding="utf-8"?>
<formControlPr xmlns="http://schemas.microsoft.com/office/spreadsheetml/2009/9/main" objectType="Drop" dropStyle="combo" dx="16" fmlaLink="ber_IVmed!$F$4" fmlaRange="tblOplossing" val="0"/>
</file>

<file path=xl/ctrlProps/ctrlProp12.xml><?xml version="1.0" encoding="utf-8"?>
<formControlPr xmlns="http://schemas.microsoft.com/office/spreadsheetml/2009/9/main" objectType="Drop" dropStyle="combo" dx="16" fmlaLink="ber_IVmed!$F$5" fmlaRange="tblOplossing" val="0"/>
</file>

<file path=xl/ctrlProps/ctrlProp13.xml><?xml version="1.0" encoding="utf-8"?>
<formControlPr xmlns="http://schemas.microsoft.com/office/spreadsheetml/2009/9/main" objectType="Drop" dropStyle="combo" dx="16" fmlaLink="ber_IVmed!$F$6" fmlaRange="tblOplossing" val="0"/>
</file>

<file path=xl/ctrlProps/ctrlProp14.xml><?xml version="1.0" encoding="utf-8"?>
<formControlPr xmlns="http://schemas.microsoft.com/office/spreadsheetml/2009/9/main" objectType="Drop" dropStyle="combo" dx="16" fmlaLink="ber_IVmed!$F$7" fmlaRange="tblOplossing" val="0"/>
</file>

<file path=xl/ctrlProps/ctrlProp15.xml><?xml version="1.0" encoding="utf-8"?>
<formControlPr xmlns="http://schemas.microsoft.com/office/spreadsheetml/2009/9/main" objectType="Drop" dropStyle="combo" dx="16" fmlaLink="ber_IVmed!$F$8" fmlaRange="tblOplossing" val="0"/>
</file>

<file path=xl/ctrlProps/ctrlProp16.xml><?xml version="1.0" encoding="utf-8"?>
<formControlPr xmlns="http://schemas.microsoft.com/office/spreadsheetml/2009/9/main" objectType="Drop" dropStyle="combo" dx="16" fmlaLink="ber_IVmed!$F$9" fmlaRange="tblOplossing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val="16"/>
</file>

<file path=xl/ctrlProps/ctrlProp37.xml><?xml version="1.0" encoding="utf-8"?>
<formControlPr xmlns="http://schemas.microsoft.com/office/spreadsheetml/2009/9/main" objectType="Drop" dropStyle="combo" dx="16" fmlaLink="ber_IVmed!$F$12" fmlaRange="tblOplossing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H$2" max="200" min="25" page="10" val="80"/>
</file>

<file path=xl/ctrlProps/ctrlProp48.xml><?xml version="1.0" encoding="utf-8"?>
<formControlPr xmlns="http://schemas.microsoft.com/office/spreadsheetml/2009/9/main" objectType="Spin" dx="15" fmlaLink="ber_IVmed!$E$4" max="1000" page="10" val="0"/>
</file>

<file path=xl/ctrlProps/ctrlProp49.xml><?xml version="1.0" encoding="utf-8"?>
<formControlPr xmlns="http://schemas.microsoft.com/office/spreadsheetml/2009/9/main" objectType="Spin" dx="15" fmlaLink="ber_IVmed!$E$5" max="1000" page="10" val="0"/>
</file>

<file path=xl/ctrlProps/ctrlProp50.xml><?xml version="1.0" encoding="utf-8"?>
<formControlPr xmlns="http://schemas.microsoft.com/office/spreadsheetml/2009/9/main" objectType="Spin" dx="15" fmlaLink="ber_IVmed!$E$6" max="1000" page="10" val="0"/>
</file>

<file path=xl/ctrlProps/ctrlProp51.xml><?xml version="1.0" encoding="utf-8"?>
<formControlPr xmlns="http://schemas.microsoft.com/office/spreadsheetml/2009/9/main" objectType="Spin" dx="15" fmlaLink="ber_IVmed!$E$7" max="1000" page="10" val="0"/>
</file>

<file path=xl/ctrlProps/ctrlProp52.xml><?xml version="1.0" encoding="utf-8"?>
<formControlPr xmlns="http://schemas.microsoft.com/office/spreadsheetml/2009/9/main" objectType="Spin" dx="15" fmlaLink="ber_IVmed!$E$8" max="1000" page="10" val="0"/>
</file>

<file path=xl/ctrlProps/ctrlProp53.xml><?xml version="1.0" encoding="utf-8"?>
<formControlPr xmlns="http://schemas.microsoft.com/office/spreadsheetml/2009/9/main" objectType="Spin" dx="15" fmlaLink="ber_IVmed!$E$9" max="1000" page="10" val="0"/>
</file>

<file path=xl/ctrlProps/ctrlProp54.xml><?xml version="1.0" encoding="utf-8"?>
<formControlPr xmlns="http://schemas.microsoft.com/office/spreadsheetml/2009/9/main" objectType="Spin" dx="15" fmlaLink="ber_IVmed!$E$10" max="1000" page="10" val="0"/>
</file>

<file path=xl/ctrlProps/ctrlProp55.xml><?xml version="1.0" encoding="utf-8"?>
<formControlPr xmlns="http://schemas.microsoft.com/office/spreadsheetml/2009/9/main" objectType="Spin" dx="15" fmlaLink="ber_IVmed!$E$11" max="1000" page="10" val="0"/>
</file>

<file path=xl/ctrlProps/ctrlProp56.xml><?xml version="1.0" encoding="utf-8"?>
<formControlPr xmlns="http://schemas.microsoft.com/office/spreadsheetml/2009/9/main" objectType="Spin" dx="15" fmlaLink="ber_IVmed!$E$12" max="1000" page="10" val="0"/>
</file>

<file path=xl/ctrlProps/ctrlProp57.xml><?xml version="1.0" encoding="utf-8"?>
<formControlPr xmlns="http://schemas.microsoft.com/office/spreadsheetml/2009/9/main" objectType="Spin" dx="15" fmlaLink="ber_IVmed!$D$6" max="1000" page="10" val="0"/>
</file>

<file path=xl/ctrlProps/ctrlProp58.xml><?xml version="1.0" encoding="utf-8"?>
<formControlPr xmlns="http://schemas.microsoft.com/office/spreadsheetml/2009/9/main" objectType="Spin" dx="15" fmlaLink="ber_IVmed!$D$7" max="1000" page="10" val="0"/>
</file>

<file path=xl/ctrlProps/ctrlProp59.xml><?xml version="1.0" encoding="utf-8"?>
<formControlPr xmlns="http://schemas.microsoft.com/office/spreadsheetml/2009/9/main" objectType="Spin" dx="15" fmlaLink="ber_IVmed!$D$8" max="1000" page="10" val="0"/>
</file>

<file path=xl/ctrlProps/ctrlProp60.xml><?xml version="1.0" encoding="utf-8"?>
<formControlPr xmlns="http://schemas.microsoft.com/office/spreadsheetml/2009/9/main" objectType="Spin" dx="15" fmlaLink="ber_IVmed!$D$9" max="1000" page="10" val="0"/>
</file>

<file path=xl/ctrlProps/ctrlProp61.xml><?xml version="1.0" encoding="utf-8"?>
<formControlPr xmlns="http://schemas.microsoft.com/office/spreadsheetml/2009/9/main" objectType="Spin" dx="15" fmlaLink="ber_IVmed!$D$10" max="1000" page="10" val="0"/>
</file>

<file path=xl/ctrlProps/ctrlProp62.xml><?xml version="1.0" encoding="utf-8"?>
<formControlPr xmlns="http://schemas.microsoft.com/office/spreadsheetml/2009/9/main" objectType="Spin" dx="15" fmlaLink="ber_IVmed!$D$11" max="1000" page="10" val="0"/>
</file>

<file path=xl/ctrlProps/ctrlProp63.xml><?xml version="1.0" encoding="utf-8"?>
<formControlPr xmlns="http://schemas.microsoft.com/office/spreadsheetml/2009/9/main" objectType="Spin" dx="15" fmlaLink="ber_IVmed!$D$12" max="1000" page="10" val="0"/>
</file>

<file path=xl/ctrlProps/ctrlProp64.xml><?xml version="1.0" encoding="utf-8"?>
<formControlPr xmlns="http://schemas.microsoft.com/office/spreadsheetml/2009/9/main" objectType="Spin" dx="15" fmlaLink="ber_IVmed!$E$3" max="1000" page="10" val="0"/>
</file>

<file path=xl/ctrlProps/ctrlProp65.xml><?xml version="1.0" encoding="utf-8"?>
<formControlPr xmlns="http://schemas.microsoft.com/office/spreadsheetml/2009/9/main" objectType="Spin" dx="15" fmlaLink="ber_IVmed!$D$3" max="1000" page="10" val="0"/>
</file>

<file path=xl/ctrlProps/ctrlProp66.xml><?xml version="1.0" encoding="utf-8"?>
<formControlPr xmlns="http://schemas.microsoft.com/office/spreadsheetml/2009/9/main" objectType="Spin" dx="15" fmlaLink="ber_IVmed!$G$3" max="1000" page="10"/>
</file>

<file path=xl/ctrlProps/ctrlProp67.xml><?xml version="1.0" encoding="utf-8"?>
<formControlPr xmlns="http://schemas.microsoft.com/office/spreadsheetml/2009/9/main" objectType="Spin" dx="15" fmlaLink="ber_IVmed!$D$4" max="1000" page="10" val="0"/>
</file>

<file path=xl/ctrlProps/ctrlProp68.xml><?xml version="1.0" encoding="utf-8"?>
<formControlPr xmlns="http://schemas.microsoft.com/office/spreadsheetml/2009/9/main" objectType="Spin" dx="15" fmlaLink="ber_IVmed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ber_Med_disc!$I$2" max="13" min="1" page="10"/>
</file>

<file path=xl/ctrlProps/ctrlProp80.xml><?xml version="1.0" encoding="utf-8"?>
<formControlPr xmlns="http://schemas.microsoft.com/office/spreadsheetml/2009/9/main" objectType="Spin" dx="15" fmlaLink="ber_Med_disc!$G$2" max="100" page="10" val="0"/>
</file>

<file path=xl/ctrlProps/ctrlProp81.xml><?xml version="1.0" encoding="utf-8"?>
<formControlPr xmlns="http://schemas.microsoft.com/office/spreadsheetml/2009/9/main" objectType="Drop" dropStyle="combo" dx="16" fmlaLink="ber_Med_disc!$O$2" fmlaRange="tblMedDiscOplVl" sel="0" val="0"/>
</file>

<file path=xl/ctrlProps/ctrlProp82.xml><?xml version="1.0" encoding="utf-8"?>
<formControlPr xmlns="http://schemas.microsoft.com/office/spreadsheetml/2009/9/main" objectType="Spin" dx="15" fmlaLink="ber_Med_disc!$N$2" max="30000" page="10" val="0"/>
</file>

<file path=xl/ctrlProps/ctrlProp83.xml><?xml version="1.0" encoding="utf-8"?>
<formControlPr xmlns="http://schemas.microsoft.com/office/spreadsheetml/2009/9/main" objectType="Spin" dx="15" fmlaLink="ber_Med_disc!$G$3" max="100" page="10" val="0"/>
</file>

<file path=xl/ctrlProps/ctrlProp84.xml><?xml version="1.0" encoding="utf-8"?>
<formControlPr xmlns="http://schemas.microsoft.com/office/spreadsheetml/2009/9/main" objectType="Drop" dropStyle="combo" dx="16" fmlaLink="ber_Med_disc!$O$3" fmlaRange="tblMedDiscOplVl" sel="0" val="0"/>
</file>

<file path=xl/ctrlProps/ctrlProp85.xml><?xml version="1.0" encoding="utf-8"?>
<formControlPr xmlns="http://schemas.microsoft.com/office/spreadsheetml/2009/9/main" objectType="Spin" dx="15" fmlaLink="ber_Med_disc!$N$3" max="30000" page="10" val="0"/>
</file>

<file path=xl/ctrlProps/ctrlProp86.xml><?xml version="1.0" encoding="utf-8"?>
<formControlPr xmlns="http://schemas.microsoft.com/office/spreadsheetml/2009/9/main" objectType="Spin" dx="15" fmlaLink="ber_Med_disc!$I$4" max="13" min="1" page="10"/>
</file>

<file path=xl/ctrlProps/ctrlProp87.xml><?xml version="1.0" encoding="utf-8"?>
<formControlPr xmlns="http://schemas.microsoft.com/office/spreadsheetml/2009/9/main" objectType="Spin" dx="15" fmlaLink="ber_Med_disc!$G$4" max="100" page="10" val="0"/>
</file>

<file path=xl/ctrlProps/ctrlProp88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9.xml><?xml version="1.0" encoding="utf-8"?>
<formControlPr xmlns="http://schemas.microsoft.com/office/spreadsheetml/2009/9/main" objectType="Spin" dx="15" fmlaLink="ber_Med_disc!$N$4" max="30000" page="10" val="0"/>
</file>

<file path=xl/ctrlProps/ctrlProp90.xml><?xml version="1.0" encoding="utf-8"?>
<formControlPr xmlns="http://schemas.microsoft.com/office/spreadsheetml/2009/9/main" objectType="Spin" dx="15" fmlaLink="ber_Med_disc!$I$5" max="13" min="1" page="10"/>
</file>

<file path=xl/ctrlProps/ctrlProp91.xml><?xml version="1.0" encoding="utf-8"?>
<formControlPr xmlns="http://schemas.microsoft.com/office/spreadsheetml/2009/9/main" objectType="Spin" dx="15" fmlaLink="ber_Med_disc!$G$5" max="100" page="10" val="0"/>
</file>

<file path=xl/ctrlProps/ctrlProp92.xml><?xml version="1.0" encoding="utf-8"?>
<formControlPr xmlns="http://schemas.microsoft.com/office/spreadsheetml/2009/9/main" objectType="Drop" dropStyle="combo" dx="16" fmlaLink="ber_Med_disc!$O$5" fmlaRange="tblMedDiscOplVl" sel="0" val="0"/>
</file>

<file path=xl/ctrlProps/ctrlProp93.xml><?xml version="1.0" encoding="utf-8"?>
<formControlPr xmlns="http://schemas.microsoft.com/office/spreadsheetml/2009/9/main" objectType="Spin" dx="15" fmlaLink="ber_Med_disc!$N$5" max="30000" page="10" val="0"/>
</file>

<file path=xl/ctrlProps/ctrlProp94.xml><?xml version="1.0" encoding="utf-8"?>
<formControlPr xmlns="http://schemas.microsoft.com/office/spreadsheetml/2009/9/main" objectType="Spin" dx="15" fmlaLink="ber_Med_disc!$I$6" max="13" min="1" page="10"/>
</file>

<file path=xl/ctrlProps/ctrlProp95.xml><?xml version="1.0" encoding="utf-8"?>
<formControlPr xmlns="http://schemas.microsoft.com/office/spreadsheetml/2009/9/main" objectType="Spin" dx="15" fmlaLink="ber_Med_disc!$G$6" max="100" page="10" val="0"/>
</file>

<file path=xl/ctrlProps/ctrlProp96.xml><?xml version="1.0" encoding="utf-8"?>
<formControlPr xmlns="http://schemas.microsoft.com/office/spreadsheetml/2009/9/main" objectType="Drop" dropStyle="combo" dx="16" fmlaLink="ber_Med_disc!$O$6" fmlaRange="tblMedDiscOplVl" sel="0" val="0"/>
</file>

<file path=xl/ctrlProps/ctrlProp97.xml><?xml version="1.0" encoding="utf-8"?>
<formControlPr xmlns="http://schemas.microsoft.com/office/spreadsheetml/2009/9/main" objectType="Spin" dx="15" fmlaLink="ber_Med_disc!$N$6" max="30000" page="10" val="0"/>
</file>

<file path=xl/ctrlProps/ctrlProp98.xml><?xml version="1.0" encoding="utf-8"?>
<formControlPr xmlns="http://schemas.microsoft.com/office/spreadsheetml/2009/9/main" objectType="Spin" dx="15" fmlaLink="ber_Med_disc!$I$7" max="13" min="1" page="10"/>
</file>

<file path=xl/ctrlProps/ctrlProp99.xml><?xml version="1.0" encoding="utf-8"?>
<formControlPr xmlns="http://schemas.microsoft.com/office/spreadsheetml/2009/9/main" objectType="Spin" dx="15" fmlaLink="ber_Med_disc!$G$7" max="100" page="10" val="0"/>
</file>

<file path=xl/ctrlProps/ctrlProp100.xml><?xml version="1.0" encoding="utf-8"?>
<formControlPr xmlns="http://schemas.microsoft.com/office/spreadsheetml/2009/9/main" objectType="Drop" dropStyle="combo" dx="16" fmlaLink="ber_Med_disc!$O$7" fmlaRange="tblMedDiscOplVl" sel="0" val="0"/>
</file>

<file path=xl/ctrlProps/ctrlProp101.xml><?xml version="1.0" encoding="utf-8"?>
<formControlPr xmlns="http://schemas.microsoft.com/office/spreadsheetml/2009/9/main" objectType="Spin" dx="15" fmlaLink="ber_Med_disc!$N$7" max="30000" page="10" val="0"/>
</file>

<file path=xl/ctrlProps/ctrlProp102.xml><?xml version="1.0" encoding="utf-8"?>
<formControlPr xmlns="http://schemas.microsoft.com/office/spreadsheetml/2009/9/main" objectType="Spin" dx="15" fmlaLink="ber_Med_disc!$I$8" max="13" min="1" page="10"/>
</file>

<file path=xl/ctrlProps/ctrlProp103.xml><?xml version="1.0" encoding="utf-8"?>
<formControlPr xmlns="http://schemas.microsoft.com/office/spreadsheetml/2009/9/main" objectType="Spin" dx="15" fmlaLink="ber_Med_disc!$G$8" max="100" page="10" val="0"/>
</file>

<file path=xl/ctrlProps/ctrlProp104.xml><?xml version="1.0" encoding="utf-8"?>
<formControlPr xmlns="http://schemas.microsoft.com/office/spreadsheetml/2009/9/main" objectType="Drop" dropStyle="combo" dx="16" fmlaLink="ber_Med_disc!$O$8" fmlaRange="tblMedDiscOplVl" sel="0" val="0"/>
</file>

<file path=xl/ctrlProps/ctrlProp105.xml><?xml version="1.0" encoding="utf-8"?>
<formControlPr xmlns="http://schemas.microsoft.com/office/spreadsheetml/2009/9/main" objectType="Spin" dx="15" fmlaLink="ber_Med_disc!$N$8" max="30000" page="10" val="0"/>
</file>

<file path=xl/ctrlProps/ctrlProp106.xml><?xml version="1.0" encoding="utf-8"?>
<formControlPr xmlns="http://schemas.microsoft.com/office/spreadsheetml/2009/9/main" objectType="Spin" dx="15" fmlaLink="ber_Med_disc!$I$9" max="13" min="1" page="10"/>
</file>

<file path=xl/ctrlProps/ctrlProp107.xml><?xml version="1.0" encoding="utf-8"?>
<formControlPr xmlns="http://schemas.microsoft.com/office/spreadsheetml/2009/9/main" objectType="Spin" dx="15" fmlaLink="ber_Med_disc!$G$9" max="100" page="10" val="0"/>
</file>

<file path=xl/ctrlProps/ctrlProp108.xml><?xml version="1.0" encoding="utf-8"?>
<formControlPr xmlns="http://schemas.microsoft.com/office/spreadsheetml/2009/9/main" objectType="Drop" dropStyle="combo" dx="16" fmlaLink="ber_Med_disc!$O$9" fmlaRange="tblMedDiscOplVl" sel="0" val="0"/>
</file>

<file path=xl/ctrlProps/ctrlProp109.xml><?xml version="1.0" encoding="utf-8"?>
<formControlPr xmlns="http://schemas.microsoft.com/office/spreadsheetml/2009/9/main" objectType="Spin" dx="15" fmlaLink="ber_Med_disc!$N$9" max="30000" page="10" val="0"/>
</file>

<file path=xl/ctrlProps/ctrlProp110.xml><?xml version="1.0" encoding="utf-8"?>
<formControlPr xmlns="http://schemas.microsoft.com/office/spreadsheetml/2009/9/main" objectType="Spin" dx="15" fmlaLink="ber_Med_disc!$I$10" max="13" min="1" page="10"/>
</file>

<file path=xl/ctrlProps/ctrlProp111.xml><?xml version="1.0" encoding="utf-8"?>
<formControlPr xmlns="http://schemas.microsoft.com/office/spreadsheetml/2009/9/main" objectType="Spin" dx="15" fmlaLink="ber_Med_disc!$G$10" max="100" page="10" val="0"/>
</file>

<file path=xl/ctrlProps/ctrlProp112.xml><?xml version="1.0" encoding="utf-8"?>
<formControlPr xmlns="http://schemas.microsoft.com/office/spreadsheetml/2009/9/main" objectType="Drop" dropStyle="combo" dx="16" fmlaLink="ber_Med_disc!$O$10" fmlaRange="tblMedDiscOplVl" sel="0" val="0"/>
</file>

<file path=xl/ctrlProps/ctrlProp113.xml><?xml version="1.0" encoding="utf-8"?>
<formControlPr xmlns="http://schemas.microsoft.com/office/spreadsheetml/2009/9/main" objectType="Spin" dx="15" fmlaLink="ber_Med_disc!$N$10" max="30000" page="10" val="0"/>
</file>

<file path=xl/ctrlProps/ctrlProp114.xml><?xml version="1.0" encoding="utf-8"?>
<formControlPr xmlns="http://schemas.microsoft.com/office/spreadsheetml/2009/9/main" objectType="Spin" dx="15" fmlaLink="ber_Med_disc!$I$11" max="13" min="1" page="10"/>
</file>

<file path=xl/ctrlProps/ctrlProp115.xml><?xml version="1.0" encoding="utf-8"?>
<formControlPr xmlns="http://schemas.microsoft.com/office/spreadsheetml/2009/9/main" objectType="Spin" dx="15" fmlaLink="ber_Med_disc!$G$11" max="100" page="10" val="0"/>
</file>

<file path=xl/ctrlProps/ctrlProp116.xml><?xml version="1.0" encoding="utf-8"?>
<formControlPr xmlns="http://schemas.microsoft.com/office/spreadsheetml/2009/9/main" objectType="Drop" dropStyle="combo" dx="16" fmlaLink="ber_Med_disc!$O$11" fmlaRange="tblMedDiscOplVl" sel="0" val="0"/>
</file>

<file path=xl/ctrlProps/ctrlProp117.xml><?xml version="1.0" encoding="utf-8"?>
<formControlPr xmlns="http://schemas.microsoft.com/office/spreadsheetml/2009/9/main" objectType="Spin" dx="15" fmlaLink="ber_Med_disc!$N$11" max="30000" page="10" val="0"/>
</file>

<file path=xl/ctrlProps/ctrlProp118.xml><?xml version="1.0" encoding="utf-8"?>
<formControlPr xmlns="http://schemas.microsoft.com/office/spreadsheetml/2009/9/main" objectType="Spin" dx="15" fmlaLink="ber_Med_disc!$I$12" max="13" min="1" page="10"/>
</file>

<file path=xl/ctrlProps/ctrlProp119.xml><?xml version="1.0" encoding="utf-8"?>
<formControlPr xmlns="http://schemas.microsoft.com/office/spreadsheetml/2009/9/main" objectType="Spin" dx="15" fmlaLink="ber_Med_disc!$G$12" max="100" page="10" val="0"/>
</file>

<file path=xl/ctrlProps/ctrlProp120.xml><?xml version="1.0" encoding="utf-8"?>
<formControlPr xmlns="http://schemas.microsoft.com/office/spreadsheetml/2009/9/main" objectType="Drop" dropStyle="combo" dx="16" fmlaLink="ber_Med_disc!$O$12" fmlaRange="tblMedDiscOplVl" sel="0" val="0"/>
</file>

<file path=xl/ctrlProps/ctrlProp121.xml><?xml version="1.0" encoding="utf-8"?>
<formControlPr xmlns="http://schemas.microsoft.com/office/spreadsheetml/2009/9/main" objectType="Spin" dx="15" fmlaLink="ber_Med_disc!$N$12" max="30000" page="10" val="0"/>
</file>

<file path=xl/ctrlProps/ctrlProp122.xml><?xml version="1.0" encoding="utf-8"?>
<formControlPr xmlns="http://schemas.microsoft.com/office/spreadsheetml/2009/9/main" objectType="Spin" dx="15" fmlaLink="ber_Med_disc!$I$13" max="13" min="1" page="10"/>
</file>

<file path=xl/ctrlProps/ctrlProp123.xml><?xml version="1.0" encoding="utf-8"?>
<formControlPr xmlns="http://schemas.microsoft.com/office/spreadsheetml/2009/9/main" objectType="Spin" dx="15" fmlaLink="ber_Med_disc!$G$13" max="100" page="10" val="0"/>
</file>

<file path=xl/ctrlProps/ctrlProp124.xml><?xml version="1.0" encoding="utf-8"?>
<formControlPr xmlns="http://schemas.microsoft.com/office/spreadsheetml/2009/9/main" objectType="Drop" dropStyle="combo" dx="16" fmlaLink="ber_Med_disc!$O$13" fmlaRange="tblMedDiscOplVl" sel="0" val="0"/>
</file>

<file path=xl/ctrlProps/ctrlProp125.xml><?xml version="1.0" encoding="utf-8"?>
<formControlPr xmlns="http://schemas.microsoft.com/office/spreadsheetml/2009/9/main" objectType="Spin" dx="15" fmlaLink="ber_Med_disc!$N$13" max="30000" page="10" val="0"/>
</file>

<file path=xl/ctrlProps/ctrlProp126.xml><?xml version="1.0" encoding="utf-8"?>
<formControlPr xmlns="http://schemas.microsoft.com/office/spreadsheetml/2009/9/main" objectType="Spin" dx="15" fmlaLink="ber_Med_disc!$I$14" max="13" min="1" page="10"/>
</file>

<file path=xl/ctrlProps/ctrlProp127.xml><?xml version="1.0" encoding="utf-8"?>
<formControlPr xmlns="http://schemas.microsoft.com/office/spreadsheetml/2009/9/main" objectType="Spin" dx="15" fmlaLink="ber_Med_disc!$G$14" max="100" page="10" val="0"/>
</file>

<file path=xl/ctrlProps/ctrlProp128.xml><?xml version="1.0" encoding="utf-8"?>
<formControlPr xmlns="http://schemas.microsoft.com/office/spreadsheetml/2009/9/main" objectType="Drop" dropStyle="combo" dx="16" fmlaLink="ber_Med_disc!$O$14" fmlaRange="tblMedDiscOplVl" sel="0" val="0"/>
</file>

<file path=xl/ctrlProps/ctrlProp129.xml><?xml version="1.0" encoding="utf-8"?>
<formControlPr xmlns="http://schemas.microsoft.com/office/spreadsheetml/2009/9/main" objectType="Spin" dx="15" fmlaLink="ber_Med_disc!$N$14" max="30000" page="10" val="0"/>
</file>

<file path=xl/ctrlProps/ctrlProp130.xml><?xml version="1.0" encoding="utf-8"?>
<formControlPr xmlns="http://schemas.microsoft.com/office/spreadsheetml/2009/9/main" objectType="Spin" dx="15" fmlaLink="ber_Med_disc!$I$15" max="13" min="1" page="10"/>
</file>

<file path=xl/ctrlProps/ctrlProp131.xml><?xml version="1.0" encoding="utf-8"?>
<formControlPr xmlns="http://schemas.microsoft.com/office/spreadsheetml/2009/9/main" objectType="Spin" dx="15" fmlaLink="ber_Med_disc!$G$15" max="100" page="10" val="0"/>
</file>

<file path=xl/ctrlProps/ctrlProp132.xml><?xml version="1.0" encoding="utf-8"?>
<formControlPr xmlns="http://schemas.microsoft.com/office/spreadsheetml/2009/9/main" objectType="Drop" dropStyle="combo" dx="16" fmlaLink="ber_Med_disc!$O$15" fmlaRange="tblMedDiscOplVl" sel="0" val="0"/>
</file>

<file path=xl/ctrlProps/ctrlProp133.xml><?xml version="1.0" encoding="utf-8"?>
<formControlPr xmlns="http://schemas.microsoft.com/office/spreadsheetml/2009/9/main" objectType="Spin" dx="15" fmlaLink="ber_Med_disc!$N$15" max="30000" page="10" val="0"/>
</file>

<file path=xl/ctrlProps/ctrlProp134.xml><?xml version="1.0" encoding="utf-8"?>
<formControlPr xmlns="http://schemas.microsoft.com/office/spreadsheetml/2009/9/main" objectType="Spin" dx="15" fmlaLink="ber_Med_disc!$I$16" max="13" min="1" page="10"/>
</file>

<file path=xl/ctrlProps/ctrlProp135.xml><?xml version="1.0" encoding="utf-8"?>
<formControlPr xmlns="http://schemas.microsoft.com/office/spreadsheetml/2009/9/main" objectType="Spin" dx="15" fmlaLink="ber_Med_disc!$G$16" max="100" page="10" val="0"/>
</file>

<file path=xl/ctrlProps/ctrlProp136.xml><?xml version="1.0" encoding="utf-8"?>
<formControlPr xmlns="http://schemas.microsoft.com/office/spreadsheetml/2009/9/main" objectType="Drop" dropStyle="combo" dx="16" fmlaLink="ber_Med_disc!$O$16" fmlaRange="tblMedDiscOplVl" sel="0" val="0"/>
</file>

<file path=xl/ctrlProps/ctrlProp137.xml><?xml version="1.0" encoding="utf-8"?>
<formControlPr xmlns="http://schemas.microsoft.com/office/spreadsheetml/2009/9/main" objectType="Spin" dx="15" fmlaLink="ber_Med_disc!$N$16" max="30000" page="10" val="0"/>
</file>

<file path=xl/ctrlProps/ctrlProp138.xml><?xml version="1.0" encoding="utf-8"?>
<formControlPr xmlns="http://schemas.microsoft.com/office/spreadsheetml/2009/9/main" objectType="Spin" dx="15" fmlaLink="ber_Med_disc!$I$17" max="13" min="1" page="10"/>
</file>

<file path=xl/ctrlProps/ctrlProp139.xml><?xml version="1.0" encoding="utf-8"?>
<formControlPr xmlns="http://schemas.microsoft.com/office/spreadsheetml/2009/9/main" objectType="Spin" dx="15" fmlaLink="ber_Med_disc!$G$17" max="1000" page="10" val="0"/>
</file>

<file path=xl/ctrlProps/ctrlProp140.xml><?xml version="1.0" encoding="utf-8"?>
<formControlPr xmlns="http://schemas.microsoft.com/office/spreadsheetml/2009/9/main" objectType="Drop" dropStyle="combo" dx="16" fmlaLink="ber_Med_disc!$O$17" fmlaRange="tblMedDiscOplVl" sel="0" val="0"/>
</file>

<file path=xl/ctrlProps/ctrlProp141.xml><?xml version="1.0" encoding="utf-8"?>
<formControlPr xmlns="http://schemas.microsoft.com/office/spreadsheetml/2009/9/main" objectType="Spin" dx="15" fmlaLink="ber_Med_disc!$N$17" max="30000" page="10" val="0"/>
</file>

<file path=xl/ctrlProps/ctrlProp142.xml><?xml version="1.0" encoding="utf-8"?>
<formControlPr xmlns="http://schemas.microsoft.com/office/spreadsheetml/2009/9/main" objectType="Spin" dx="15" fmlaLink="ber_Med_disc!$I$18" max="13" min="1" page="10"/>
</file>

<file path=xl/ctrlProps/ctrlProp143.xml><?xml version="1.0" encoding="utf-8"?>
<formControlPr xmlns="http://schemas.microsoft.com/office/spreadsheetml/2009/9/main" objectType="Spin" dx="15" fmlaLink="ber_Med_disc!$G$18" max="1000" page="10" val="0"/>
</file>

<file path=xl/ctrlProps/ctrlProp144.xml><?xml version="1.0" encoding="utf-8"?>
<formControlPr xmlns="http://schemas.microsoft.com/office/spreadsheetml/2009/9/main" objectType="Drop" dropStyle="combo" dx="16" fmlaLink="ber_Med_disc!$O$18" fmlaRange="tblMedDiscOplVl" sel="0" val="0"/>
</file>

<file path=xl/ctrlProps/ctrlProp145.xml><?xml version="1.0" encoding="utf-8"?>
<formControlPr xmlns="http://schemas.microsoft.com/office/spreadsheetml/2009/9/main" objectType="Spin" dx="15" fmlaLink="ber_Med_disc!$N$18" max="30000" page="10" val="0"/>
</file>

<file path=xl/ctrlProps/ctrlProp146.xml><?xml version="1.0" encoding="utf-8"?>
<formControlPr xmlns="http://schemas.microsoft.com/office/spreadsheetml/2009/9/main" objectType="Spin" dx="15" fmlaLink="ber_Med_disc!$I$19" max="13" min="1" page="10"/>
</file>

<file path=xl/ctrlProps/ctrlProp147.xml><?xml version="1.0" encoding="utf-8"?>
<formControlPr xmlns="http://schemas.microsoft.com/office/spreadsheetml/2009/9/main" objectType="Spin" dx="15" fmlaLink="ber_Med_disc!$G$19" max="1000" page="10" val="0"/>
</file>

<file path=xl/ctrlProps/ctrlProp148.xml><?xml version="1.0" encoding="utf-8"?>
<formControlPr xmlns="http://schemas.microsoft.com/office/spreadsheetml/2009/9/main" objectType="Drop" dropStyle="combo" dx="16" fmlaLink="ber_Med_disc!$O$19" fmlaRange="tblMedDiscOplVl" sel="0" val="0"/>
</file>

<file path=xl/ctrlProps/ctrlProp149.xml><?xml version="1.0" encoding="utf-8"?>
<formControlPr xmlns="http://schemas.microsoft.com/office/spreadsheetml/2009/9/main" objectType="Spin" dx="15" fmlaLink="ber_Med_disc!$N$19" max="30000" page="10" val="0"/>
</file>

<file path=xl/ctrlProps/ctrlProp150.xml><?xml version="1.0" encoding="utf-8"?>
<formControlPr xmlns="http://schemas.microsoft.com/office/spreadsheetml/2009/9/main" objectType="Spin" dx="15" fmlaLink="ber_Med_disc!$I$20" max="13" min="1" page="10"/>
</file>

<file path=xl/ctrlProps/ctrlProp151.xml><?xml version="1.0" encoding="utf-8"?>
<formControlPr xmlns="http://schemas.microsoft.com/office/spreadsheetml/2009/9/main" objectType="Spin" dx="15" fmlaLink="ber_Med_disc!$G$20" max="1000" page="10" val="0"/>
</file>

<file path=xl/ctrlProps/ctrlProp152.xml><?xml version="1.0" encoding="utf-8"?>
<formControlPr xmlns="http://schemas.microsoft.com/office/spreadsheetml/2009/9/main" objectType="Drop" dropStyle="combo" dx="16" fmlaLink="ber_Med_disc!$O$20" fmlaRange="tblMedDiscOplVl" sel="0" val="0"/>
</file>

<file path=xl/ctrlProps/ctrlProp153.xml><?xml version="1.0" encoding="utf-8"?>
<formControlPr xmlns="http://schemas.microsoft.com/office/spreadsheetml/2009/9/main" objectType="Spin" dx="15" fmlaLink="ber_Med_disc!$N$20" max="30000" page="10" val="0"/>
</file>

<file path=xl/ctrlProps/ctrlProp154.xml><?xml version="1.0" encoding="utf-8"?>
<formControlPr xmlns="http://schemas.microsoft.com/office/spreadsheetml/2009/9/main" objectType="Spin" dx="15" fmlaLink="ber_Med_disc!$I$21" max="13" min="1" page="10"/>
</file>

<file path=xl/ctrlProps/ctrlProp155.xml><?xml version="1.0" encoding="utf-8"?>
<formControlPr xmlns="http://schemas.microsoft.com/office/spreadsheetml/2009/9/main" objectType="Spin" dx="15" fmlaLink="ber_Med_disc!$G$21" max="1000" page="10" val="0"/>
</file>

<file path=xl/ctrlProps/ctrlProp1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57.xml><?xml version="1.0" encoding="utf-8"?>
<formControlPr xmlns="http://schemas.microsoft.com/office/spreadsheetml/2009/9/main" objectType="Spin" dx="15" fmlaLink="ber_Med_disc!$N$21" max="30000" page="10" val="0"/>
</file>

<file path=xl/ctrlProps/ctrlProp158.xml><?xml version="1.0" encoding="utf-8"?>
<formControlPr xmlns="http://schemas.microsoft.com/office/spreadsheetml/2009/9/main" objectType="Spin" dx="15" fmlaLink="ber_Med_disc!$I$3" max="13" min="1" page="10"/>
</file>

<file path=xl/ctrlProps/ctrlProp159.xml><?xml version="1.0" encoding="utf-8"?>
<formControlPr xmlns="http://schemas.microsoft.com/office/spreadsheetml/2009/9/main" objectType="Spin" dx="15" fmlaLink="ber_Med_disc!$Q$2" inc="5" max="1440" page="10" val="0"/>
</file>

<file path=xl/ctrlProps/ctrlProp160.xml><?xml version="1.0" encoding="utf-8"?>
<formControlPr xmlns="http://schemas.microsoft.com/office/spreadsheetml/2009/9/main" objectType="Spin" dx="15" fmlaLink="ber_Med_disc!$Q$3" inc="5" max="1440" page="10" val="0"/>
</file>

<file path=xl/ctrlProps/ctrlProp161.xml><?xml version="1.0" encoding="utf-8"?>
<formControlPr xmlns="http://schemas.microsoft.com/office/spreadsheetml/2009/9/main" objectType="Spin" dx="15" fmlaLink="ber_Med_disc!$Q$4" inc="5" max="1440" page="10" val="0"/>
</file>

<file path=xl/ctrlProps/ctrlProp162.xml><?xml version="1.0" encoding="utf-8"?>
<formControlPr xmlns="http://schemas.microsoft.com/office/spreadsheetml/2009/9/main" objectType="Spin" dx="15" fmlaLink="ber_Med_disc!$Q$5" inc="5" max="1440" page="10" val="0"/>
</file>

<file path=xl/ctrlProps/ctrlProp163.xml><?xml version="1.0" encoding="utf-8"?>
<formControlPr xmlns="http://schemas.microsoft.com/office/spreadsheetml/2009/9/main" objectType="Spin" dx="15" fmlaLink="ber_Med_disc!$Q$6" inc="5" max="1440" page="10" val="0"/>
</file>

<file path=xl/ctrlProps/ctrlProp164.xml><?xml version="1.0" encoding="utf-8"?>
<formControlPr xmlns="http://schemas.microsoft.com/office/spreadsheetml/2009/9/main" objectType="Spin" dx="15" fmlaLink="ber_Med_disc!$Q$7" inc="5" max="1440" page="10" val="0"/>
</file>

<file path=xl/ctrlProps/ctrlProp165.xml><?xml version="1.0" encoding="utf-8"?>
<formControlPr xmlns="http://schemas.microsoft.com/office/spreadsheetml/2009/9/main" objectType="Spin" dx="15" fmlaLink="ber_Med_disc!$Q$8" inc="5" max="1440" page="10" val="0"/>
</file>

<file path=xl/ctrlProps/ctrlProp166.xml><?xml version="1.0" encoding="utf-8"?>
<formControlPr xmlns="http://schemas.microsoft.com/office/spreadsheetml/2009/9/main" objectType="Spin" dx="15" fmlaLink="ber_Med_disc!$Q$9" inc="5" max="1440" page="10" val="0"/>
</file>

<file path=xl/ctrlProps/ctrlProp167.xml><?xml version="1.0" encoding="utf-8"?>
<formControlPr xmlns="http://schemas.microsoft.com/office/spreadsheetml/2009/9/main" objectType="Spin" dx="15" fmlaLink="ber_Med_disc!$Q$10" inc="5" max="1440" page="10" val="0"/>
</file>

<file path=xl/ctrlProps/ctrlProp168.xml><?xml version="1.0" encoding="utf-8"?>
<formControlPr xmlns="http://schemas.microsoft.com/office/spreadsheetml/2009/9/main" objectType="Spin" dx="15" fmlaLink="ber_Med_disc!$Q$11" inc="5" max="1440" page="10" val="0"/>
</file>

<file path=xl/ctrlProps/ctrlProp169.xml><?xml version="1.0" encoding="utf-8"?>
<formControlPr xmlns="http://schemas.microsoft.com/office/spreadsheetml/2009/9/main" objectType="Spin" dx="15" fmlaLink="ber_Med_disc!$Q$12" inc="5" max="1440" page="10" val="0"/>
</file>

<file path=xl/ctrlProps/ctrlProp170.xml><?xml version="1.0" encoding="utf-8"?>
<formControlPr xmlns="http://schemas.microsoft.com/office/spreadsheetml/2009/9/main" objectType="Spin" dx="15" fmlaLink="ber_Med_disc!$Q$13" inc="5" max="1440" page="10" val="0"/>
</file>

<file path=xl/ctrlProps/ctrlProp171.xml><?xml version="1.0" encoding="utf-8"?>
<formControlPr xmlns="http://schemas.microsoft.com/office/spreadsheetml/2009/9/main" objectType="Spin" dx="15" fmlaLink="ber_Med_disc!$Q$14" inc="5" max="1440" page="10" val="0"/>
</file>

<file path=xl/ctrlProps/ctrlProp172.xml><?xml version="1.0" encoding="utf-8"?>
<formControlPr xmlns="http://schemas.microsoft.com/office/spreadsheetml/2009/9/main" objectType="Spin" dx="15" fmlaLink="ber_Med_disc!$Q$15" inc="5" max="1440" page="10" val="0"/>
</file>

<file path=xl/ctrlProps/ctrlProp173.xml><?xml version="1.0" encoding="utf-8"?>
<formControlPr xmlns="http://schemas.microsoft.com/office/spreadsheetml/2009/9/main" objectType="Spin" dx="15" fmlaLink="ber_Med_disc!$Q$16" inc="5" max="1440" page="10" val="0"/>
</file>

<file path=xl/ctrlProps/ctrlProp174.xml><?xml version="1.0" encoding="utf-8"?>
<formControlPr xmlns="http://schemas.microsoft.com/office/spreadsheetml/2009/9/main" objectType="Spin" dx="15" fmlaLink="ber_Med_disc!$Q$17" inc="5" max="1440" page="10" val="0"/>
</file>

<file path=xl/ctrlProps/ctrlProp175.xml><?xml version="1.0" encoding="utf-8"?>
<formControlPr xmlns="http://schemas.microsoft.com/office/spreadsheetml/2009/9/main" objectType="Spin" dx="15" fmlaLink="ber_Med_disc!$Q$18" inc="5" max="1440" page="10" val="0"/>
</file>

<file path=xl/ctrlProps/ctrlProp176.xml><?xml version="1.0" encoding="utf-8"?>
<formControlPr xmlns="http://schemas.microsoft.com/office/spreadsheetml/2009/9/main" objectType="Spin" dx="15" fmlaLink="ber_Med_disc!$Q$19" inc="5" max="1440" page="10" val="0"/>
</file>

<file path=xl/ctrlProps/ctrlProp177.xml><?xml version="1.0" encoding="utf-8"?>
<formControlPr xmlns="http://schemas.microsoft.com/office/spreadsheetml/2009/9/main" objectType="Spin" dx="15" fmlaLink="ber_Med_disc!$Q$20" inc="5" max="1440" page="10" val="0"/>
</file>

<file path=xl/ctrlProps/ctrlProp178.xml><?xml version="1.0" encoding="utf-8"?>
<formControlPr xmlns="http://schemas.microsoft.com/office/spreadsheetml/2009/9/main" objectType="Spin" dx="15" fmlaLink="ber_Med_disc!$Q$21" inc="5" max="1440" page="10" val="0"/>
</file>

<file path=xl/ctrlProps/ctrlProp179.xml><?xml version="1.0" encoding="utf-8"?>
<formControlPr xmlns="http://schemas.microsoft.com/office/spreadsheetml/2009/9/main" objectType="Drop" dropStyle="combo" dx="16" fmlaLink="ber_Med_disc!$O$4" fmlaRange="tblMedDiscOplVl" sel="0" val="0"/>
</file>

<file path=xl/ctrlProps/ctrlProp180.xml><?xml version="1.0" encoding="utf-8"?>
<formControlPr xmlns="http://schemas.microsoft.com/office/spreadsheetml/2009/9/main" objectType="Spin" dx="15" fmlaLink="dbBead!$H$2" max="200" min="25" page="10" val="80"/>
</file>

<file path=xl/ctrlProps/ctrlProp1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ber_Med_disc!$O$22" fmlaRange="tblMedDiscOplVl" sel="0" val="0"/>
</file>

<file path=xl/ctrlProps/ctrlProp191.xml><?xml version="1.0" encoding="utf-8"?>
<formControlPr xmlns="http://schemas.microsoft.com/office/spreadsheetml/2009/9/main" objectType="Spin" dx="15" fmlaLink="ber_Med_disc!$I$22" max="13" min="1" page="10"/>
</file>

<file path=xl/ctrlProps/ctrlProp192.xml><?xml version="1.0" encoding="utf-8"?>
<formControlPr xmlns="http://schemas.microsoft.com/office/spreadsheetml/2009/9/main" objectType="Spin" dx="15" fmlaLink="ber_Med_disc!$G$22" max="1000" page="10" val="0"/>
</file>

<file path=xl/ctrlProps/ctrlProp193.xml><?xml version="1.0" encoding="utf-8"?>
<formControlPr xmlns="http://schemas.microsoft.com/office/spreadsheetml/2009/9/main" objectType="Spin" dx="15" fmlaLink="ber_Med_disc!$N$22" max="30000" page="10" val="0"/>
</file>

<file path=xl/ctrlProps/ctrlProp194.xml><?xml version="1.0" encoding="utf-8"?>
<formControlPr xmlns="http://schemas.microsoft.com/office/spreadsheetml/2009/9/main" objectType="Spin" dx="15" fmlaLink="ber_Med_disc!$Q$22" inc="5" max="1440" page="10" val="0"/>
</file>

<file path=xl/ctrlProps/ctrlProp1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ber_Med_disc!$O$23" fmlaRange="tblMedDiscOplVl" sel="0" val="0"/>
</file>

<file path=xl/ctrlProps/ctrlProp205.xml><?xml version="1.0" encoding="utf-8"?>
<formControlPr xmlns="http://schemas.microsoft.com/office/spreadsheetml/2009/9/main" objectType="Spin" dx="15" fmlaLink="ber_Med_disc!$I$23" max="13" min="1" page="10"/>
</file>

<file path=xl/ctrlProps/ctrlProp206.xml><?xml version="1.0" encoding="utf-8"?>
<formControlPr xmlns="http://schemas.microsoft.com/office/spreadsheetml/2009/9/main" objectType="Spin" dx="15" fmlaLink="ber_Med_disc!$G$23" max="1000" page="10" val="0"/>
</file>

<file path=xl/ctrlProps/ctrlProp207.xml><?xml version="1.0" encoding="utf-8"?>
<formControlPr xmlns="http://schemas.microsoft.com/office/spreadsheetml/2009/9/main" objectType="Spin" dx="15" fmlaLink="ber_Med_disc!$N$23" max="30000" page="10" val="0"/>
</file>

<file path=xl/ctrlProps/ctrlProp208.xml><?xml version="1.0" encoding="utf-8"?>
<formControlPr xmlns="http://schemas.microsoft.com/office/spreadsheetml/2009/9/main" objectType="Spin" dx="15" fmlaLink="ber_Med_disc!$Q$23" inc="5" max="1440" page="10" val="0"/>
</file>

<file path=xl/ctrlProps/ctrlProp2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ber_Med_disc!$O$24" fmlaRange="tblMedDiscOplVl" sel="0" val="0"/>
</file>

<file path=xl/ctrlProps/ctrlProp219.xml><?xml version="1.0" encoding="utf-8"?>
<formControlPr xmlns="http://schemas.microsoft.com/office/spreadsheetml/2009/9/main" objectType="Spin" dx="15" fmlaLink="ber_Med_disc!$I$24" max="13" min="1" page="10"/>
</file>

<file path=xl/ctrlProps/ctrlProp220.xml><?xml version="1.0" encoding="utf-8"?>
<formControlPr xmlns="http://schemas.microsoft.com/office/spreadsheetml/2009/9/main" objectType="Spin" dx="15" fmlaLink="ber_Med_disc!$G$24" max="1000" page="10" val="0"/>
</file>

<file path=xl/ctrlProps/ctrlProp221.xml><?xml version="1.0" encoding="utf-8"?>
<formControlPr xmlns="http://schemas.microsoft.com/office/spreadsheetml/2009/9/main" objectType="Spin" dx="15" fmlaLink="ber_Med_disc!$N$24" max="30000" page="10" val="0"/>
</file>

<file path=xl/ctrlProps/ctrlProp222.xml><?xml version="1.0" encoding="utf-8"?>
<formControlPr xmlns="http://schemas.microsoft.com/office/spreadsheetml/2009/9/main" objectType="Spin" dx="15" fmlaLink="ber_Med_disc!$Q$24" inc="5" max="1440" page="10" val="0"/>
</file>

<file path=xl/ctrlProps/ctrlProp22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ber_Med_disc!$O$25" fmlaRange="tblMedDiscOplVl" sel="0" val="0"/>
</file>

<file path=xl/ctrlProps/ctrlProp233.xml><?xml version="1.0" encoding="utf-8"?>
<formControlPr xmlns="http://schemas.microsoft.com/office/spreadsheetml/2009/9/main" objectType="Spin" dx="15" fmlaLink="ber_Med_disc!$I$25" max="13" min="1" page="10"/>
</file>

<file path=xl/ctrlProps/ctrlProp234.xml><?xml version="1.0" encoding="utf-8"?>
<formControlPr xmlns="http://schemas.microsoft.com/office/spreadsheetml/2009/9/main" objectType="Spin" dx="15" fmlaLink="ber_Med_disc!$G$25" max="1000" page="10" val="0"/>
</file>

<file path=xl/ctrlProps/ctrlProp235.xml><?xml version="1.0" encoding="utf-8"?>
<formControlPr xmlns="http://schemas.microsoft.com/office/spreadsheetml/2009/9/main" objectType="Spin" dx="15" fmlaLink="ber_Med_disc!$N$25" max="30000" page="10" val="0"/>
</file>

<file path=xl/ctrlProps/ctrlProp236.xml><?xml version="1.0" encoding="utf-8"?>
<formControlPr xmlns="http://schemas.microsoft.com/office/spreadsheetml/2009/9/main" objectType="Spin" dx="15" fmlaLink="ber_Med_disc!$Q$25" inc="5" max="1440" page="10" val="0"/>
</file>

<file path=xl/ctrlProps/ctrlProp23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ber_Med_disc!$O$26" fmlaRange="tblMedDiscOplVl" sel="0" val="0"/>
</file>

<file path=xl/ctrlProps/ctrlProp247.xml><?xml version="1.0" encoding="utf-8"?>
<formControlPr xmlns="http://schemas.microsoft.com/office/spreadsheetml/2009/9/main" objectType="Spin" dx="15" fmlaLink="ber_Med_disc!$I$26" max="13" min="1" page="10"/>
</file>

<file path=xl/ctrlProps/ctrlProp248.xml><?xml version="1.0" encoding="utf-8"?>
<formControlPr xmlns="http://schemas.microsoft.com/office/spreadsheetml/2009/9/main" objectType="Spin" dx="15" fmlaLink="ber_Med_disc!$G$26" max="1000" page="10" val="0"/>
</file>

<file path=xl/ctrlProps/ctrlProp249.xml><?xml version="1.0" encoding="utf-8"?>
<formControlPr xmlns="http://schemas.microsoft.com/office/spreadsheetml/2009/9/main" objectType="Spin" dx="15" fmlaLink="ber_Med_disc!$N$26" max="30000" page="10" val="0"/>
</file>

<file path=xl/ctrlProps/ctrlProp250.xml><?xml version="1.0" encoding="utf-8"?>
<formControlPr xmlns="http://schemas.microsoft.com/office/spreadsheetml/2009/9/main" objectType="Spin" dx="15" fmlaLink="ber_Med_disc!$Q$26" inc="5" max="1440" page="10" val="0"/>
</file>

<file path=xl/ctrlProps/ctrlProp25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ber_Med_disc!$O$27" fmlaRange="tblMedDiscOplVl" sel="0" val="0"/>
</file>

<file path=xl/ctrlProps/ctrlProp261.xml><?xml version="1.0" encoding="utf-8"?>
<formControlPr xmlns="http://schemas.microsoft.com/office/spreadsheetml/2009/9/main" objectType="Spin" dx="15" fmlaLink="ber_Med_disc!$I$27" max="13" min="1" page="10"/>
</file>

<file path=xl/ctrlProps/ctrlProp262.xml><?xml version="1.0" encoding="utf-8"?>
<formControlPr xmlns="http://schemas.microsoft.com/office/spreadsheetml/2009/9/main" objectType="Spin" dx="15" fmlaLink="ber_Med_disc!$G$27" max="1000" page="10" val="0"/>
</file>

<file path=xl/ctrlProps/ctrlProp263.xml><?xml version="1.0" encoding="utf-8"?>
<formControlPr xmlns="http://schemas.microsoft.com/office/spreadsheetml/2009/9/main" objectType="Spin" dx="15" fmlaLink="ber_Med_disc!$N$27" max="30000" page="10" val="0"/>
</file>

<file path=xl/ctrlProps/ctrlProp264.xml><?xml version="1.0" encoding="utf-8"?>
<formControlPr xmlns="http://schemas.microsoft.com/office/spreadsheetml/2009/9/main" objectType="Spin" dx="15" fmlaLink="ber_Med_disc!$Q$27" inc="5" max="1440" page="10" val="0"/>
</file>

<file path=xl/ctrlProps/ctrlProp26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ber_Med_disc!$O$28" fmlaRange="tblMedDiscOplVl" sel="0" val="0"/>
</file>

<file path=xl/ctrlProps/ctrlProp275.xml><?xml version="1.0" encoding="utf-8"?>
<formControlPr xmlns="http://schemas.microsoft.com/office/spreadsheetml/2009/9/main" objectType="Spin" dx="15" fmlaLink="ber_Med_disc!$I$28" max="13" min="1" page="10"/>
</file>

<file path=xl/ctrlProps/ctrlProp276.xml><?xml version="1.0" encoding="utf-8"?>
<formControlPr xmlns="http://schemas.microsoft.com/office/spreadsheetml/2009/9/main" objectType="Spin" dx="15" fmlaLink="ber_Med_disc!$G$28" max="1000" page="10" val="0"/>
</file>

<file path=xl/ctrlProps/ctrlProp277.xml><?xml version="1.0" encoding="utf-8"?>
<formControlPr xmlns="http://schemas.microsoft.com/office/spreadsheetml/2009/9/main" objectType="Spin" dx="15" fmlaLink="ber_Med_disc!$N$28" max="30000" page="10" val="0"/>
</file>

<file path=xl/ctrlProps/ctrlProp278.xml><?xml version="1.0" encoding="utf-8"?>
<formControlPr xmlns="http://schemas.microsoft.com/office/spreadsheetml/2009/9/main" objectType="Spin" dx="15" fmlaLink="ber_Med_disc!$Q$28" inc="5" max="1440" page="10" val="0"/>
</file>

<file path=xl/ctrlProps/ctrlProp27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ber_Med_disc!$O$29" fmlaRange="tblMedDiscOplVl" sel="0" val="0"/>
</file>

<file path=xl/ctrlProps/ctrlProp289.xml><?xml version="1.0" encoding="utf-8"?>
<formControlPr xmlns="http://schemas.microsoft.com/office/spreadsheetml/2009/9/main" objectType="Spin" dx="15" fmlaLink="ber_Med_disc!$I$29" max="13" min="1" page="10"/>
</file>

<file path=xl/ctrlProps/ctrlProp290.xml><?xml version="1.0" encoding="utf-8"?>
<formControlPr xmlns="http://schemas.microsoft.com/office/spreadsheetml/2009/9/main" objectType="Spin" dx="15" fmlaLink="ber_Med_disc!$G$29" max="1000" page="10" val="0"/>
</file>

<file path=xl/ctrlProps/ctrlProp291.xml><?xml version="1.0" encoding="utf-8"?>
<formControlPr xmlns="http://schemas.microsoft.com/office/spreadsheetml/2009/9/main" objectType="Spin" dx="15" fmlaLink="ber_Med_disc!$N$29" max="30000" page="10" val="0"/>
</file>

<file path=xl/ctrlProps/ctrlProp292.xml><?xml version="1.0" encoding="utf-8"?>
<formControlPr xmlns="http://schemas.microsoft.com/office/spreadsheetml/2009/9/main" objectType="Spin" dx="15" fmlaLink="ber_Med_disc!$Q$29" inc="5" max="1440" page="10" val="0"/>
</file>

<file path=xl/ctrlProps/ctrlProp29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ber_Med_disc!$O$30" fmlaRange="tblMedDiscOplVl" sel="0" val="0"/>
</file>

<file path=xl/ctrlProps/ctrlProp303.xml><?xml version="1.0" encoding="utf-8"?>
<formControlPr xmlns="http://schemas.microsoft.com/office/spreadsheetml/2009/9/main" objectType="Spin" dx="15" fmlaLink="ber_Med_disc!$I$30" max="13" min="1" page="10"/>
</file>

<file path=xl/ctrlProps/ctrlProp304.xml><?xml version="1.0" encoding="utf-8"?>
<formControlPr xmlns="http://schemas.microsoft.com/office/spreadsheetml/2009/9/main" objectType="Spin" dx="15" fmlaLink="ber_Med_disc!$G$30" max="1000" page="10" val="0"/>
</file>

<file path=xl/ctrlProps/ctrlProp305.xml><?xml version="1.0" encoding="utf-8"?>
<formControlPr xmlns="http://schemas.microsoft.com/office/spreadsheetml/2009/9/main" objectType="Spin" dx="15" fmlaLink="ber_Med_disc!$N$30" max="30000" page="10" val="0"/>
</file>

<file path=xl/ctrlProps/ctrlProp306.xml><?xml version="1.0" encoding="utf-8"?>
<formControlPr xmlns="http://schemas.microsoft.com/office/spreadsheetml/2009/9/main" objectType="Spin" dx="15" fmlaLink="ber_Med_disc!$Q$30" inc="5" max="1440" page="10" val="0"/>
</file>

<file path=xl/ctrlProps/ctrlProp307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ber_Med_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ber_Med_disc!$O$31" fmlaRange="tblMedDiscOplVl" sel="0" val="0"/>
</file>

<file path=xl/ctrlProps/ctrlProp317.xml><?xml version="1.0" encoding="utf-8"?>
<formControlPr xmlns="http://schemas.microsoft.com/office/spreadsheetml/2009/9/main" objectType="Spin" dx="15" fmlaLink="ber_Med_disc!$I$31" max="13" min="1" page="10"/>
</file>

<file path=xl/ctrlProps/ctrlProp318.xml><?xml version="1.0" encoding="utf-8"?>
<formControlPr xmlns="http://schemas.microsoft.com/office/spreadsheetml/2009/9/main" objectType="Spin" dx="15" fmlaLink="ber_Med_disc!$G$31" max="1000" page="10" val="0"/>
</file>

<file path=xl/ctrlProps/ctrlProp319.xml><?xml version="1.0" encoding="utf-8"?>
<formControlPr xmlns="http://schemas.microsoft.com/office/spreadsheetml/2009/9/main" objectType="Spin" dx="15" fmlaLink="ber_Med_disc!$N$31" max="30000" page="10" val="0"/>
</file>

<file path=xl/ctrlProps/ctrlProp320.xml><?xml version="1.0" encoding="utf-8"?>
<formControlPr xmlns="http://schemas.microsoft.com/office/spreadsheetml/2009/9/main" objectType="Spin" dx="15" fmlaLink="ber_Med_disc!$Q$31" inc="5" max="1440" page="10" val="0"/>
</file>

<file path=xl/ctrlProps/ctrlProp321.xml><?xml version="1.0" encoding="utf-8"?>
<formControlPr xmlns="http://schemas.microsoft.com/office/spreadsheetml/2009/9/main" objectType="Drop" dropStyle="combo" dx="16" fmlaLink="ber_Infusen!$B$2" fmlaRange="tblInfusen" val="25"/>
</file>

<file path=xl/ctrlProps/ctrlProp322.xml><?xml version="1.0" encoding="utf-8"?>
<formControlPr xmlns="http://schemas.microsoft.com/office/spreadsheetml/2009/9/main" objectType="Drop" dropStyle="combo" dx="16" fmlaLink="ber_Infusen!$B$3" fmlaRange="tblInfusen" val="25"/>
</file>

<file path=xl/ctrlProps/ctrlProp323.xml><?xml version="1.0" encoding="utf-8"?>
<formControlPr xmlns="http://schemas.microsoft.com/office/spreadsheetml/2009/9/main" objectType="Drop" dropStyle="combo" dx="16" fmlaLink="ber_Infusen!$B$4" fmlaRange="tblInfusen" val="0"/>
</file>

<file path=xl/ctrlProps/ctrlProp324.xml><?xml version="1.0" encoding="utf-8"?>
<formControlPr xmlns="http://schemas.microsoft.com/office/spreadsheetml/2009/9/main" objectType="Drop" dropStyle="combo" dx="16" fmlaLink="ber_Infusen!$B$5" fmlaRange="tblInfusen" val="25"/>
</file>

<file path=xl/ctrlProps/ctrlProp325.xml><?xml version="1.0" encoding="utf-8"?>
<formControlPr xmlns="http://schemas.microsoft.com/office/spreadsheetml/2009/9/main" objectType="Drop" dropStyle="combo" dx="16" fmlaLink="ber_Infusen!$B$6" fmlaRange="tblInfusen" val="25"/>
</file>

<file path=xl/ctrlProps/ctrlProp326.xml><?xml version="1.0" encoding="utf-8"?>
<formControlPr xmlns="http://schemas.microsoft.com/office/spreadsheetml/2009/9/main" objectType="Drop" dropStyle="combo" dx="16" fmlaLink="ber_Infusen!$B$7" fmlaRange="tblInfusen" val="0"/>
</file>

<file path=xl/ctrlProps/ctrlProp327.xml><?xml version="1.0" encoding="utf-8"?>
<formControlPr xmlns="http://schemas.microsoft.com/office/spreadsheetml/2009/9/main" objectType="Spin" dx="15" fmlaLink="dbBead!$H$2" max="200" min="25" page="10" val="80"/>
</file>

<file path=xl/ctrlProps/ctrlProp328.xml><?xml version="1.0" encoding="utf-8"?>
<formControlPr xmlns="http://schemas.microsoft.com/office/spreadsheetml/2009/9/main" objectType="Drop" dropStyle="combo" dx="16" fmlaLink="PM" fmlaRange="tblPacemakerPositie" sel="0" val="0"/>
</file>

<file path=xl/ctrlProps/ctrlProp329.xml><?xml version="1.0" encoding="utf-8"?>
<formControlPr xmlns="http://schemas.microsoft.com/office/spreadsheetml/2009/9/main" objectType="Drop" dropStyle="combo" dx="16" fmlaLink="PM_Mod" fmlaRange="tblPacemakerModus" sel="0" val="0"/>
</file>

<file path=xl/ctrlProps/ctrlProp330.xml><?xml version="1.0" encoding="utf-8"?>
<formControlPr xmlns="http://schemas.microsoft.com/office/spreadsheetml/2009/9/main" objectType="Spin" dx="15" fmlaLink="ber_Infusen!$G$1" max="200" min="30" page="10" val="30"/>
</file>

<file path=xl/ctrlProps/ctrlProp331.xml><?xml version="1.0" encoding="utf-8"?>
<formControlPr xmlns="http://schemas.microsoft.com/office/spreadsheetml/2009/9/main" objectType="Spin" dx="15" fmlaLink="ber_Infusen!$G$2" max="180" min="1" page="10"/>
</file>

<file path=xl/ctrlProps/ctrlProp332.xml><?xml version="1.0" encoding="utf-8"?>
<formControlPr xmlns="http://schemas.microsoft.com/office/spreadsheetml/2009/9/main" objectType="Spin" dx="15" fmlaLink="ber_Infusen!$G$3" max="180" min="1" page="10"/>
</file>

<file path=xl/ctrlProps/ctrlProp333.xml><?xml version="1.0" encoding="utf-8"?>
<formControlPr xmlns="http://schemas.microsoft.com/office/spreadsheetml/2009/9/main" objectType="Spin" dx="15" fmlaLink="ber_Infusen!$G$4" max="250" min="20" page="10" val="20"/>
</file>

<file path=xl/ctrlProps/ctrlProp334.xml><?xml version="1.0" encoding="utf-8"?>
<formControlPr xmlns="http://schemas.microsoft.com/office/spreadsheetml/2009/9/main" objectType="Spin" dx="15" fmlaLink="ber_Infusen!$G$5" max="200" min="2" page="10" val="2"/>
</file>

<file path=xl/ctrlProps/ctrlProp335.xml><?xml version="1.0" encoding="utf-8"?>
<formControlPr xmlns="http://schemas.microsoft.com/office/spreadsheetml/2009/9/main" objectType="Spin" dx="15" fmlaLink="ber_Infusen!$G$6" max="200" min="10" page="10" val="10"/>
</file>

<file path=xl/ctrlProps/ctrlProp336.xml><?xml version="1.0" encoding="utf-8"?>
<formControlPr xmlns="http://schemas.microsoft.com/office/spreadsheetml/2009/9/main" objectType="Spin" dx="15" fmlaLink="ber_PO!$J$2" max="24" min="1" page="10"/>
</file>

<file path=xl/ctrlProps/ctrlProp337.xml><?xml version="1.0" encoding="utf-8"?>
<formControlPr xmlns="http://schemas.microsoft.com/office/spreadsheetml/2009/9/main" objectType="Spin" dx="15" fmlaLink="ber_PO!$K$2" max="10000" min="1" page="10"/>
</file>

<file path=xl/ctrlProps/ctrlProp338.xml><?xml version="1.0" encoding="utf-8"?>
<formControlPr xmlns="http://schemas.microsoft.com/office/spreadsheetml/2009/9/main" objectType="Drop" dropStyle="combo" dx="16" fmlaLink="ber_PO!$N$2" fmlaRange="tblPerOs" val="0"/>
</file>

<file path=xl/ctrlProps/ctrlProp339.xml><?xml version="1.0" encoding="utf-8"?>
<formControlPr xmlns="http://schemas.microsoft.com/office/spreadsheetml/2009/9/main" objectType="Spin" dx="15" fmlaLink="ber_TPN!$D$3" max="300" page="10" val="0"/>
</file>

<file path=xl/ctrlProps/ctrlProp340.xml><?xml version="1.0" encoding="utf-8"?>
<formControlPr xmlns="http://schemas.microsoft.com/office/spreadsheetml/2009/9/main" objectType="Spin" dx="15" fmlaLink="ber_TPN!$E$7" max="5000" min="1" page="10"/>
</file>

<file path=xl/ctrlProps/ctrlProp341.xml><?xml version="1.0" encoding="utf-8"?>
<formControlPr xmlns="http://schemas.microsoft.com/office/spreadsheetml/2009/9/main" objectType="Spin" dx="15" fmlaLink="ber_TPN!$E$8" max="5000" min="1" page="10"/>
</file>

<file path=xl/ctrlProps/ctrlProp342.xml><?xml version="1.0" encoding="utf-8"?>
<formControlPr xmlns="http://schemas.microsoft.com/office/spreadsheetml/2009/9/main" objectType="Spin" dx="15" fmlaLink="ber_TPN!$E$9" max="5000" min="1" page="10"/>
</file>

<file path=xl/ctrlProps/ctrlProp343.xml><?xml version="1.0" encoding="utf-8"?>
<formControlPr xmlns="http://schemas.microsoft.com/office/spreadsheetml/2009/9/main" objectType="CheckBox" fmlaLink="ber_TPN!$C$7" lockText="1"/>
</file>

<file path=xl/ctrlProps/ctrlProp344.xml><?xml version="1.0" encoding="utf-8"?>
<formControlPr xmlns="http://schemas.microsoft.com/office/spreadsheetml/2009/9/main" objectType="CheckBox" fmlaLink="ber_TPN!$C$8" lockText="1"/>
</file>

<file path=xl/ctrlProps/ctrlProp345.xml><?xml version="1.0" encoding="utf-8"?>
<formControlPr xmlns="http://schemas.microsoft.com/office/spreadsheetml/2009/9/main" objectType="CheckBox" fmlaLink="ber_TPN!$C$9" lockText="1"/>
</file>

<file path=xl/ctrlProps/ctrlProp346.xml><?xml version="1.0" encoding="utf-8"?>
<formControlPr xmlns="http://schemas.microsoft.com/office/spreadsheetml/2009/9/main" objectType="Spin" dx="15" fmlaLink="ber_TPN!$D$12" max="200" page="10" val="0"/>
</file>

<file path=xl/ctrlProps/ctrlProp347.xml><?xml version="1.0" encoding="utf-8"?>
<formControlPr xmlns="http://schemas.microsoft.com/office/spreadsheetml/2009/9/main" objectType="CheckBox" fmlaLink="ber_TPN!$C$14" lockText="1"/>
</file>

<file path=xl/ctrlProps/ctrlProp348.xml><?xml version="1.0" encoding="utf-8"?>
<formControlPr xmlns="http://schemas.microsoft.com/office/spreadsheetml/2009/9/main" objectType="CheckBox" fmlaLink="ber_TPN!$C$15" lockText="1"/>
</file>

<file path=xl/ctrlProps/ctrlProp349.xml><?xml version="1.0" encoding="utf-8"?>
<formControlPr xmlns="http://schemas.microsoft.com/office/spreadsheetml/2009/9/main" objectType="Spin" dx="15" fmlaLink="ber_TPN!$E$14" max="55" min="1" page="10"/>
</file>

<file path=xl/ctrlProps/ctrlProp350.xml><?xml version="1.0" encoding="utf-8"?>
<formControlPr xmlns="http://schemas.microsoft.com/office/spreadsheetml/2009/9/main" objectType="Spin" dx="15" fmlaLink="ber_TPN!$E$15" max="55" min="1" page="10"/>
</file>

<file path=xl/ctrlProps/ctrlProp351.xml><?xml version="1.0" encoding="utf-8"?>
<formControlPr xmlns="http://schemas.microsoft.com/office/spreadsheetml/2009/9/main" objectType="Drop" dropStyle="combo" dx="16" fmlaLink="ber_PO!$O$2" fmlaRange="tblSonde" val="0"/>
</file>

<file path=xl/ctrlProps/ctrlProp352.xml><?xml version="1.0" encoding="utf-8"?>
<formControlPr xmlns="http://schemas.microsoft.com/office/spreadsheetml/2009/9/main" objectType="CheckBox" fmlaLink="ber_TPN!$C$10" lockText="1"/>
</file>

<file path=xl/ctrlProps/ctrlProp353.xml><?xml version="1.0" encoding="utf-8"?>
<formControlPr xmlns="http://schemas.microsoft.com/office/spreadsheetml/2009/9/main" objectType="CheckBox" fmlaLink="ber_TPN!$C$11" lockText="1"/>
</file>

<file path=xl/ctrlProps/ctrlProp354.xml><?xml version="1.0" encoding="utf-8"?>
<formControlPr xmlns="http://schemas.microsoft.com/office/spreadsheetml/2009/9/main" objectType="Spin" dx="15" fmlaLink="ber_TPN!$E$10" max="5000" min="1" page="10"/>
</file>

<file path=xl/ctrlProps/ctrlProp355.xml><?xml version="1.0" encoding="utf-8"?>
<formControlPr xmlns="http://schemas.microsoft.com/office/spreadsheetml/2009/9/main" objectType="Spin" dx="15" fmlaLink="ber_TPN!$E$11" max="200" min="1" page="10"/>
</file>

<file path=xl/ctrlProps/ctrlProp356.xml><?xml version="1.0" encoding="utf-8"?>
<formControlPr xmlns="http://schemas.microsoft.com/office/spreadsheetml/2009/9/main" objectType="Drop" dropStyle="combo" dx="16" fmlaLink="ber_TPN!$B$4" fmlaRange="tblTPN" val="0"/>
</file>

<file path=xl/ctrlProps/ctrlProp357.xml><?xml version="1.0" encoding="utf-8"?>
<formControlPr xmlns="http://schemas.microsoft.com/office/spreadsheetml/2009/9/main" objectType="Drop" dropStyle="combo" dx="16" fmlaLink="ber_TPN!$B$6" fmlaRange="tblSSTGlucose" val="0"/>
</file>

<file path=xl/ctrlProps/ctrlProp358.xml><?xml version="1.0" encoding="utf-8"?>
<formControlPr xmlns="http://schemas.microsoft.com/office/spreadsheetml/2009/9/main" objectType="Spin" dx="15" fmlaLink="ber_TPN!$E$4" max="4000" page="10" val="0"/>
</file>

<file path=xl/ctrlProps/ctrlProp359.xml><?xml version="1.0" encoding="utf-8"?>
<formControlPr xmlns="http://schemas.microsoft.com/office/spreadsheetml/2009/9/main" objectType="Spin" dx="15" fmlaLink="ber_PO!$J$3" max="12" min="1" page="10"/>
</file>

<file path=xl/ctrlProps/ctrlProp360.xml><?xml version="1.0" encoding="utf-8"?>
<formControlPr xmlns="http://schemas.microsoft.com/office/spreadsheetml/2009/9/main" objectType="Spin" dx="15" fmlaLink="ber_PO!$K$3" max="100" page="10" val="0"/>
</file>

<file path=xl/ctrlProps/ctrlProp361.xml><?xml version="1.0" encoding="utf-8"?>
<formControlPr xmlns="http://schemas.microsoft.com/office/spreadsheetml/2009/9/main" objectType="Drop" dropStyle="combo" dx="16" fmlaLink="ber_PO!$N$3" fmlaRange="tblPoeder" sel="0" val="0"/>
</file>

<file path=xl/ctrlProps/ctrlProp362.xml><?xml version="1.0" encoding="utf-8"?>
<formControlPr xmlns="http://schemas.microsoft.com/office/spreadsheetml/2009/9/main" objectType="Spin" dx="15" fmlaLink="ber_TPN!$E$5" max="15" page="10" val="0"/>
</file>

<file path=xl/ctrlProps/ctrlProp363.xml><?xml version="1.0" encoding="utf-8"?>
<formControlPr xmlns="http://schemas.microsoft.com/office/spreadsheetml/2009/9/main" objectType="Spin" dx="15" fmlaLink="ber_PO!$J$4" max="12" min="1" page="10"/>
</file>

<file path=xl/ctrlProps/ctrlProp364.xml><?xml version="1.0" encoding="utf-8"?>
<formControlPr xmlns="http://schemas.microsoft.com/office/spreadsheetml/2009/9/main" objectType="Spin" dx="15" fmlaLink="ber_PO!$K$4" max="100" page="10" val="0"/>
</file>

<file path=xl/ctrlProps/ctrlProp365.xml><?xml version="1.0" encoding="utf-8"?>
<formControlPr xmlns="http://schemas.microsoft.com/office/spreadsheetml/2009/9/main" objectType="Drop" dropStyle="combo" dx="16" fmlaLink="ber_PO!$N$4" fmlaRange="tblPoeder" sel="0" val="0"/>
</file>

<file path=xl/ctrlProps/ctrlProp366.xml><?xml version="1.0" encoding="utf-8"?>
<formControlPr xmlns="http://schemas.microsoft.com/office/spreadsheetml/2009/9/main" objectType="Spin" dx="15" fmlaLink="ber_PO!$J$5" max="12" min="1" page="10"/>
</file>

<file path=xl/ctrlProps/ctrlProp367.xml><?xml version="1.0" encoding="utf-8"?>
<formControlPr xmlns="http://schemas.microsoft.com/office/spreadsheetml/2009/9/main" objectType="Spin" dx="15" fmlaLink="ber_PO!$K$5" max="100" page="10" val="0"/>
</file>

<file path=xl/ctrlProps/ctrlProp368.xml><?xml version="1.0" encoding="utf-8"?>
<formControlPr xmlns="http://schemas.microsoft.com/office/spreadsheetml/2009/9/main" objectType="Drop" dropStyle="combo" dx="16" fmlaLink="ber_PO!$N$5" fmlaRange="tblPoeder" sel="0" val="0"/>
</file>

<file path=xl/ctrlProps/ctrlProp369.xml><?xml version="1.0" encoding="utf-8"?>
<formControlPr xmlns="http://schemas.microsoft.com/office/spreadsheetml/2009/9/main" objectType="Spin" dx="15" fmlaLink="ber_TPN!$D$19" max="200" page="10" val="0"/>
</file>

<file path=xl/ctrlProps/ctrlProp370.xml><?xml version="1.0" encoding="utf-8"?>
<formControlPr xmlns="http://schemas.microsoft.com/office/spreadsheetml/2009/9/main" objectType="Spin" dx="15" fmlaLink="ber_TPN!$E$21" max="1000" min="1" page="10"/>
</file>

<file path=xl/ctrlProps/ctrlProp371.xml><?xml version="1.0" encoding="utf-8"?>
<formControlPr xmlns="http://schemas.microsoft.com/office/spreadsheetml/2009/9/main" objectType="Spin" dx="15" fmlaLink="ber_TPN!$E$22" max="200" min="1" page="10"/>
</file>

<file path=xl/ctrlProps/ctrlProp372.xml><?xml version="1.0" encoding="utf-8"?>
<formControlPr xmlns="http://schemas.microsoft.com/office/spreadsheetml/2009/9/main" objectType="CheckBox" fmlaLink="ber_TPN!$C$21" lockText="1"/>
</file>

<file path=xl/ctrlProps/ctrlProp373.xml><?xml version="1.0" encoding="utf-8"?>
<formControlPr xmlns="http://schemas.microsoft.com/office/spreadsheetml/2009/9/main" objectType="CheckBox" fmlaLink="ber_TPN!$C$22" lockText="1"/>
</file>

<file path=xl/ctrlProps/ctrlProp374.xml><?xml version="1.0" encoding="utf-8"?>
<formControlPr xmlns="http://schemas.microsoft.com/office/spreadsheetml/2009/9/main" objectType="Drop" dropStyle="combo" dx="16" fmlaLink="ber_TPN!$B$20" fmlaRange="tblSSTGlucose" val="5"/>
</file>

<file path=xl/ctrlProps/ctrlProp375.xml><?xml version="1.0" encoding="utf-8"?>
<formControlPr xmlns="http://schemas.microsoft.com/office/spreadsheetml/2009/9/main" objectType="Spin" dx="15" fmlaLink="dbBead!$H$2" max="200" min="25" page="10" val="80"/>
</file>

<file path=xl/ctrlProps/ctrlProp376.xml><?xml version="1.0" encoding="utf-8"?>
<formControlPr xmlns="http://schemas.microsoft.com/office/spreadsheetml/2009/9/main" objectType="CheckBox" fmlaLink="ber_TPN!$C$14" lockText="1"/>
</file>

<file path=xl/ctrlProps/ctrlProp377.xml><?xml version="1.0" encoding="utf-8"?>
<formControlPr xmlns="http://schemas.microsoft.com/office/spreadsheetml/2009/9/main" objectType="CheckBox" fmlaLink="Ber_Lab!$C$4" lockText="1"/>
</file>

<file path=xl/ctrlProps/ctrlProp378.xml><?xml version="1.0" encoding="utf-8"?>
<formControlPr xmlns="http://schemas.microsoft.com/office/spreadsheetml/2009/9/main" objectType="CheckBox" fmlaLink="Ber_Lab!C5" lockText="1"/>
</file>

<file path=xl/ctrlProps/ctrlProp379.xml><?xml version="1.0" encoding="utf-8"?>
<formControlPr xmlns="http://schemas.microsoft.com/office/spreadsheetml/2009/9/main" objectType="CheckBox" fmlaLink="Ber_Lab!C7" lockText="1"/>
</file>

<file path=xl/ctrlProps/ctrlProp380.xml><?xml version="1.0" encoding="utf-8"?>
<formControlPr xmlns="http://schemas.microsoft.com/office/spreadsheetml/2009/9/main" objectType="CheckBox" fmlaLink="Ber_Lab!C8" lockText="1"/>
</file>

<file path=xl/ctrlProps/ctrlProp381.xml><?xml version="1.0" encoding="utf-8"?>
<formControlPr xmlns="http://schemas.microsoft.com/office/spreadsheetml/2009/9/main" objectType="CheckBox" fmlaLink="Ber_Lab!C13" lockText="1"/>
</file>

<file path=xl/ctrlProps/ctrlProp382.xml><?xml version="1.0" encoding="utf-8"?>
<formControlPr xmlns="http://schemas.microsoft.com/office/spreadsheetml/2009/9/main" objectType="CheckBox" fmlaLink="Ber_Lab!C12" lockText="1"/>
</file>

<file path=xl/ctrlProps/ctrlProp383.xml><?xml version="1.0" encoding="utf-8"?>
<formControlPr xmlns="http://schemas.microsoft.com/office/spreadsheetml/2009/9/main" objectType="CheckBox" fmlaLink="Ber_Lab!C30" lockText="1"/>
</file>

<file path=xl/ctrlProps/ctrlProp384.xml><?xml version="1.0" encoding="utf-8"?>
<formControlPr xmlns="http://schemas.microsoft.com/office/spreadsheetml/2009/9/main" objectType="CheckBox" fmlaLink="Ber_Lab!C15" lockText="1"/>
</file>

<file path=xl/ctrlProps/ctrlProp385.xml><?xml version="1.0" encoding="utf-8"?>
<formControlPr xmlns="http://schemas.microsoft.com/office/spreadsheetml/2009/9/main" objectType="CheckBox" fmlaLink="Ber_Lab!C18" lockText="1"/>
</file>

<file path=xl/ctrlProps/ctrlProp386.xml><?xml version="1.0" encoding="utf-8"?>
<formControlPr xmlns="http://schemas.microsoft.com/office/spreadsheetml/2009/9/main" objectType="CheckBox" fmlaLink="Ber_Lab!C19" lockText="1"/>
</file>

<file path=xl/ctrlProps/ctrlProp387.xml><?xml version="1.0" encoding="utf-8"?>
<formControlPr xmlns="http://schemas.microsoft.com/office/spreadsheetml/2009/9/main" objectType="CheckBox" fmlaLink="Ber_Lab!C20" lockText="1"/>
</file>

<file path=xl/ctrlProps/ctrlProp388.xml><?xml version="1.0" encoding="utf-8"?>
<formControlPr xmlns="http://schemas.microsoft.com/office/spreadsheetml/2009/9/main" objectType="CheckBox" fmlaLink="Ber_Lab!C11" lockText="1"/>
</file>

<file path=xl/ctrlProps/ctrlProp389.xml><?xml version="1.0" encoding="utf-8"?>
<formControlPr xmlns="http://schemas.microsoft.com/office/spreadsheetml/2009/9/main" objectType="CheckBox" fmlaLink="Ber_Lab!$C$28" lockText="1"/>
</file>

<file path=xl/ctrlProps/ctrlProp390.xml><?xml version="1.0" encoding="utf-8"?>
<formControlPr xmlns="http://schemas.microsoft.com/office/spreadsheetml/2009/9/main" objectType="CheckBox" fmlaLink="Ber_Lab!$G$4" lockText="1"/>
</file>

<file path=xl/ctrlProps/ctrlProp391.xml><?xml version="1.0" encoding="utf-8"?>
<formControlPr xmlns="http://schemas.microsoft.com/office/spreadsheetml/2009/9/main" objectType="CheckBox" fmlaLink="Ber_Lab!$G$5" lockText="1"/>
</file>

<file path=xl/ctrlProps/ctrlProp392.xml><?xml version="1.0" encoding="utf-8"?>
<formControlPr xmlns="http://schemas.microsoft.com/office/spreadsheetml/2009/9/main" objectType="CheckBox" fmlaLink="Ber_Lab!$G$7" lockText="1"/>
</file>

<file path=xl/ctrlProps/ctrlProp393.xml><?xml version="1.0" encoding="utf-8"?>
<formControlPr xmlns="http://schemas.microsoft.com/office/spreadsheetml/2009/9/main" objectType="CheckBox" fmlaLink="Ber_Lab!$G$8" lockText="1"/>
</file>

<file path=xl/ctrlProps/ctrlProp394.xml><?xml version="1.0" encoding="utf-8"?>
<formControlPr xmlns="http://schemas.microsoft.com/office/spreadsheetml/2009/9/main" objectType="CheckBox" fmlaLink="Ber_Lab!$G$13" lockText="1"/>
</file>

<file path=xl/ctrlProps/ctrlProp395.xml><?xml version="1.0" encoding="utf-8"?>
<formControlPr xmlns="http://schemas.microsoft.com/office/spreadsheetml/2009/9/main" objectType="CheckBox" fmlaLink="Ber_Lab!$G$12" lockText="1"/>
</file>

<file path=xl/ctrlProps/ctrlProp396.xml><?xml version="1.0" encoding="utf-8"?>
<formControlPr xmlns="http://schemas.microsoft.com/office/spreadsheetml/2009/9/main" objectType="CheckBox" fmlaLink="Ber_Lab!$G$30" lockText="1"/>
</file>

<file path=xl/ctrlProps/ctrlProp397.xml><?xml version="1.0" encoding="utf-8"?>
<formControlPr xmlns="http://schemas.microsoft.com/office/spreadsheetml/2009/9/main" objectType="CheckBox" fmlaLink="Ber_Lab!$G$15" lockText="1"/>
</file>

<file path=xl/ctrlProps/ctrlProp398.xml><?xml version="1.0" encoding="utf-8"?>
<formControlPr xmlns="http://schemas.microsoft.com/office/spreadsheetml/2009/9/main" objectType="CheckBox" fmlaLink="Ber_Lab!$G$18" lockText="1"/>
</file>

<file path=xl/ctrlProps/ctrlProp399.xml><?xml version="1.0" encoding="utf-8"?>
<formControlPr xmlns="http://schemas.microsoft.com/office/spreadsheetml/2009/9/main" objectType="CheckBox" fmlaLink="Ber_Lab!$G$19" lockText="1"/>
</file>

<file path=xl/ctrlProps/ctrlProp400.xml><?xml version="1.0" encoding="utf-8"?>
<formControlPr xmlns="http://schemas.microsoft.com/office/spreadsheetml/2009/9/main" objectType="CheckBox" fmlaLink="Ber_Lab!$G$20" lockText="1"/>
</file>

<file path=xl/ctrlProps/ctrlProp401.xml><?xml version="1.0" encoding="utf-8"?>
<formControlPr xmlns="http://schemas.microsoft.com/office/spreadsheetml/2009/9/main" objectType="CheckBox" fmlaLink="Ber_Lab!$G$11" lockText="1"/>
</file>

<file path=xl/ctrlProps/ctrlProp402.xml><?xml version="1.0" encoding="utf-8"?>
<formControlPr xmlns="http://schemas.microsoft.com/office/spreadsheetml/2009/9/main" objectType="CheckBox" fmlaLink="Ber_Lab!$G$28" lockText="1"/>
</file>

<file path=xl/ctrlProps/ctrlProp403.xml><?xml version="1.0" encoding="utf-8"?>
<formControlPr xmlns="http://schemas.microsoft.com/office/spreadsheetml/2009/9/main" objectType="CheckBox" fmlaLink="Ber_Lab!$I$4" lockText="1"/>
</file>

<file path=xl/ctrlProps/ctrlProp404.xml><?xml version="1.0" encoding="utf-8"?>
<formControlPr xmlns="http://schemas.microsoft.com/office/spreadsheetml/2009/9/main" objectType="CheckBox" fmlaLink="Ber_Lab!$I$5" lockText="1"/>
</file>

<file path=xl/ctrlProps/ctrlProp405.xml><?xml version="1.0" encoding="utf-8"?>
<formControlPr xmlns="http://schemas.microsoft.com/office/spreadsheetml/2009/9/main" objectType="CheckBox" fmlaLink="Ber_Lab!$I$7" lockText="1"/>
</file>

<file path=xl/ctrlProps/ctrlProp406.xml><?xml version="1.0" encoding="utf-8"?>
<formControlPr xmlns="http://schemas.microsoft.com/office/spreadsheetml/2009/9/main" objectType="CheckBox" fmlaLink="Ber_Lab!$I$8" lockText="1"/>
</file>

<file path=xl/ctrlProps/ctrlProp407.xml><?xml version="1.0" encoding="utf-8"?>
<formControlPr xmlns="http://schemas.microsoft.com/office/spreadsheetml/2009/9/main" objectType="CheckBox" fmlaLink="Ber_Lab!$I$13" lockText="1"/>
</file>

<file path=xl/ctrlProps/ctrlProp408.xml><?xml version="1.0" encoding="utf-8"?>
<formControlPr xmlns="http://schemas.microsoft.com/office/spreadsheetml/2009/9/main" objectType="CheckBox" fmlaLink="Ber_Lab!$I$12" lockText="1"/>
</file>

<file path=xl/ctrlProps/ctrlProp409.xml><?xml version="1.0" encoding="utf-8"?>
<formControlPr xmlns="http://schemas.microsoft.com/office/spreadsheetml/2009/9/main" objectType="CheckBox" fmlaLink="Ber_Lab!$I$30" lockText="1"/>
</file>

<file path=xl/ctrlProps/ctrlProp410.xml><?xml version="1.0" encoding="utf-8"?>
<formControlPr xmlns="http://schemas.microsoft.com/office/spreadsheetml/2009/9/main" objectType="CheckBox" fmlaLink="Ber_Lab!$I$15" lockText="1"/>
</file>

<file path=xl/ctrlProps/ctrlProp411.xml><?xml version="1.0" encoding="utf-8"?>
<formControlPr xmlns="http://schemas.microsoft.com/office/spreadsheetml/2009/9/main" objectType="CheckBox" fmlaLink="Ber_Lab!$I$18" lockText="1"/>
</file>

<file path=xl/ctrlProps/ctrlProp412.xml><?xml version="1.0" encoding="utf-8"?>
<formControlPr xmlns="http://schemas.microsoft.com/office/spreadsheetml/2009/9/main" objectType="CheckBox" fmlaLink="Ber_Lab!$I$19" lockText="1"/>
</file>

<file path=xl/ctrlProps/ctrlProp413.xml><?xml version="1.0" encoding="utf-8"?>
<formControlPr xmlns="http://schemas.microsoft.com/office/spreadsheetml/2009/9/main" objectType="CheckBox" fmlaLink="Ber_Lab!$I$20" lockText="1"/>
</file>

<file path=xl/ctrlProps/ctrlProp414.xml><?xml version="1.0" encoding="utf-8"?>
<formControlPr xmlns="http://schemas.microsoft.com/office/spreadsheetml/2009/9/main" objectType="CheckBox" fmlaLink="Ber_Lab!$I$11" lockText="1"/>
</file>

<file path=xl/ctrlProps/ctrlProp415.xml><?xml version="1.0" encoding="utf-8"?>
<formControlPr xmlns="http://schemas.microsoft.com/office/spreadsheetml/2009/9/main" objectType="CheckBox" fmlaLink="Ber_Lab!$I$28" lockText="1"/>
</file>

<file path=xl/ctrlProps/ctrlProp416.xml><?xml version="1.0" encoding="utf-8"?>
<formControlPr xmlns="http://schemas.microsoft.com/office/spreadsheetml/2009/9/main" objectType="CheckBox" fmlaLink="Ber_Lab!$L$4" lockText="1"/>
</file>

<file path=xl/ctrlProps/ctrlProp417.xml><?xml version="1.0" encoding="utf-8"?>
<formControlPr xmlns="http://schemas.microsoft.com/office/spreadsheetml/2009/9/main" objectType="CheckBox" fmlaLink="Ber_Lab!$L$5" lockText="1"/>
</file>

<file path=xl/ctrlProps/ctrlProp418.xml><?xml version="1.0" encoding="utf-8"?>
<formControlPr xmlns="http://schemas.microsoft.com/office/spreadsheetml/2009/9/main" objectType="CheckBox" fmlaLink="Ber_Lab!$L$7" lockText="1"/>
</file>

<file path=xl/ctrlProps/ctrlProp419.xml><?xml version="1.0" encoding="utf-8"?>
<formControlPr xmlns="http://schemas.microsoft.com/office/spreadsheetml/2009/9/main" objectType="CheckBox" fmlaLink="Ber_Lab!$L$8" lockText="1"/>
</file>

<file path=xl/ctrlProps/ctrlProp420.xml><?xml version="1.0" encoding="utf-8"?>
<formControlPr xmlns="http://schemas.microsoft.com/office/spreadsheetml/2009/9/main" objectType="CheckBox" fmlaLink="Ber_Lab!$L$13" lockText="1"/>
</file>

<file path=xl/ctrlProps/ctrlProp421.xml><?xml version="1.0" encoding="utf-8"?>
<formControlPr xmlns="http://schemas.microsoft.com/office/spreadsheetml/2009/9/main" objectType="CheckBox" fmlaLink="Ber_Lab!$L$12" lockText="1"/>
</file>

<file path=xl/ctrlProps/ctrlProp422.xml><?xml version="1.0" encoding="utf-8"?>
<formControlPr xmlns="http://schemas.microsoft.com/office/spreadsheetml/2009/9/main" objectType="CheckBox" fmlaLink="Ber_Lab!$L$30" lockText="1"/>
</file>

<file path=xl/ctrlProps/ctrlProp423.xml><?xml version="1.0" encoding="utf-8"?>
<formControlPr xmlns="http://schemas.microsoft.com/office/spreadsheetml/2009/9/main" objectType="CheckBox" fmlaLink="Ber_Lab!$L$15" lockText="1"/>
</file>

<file path=xl/ctrlProps/ctrlProp424.xml><?xml version="1.0" encoding="utf-8"?>
<formControlPr xmlns="http://schemas.microsoft.com/office/spreadsheetml/2009/9/main" objectType="CheckBox" fmlaLink="Ber_Lab!$L$18" lockText="1"/>
</file>

<file path=xl/ctrlProps/ctrlProp425.xml><?xml version="1.0" encoding="utf-8"?>
<formControlPr xmlns="http://schemas.microsoft.com/office/spreadsheetml/2009/9/main" objectType="CheckBox" fmlaLink="Ber_Lab!$L$19" lockText="1"/>
</file>

<file path=xl/ctrlProps/ctrlProp426.xml><?xml version="1.0" encoding="utf-8"?>
<formControlPr xmlns="http://schemas.microsoft.com/office/spreadsheetml/2009/9/main" objectType="CheckBox" fmlaLink="Ber_Lab!$L$20" lockText="1"/>
</file>

<file path=xl/ctrlProps/ctrlProp427.xml><?xml version="1.0" encoding="utf-8"?>
<formControlPr xmlns="http://schemas.microsoft.com/office/spreadsheetml/2009/9/main" objectType="CheckBox" fmlaLink="Ber_Lab!$L$11" lockText="1"/>
</file>

<file path=xl/ctrlProps/ctrlProp428.xml><?xml version="1.0" encoding="utf-8"?>
<formControlPr xmlns="http://schemas.microsoft.com/office/spreadsheetml/2009/9/main" objectType="CheckBox" fmlaLink="Ber_Lab!$L$28" lockText="1"/>
</file>

<file path=xl/ctrlProps/ctrlProp429.xml><?xml version="1.0" encoding="utf-8"?>
<formControlPr xmlns="http://schemas.microsoft.com/office/spreadsheetml/2009/9/main" objectType="CheckBox" fmlaLink="Ber_Lab!$C$27" lockText="1"/>
</file>

<file path=xl/ctrlProps/ctrlProp430.xml><?xml version="1.0" encoding="utf-8"?>
<formControlPr xmlns="http://schemas.microsoft.com/office/spreadsheetml/2009/9/main" objectType="CheckBox" fmlaLink="Ber_Lab!$G$27" lockText="1"/>
</file>

<file path=xl/ctrlProps/ctrlProp431.xml><?xml version="1.0" encoding="utf-8"?>
<formControlPr xmlns="http://schemas.microsoft.com/office/spreadsheetml/2009/9/main" objectType="CheckBox" fmlaLink="Ber_Lab!$I$27" lockText="1"/>
</file>

<file path=xl/ctrlProps/ctrlProp432.xml><?xml version="1.0" encoding="utf-8"?>
<formControlPr xmlns="http://schemas.microsoft.com/office/spreadsheetml/2009/9/main" objectType="CheckBox" fmlaLink="Ber_Lab!$L$27" lockText="1"/>
</file>

<file path=xl/ctrlProps/ctrlProp433.xml><?xml version="1.0" encoding="utf-8"?>
<formControlPr xmlns="http://schemas.microsoft.com/office/spreadsheetml/2009/9/main" objectType="CheckBox" fmlaLink="Ber_Lab!C6" lockText="1"/>
</file>

<file path=xl/ctrlProps/ctrlProp434.xml><?xml version="1.0" encoding="utf-8"?>
<formControlPr xmlns="http://schemas.microsoft.com/office/spreadsheetml/2009/9/main" objectType="CheckBox" fmlaLink="Ber_Lab!$G$6" lockText="1"/>
</file>

<file path=xl/ctrlProps/ctrlProp435.xml><?xml version="1.0" encoding="utf-8"?>
<formControlPr xmlns="http://schemas.microsoft.com/office/spreadsheetml/2009/9/main" objectType="CheckBox" fmlaLink="Ber_Lab!$I$6" lockText="1"/>
</file>

<file path=xl/ctrlProps/ctrlProp436.xml><?xml version="1.0" encoding="utf-8"?>
<formControlPr xmlns="http://schemas.microsoft.com/office/spreadsheetml/2009/9/main" objectType="CheckBox" fmlaLink="Ber_Lab!$L$6" lockText="1"/>
</file>

<file path=xl/ctrlProps/ctrlProp437.xml><?xml version="1.0" encoding="utf-8"?>
<formControlPr xmlns="http://schemas.microsoft.com/office/spreadsheetml/2009/9/main" objectType="CheckBox" fmlaLink="Ber_Lab!$C$16" lockText="1"/>
</file>

<file path=xl/ctrlProps/ctrlProp438.xml><?xml version="1.0" encoding="utf-8"?>
<formControlPr xmlns="http://schemas.microsoft.com/office/spreadsheetml/2009/9/main" objectType="CheckBox" fmlaLink="Ber_Lab!$G$16" lockText="1"/>
</file>

<file path=xl/ctrlProps/ctrlProp439.xml><?xml version="1.0" encoding="utf-8"?>
<formControlPr xmlns="http://schemas.microsoft.com/office/spreadsheetml/2009/9/main" objectType="CheckBox" fmlaLink="Ber_Lab!$I$16" lockText="1"/>
</file>

<file path=xl/ctrlProps/ctrlProp440.xml><?xml version="1.0" encoding="utf-8"?>
<formControlPr xmlns="http://schemas.microsoft.com/office/spreadsheetml/2009/9/main" objectType="CheckBox" fmlaLink="Ber_Lab!$L$16" lockText="1"/>
</file>

<file path=xl/ctrlProps/ctrlProp441.xml><?xml version="1.0" encoding="utf-8"?>
<formControlPr xmlns="http://schemas.microsoft.com/office/spreadsheetml/2009/9/main" objectType="CheckBox" checked="Checked" fmlaLink="Ber_Lab!$E$4" lockText="1"/>
</file>

<file path=xl/ctrlProps/ctrlProp442.xml><?xml version="1.0" encoding="utf-8"?>
<formControlPr xmlns="http://schemas.microsoft.com/office/spreadsheetml/2009/9/main" objectType="CheckBox" fmlaLink="Ber_Lab!$E$5" lockText="1"/>
</file>

<file path=xl/ctrlProps/ctrlProp443.xml><?xml version="1.0" encoding="utf-8"?>
<formControlPr xmlns="http://schemas.microsoft.com/office/spreadsheetml/2009/9/main" objectType="CheckBox" fmlaLink="Ber_Lab!$E$7" lockText="1"/>
</file>

<file path=xl/ctrlProps/ctrlProp444.xml><?xml version="1.0" encoding="utf-8"?>
<formControlPr xmlns="http://schemas.microsoft.com/office/spreadsheetml/2009/9/main" objectType="CheckBox" fmlaLink="Ber_Lab!$E$8" lockText="1"/>
</file>

<file path=xl/ctrlProps/ctrlProp445.xml><?xml version="1.0" encoding="utf-8"?>
<formControlPr xmlns="http://schemas.microsoft.com/office/spreadsheetml/2009/9/main" objectType="CheckBox" fmlaLink="Ber_Lab!$E$13" lockText="1"/>
</file>

<file path=xl/ctrlProps/ctrlProp446.xml><?xml version="1.0" encoding="utf-8"?>
<formControlPr xmlns="http://schemas.microsoft.com/office/spreadsheetml/2009/9/main" objectType="CheckBox" fmlaLink="Ber_Lab!$E$12" lockText="1"/>
</file>

<file path=xl/ctrlProps/ctrlProp447.xml><?xml version="1.0" encoding="utf-8"?>
<formControlPr xmlns="http://schemas.microsoft.com/office/spreadsheetml/2009/9/main" objectType="CheckBox" fmlaLink="Ber_Lab!$E$30" lockText="1"/>
</file>

<file path=xl/ctrlProps/ctrlProp448.xml><?xml version="1.0" encoding="utf-8"?>
<formControlPr xmlns="http://schemas.microsoft.com/office/spreadsheetml/2009/9/main" objectType="CheckBox" fmlaLink="Ber_Lab!$E$15" lockText="1"/>
</file>

<file path=xl/ctrlProps/ctrlProp449.xml><?xml version="1.0" encoding="utf-8"?>
<formControlPr xmlns="http://schemas.microsoft.com/office/spreadsheetml/2009/9/main" objectType="CheckBox" fmlaLink="Ber_Lab!$E$18" lockText="1"/>
</file>

<file path=xl/ctrlProps/ctrlProp450.xml><?xml version="1.0" encoding="utf-8"?>
<formControlPr xmlns="http://schemas.microsoft.com/office/spreadsheetml/2009/9/main" objectType="CheckBox" fmlaLink="Ber_Lab!$E$19" lockText="1"/>
</file>

<file path=xl/ctrlProps/ctrlProp451.xml><?xml version="1.0" encoding="utf-8"?>
<formControlPr xmlns="http://schemas.microsoft.com/office/spreadsheetml/2009/9/main" objectType="CheckBox" fmlaLink="Ber_Lab!$E$20" lockText="1"/>
</file>

<file path=xl/ctrlProps/ctrlProp452.xml><?xml version="1.0" encoding="utf-8"?>
<formControlPr xmlns="http://schemas.microsoft.com/office/spreadsheetml/2009/9/main" objectType="CheckBox" fmlaLink="Ber_Lab!$E$11" lockText="1"/>
</file>

<file path=xl/ctrlProps/ctrlProp453.xml><?xml version="1.0" encoding="utf-8"?>
<formControlPr xmlns="http://schemas.microsoft.com/office/spreadsheetml/2009/9/main" objectType="CheckBox" fmlaLink="Ber_Lab!$E$28" lockText="1"/>
</file>

<file path=xl/ctrlProps/ctrlProp454.xml><?xml version="1.0" encoding="utf-8"?>
<formControlPr xmlns="http://schemas.microsoft.com/office/spreadsheetml/2009/9/main" objectType="CheckBox" fmlaLink="Ber_Lab!$E$27" lockText="1"/>
</file>

<file path=xl/ctrlProps/ctrlProp455.xml><?xml version="1.0" encoding="utf-8"?>
<formControlPr xmlns="http://schemas.microsoft.com/office/spreadsheetml/2009/9/main" objectType="CheckBox" fmlaLink="Ber_Lab!$E$6" lockText="1"/>
</file>

<file path=xl/ctrlProps/ctrlProp456.xml><?xml version="1.0" encoding="utf-8"?>
<formControlPr xmlns="http://schemas.microsoft.com/office/spreadsheetml/2009/9/main" objectType="CheckBox" fmlaLink="Ber_Lab!$E$16" lockText="1"/>
</file>

<file path=xl/ctrlProps/ctrlProp457.xml><?xml version="1.0" encoding="utf-8"?>
<formControlPr xmlns="http://schemas.microsoft.com/office/spreadsheetml/2009/9/main" objectType="CheckBox" fmlaLink="Ber_Lab!$C$26" lockText="1"/>
</file>

<file path=xl/ctrlProps/ctrlProp458.xml><?xml version="1.0" encoding="utf-8"?>
<formControlPr xmlns="http://schemas.microsoft.com/office/spreadsheetml/2009/9/main" objectType="CheckBox" fmlaLink="Ber_Lab!$G$26" lockText="1"/>
</file>

<file path=xl/ctrlProps/ctrlProp459.xml><?xml version="1.0" encoding="utf-8"?>
<formControlPr xmlns="http://schemas.microsoft.com/office/spreadsheetml/2009/9/main" objectType="CheckBox" fmlaLink="Ber_Lab!$I$26" lockText="1"/>
</file>

<file path=xl/ctrlProps/ctrlProp460.xml><?xml version="1.0" encoding="utf-8"?>
<formControlPr xmlns="http://schemas.microsoft.com/office/spreadsheetml/2009/9/main" objectType="CheckBox" fmlaLink="Ber_Lab!$L$26" lockText="1"/>
</file>

<file path=xl/ctrlProps/ctrlProp461.xml><?xml version="1.0" encoding="utf-8"?>
<formControlPr xmlns="http://schemas.microsoft.com/office/spreadsheetml/2009/9/main" objectType="CheckBox" fmlaLink="Ber_Lab!$E$26" lockText="1"/>
</file>

<file path=xl/ctrlProps/ctrlProp462.xml><?xml version="1.0" encoding="utf-8"?>
<formControlPr xmlns="http://schemas.microsoft.com/office/spreadsheetml/2009/9/main" objectType="CheckBox" fmlaLink="Ber_Lab!$C$32" lockText="1"/>
</file>

<file path=xl/ctrlProps/ctrlProp463.xml><?xml version="1.0" encoding="utf-8"?>
<formControlPr xmlns="http://schemas.microsoft.com/office/spreadsheetml/2009/9/main" objectType="CheckBox" fmlaLink="Ber_Lab!$G$32" lockText="1"/>
</file>

<file path=xl/ctrlProps/ctrlProp464.xml><?xml version="1.0" encoding="utf-8"?>
<formControlPr xmlns="http://schemas.microsoft.com/office/spreadsheetml/2009/9/main" objectType="CheckBox" fmlaLink="Ber_Lab!$I$32" lockText="1"/>
</file>

<file path=xl/ctrlProps/ctrlProp465.xml><?xml version="1.0" encoding="utf-8"?>
<formControlPr xmlns="http://schemas.microsoft.com/office/spreadsheetml/2009/9/main" objectType="CheckBox" fmlaLink="Ber_Lab!$L$32" lockText="1"/>
</file>

<file path=xl/ctrlProps/ctrlProp466.xml><?xml version="1.0" encoding="utf-8"?>
<formControlPr xmlns="http://schemas.microsoft.com/office/spreadsheetml/2009/9/main" objectType="CheckBox" fmlaLink="Ber_Lab!$E$32" lockText="1"/>
</file>

<file path=xl/ctrlProps/ctrlProp467.xml><?xml version="1.0" encoding="utf-8"?>
<formControlPr xmlns="http://schemas.microsoft.com/office/spreadsheetml/2009/9/main" objectType="CheckBox" fmlaLink="Ber_Lab!$C$9" lockText="1"/>
</file>

<file path=xl/ctrlProps/ctrlProp468.xml><?xml version="1.0" encoding="utf-8"?>
<formControlPr xmlns="http://schemas.microsoft.com/office/spreadsheetml/2009/9/main" objectType="CheckBox" fmlaLink="Ber_Lab!$G$9" lockText="1"/>
</file>

<file path=xl/ctrlProps/ctrlProp469.xml><?xml version="1.0" encoding="utf-8"?>
<formControlPr xmlns="http://schemas.microsoft.com/office/spreadsheetml/2009/9/main" objectType="CheckBox" fmlaLink="Ber_Lab!$I$9" lockText="1"/>
</file>

<file path=xl/ctrlProps/ctrlProp470.xml><?xml version="1.0" encoding="utf-8"?>
<formControlPr xmlns="http://schemas.microsoft.com/office/spreadsheetml/2009/9/main" objectType="CheckBox" fmlaLink="Ber_Lab!$L$9" lockText="1"/>
</file>

<file path=xl/ctrlProps/ctrlProp471.xml><?xml version="1.0" encoding="utf-8"?>
<formControlPr xmlns="http://schemas.microsoft.com/office/spreadsheetml/2009/9/main" objectType="CheckBox" fmlaLink="Ber_Lab!$E$9" lockText="1"/>
</file>

<file path=xl/ctrlProps/ctrlProp472.xml><?xml version="1.0" encoding="utf-8"?>
<formControlPr xmlns="http://schemas.microsoft.com/office/spreadsheetml/2009/9/main" objectType="CheckBox" fmlaLink="Ber_Lab!$C$10" lockText="1"/>
</file>

<file path=xl/ctrlProps/ctrlProp473.xml><?xml version="1.0" encoding="utf-8"?>
<formControlPr xmlns="http://schemas.microsoft.com/office/spreadsheetml/2009/9/main" objectType="CheckBox" fmlaLink="Ber_Lab!$G$10" lockText="1"/>
</file>

<file path=xl/ctrlProps/ctrlProp474.xml><?xml version="1.0" encoding="utf-8"?>
<formControlPr xmlns="http://schemas.microsoft.com/office/spreadsheetml/2009/9/main" objectType="CheckBox" fmlaLink="Ber_Lab!$I$10" lockText="1"/>
</file>

<file path=xl/ctrlProps/ctrlProp475.xml><?xml version="1.0" encoding="utf-8"?>
<formControlPr xmlns="http://schemas.microsoft.com/office/spreadsheetml/2009/9/main" objectType="CheckBox" fmlaLink="Ber_Lab!$L$10" lockText="1"/>
</file>

<file path=xl/ctrlProps/ctrlProp476.xml><?xml version="1.0" encoding="utf-8"?>
<formControlPr xmlns="http://schemas.microsoft.com/office/spreadsheetml/2009/9/main" objectType="CheckBox" fmlaLink="Ber_Lab!$E$10" lockText="1"/>
</file>

<file path=xl/ctrlProps/ctrlProp477.xml><?xml version="1.0" encoding="utf-8"?>
<formControlPr xmlns="http://schemas.microsoft.com/office/spreadsheetml/2009/9/main" objectType="CheckBox" fmlaLink="Ber_Lab!$C$14" lockText="1"/>
</file>

<file path=xl/ctrlProps/ctrlProp478.xml><?xml version="1.0" encoding="utf-8"?>
<formControlPr xmlns="http://schemas.microsoft.com/office/spreadsheetml/2009/9/main" objectType="CheckBox" fmlaLink="Ber_Lab!$G$14" lockText="1"/>
</file>

<file path=xl/ctrlProps/ctrlProp479.xml><?xml version="1.0" encoding="utf-8"?>
<formControlPr xmlns="http://schemas.microsoft.com/office/spreadsheetml/2009/9/main" objectType="CheckBox" fmlaLink="Ber_Lab!$I$14" lockText="1"/>
</file>

<file path=xl/ctrlProps/ctrlProp480.xml><?xml version="1.0" encoding="utf-8"?>
<formControlPr xmlns="http://schemas.microsoft.com/office/spreadsheetml/2009/9/main" objectType="CheckBox" fmlaLink="Ber_Lab!$L$14" lockText="1"/>
</file>

<file path=xl/ctrlProps/ctrlProp481.xml><?xml version="1.0" encoding="utf-8"?>
<formControlPr xmlns="http://schemas.microsoft.com/office/spreadsheetml/2009/9/main" objectType="CheckBox" fmlaLink="Ber_Lab!$E$14" lockText="1"/>
</file>

<file path=xl/ctrlProps/ctrlProp482.xml><?xml version="1.0" encoding="utf-8"?>
<formControlPr xmlns="http://schemas.microsoft.com/office/spreadsheetml/2009/9/main" objectType="CheckBox" fmlaLink="Ber_Lab!$C$21" lockText="1"/>
</file>

<file path=xl/ctrlProps/ctrlProp483.xml><?xml version="1.0" encoding="utf-8"?>
<formControlPr xmlns="http://schemas.microsoft.com/office/spreadsheetml/2009/9/main" objectType="CheckBox" fmlaLink="Ber_Lab!$G$21" lockText="1"/>
</file>

<file path=xl/ctrlProps/ctrlProp484.xml><?xml version="1.0" encoding="utf-8"?>
<formControlPr xmlns="http://schemas.microsoft.com/office/spreadsheetml/2009/9/main" objectType="CheckBox" fmlaLink="Ber_Lab!$I$21" lockText="1"/>
</file>

<file path=xl/ctrlProps/ctrlProp485.xml><?xml version="1.0" encoding="utf-8"?>
<formControlPr xmlns="http://schemas.microsoft.com/office/spreadsheetml/2009/9/main" objectType="CheckBox" fmlaLink="Ber_Lab!$L$21" lockText="1"/>
</file>

<file path=xl/ctrlProps/ctrlProp486.xml><?xml version="1.0" encoding="utf-8"?>
<formControlPr xmlns="http://schemas.microsoft.com/office/spreadsheetml/2009/9/main" objectType="CheckBox" fmlaLink="Ber_Lab!$E$21" lockText="1"/>
</file>

<file path=xl/ctrlProps/ctrlProp487.xml><?xml version="1.0" encoding="utf-8"?>
<formControlPr xmlns="http://schemas.microsoft.com/office/spreadsheetml/2009/9/main" objectType="CheckBox" fmlaLink="Ber_Lab!$C$22" lockText="1"/>
</file>

<file path=xl/ctrlProps/ctrlProp488.xml><?xml version="1.0" encoding="utf-8"?>
<formControlPr xmlns="http://schemas.microsoft.com/office/spreadsheetml/2009/9/main" objectType="CheckBox" fmlaLink="Ber_Lab!$G$22" lockText="1"/>
</file>

<file path=xl/ctrlProps/ctrlProp489.xml><?xml version="1.0" encoding="utf-8"?>
<formControlPr xmlns="http://schemas.microsoft.com/office/spreadsheetml/2009/9/main" objectType="CheckBox" fmlaLink="Ber_Lab!$I$22" lockText="1"/>
</file>

<file path=xl/ctrlProps/ctrlProp490.xml><?xml version="1.0" encoding="utf-8"?>
<formControlPr xmlns="http://schemas.microsoft.com/office/spreadsheetml/2009/9/main" objectType="CheckBox" fmlaLink="Ber_Lab!$L$22" lockText="1"/>
</file>

<file path=xl/ctrlProps/ctrlProp491.xml><?xml version="1.0" encoding="utf-8"?>
<formControlPr xmlns="http://schemas.microsoft.com/office/spreadsheetml/2009/9/main" objectType="CheckBox" fmlaLink="Ber_Lab!$E$22" lockText="1"/>
</file>

<file path=xl/ctrlProps/ctrlProp492.xml><?xml version="1.0" encoding="utf-8"?>
<formControlPr xmlns="http://schemas.microsoft.com/office/spreadsheetml/2009/9/main" objectType="CheckBox" fmlaLink="Ber_Lab!$C$23" lockText="1"/>
</file>

<file path=xl/ctrlProps/ctrlProp493.xml><?xml version="1.0" encoding="utf-8"?>
<formControlPr xmlns="http://schemas.microsoft.com/office/spreadsheetml/2009/9/main" objectType="CheckBox" fmlaLink="Ber_Lab!$G$23" lockText="1"/>
</file>

<file path=xl/ctrlProps/ctrlProp494.xml><?xml version="1.0" encoding="utf-8"?>
<formControlPr xmlns="http://schemas.microsoft.com/office/spreadsheetml/2009/9/main" objectType="CheckBox" fmlaLink="Ber_Lab!$I$23" lockText="1"/>
</file>

<file path=xl/ctrlProps/ctrlProp495.xml><?xml version="1.0" encoding="utf-8"?>
<formControlPr xmlns="http://schemas.microsoft.com/office/spreadsheetml/2009/9/main" objectType="CheckBox" fmlaLink="Ber_Lab!$L$23" lockText="1"/>
</file>

<file path=xl/ctrlProps/ctrlProp496.xml><?xml version="1.0" encoding="utf-8"?>
<formControlPr xmlns="http://schemas.microsoft.com/office/spreadsheetml/2009/9/main" objectType="CheckBox" fmlaLink="Ber_Lab!$E$23" lockText="1"/>
</file>

<file path=xl/ctrlProps/ctrlProp497.xml><?xml version="1.0" encoding="utf-8"?>
<formControlPr xmlns="http://schemas.microsoft.com/office/spreadsheetml/2009/9/main" objectType="CheckBox" fmlaLink="Ber_Lab!$C$24" lockText="1"/>
</file>

<file path=xl/ctrlProps/ctrlProp498.xml><?xml version="1.0" encoding="utf-8"?>
<formControlPr xmlns="http://schemas.microsoft.com/office/spreadsheetml/2009/9/main" objectType="CheckBox" fmlaLink="Ber_Lab!$G$24" lockText="1"/>
</file>

<file path=xl/ctrlProps/ctrlProp499.xml><?xml version="1.0" encoding="utf-8"?>
<formControlPr xmlns="http://schemas.microsoft.com/office/spreadsheetml/2009/9/main" objectType="CheckBox" fmlaLink="Ber_Lab!$I$24" lockText="1"/>
</file>

<file path=xl/ctrlProps/ctrlProp500.xml><?xml version="1.0" encoding="utf-8"?>
<formControlPr xmlns="http://schemas.microsoft.com/office/spreadsheetml/2009/9/main" objectType="CheckBox" fmlaLink="Ber_Lab!$L$24" lockText="1"/>
</file>

<file path=xl/ctrlProps/ctrlProp501.xml><?xml version="1.0" encoding="utf-8"?>
<formControlPr xmlns="http://schemas.microsoft.com/office/spreadsheetml/2009/9/main" objectType="CheckBox" fmlaLink="Ber_Lab!$E$24" lockText="1"/>
</file>

<file path=xl/ctrlProps/ctrlProp502.xml><?xml version="1.0" encoding="utf-8"?>
<formControlPr xmlns="http://schemas.microsoft.com/office/spreadsheetml/2009/9/main" objectType="CheckBox" fmlaLink="Ber_Lab!$C$25" lockText="1"/>
</file>

<file path=xl/ctrlProps/ctrlProp503.xml><?xml version="1.0" encoding="utf-8"?>
<formControlPr xmlns="http://schemas.microsoft.com/office/spreadsheetml/2009/9/main" objectType="CheckBox" fmlaLink="Ber_Lab!$G$25" lockText="1"/>
</file>

<file path=xl/ctrlProps/ctrlProp504.xml><?xml version="1.0" encoding="utf-8"?>
<formControlPr xmlns="http://schemas.microsoft.com/office/spreadsheetml/2009/9/main" objectType="CheckBox" fmlaLink="Ber_Lab!$I$25" lockText="1"/>
</file>

<file path=xl/ctrlProps/ctrlProp505.xml><?xml version="1.0" encoding="utf-8"?>
<formControlPr xmlns="http://schemas.microsoft.com/office/spreadsheetml/2009/9/main" objectType="CheckBox" fmlaLink="Ber_Lab!$L$25" lockText="1"/>
</file>

<file path=xl/ctrlProps/ctrlProp506.xml><?xml version="1.0" encoding="utf-8"?>
<formControlPr xmlns="http://schemas.microsoft.com/office/spreadsheetml/2009/9/main" objectType="CheckBox" fmlaLink="Ber_Lab!$E$25" lockText="1"/>
</file>

<file path=xl/ctrlProps/ctrlProp507.xml><?xml version="1.0" encoding="utf-8"?>
<formControlPr xmlns="http://schemas.microsoft.com/office/spreadsheetml/2009/9/main" objectType="CheckBox" fmlaLink="Ber_Lab!$C$29" lockText="1"/>
</file>

<file path=xl/ctrlProps/ctrlProp508.xml><?xml version="1.0" encoding="utf-8"?>
<formControlPr xmlns="http://schemas.microsoft.com/office/spreadsheetml/2009/9/main" objectType="CheckBox" fmlaLink="Ber_Lab!$G$29" lockText="1"/>
</file>

<file path=xl/ctrlProps/ctrlProp509.xml><?xml version="1.0" encoding="utf-8"?>
<formControlPr xmlns="http://schemas.microsoft.com/office/spreadsheetml/2009/9/main" objectType="CheckBox" fmlaLink="Ber_Lab!$I$29" lockText="1"/>
</file>

<file path=xl/ctrlProps/ctrlProp510.xml><?xml version="1.0" encoding="utf-8"?>
<formControlPr xmlns="http://schemas.microsoft.com/office/spreadsheetml/2009/9/main" objectType="CheckBox" fmlaLink="Ber_Lab!$L$29" lockText="1"/>
</file>

<file path=xl/ctrlProps/ctrlProp511.xml><?xml version="1.0" encoding="utf-8"?>
<formControlPr xmlns="http://schemas.microsoft.com/office/spreadsheetml/2009/9/main" objectType="CheckBox" fmlaLink="Ber_Lab!$E$29" lockText="1"/>
</file>

<file path=xl/ctrlProps/ctrlProp512.xml><?xml version="1.0" encoding="utf-8"?>
<formControlPr xmlns="http://schemas.microsoft.com/office/spreadsheetml/2009/9/main" objectType="CheckBox" fmlaLink="Ber_Lab!$C$17" lockText="1"/>
</file>

<file path=xl/ctrlProps/ctrlProp513.xml><?xml version="1.0" encoding="utf-8"?>
<formControlPr xmlns="http://schemas.microsoft.com/office/spreadsheetml/2009/9/main" objectType="CheckBox" fmlaLink="Ber_Lab!$G$17" lockText="1"/>
</file>

<file path=xl/ctrlProps/ctrlProp514.xml><?xml version="1.0" encoding="utf-8"?>
<formControlPr xmlns="http://schemas.microsoft.com/office/spreadsheetml/2009/9/main" objectType="CheckBox" fmlaLink="Ber_Lab!$I$17" lockText="1"/>
</file>

<file path=xl/ctrlProps/ctrlProp515.xml><?xml version="1.0" encoding="utf-8"?>
<formControlPr xmlns="http://schemas.microsoft.com/office/spreadsheetml/2009/9/main" objectType="CheckBox" fmlaLink="Ber_Lab!$L$17" lockText="1"/>
</file>

<file path=xl/ctrlProps/ctrlProp516.xml><?xml version="1.0" encoding="utf-8"?>
<formControlPr xmlns="http://schemas.microsoft.com/office/spreadsheetml/2009/9/main" objectType="CheckBox" fmlaLink="Ber_Lab!$E$17" lockText="1"/>
</file>

<file path=xl/ctrlProps/ctrlProp517.xml><?xml version="1.0" encoding="utf-8"?>
<formControlPr xmlns="http://schemas.microsoft.com/office/spreadsheetml/2009/9/main" objectType="CheckBox" fmlaLink="Ber_Lab!$C$31" lockText="1"/>
</file>

<file path=xl/ctrlProps/ctrlProp518.xml><?xml version="1.0" encoding="utf-8"?>
<formControlPr xmlns="http://schemas.microsoft.com/office/spreadsheetml/2009/9/main" objectType="CheckBox" fmlaLink="Ber_Lab!$G$31" lockText="1"/>
</file>

<file path=xl/ctrlProps/ctrlProp519.xml><?xml version="1.0" encoding="utf-8"?>
<formControlPr xmlns="http://schemas.microsoft.com/office/spreadsheetml/2009/9/main" objectType="CheckBox" fmlaLink="Ber_Lab!$I$31" lockText="1"/>
</file>

<file path=xl/ctrlProps/ctrlProp520.xml><?xml version="1.0" encoding="utf-8"?>
<formControlPr xmlns="http://schemas.microsoft.com/office/spreadsheetml/2009/9/main" objectType="CheckBox" fmlaLink="Ber_Lab!$L$31" lockText="1"/>
</file>

<file path=xl/ctrlProps/ctrlProp521.xml><?xml version="1.0" encoding="utf-8"?>
<formControlPr xmlns="http://schemas.microsoft.com/office/spreadsheetml/2009/9/main" objectType="CheckBox" fmlaLink="Ber_Lab!$E$31" lockText="1"/>
</file>

<file path=xl/ctrlProps/ctrlProp522.xml><?xml version="1.0" encoding="utf-8"?>
<formControlPr xmlns="http://schemas.microsoft.com/office/spreadsheetml/2009/9/main" objectType="CheckBox" fmlaLink="Ber_Lab!C35" lockText="1"/>
</file>

<file path=xl/ctrlProps/ctrlProp523.xml><?xml version="1.0" encoding="utf-8"?>
<formControlPr xmlns="http://schemas.microsoft.com/office/spreadsheetml/2009/9/main" objectType="CheckBox" fmlaLink="Ber_Lab!$C$33" lockText="1"/>
</file>

<file path=xl/ctrlProps/ctrlProp524.xml><?xml version="1.0" encoding="utf-8"?>
<formControlPr xmlns="http://schemas.microsoft.com/office/spreadsheetml/2009/9/main" objectType="CheckBox" fmlaLink="Ber_Lab!$G$33" lockText="1"/>
</file>

<file path=xl/ctrlProps/ctrlProp525.xml><?xml version="1.0" encoding="utf-8"?>
<formControlPr xmlns="http://schemas.microsoft.com/office/spreadsheetml/2009/9/main" objectType="CheckBox" fmlaLink="Ber_Lab!$I$33" lockText="1"/>
</file>

<file path=xl/ctrlProps/ctrlProp526.xml><?xml version="1.0" encoding="utf-8"?>
<formControlPr xmlns="http://schemas.microsoft.com/office/spreadsheetml/2009/9/main" objectType="CheckBox" fmlaLink="Ber_Lab!$L$33" lockText="1"/>
</file>

<file path=xl/ctrlProps/ctrlProp527.xml><?xml version="1.0" encoding="utf-8"?>
<formControlPr xmlns="http://schemas.microsoft.com/office/spreadsheetml/2009/9/main" objectType="CheckBox" fmlaLink="Ber_Lab!$E$33" lockText="1"/>
</file>

<file path=xl/ctrlProps/ctrlProp528.xml><?xml version="1.0" encoding="utf-8"?>
<formControlPr xmlns="http://schemas.microsoft.com/office/spreadsheetml/2009/9/main" objectType="CheckBox" fmlaLink="Ber_Lab!$C$34" lockText="1"/>
</file>

<file path=xl/ctrlProps/ctrlProp529.xml><?xml version="1.0" encoding="utf-8"?>
<formControlPr xmlns="http://schemas.microsoft.com/office/spreadsheetml/2009/9/main" objectType="CheckBox" fmlaLink="Ber_Lab!$G$34" lockText="1"/>
</file>

<file path=xl/ctrlProps/ctrlProp530.xml><?xml version="1.0" encoding="utf-8"?>
<formControlPr xmlns="http://schemas.microsoft.com/office/spreadsheetml/2009/9/main" objectType="CheckBox" fmlaLink="Ber_Lab!$I$34" lockText="1"/>
</file>

<file path=xl/ctrlProps/ctrlProp531.xml><?xml version="1.0" encoding="utf-8"?>
<formControlPr xmlns="http://schemas.microsoft.com/office/spreadsheetml/2009/9/main" objectType="CheckBox" fmlaLink="Ber_Lab!L34" lockText="1"/>
</file>

<file path=xl/ctrlProps/ctrlProp532.xml><?xml version="1.0" encoding="utf-8"?>
<formControlPr xmlns="http://schemas.microsoft.com/office/spreadsheetml/2009/9/main" objectType="CheckBox" fmlaLink="Ber_Lab!$E$34" lockText="1"/>
</file>

<file path=xl/ctrlProps/ctrlProp533.xml><?xml version="1.0" encoding="utf-8"?>
<formControlPr xmlns="http://schemas.microsoft.com/office/spreadsheetml/2009/9/main" objectType="Spin" dx="15" fmlaLink="dbBead!$H$2" max="200" min="25" page="10" val="80"/>
</file>

<file path=xl/ctrlProps/ctrlProp534.xml><?xml version="1.0" encoding="utf-8"?>
<formControlPr xmlns="http://schemas.microsoft.com/office/spreadsheetml/2009/9/main" objectType="CheckBox" fmlaLink="ber_AanvullendeAfsprakenPed!$F$7" lockText="1"/>
</file>

<file path=xl/ctrlProps/ctrlProp535.xml><?xml version="1.0" encoding="utf-8"?>
<formControlPr xmlns="http://schemas.microsoft.com/office/spreadsheetml/2009/9/main" objectType="CheckBox" fmlaLink="ber_AanvullendeAfsprakenPed!$F$8" lockText="1"/>
</file>

<file path=xl/ctrlProps/ctrlProp536.xml><?xml version="1.0" encoding="utf-8"?>
<formControlPr xmlns="http://schemas.microsoft.com/office/spreadsheetml/2009/9/main" objectType="Spin" dx="15" fmlaLink="ber_AanvullendeAfsprakenPed!$B$12" max="24" page="10" val="0"/>
</file>

<file path=xl/ctrlProps/ctrlProp537.xml><?xml version="1.0" encoding="utf-8"?>
<formControlPr xmlns="http://schemas.microsoft.com/office/spreadsheetml/2009/9/main" objectType="CheckBox" fmlaLink="ber_AanvullendeAfsprakenPed!$B$22" lockText="1"/>
</file>

<file path=xl/ctrlProps/ctrlProp538.xml><?xml version="1.0" encoding="utf-8"?>
<formControlPr xmlns="http://schemas.microsoft.com/office/spreadsheetml/2009/9/main" objectType="CheckBox" fmlaLink="ber_AanvullendeAfsprakenPed!$B$23" lockText="1"/>
</file>

<file path=xl/ctrlProps/ctrlProp539.xml><?xml version="1.0" encoding="utf-8"?>
<formControlPr xmlns="http://schemas.microsoft.com/office/spreadsheetml/2009/9/main" objectType="CheckBox" fmlaLink="ber_AanvullendeAfsprakenPed!$B$27" lockText="1"/>
</file>

<file path=xl/ctrlProps/ctrlProp540.xml><?xml version="1.0" encoding="utf-8"?>
<formControlPr xmlns="http://schemas.microsoft.com/office/spreadsheetml/2009/9/main" objectType="Drop" dropStyle="combo" dx="16" fmlaLink="ber_AanvullendeAfsprakenPed!$D$27" fmlaRange="Aanvullend_ThoraxDrainSub2" noThreeD="1" sel="0" val="0"/>
</file>

<file path=xl/ctrlProps/ctrlProp541.xml><?xml version="1.0" encoding="utf-8"?>
<formControlPr xmlns="http://schemas.microsoft.com/office/spreadsheetml/2009/9/main" objectType="Drop" dropStyle="combo" dx="16" fmlaLink="ber_AanvullendeAfsprakenPed!$D$28" fmlaRange="Aanvullend_ThoraxDrainSub3" noThreeD="1" sel="0" val="0"/>
</file>

<file path=xl/ctrlProps/ctrlProp542.xml><?xml version="1.0" encoding="utf-8"?>
<formControlPr xmlns="http://schemas.microsoft.com/office/spreadsheetml/2009/9/main" objectType="CheckBox" fmlaLink="ber_AanvullendeAfsprakenPed!$B$30" lockText="1"/>
</file>

<file path=xl/ctrlProps/ctrlProp543.xml><?xml version="1.0" encoding="utf-8"?>
<formControlPr xmlns="http://schemas.microsoft.com/office/spreadsheetml/2009/9/main" objectType="Drop" dropStyle="combo" dx="16" fmlaLink="ber_AanvullendeAfsprakenPed!$D$30" fmlaRange="Aanvullend_ThoraxDrainSub2" noThreeD="1" sel="0" val="0"/>
</file>

<file path=xl/ctrlProps/ctrlProp544.xml><?xml version="1.0" encoding="utf-8"?>
<formControlPr xmlns="http://schemas.microsoft.com/office/spreadsheetml/2009/9/main" objectType="Drop" dropStyle="combo" dx="16" fmlaLink="ber_AanvullendeAfsprakenPed!$D$31" fmlaRange="Aanvullend_ThoraxDrainSub3" noThreeD="1" sel="0" val="0"/>
</file>

<file path=xl/ctrlProps/ctrlProp545.xml><?xml version="1.0" encoding="utf-8"?>
<formControlPr xmlns="http://schemas.microsoft.com/office/spreadsheetml/2009/9/main" objectType="CheckBox" fmlaLink="ber_AanvullendeAfsprakenPed!$B$7" lockText="1"/>
</file>

<file path=xl/ctrlProps/ctrlProp546.xml><?xml version="1.0" encoding="utf-8"?>
<formControlPr xmlns="http://schemas.microsoft.com/office/spreadsheetml/2009/9/main" objectType="CheckBox" fmlaLink="ber_AanvullendeAfsprakenPed!$B$8" lockText="1"/>
</file>

<file path=xl/ctrlProps/ctrlProp547.xml><?xml version="1.0" encoding="utf-8"?>
<formControlPr xmlns="http://schemas.microsoft.com/office/spreadsheetml/2009/9/main" objectType="CheckBox" fmlaLink="ber_AanvullendeAfsprakenPed!$B$21" lockText="1"/>
</file>

<file path=xl/ctrlProps/ctrlProp548.xml><?xml version="1.0" encoding="utf-8"?>
<formControlPr xmlns="http://schemas.microsoft.com/office/spreadsheetml/2009/9/main" objectType="CheckBox" fmlaLink="ber_AanvullendeAfsprakenPed!$B$11" lockText="1"/>
</file>

<file path=xl/ctrlProps/ctrlProp549.xml><?xml version="1.0" encoding="utf-8"?>
<formControlPr xmlns="http://schemas.microsoft.com/office/spreadsheetml/2009/9/main" objectType="CheckBox" fmlaLink="ber_AanvullendeAfsprakenPed!$B$15" lockText="1"/>
</file>

<file path=xl/ctrlProps/ctrlProp550.xml><?xml version="1.0" encoding="utf-8"?>
<formControlPr xmlns="http://schemas.microsoft.com/office/spreadsheetml/2009/9/main" objectType="CheckBox" fmlaLink="ber_AanvullendeAfsprakenPed!$B$16" lockText="1"/>
</file>

<file path=xl/ctrlProps/ctrlProp551.xml><?xml version="1.0" encoding="utf-8"?>
<formControlPr xmlns="http://schemas.microsoft.com/office/spreadsheetml/2009/9/main" objectType="CheckBox" fmlaLink="ber_AanvullendeAfsprakenPed!$B$17" lockText="1"/>
</file>

<file path=xl/ctrlProps/ctrlProp552.xml><?xml version="1.0" encoding="utf-8"?>
<formControlPr xmlns="http://schemas.microsoft.com/office/spreadsheetml/2009/9/main" objectType="CheckBox" fmlaLink="ber_AanvullendeAfsprakenPed!$D$11" lockText="1"/>
</file>

<file path=xl/ctrlProps/ctrlProp553.xml><?xml version="1.0" encoding="utf-8"?>
<formControlPr xmlns="http://schemas.microsoft.com/office/spreadsheetml/2009/9/main" objectType="CheckBox" fmlaLink="ber_AanvullendeAfsprakenPed!$D$12" lockText="1"/>
</file>

<file path=xl/ctrlProps/ctrlProp554.xml><?xml version="1.0" encoding="utf-8"?>
<formControlPr xmlns="http://schemas.microsoft.com/office/spreadsheetml/2009/9/main" objectType="CheckBox" fmlaLink="ber_AanvullendeAfsprakenPed!$D$13" lockText="1"/>
</file>

<file path=xl/ctrlProps/ctrlProp555.xml><?xml version="1.0" encoding="utf-8"?>
<formControlPr xmlns="http://schemas.microsoft.com/office/spreadsheetml/2009/9/main" objectType="CheckBox" fmlaLink="ber_AanvullendeAfsprakenPed!$D$14" lockText="1"/>
</file>

<file path=xl/ctrlProps/ctrlProp556.xml><?xml version="1.0" encoding="utf-8"?>
<formControlPr xmlns="http://schemas.microsoft.com/office/spreadsheetml/2009/9/main" objectType="CheckBox" fmlaLink="ber_AanvullendeAfsprakenPed!$B$20" lockText="1"/>
</file>

<file path=xl/ctrlProps/ctrlProp557.xml><?xml version="1.0" encoding="utf-8"?>
<formControlPr xmlns="http://schemas.microsoft.com/office/spreadsheetml/2009/9/main" objectType="CheckBox" fmlaLink="ber_AanvullendeAfsprakenPed!$B$9" lockText="1"/>
</file>

<file path=xl/ctrlProps/ctrlProp558.xml><?xml version="1.0" encoding="utf-8"?>
<formControlPr xmlns="http://schemas.microsoft.com/office/spreadsheetml/2009/9/main" objectType="Spin" dx="15" fmlaLink="ber_AanvullendeAfsprakenPed!$C$7" max="10" page="10" val="0"/>
</file>

<file path=xl/ctrlProps/ctrlProp559.xml><?xml version="1.0" encoding="utf-8"?>
<formControlPr xmlns="http://schemas.microsoft.com/office/spreadsheetml/2009/9/main" objectType="Spin" dx="15" fmlaLink="ber_AanvullendeAfsprakenPed!$C$8" max="10" page="10" val="0"/>
</file>

<file path=xl/ctrlProps/ctrlProp560.xml><?xml version="1.0" encoding="utf-8"?>
<formControlPr xmlns="http://schemas.microsoft.com/office/spreadsheetml/2009/9/main" objectType="Spin" dx="15" fmlaLink="ber_AanvullendeAfsprakenPed!$C$9" max="10" page="10" val="0"/>
</file>

<file path=xl/ctrlProps/ctrlProp561.xml><?xml version="1.0" encoding="utf-8"?>
<formControlPr xmlns="http://schemas.microsoft.com/office/spreadsheetml/2009/9/main" objectType="Drop" dropStyle="combo" dx="16" fmlaLink="ber_AanvullendeAfsprakenPed!$D$7" fmlaRange="Aanvullend_PerPeriode" noThreeD="1" sel="0" val="0"/>
</file>

<file path=xl/ctrlProps/ctrlProp562.xml><?xml version="1.0" encoding="utf-8"?>
<formControlPr xmlns="http://schemas.microsoft.com/office/spreadsheetml/2009/9/main" objectType="Drop" dropStyle="combo" dx="16" fmlaLink="ber_AanvullendeAfsprakenPed!$D$8" fmlaRange="Aanvullend_PerPeriode" noThreeD="1" sel="0" val="0"/>
</file>

<file path=xl/ctrlProps/ctrlProp563.xml><?xml version="1.0" encoding="utf-8"?>
<formControlPr xmlns="http://schemas.microsoft.com/office/spreadsheetml/2009/9/main" objectType="Drop" dropStyle="combo" dx="16" fmlaLink="ber_AanvullendeAfsprakenPed!$D$9" fmlaRange="Aanvullend_PerPeriode" noThreeD="1" sel="0" val="0"/>
</file>

<file path=xl/ctrlProps/ctrlProp564.xml><?xml version="1.0" encoding="utf-8"?>
<formControlPr xmlns="http://schemas.microsoft.com/office/spreadsheetml/2009/9/main" objectType="Spin" dx="15" fmlaLink="ber_AanvullendeAfsprakenPed!$C$8" max="10" page="10" val="0"/>
</file>

<file path=xl/ctrlProps/ctrlProp565.xml><?xml version="1.0" encoding="utf-8"?>
<formControlPr xmlns="http://schemas.microsoft.com/office/spreadsheetml/2009/9/main" objectType="Spin" dx="15" fmlaLink="ber_AanvullendeAfsprakenPed!$C$9" max="10" page="10" val="0"/>
</file>

<file path=xl/ctrlProps/ctrlProp566.xml><?xml version="1.0" encoding="utf-8"?>
<formControlPr xmlns="http://schemas.microsoft.com/office/spreadsheetml/2009/9/main" objectType="Drop" dropStyle="combo" dx="16" fmlaLink="ber_AanvullendeAfsprakenPed!$D$29" fmlaRange="Aanvullend_ThoraxDrainSub1" noThreeD="1" sel="0" val="0"/>
</file>

<file path=xl/ctrlProps/ctrlProp567.xml><?xml version="1.0" encoding="utf-8"?>
<formControlPr xmlns="http://schemas.microsoft.com/office/spreadsheetml/2009/9/main" objectType="Drop" dropStyle="combo" dx="16" fmlaLink="ber_AanvullendeAfsprakenPed!$D$32" fmlaRange="Aanvullend_ThoraxDrainSub1" noThreeD="1" sel="0" val="0"/>
</file>

<file path=xl/ctrlProps/ctrlProp568.xml><?xml version="1.0" encoding="utf-8"?>
<formControlPr xmlns="http://schemas.microsoft.com/office/spreadsheetml/2009/9/main" objectType="CheckBox" fmlaLink="ber_AanvullendeAfsprakenPed!$B$33" lockText="1"/>
</file>

<file path=xl/ctrlProps/ctrlProp569.xml><?xml version="1.0" encoding="utf-8"?>
<formControlPr xmlns="http://schemas.microsoft.com/office/spreadsheetml/2009/9/main" objectType="Drop" dropStyle="combo" dx="16" fmlaLink="ber_AanvullendeAfsprakenPed!$D$33" fmlaRange="Aanvullend_ThoraxDrainSub2" noThreeD="1" sel="0" val="0"/>
</file>

<file path=xl/ctrlProps/ctrlProp570.xml><?xml version="1.0" encoding="utf-8"?>
<formControlPr xmlns="http://schemas.microsoft.com/office/spreadsheetml/2009/9/main" objectType="Drop" dropStyle="combo" dx="16" fmlaLink="ber_AanvullendeAfsprakenPed!$D$34" fmlaRange="Aanvullend_ThoraxDrainSub3" noThreeD="1" sel="0" val="0"/>
</file>

<file path=xl/ctrlProps/ctrlProp571.xml><?xml version="1.0" encoding="utf-8"?>
<formControlPr xmlns="http://schemas.microsoft.com/office/spreadsheetml/2009/9/main" objectType="Drop" dropStyle="combo" dx="16" fmlaLink="ber_AanvullendeAfsprakenPed!$D$35" fmlaRange="Aanvullend_ThoraxDrainSub1" noThreeD="1" sel="0" val="0"/>
</file>

<file path=xl/ctrlProps/ctrlProp572.xml><?xml version="1.0" encoding="utf-8"?>
<formControlPr xmlns="http://schemas.microsoft.com/office/spreadsheetml/2009/9/main" objectType="CheckBox" fmlaLink="ber_AanvullendeAfsprakenPed!$B$36" lockText="1"/>
</file>

<file path=xl/ctrlProps/ctrlProp573.xml><?xml version="1.0" encoding="utf-8"?>
<formControlPr xmlns="http://schemas.microsoft.com/office/spreadsheetml/2009/9/main" objectType="CheckBox" fmlaLink="ber_AanvullendeAfsprakenPed!$B$38" lockText="1"/>
</file>

<file path=xl/ctrlProps/ctrlProp574.xml><?xml version="1.0" encoding="utf-8"?>
<formControlPr xmlns="http://schemas.microsoft.com/office/spreadsheetml/2009/9/main" objectType="CheckBox" fmlaLink="ber_AanvullendeAfsprakenPed!$B$37" lockText="1"/>
</file>

<file path=xl/ctrlProps/ctrlProp575.xml><?xml version="1.0" encoding="utf-8"?>
<formControlPr xmlns="http://schemas.microsoft.com/office/spreadsheetml/2009/9/main" objectType="CheckBox" fmlaLink="ber_AanvullendeAfsprakenPed!$D$36" lockText="1"/>
</file>

<file path=xl/ctrlProps/ctrlProp576.xml><?xml version="1.0" encoding="utf-8"?>
<formControlPr xmlns="http://schemas.microsoft.com/office/spreadsheetml/2009/9/main" objectType="CheckBox" fmlaLink="ber_AanvullendeAfsprakenPed!$D$37" lockText="1"/>
</file>

<file path=xl/ctrlProps/ctrlProp577.xml><?xml version="1.0" encoding="utf-8"?>
<formControlPr xmlns="http://schemas.microsoft.com/office/spreadsheetml/2009/9/main" objectType="CheckBox" fmlaLink="ber_AanvullendeAfsprakenPed!$D$38" lockText="1"/>
</file>

<file path=xl/ctrlProps/ctrlProp578.xml><?xml version="1.0" encoding="utf-8"?>
<formControlPr xmlns="http://schemas.microsoft.com/office/spreadsheetml/2009/9/main" objectType="Drop" dropStyle="combo" dx="16" fmlaLink="ber_AanvullendeAfsprakenPed!$D$39" fmlaRange="Aanvullend_LiquorDrainSub1" noThreeD="1" sel="0" val="0"/>
</file>

<file path=xl/ctrlProps/ctrlProp579.xml><?xml version="1.0" encoding="utf-8"?>
<formControlPr xmlns="http://schemas.microsoft.com/office/spreadsheetml/2009/9/main" objectType="Spin" dx="15" fmlaLink="ber_AanvullendeAfsprakenPed!$D$40" max="100" page="10" val="0"/>
</file>

<file path=xl/ctrlProps/ctrlProp580.xml><?xml version="1.0" encoding="utf-8"?>
<formControlPr xmlns="http://schemas.microsoft.com/office/spreadsheetml/2009/9/main" objectType="CheckBox" fmlaLink="ber_AanvullendeAfsprakenPed!$B$39" lockText="1"/>
</file>

<file path=xl/ctrlProps/ctrlProp581.xml><?xml version="1.0" encoding="utf-8"?>
<formControlPr xmlns="http://schemas.microsoft.com/office/spreadsheetml/2009/9/main" objectType="CheckBox" fmlaLink="ber_AanvullendeAfsprakenPed!$F$9" lockText="1"/>
</file>

<file path=xl/ctrlProps/ctrlProp582.xml><?xml version="1.0" encoding="utf-8"?>
<formControlPr xmlns="http://schemas.microsoft.com/office/spreadsheetml/2009/9/main" objectType="CheckBox" fmlaLink="ber_AanvullendeAfsprakenPed!$F$10" lockText="1"/>
</file>

<file path=xl/ctrlProps/ctrlProp583.xml><?xml version="1.0" encoding="utf-8"?>
<formControlPr xmlns="http://schemas.microsoft.com/office/spreadsheetml/2009/9/main" objectType="CheckBox" fmlaLink="ber_AanvullendeAfsprakenPed!$F$12" lockText="1"/>
</file>

<file path=xl/ctrlProps/ctrlProp584.xml><?xml version="1.0" encoding="utf-8"?>
<formControlPr xmlns="http://schemas.microsoft.com/office/spreadsheetml/2009/9/main" objectType="CheckBox" fmlaLink="ber_AanvullendeAfsprakenPed!$F$13" lockText="1"/>
</file>

<file path=xl/ctrlProps/ctrlProp585.xml><?xml version="1.0" encoding="utf-8"?>
<formControlPr xmlns="http://schemas.microsoft.com/office/spreadsheetml/2009/9/main" objectType="CheckBox" fmlaLink="ber_AanvullendeAfsprakenPed!$F$14" lockText="1"/>
</file>

<file path=xl/ctrlProps/ctrlProp586.xml><?xml version="1.0" encoding="utf-8"?>
<formControlPr xmlns="http://schemas.microsoft.com/office/spreadsheetml/2009/9/main" objectType="CheckBox" fmlaLink="ber_AanvullendeAfsprakenPed!$F$15" lockText="1"/>
</file>

<file path=xl/ctrlProps/ctrlProp587.xml><?xml version="1.0" encoding="utf-8"?>
<formControlPr xmlns="http://schemas.microsoft.com/office/spreadsheetml/2009/9/main" objectType="CheckBox" fmlaLink="ber_AanvullendeAfsprakenPed!$B$24" lockText="1"/>
</file>

<file path=xl/ctrlProps/ctrlProp588.xml><?xml version="1.0" encoding="utf-8"?>
<formControlPr xmlns="http://schemas.microsoft.com/office/spreadsheetml/2009/9/main" objectType="CheckBox" fmlaLink="ber_AanvullendeAfsprakenPed!$B$25" lockText="1"/>
</file>

<file path=xl/ctrlProps/ctrlProp589.xml><?xml version="1.0" encoding="utf-8"?>
<formControlPr xmlns="http://schemas.microsoft.com/office/spreadsheetml/2009/9/main" objectType="Spin" dx="15" fmlaLink="ber_AanvullendeAfsprakenPed!$C$8" max="10" page="10" val="0"/>
</file>

<file path=xl/ctrlProps/ctrlProp590.xml><?xml version="1.0" encoding="utf-8"?>
<formControlPr xmlns="http://schemas.microsoft.com/office/spreadsheetml/2009/9/main" objectType="Spin" dx="15" fmlaLink="ber_AanvullendeAfsprakenPed!$C$9" max="10" page="10" val="0"/>
</file>

<file path=xl/ctrlProps/ctrlProp591.xml><?xml version="1.0" encoding="utf-8"?>
<formControlPr xmlns="http://schemas.microsoft.com/office/spreadsheetml/2009/9/main" objectType="CheckBox" fmlaLink="ber_AanvullendeAfsprakenPed!$F$16" lockText="1"/>
</file>

<file path=xl/ctrlProps/ctrlProp592.xml><?xml version="1.0" encoding="utf-8"?>
<formControlPr xmlns="http://schemas.microsoft.com/office/spreadsheetml/2009/9/main" objectType="Spin" dx="15" fmlaLink="ber_AanvullendeAfsprakenPed!$G$16" max="24" page="10" val="0"/>
</file>

<file path=xl/ctrlProps/ctrlProp593.xml><?xml version="1.0" encoding="utf-8"?>
<formControlPr xmlns="http://schemas.microsoft.com/office/spreadsheetml/2009/9/main" objectType="Spin" dx="15" fmlaLink="ber_AanvullendeAfsprakenPed!$G$18" max="24" page="10" val="0"/>
</file>

<file path=xl/ctrlProps/ctrlProp594.xml><?xml version="1.0" encoding="utf-8"?>
<formControlPr xmlns="http://schemas.microsoft.com/office/spreadsheetml/2009/9/main" objectType="CheckBox" fmlaLink="ber_AanvullendeAfsprakenPed!$F$18" lockText="1"/>
</file>

<file path=xl/ctrlProps/ctrlProp595.xml><?xml version="1.0" encoding="utf-8"?>
<formControlPr xmlns="http://schemas.microsoft.com/office/spreadsheetml/2009/9/main" objectType="CheckBox" fmlaLink="ber_AanvullendeAfsprakenPed!$B$42" lockText="1"/>
</file>

<file path=xl/ctrlProps/ctrlProp596.xml><?xml version="1.0" encoding="utf-8"?>
<formControlPr xmlns="http://schemas.microsoft.com/office/spreadsheetml/2009/9/main" objectType="CheckBox" fmlaLink="ber_AanvullendeAfsprakenPed!$B$43" lockText="1"/>
</file>

<file path=xl/ctrlProps/ctrlProp597.xml><?xml version="1.0" encoding="utf-8"?>
<formControlPr xmlns="http://schemas.microsoft.com/office/spreadsheetml/2009/9/main" objectType="CheckBox" fmlaLink="ber_AanvullendeAfsprakenPed!$B$44" lockText="1"/>
</file>

<file path=xl/ctrlProps/ctrlProp598.xml><?xml version="1.0" encoding="utf-8"?>
<formControlPr xmlns="http://schemas.microsoft.com/office/spreadsheetml/2009/9/main" objectType="Spin" dx="15" fmlaLink="ber_AanvullendeAfsprakenPed!$C$42" max="24" page="10" val="0"/>
</file>

<file path=xl/ctrlProps/ctrlProp599.xml><?xml version="1.0" encoding="utf-8"?>
<formControlPr xmlns="http://schemas.microsoft.com/office/spreadsheetml/2009/9/main" objectType="Spin" dx="15" fmlaLink="ber_AanvullendeAfsprakenPed!$C$43" max="24" page="10" val="0"/>
</file>

<file path=xl/ctrlProps/ctrlProp600.xml><?xml version="1.0" encoding="utf-8"?>
<formControlPr xmlns="http://schemas.microsoft.com/office/spreadsheetml/2009/9/main" objectType="Drop" dropStyle="combo" dx="16" fmlaLink="Berekeningen!$B$20" fmlaRange="Medicamenten" val="2"/>
</file>

<file path=xl/ctrlProps/ctrlProp601.xml><?xml version="1.0" encoding="utf-8"?>
<formControlPr xmlns="http://schemas.microsoft.com/office/spreadsheetml/2009/9/main" objectType="Drop" dropStyle="combo" dx="16" fmlaLink="Berekeningen!$B$21" fmlaRange="Medicamenten" val="0"/>
</file>

<file path=xl/ctrlProps/ctrlProp602.xml><?xml version="1.0" encoding="utf-8"?>
<formControlPr xmlns="http://schemas.microsoft.com/office/spreadsheetml/2009/9/main" objectType="Drop" dropStyle="combo" dx="16" fmlaLink="Berekeningen!$B$22" fmlaRange="Medicamenten" val="0"/>
</file>

<file path=xl/ctrlProps/ctrlProp603.xml><?xml version="1.0" encoding="utf-8"?>
<formControlPr xmlns="http://schemas.microsoft.com/office/spreadsheetml/2009/9/main" objectType="Drop" dropStyle="combo" dx="16" fmlaLink="Berekeningen!$B$23" fmlaRange="Medicamenten" val="0"/>
</file>

<file path=xl/ctrlProps/ctrlProp604.xml><?xml version="1.0" encoding="utf-8"?>
<formControlPr xmlns="http://schemas.microsoft.com/office/spreadsheetml/2009/9/main" objectType="Drop" dropStyle="combo" dx="16" fmlaLink="Berekeningen!$B$24" fmlaRange="Medicamenten" val="0"/>
</file>

<file path=xl/ctrlProps/ctrlProp605.xml><?xml version="1.0" encoding="utf-8"?>
<formControlPr xmlns="http://schemas.microsoft.com/office/spreadsheetml/2009/9/main" objectType="Drop" dropStyle="combo" dx="16" fmlaLink="Berekeningen!$B$25" fmlaRange="Medicamenten" val="0"/>
</file>

<file path=xl/ctrlProps/ctrlProp606.xml><?xml version="1.0" encoding="utf-8"?>
<formControlPr xmlns="http://schemas.microsoft.com/office/spreadsheetml/2009/9/main" objectType="Drop" dropStyle="combo" dx="16" fmlaLink="Berekeningen!$B$26" fmlaRange="Medicamenten" val="0"/>
</file>

<file path=xl/ctrlProps/ctrlProp607.xml><?xml version="1.0" encoding="utf-8"?>
<formControlPr xmlns="http://schemas.microsoft.com/office/spreadsheetml/2009/9/main" objectType="Spin" dx="15" fmlaLink="Berekeningen!$B$18" inc="5" max="10" page="10" val="0"/>
</file>

<file path=xl/ctrlProps/ctrlProp608.xml><?xml version="1.0" encoding="utf-8"?>
<formControlPr xmlns="http://schemas.microsoft.com/office/spreadsheetml/2009/9/main" objectType="Spin" dx="15" fmlaLink="Berekeningen!$F$20" max="30000" page="10" val="0"/>
</file>

<file path=xl/ctrlProps/ctrlProp609.xml><?xml version="1.0" encoding="utf-8"?>
<formControlPr xmlns="http://schemas.microsoft.com/office/spreadsheetml/2009/9/main" objectType="Spin" dx="15" fmlaLink="Berekeningen!$F$21" max="30000" page="10" val="0"/>
</file>

<file path=xl/ctrlProps/ctrlProp610.xml><?xml version="1.0" encoding="utf-8"?>
<formControlPr xmlns="http://schemas.microsoft.com/office/spreadsheetml/2009/9/main" objectType="Spin" dx="15" fmlaLink="Berekeningen!$F$22" max="30000" page="10" val="0"/>
</file>

<file path=xl/ctrlProps/ctrlProp611.xml><?xml version="1.0" encoding="utf-8"?>
<formControlPr xmlns="http://schemas.microsoft.com/office/spreadsheetml/2009/9/main" objectType="Spin" dx="15" fmlaLink="Berekeningen!$F$23" max="30000" page="10" val="0"/>
</file>

<file path=xl/ctrlProps/ctrlProp612.xml><?xml version="1.0" encoding="utf-8"?>
<formControlPr xmlns="http://schemas.microsoft.com/office/spreadsheetml/2009/9/main" objectType="Spin" dx="15" fmlaLink="Berekeningen!$F$24" max="30000" page="10" val="0"/>
</file>

<file path=xl/ctrlProps/ctrlProp613.xml><?xml version="1.0" encoding="utf-8"?>
<formControlPr xmlns="http://schemas.microsoft.com/office/spreadsheetml/2009/9/main" objectType="Spin" dx="15" fmlaLink="Berekeningen!$F$25" max="30000" page="10" val="0"/>
</file>

<file path=xl/ctrlProps/ctrlProp614.xml><?xml version="1.0" encoding="utf-8"?>
<formControlPr xmlns="http://schemas.microsoft.com/office/spreadsheetml/2009/9/main" objectType="Spin" dx="15" fmlaLink="Berekeningen!$F$26" max="30000" page="10" val="0"/>
</file>

<file path=xl/ctrlProps/ctrlProp615.xml><?xml version="1.0" encoding="utf-8"?>
<formControlPr xmlns="http://schemas.microsoft.com/office/spreadsheetml/2009/9/main" objectType="Radio" checked="Checked" firstButton="1" fmlaLink="Berekeningen!$K$14" lockText="1"/>
</file>

<file path=xl/ctrlProps/ctrlProp616.xml><?xml version="1.0" encoding="utf-8"?>
<formControlPr xmlns="http://schemas.microsoft.com/office/spreadsheetml/2009/9/main" objectType="Radio" lockText="1"/>
</file>

<file path=xl/ctrlProps/ctrlProp617.xml><?xml version="1.0" encoding="utf-8"?>
<formControlPr xmlns="http://schemas.microsoft.com/office/spreadsheetml/2009/9/main" objectType="Spin" dx="15" fmlaLink="Berekeningen!$D$10" max="24" page="10" val="0"/>
</file>

<file path=xl/ctrlProps/ctrlProp618.xml><?xml version="1.0" encoding="utf-8"?>
<formControlPr xmlns="http://schemas.microsoft.com/office/spreadsheetml/2009/9/main" objectType="Spin" dx="15" fmlaLink="Berekeningen!$D$11" inc="5" max="30000" page="10" val="0"/>
</file>

<file path=xl/ctrlProps/ctrlProp619.xml><?xml version="1.0" encoding="utf-8"?>
<formControlPr xmlns="http://schemas.microsoft.com/office/spreadsheetml/2009/9/main" objectType="Spin" dx="15" fmlaLink="Berekeningen!$D$16" inc="5" max="30000" page="10" val="5000"/>
</file>

<file path=xl/ctrlProps/ctrlProp620.xml><?xml version="1.0" encoding="utf-8"?>
<formControlPr xmlns="http://schemas.microsoft.com/office/spreadsheetml/2009/9/main" objectType="Radio" checked="Checked" firstButton="1" fmlaLink="Berekeningen!$D$36" lockText="1"/>
</file>

<file path=xl/ctrlProps/ctrlProp621.xml><?xml version="1.0" encoding="utf-8"?>
<formControlPr xmlns="http://schemas.microsoft.com/office/spreadsheetml/2009/9/main" objectType="Radio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Spin" dx="15" fmlaLink="Berekeningen!$D$37" inc="10" max="30000" page="10" val="5000"/>
</file>

<file path=xl/ctrlProps/ctrlProp624.xml><?xml version="1.0" encoding="utf-8"?>
<formControlPr xmlns="http://schemas.microsoft.com/office/spreadsheetml/2009/9/main" objectType="Spin" dx="15" fmlaLink="Berekeningen!$D$38" inc="10" max="30000" page="10" val="5000"/>
</file>

<file path=xl/ctrlProps/ctrlProp625.xml><?xml version="1.0" encoding="utf-8"?>
<formControlPr xmlns="http://schemas.microsoft.com/office/spreadsheetml/2009/9/main" objectType="Spin" dx="15" fmlaLink="Berekeningen!$D$39" inc="10" max="30000" page="10" val="5000"/>
</file>

<file path=xl/ctrlProps/ctrlProp626.xml><?xml version="1.0" encoding="utf-8"?>
<formControlPr xmlns="http://schemas.microsoft.com/office/spreadsheetml/2009/9/main" objectType="Spin" dx="15" fmlaLink="Berekeningen!$D$40" max="30000" page="10" val="5000"/>
</file>

<file path=xl/ctrlProps/ctrlProp627.xml><?xml version="1.0" encoding="utf-8"?>
<formControlPr xmlns="http://schemas.microsoft.com/office/spreadsheetml/2009/9/main" objectType="Spin" dx="15" fmlaLink="Berekeningen!$D$41" max="30000" page="10" val="5000"/>
</file>

<file path=xl/ctrlProps/ctrlProp628.xml><?xml version="1.0" encoding="utf-8"?>
<formControlPr xmlns="http://schemas.microsoft.com/office/spreadsheetml/2009/9/main" objectType="Spin" dx="15" fmlaLink="Berekeningen!$D$42" max="30000" page="10" val="5000"/>
</file>

<file path=xl/ctrlProps/ctrlProp629.xml><?xml version="1.0" encoding="utf-8"?>
<formControlPr xmlns="http://schemas.microsoft.com/office/spreadsheetml/2009/9/main" objectType="Spin" dx="15" fmlaLink="Berekeningen!$D$43" max="30000" page="10" val="5000"/>
</file>

<file path=xl/ctrlProps/ctrlProp630.xml><?xml version="1.0" encoding="utf-8"?>
<formControlPr xmlns="http://schemas.microsoft.com/office/spreadsheetml/2009/9/main" objectType="Spin" dx="15" fmlaLink="Berekeningen!$D$37" max="30000" page="10" val="5000"/>
</file>

<file path=xl/ctrlProps/ctrlProp631.xml><?xml version="1.0" encoding="utf-8"?>
<formControlPr xmlns="http://schemas.microsoft.com/office/spreadsheetml/2009/9/main" objectType="Spin" dx="15" fmlaLink="Berekeningen!$D$38" max="30000" page="10" val="5000"/>
</file>

<file path=xl/ctrlProps/ctrlProp632.xml><?xml version="1.0" encoding="utf-8"?>
<formControlPr xmlns="http://schemas.microsoft.com/office/spreadsheetml/2009/9/main" objectType="Spin" dx="15" fmlaLink="Berekeningen!$D$44" max="30000" page="10" val="5000"/>
</file>

<file path=xl/ctrlProps/ctrlProp633.xml><?xml version="1.0" encoding="utf-8"?>
<formControlPr xmlns="http://schemas.microsoft.com/office/spreadsheetml/2009/9/main" objectType="Radio" firstButton="1" fmlaLink="Berekeningen!$B$15" lockText="1"/>
</file>

<file path=xl/ctrlProps/ctrlProp634.xml><?xml version="1.0" encoding="utf-8"?>
<formControlPr xmlns="http://schemas.microsoft.com/office/spreadsheetml/2009/9/main" objectType="Radio" checked="Checked" lockText="1"/>
</file>

<file path=xl/ctrlProps/ctrlProp635.xml><?xml version="1.0" encoding="utf-8"?>
<formControlPr xmlns="http://schemas.microsoft.com/office/spreadsheetml/2009/9/main" objectType="Drop" dropStyle="combo" dx="16" fmlaLink="Berekeningen!$E$20" fmlaRange="Opl" val="8"/>
</file>

<file path=xl/ctrlProps/ctrlProp636.xml><?xml version="1.0" encoding="utf-8"?>
<formControlPr xmlns="http://schemas.microsoft.com/office/spreadsheetml/2009/9/main" objectType="Drop" dropStyle="combo" dx="16" fmlaLink="Berekeningen!$E$21" fmlaRange="Opl" val="0"/>
</file>

<file path=xl/ctrlProps/ctrlProp637.xml><?xml version="1.0" encoding="utf-8"?>
<formControlPr xmlns="http://schemas.microsoft.com/office/spreadsheetml/2009/9/main" objectType="Drop" dropStyle="combo" dx="16" fmlaLink="Berekeningen!$E$22" fmlaRange="Opl" val="0"/>
</file>

<file path=xl/ctrlProps/ctrlProp638.xml><?xml version="1.0" encoding="utf-8"?>
<formControlPr xmlns="http://schemas.microsoft.com/office/spreadsheetml/2009/9/main" objectType="Drop" dropStyle="combo" dx="16" fmlaLink="Berekeningen!$E$23" fmlaRange="Opl" val="0"/>
</file>

<file path=xl/ctrlProps/ctrlProp639.xml><?xml version="1.0" encoding="utf-8"?>
<formControlPr xmlns="http://schemas.microsoft.com/office/spreadsheetml/2009/9/main" objectType="Drop" dropStyle="combo" dx="16" fmlaLink="Berekeningen!$E$24" fmlaRange="Opl" val="0"/>
</file>

<file path=xl/ctrlProps/ctrlProp640.xml><?xml version="1.0" encoding="utf-8"?>
<formControlPr xmlns="http://schemas.microsoft.com/office/spreadsheetml/2009/9/main" objectType="Drop" dropStyle="combo" dx="16" fmlaLink="Berekeningen!$E$25" fmlaRange="Opl" val="0"/>
</file>

<file path=xl/ctrlProps/ctrlProp641.xml><?xml version="1.0" encoding="utf-8"?>
<formControlPr xmlns="http://schemas.microsoft.com/office/spreadsheetml/2009/9/main" objectType="Spin" dx="15" fmlaLink="Berekeningen!$D$20" max="30000" page="10" val="0"/>
</file>

<file path=xl/ctrlProps/ctrlProp642.xml><?xml version="1.0" encoding="utf-8"?>
<formControlPr xmlns="http://schemas.microsoft.com/office/spreadsheetml/2009/9/main" objectType="Spin" dx="15" fmlaLink="Berekeningen!$D$21" max="30000" page="10" val="0"/>
</file>

<file path=xl/ctrlProps/ctrlProp643.xml><?xml version="1.0" encoding="utf-8"?>
<formControlPr xmlns="http://schemas.microsoft.com/office/spreadsheetml/2009/9/main" objectType="Spin" dx="15" fmlaLink="Berekeningen!$D$22" max="30000" page="10" val="0"/>
</file>

<file path=xl/ctrlProps/ctrlProp644.xml><?xml version="1.0" encoding="utf-8"?>
<formControlPr xmlns="http://schemas.microsoft.com/office/spreadsheetml/2009/9/main" objectType="Spin" dx="15" fmlaLink="Berekeningen!$D$23" max="30000" page="10" val="0"/>
</file>

<file path=xl/ctrlProps/ctrlProp645.xml><?xml version="1.0" encoding="utf-8"?>
<formControlPr xmlns="http://schemas.microsoft.com/office/spreadsheetml/2009/9/main" objectType="Spin" dx="15" fmlaLink="Berekeningen!$D$24" max="30000" page="10" val="0"/>
</file>

<file path=xl/ctrlProps/ctrlProp646.xml><?xml version="1.0" encoding="utf-8"?>
<formControlPr xmlns="http://schemas.microsoft.com/office/spreadsheetml/2009/9/main" objectType="Spin" dx="15" fmlaLink="Berekeningen!$D$25" max="30000" page="10" val="0"/>
</file>

<file path=xl/ctrlProps/ctrlProp647.xml><?xml version="1.0" encoding="utf-8"?>
<formControlPr xmlns="http://schemas.microsoft.com/office/spreadsheetml/2009/9/main" objectType="Spin" dx="15" fmlaLink="Berekeningen!$D$26" max="30000" page="10" val="0"/>
</file>

<file path=xl/ctrlProps/ctrlProp648.xml><?xml version="1.0" encoding="utf-8"?>
<formControlPr xmlns="http://schemas.microsoft.com/office/spreadsheetml/2009/9/main" objectType="Spin" dx="15" fmlaLink="Berekeningen!$C$20" inc="10" max="30000" page="10" val="0"/>
</file>

<file path=xl/ctrlProps/ctrlProp649.xml><?xml version="1.0" encoding="utf-8"?>
<formControlPr xmlns="http://schemas.microsoft.com/office/spreadsheetml/2009/9/main" objectType="Spin" dx="15" fmlaLink="Berekeningen!$C$21" inc="10" max="30000" page="10" val="0"/>
</file>

<file path=xl/ctrlProps/ctrlProp650.xml><?xml version="1.0" encoding="utf-8"?>
<formControlPr xmlns="http://schemas.microsoft.com/office/spreadsheetml/2009/9/main" objectType="Spin" dx="15" fmlaLink="Berekeningen!$C$22" inc="10" max="30000" page="10" val="0"/>
</file>

<file path=xl/ctrlProps/ctrlProp651.xml><?xml version="1.0" encoding="utf-8"?>
<formControlPr xmlns="http://schemas.microsoft.com/office/spreadsheetml/2009/9/main" objectType="Spin" dx="15" fmlaLink="Berekeningen!$C$23" inc="10" max="30000" page="10" val="0"/>
</file>

<file path=xl/ctrlProps/ctrlProp652.xml><?xml version="1.0" encoding="utf-8"?>
<formControlPr xmlns="http://schemas.microsoft.com/office/spreadsheetml/2009/9/main" objectType="Spin" dx="15" fmlaLink="Berekeningen!$C$24" inc="10" max="30000" page="10" val="0"/>
</file>

<file path=xl/ctrlProps/ctrlProp653.xml><?xml version="1.0" encoding="utf-8"?>
<formControlPr xmlns="http://schemas.microsoft.com/office/spreadsheetml/2009/9/main" objectType="Spin" dx="15" fmlaLink="Berekeningen!$C$25" inc="10" max="30000" page="10" val="0"/>
</file>

<file path=xl/ctrlProps/ctrlProp654.xml><?xml version="1.0" encoding="utf-8"?>
<formControlPr xmlns="http://schemas.microsoft.com/office/spreadsheetml/2009/9/main" objectType="Spin" dx="15" fmlaLink="Berekeningen!$C$26" inc="10" max="30000" page="10" val="0"/>
</file>

<file path=xl/ctrlProps/ctrlProp655.xml><?xml version="1.0" encoding="utf-8"?>
<formControlPr xmlns="http://schemas.microsoft.com/office/spreadsheetml/2009/9/main" objectType="GBox"/>
</file>

<file path=xl/ctrlProps/ctrlProp656.xml><?xml version="1.0" encoding="utf-8"?>
<formControlPr xmlns="http://schemas.microsoft.com/office/spreadsheetml/2009/9/main" objectType="GBox" noThreeD="1"/>
</file>

<file path=xl/ctrlProps/ctrlProp657.xml><?xml version="1.0" encoding="utf-8"?>
<formControlPr xmlns="http://schemas.microsoft.com/office/spreadsheetml/2009/9/main" objectType="CheckBox" fmlaLink="Berekeningen!$K$18" lockText="1"/>
</file>

<file path=xl/ctrlProps/ctrlProp658.xml><?xml version="1.0" encoding="utf-8"?>
<formControlPr xmlns="http://schemas.microsoft.com/office/spreadsheetml/2009/9/main" objectType="CheckBox" fmlaLink="Berekeningen!$K$20" lockText="1"/>
</file>

<file path=xl/ctrlProps/ctrlProp659.xml><?xml version="1.0" encoding="utf-8"?>
<formControlPr xmlns="http://schemas.microsoft.com/office/spreadsheetml/2009/9/main" objectType="CheckBox" fmlaLink="Berekeningen!$K$21" lockText="1"/>
</file>

<file path=xl/ctrlProps/ctrlProp660.xml><?xml version="1.0" encoding="utf-8"?>
<formControlPr xmlns="http://schemas.microsoft.com/office/spreadsheetml/2009/9/main" objectType="CheckBox" fmlaLink="Berekeningen!$K$22" lockText="1"/>
</file>

<file path=xl/ctrlProps/ctrlProp661.xml><?xml version="1.0" encoding="utf-8"?>
<formControlPr xmlns="http://schemas.microsoft.com/office/spreadsheetml/2009/9/main" objectType="CheckBox" fmlaLink="Berekeningen!$K$23" lockText="1"/>
</file>

<file path=xl/ctrlProps/ctrlProp662.xml><?xml version="1.0" encoding="utf-8"?>
<formControlPr xmlns="http://schemas.microsoft.com/office/spreadsheetml/2009/9/main" objectType="CheckBox" fmlaLink="Berekeningen!$K$24" lockText="1"/>
</file>

<file path=xl/ctrlProps/ctrlProp663.xml><?xml version="1.0" encoding="utf-8"?>
<formControlPr xmlns="http://schemas.microsoft.com/office/spreadsheetml/2009/9/main" objectType="CheckBox" fmlaLink="Berekeningen!$K$25" lockText="1"/>
</file>

<file path=xl/ctrlProps/ctrlProp664.xml><?xml version="1.0" encoding="utf-8"?>
<formControlPr xmlns="http://schemas.microsoft.com/office/spreadsheetml/2009/9/main" objectType="CheckBox" lockText="1"/>
</file>

<file path=xl/ctrlProps/ctrlProp665.xml><?xml version="1.0" encoding="utf-8"?>
<formControlPr xmlns="http://schemas.microsoft.com/office/spreadsheetml/2009/9/main" objectType="Drop" dropStyle="combo" dx="16" fmlaLink="Berekeningen!$B$27" fmlaRange="Medicamenten" val="0"/>
</file>

<file path=xl/ctrlProps/ctrlProp666.xml><?xml version="1.0" encoding="utf-8"?>
<formControlPr xmlns="http://schemas.microsoft.com/office/spreadsheetml/2009/9/main" objectType="Spin" dx="15" fmlaLink="Berekeningen!$F$27" max="30000" page="10" val="0"/>
</file>

<file path=xl/ctrlProps/ctrlProp667.xml><?xml version="1.0" encoding="utf-8"?>
<formControlPr xmlns="http://schemas.microsoft.com/office/spreadsheetml/2009/9/main" objectType="Drop" dropStyle="combo" dx="16" fmlaLink="Berekeningen!$E$26" fmlaRange="Opl" val="0"/>
</file>

<file path=xl/ctrlProps/ctrlProp668.xml><?xml version="1.0" encoding="utf-8"?>
<formControlPr xmlns="http://schemas.microsoft.com/office/spreadsheetml/2009/9/main" objectType="Spin" dx="15" fmlaLink="Berekeningen!$D$27" max="30000" page="10" val="0"/>
</file>

<file path=xl/ctrlProps/ctrlProp669.xml><?xml version="1.0" encoding="utf-8"?>
<formControlPr xmlns="http://schemas.microsoft.com/office/spreadsheetml/2009/9/main" objectType="Spin" dx="15" fmlaLink="Berekeningen!$C$27" inc="10" max="30000" page="10" val="0"/>
</file>

<file path=xl/ctrlProps/ctrlProp670.xml><?xml version="1.0" encoding="utf-8"?>
<formControlPr xmlns="http://schemas.microsoft.com/office/spreadsheetml/2009/9/main" objectType="CheckBox" fmlaLink="Berekeningen!$K$26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Spin" dx="15" fmlaLink="Berekeningen!$F$28" max="30000" page="10" val="0"/>
</file>

<file path=xl/ctrlProps/ctrlProp673.xml><?xml version="1.0" encoding="utf-8"?>
<formControlPr xmlns="http://schemas.microsoft.com/office/spreadsheetml/2009/9/main" objectType="Drop" dropStyle="combo" dx="16" fmlaLink="Berekeningen!$E$27" fmlaRange="Opl" val="0"/>
</file>

<file path=xl/ctrlProps/ctrlProp674.xml><?xml version="1.0" encoding="utf-8"?>
<formControlPr xmlns="http://schemas.microsoft.com/office/spreadsheetml/2009/9/main" objectType="Drop" dropStyle="combo" dx="16" fmlaLink="Berekeningen!$E$28" fmlaRange="Opl" val="0"/>
</file>

<file path=xl/ctrlProps/ctrlProp675.xml><?xml version="1.0" encoding="utf-8"?>
<formControlPr xmlns="http://schemas.microsoft.com/office/spreadsheetml/2009/9/main" objectType="CheckBox" fmlaLink="Berekeningen!$K$27" lockText="1"/>
</file>

<file path=xl/ctrlProps/ctrlProp676.xml><?xml version="1.0" encoding="utf-8"?>
<formControlPr xmlns="http://schemas.microsoft.com/office/spreadsheetml/2009/9/main" objectType="CheckBox" fmlaLink="Berekeningen!$K$28" lockText="1"/>
</file>

<file path=xl/ctrlProps/ctrlProp677.xml><?xml version="1.0" encoding="utf-8"?>
<formControlPr xmlns="http://schemas.microsoft.com/office/spreadsheetml/2009/9/main" objectType="Spin" dx="15" fmlaLink="Berekeningen!$D$35" max="30000" page="10" val="5000"/>
</file>

<file path=xl/ctrlProps/ctrlProp678.xml><?xml version="1.0" encoding="utf-8"?>
<formControlPr xmlns="http://schemas.microsoft.com/office/spreadsheetml/2009/9/main" objectType="Drop" dropStyle="combo" dx="16" fmlaLink="Berekeningen!$D$45" fmlaRange="Lijsten!$A$4:$A$13" sel="2" val="0"/>
</file>

<file path=xl/ctrlProps/ctrlProp679.xml><?xml version="1.0" encoding="utf-8"?>
<formControlPr xmlns="http://schemas.microsoft.com/office/spreadsheetml/2009/9/main" objectType="Spin" dx="15" fmlaLink="Berekeningen!$D$4" max="43" min="24" page="10" val="24"/>
</file>

<file path=xl/ctrlProps/ctrlProp680.xml><?xml version="1.0" encoding="utf-8"?>
<formControlPr xmlns="http://schemas.microsoft.com/office/spreadsheetml/2009/9/main" objectType="Spin" dx="15" fmlaLink="Berekeningen!$D$5" max="6" page="10" val="0"/>
</file>

<file path=xl/ctrlProps/ctrlProp681.xml><?xml version="1.0" encoding="utf-8"?>
<formControlPr xmlns="http://schemas.microsoft.com/office/spreadsheetml/2009/9/main" objectType="Drop" dropStyle="combo" dx="16" fmlaLink="Berekeningen!$B$54" fmlaRange="_VoedingToevoegingenMoedermelk" val="0"/>
</file>

<file path=xl/ctrlProps/ctrlProp682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683.xml><?xml version="1.0" encoding="utf-8"?>
<formControlPr xmlns="http://schemas.microsoft.com/office/spreadsheetml/2009/9/main" objectType="Drop" dropStyle="combo" dx="16" fmlaLink="Berekeningen!$D$14" fmlaRange="Pos" val="0"/>
</file>

<file path=xl/ctrlProps/ctrlProp684.xml><?xml version="1.0" encoding="utf-8"?>
<formControlPr xmlns="http://schemas.microsoft.com/office/spreadsheetml/2009/9/main" objectType="Spin" dx="15" fmlaLink="Berekeningen!$D$12" max="24" page="10" val="0"/>
</file>

<file path=xl/ctrlProps/ctrlProp685.xml><?xml version="1.0" encoding="utf-8"?>
<formControlPr xmlns="http://schemas.microsoft.com/office/spreadsheetml/2009/9/main" objectType="Spin" dx="15" fmlaLink="Berekeningen!$D$13" inc="5" max="30000" page="10" val="0"/>
</file>

<file path=xl/ctrlProps/ctrlProp686.xml><?xml version="1.0" encoding="utf-8"?>
<formControlPr xmlns="http://schemas.microsoft.com/office/spreadsheetml/2009/9/main" objectType="Drop" dropStyle="combo" dx="16" fmlaLink="Berekeningen!$B$55" fmlaRange="_VoedingToevoegingenMoedermelk" val="0"/>
</file>

<file path=xl/ctrlProps/ctrlProp687.xml><?xml version="1.0" encoding="utf-8"?>
<formControlPr xmlns="http://schemas.microsoft.com/office/spreadsheetml/2009/9/main" objectType="Drop" dropStyle="combo" dx="16" fmlaLink="Berekeningen!$B$56" fmlaRange="_VoedingToevoegingenMoedermelk" val="0"/>
</file>

<file path=xl/ctrlProps/ctrlProp688.xml><?xml version="1.0" encoding="utf-8"?>
<formControlPr xmlns="http://schemas.microsoft.com/office/spreadsheetml/2009/9/main" objectType="Drop" dropStyle="combo" dx="16" fmlaLink="Berekeningen!$B$28" fmlaRange="Medicamenten" val="0"/>
</file>

<file path=xl/ctrlProps/ctrlProp689.xml><?xml version="1.0" encoding="utf-8"?>
<formControlPr xmlns="http://schemas.microsoft.com/office/spreadsheetml/2009/9/main" objectType="Spin" dx="15" fmlaLink="Berekeningen!$D$28" max="30000" page="10" val="0"/>
</file>

<file path=xl/ctrlProps/ctrlProp690.xml><?xml version="1.0" encoding="utf-8"?>
<formControlPr xmlns="http://schemas.microsoft.com/office/spreadsheetml/2009/9/main" objectType="Spin" dx="15" fmlaLink="Berekeningen!$C$28" inc="10" max="30000" page="10" val="0"/>
</file>

<file path=xl/ctrlProps/ctrlProp691.xml><?xml version="1.0" encoding="utf-8"?>
<formControlPr xmlns="http://schemas.microsoft.com/office/spreadsheetml/2009/9/main" objectType="Drop" dropStyle="combo" dx="16" fmlaLink="Berekeningen!$E$28" fmlaRange="Opl" val="0"/>
</file>

<file path=xl/ctrlProps/ctrlProp692.xml><?xml version="1.0" encoding="utf-8"?>
<formControlPr xmlns="http://schemas.microsoft.com/office/spreadsheetml/2009/9/main" objectType="Drop" dropStyle="combo" dx="16" fmlaLink="Berekeningen!$E$29" fmlaRange="Opl" sel="0" val="8"/>
</file>

<file path=xl/ctrlProps/ctrlProp693.xml><?xml version="1.0" encoding="utf-8"?>
<formControlPr xmlns="http://schemas.microsoft.com/office/spreadsheetml/2009/9/main" objectType="Spin" dx="15" fmlaLink="Berekeningen!$F$29" max="30000" page="10" val="0"/>
</file>

<file path=xl/ctrlProps/ctrlProp694.xml><?xml version="1.0" encoding="utf-8"?>
<formControlPr xmlns="http://schemas.microsoft.com/office/spreadsheetml/2009/9/main" objectType="CheckBox" fmlaLink="Berekeningen!$K$29" lockText="1"/>
</file>

<file path=xl/ctrlProps/ctrlProp695.xml><?xml version="1.0" encoding="utf-8"?>
<formControlPr xmlns="http://schemas.microsoft.com/office/spreadsheetml/2009/9/main" objectType="Drop" dropStyle="combo" dx="16" fmlaLink="Berekeningen!$E$30" fmlaRange="Opl" sel="0" val="0"/>
</file>

<file path=xl/ctrlProps/ctrlProp696.xml><?xml version="1.0" encoding="utf-8"?>
<formControlPr xmlns="http://schemas.microsoft.com/office/spreadsheetml/2009/9/main" objectType="Spin" dx="15" fmlaLink="Berekeningen!$F$30" max="30000" page="10" val="0"/>
</file>

<file path=xl/ctrlProps/ctrlProp697.xml><?xml version="1.0" encoding="utf-8"?>
<formControlPr xmlns="http://schemas.microsoft.com/office/spreadsheetml/2009/9/main" objectType="CheckBox" fmlaLink="Berekeningen!$K$30" lockText="1"/>
</file>

<file path=xl/ctrlProps/ctrlProp698.xml><?xml version="1.0" encoding="utf-8"?>
<formControlPr xmlns="http://schemas.microsoft.com/office/spreadsheetml/2009/9/main" objectType="CheckBox" fmlaLink="Berekeningen!$K$30" lockText="1"/>
</file>

<file path=xl/ctrlProps/ctrlProp699.xml><?xml version="1.0" encoding="utf-8"?>
<formControlPr xmlns="http://schemas.microsoft.com/office/spreadsheetml/2009/9/main" objectType="Drop" dropStyle="combo" dx="16" fmlaLink="Berekeningen!$E$31" fmlaRange="Opl" sel="0" val="0"/>
</file>

<file path=xl/ctrlProps/ctrlProp700.xml><?xml version="1.0" encoding="utf-8"?>
<formControlPr xmlns="http://schemas.microsoft.com/office/spreadsheetml/2009/9/main" objectType="Spin" dx="15" fmlaLink="Berekeningen!$F$31" max="30000" page="10" val="0"/>
</file>

<file path=xl/ctrlProps/ctrlProp701.xml><?xml version="1.0" encoding="utf-8"?>
<formControlPr xmlns="http://schemas.microsoft.com/office/spreadsheetml/2009/9/main" objectType="CheckBox" fmlaLink="Berekeningen!$K$31" lockText="1"/>
</file>

<file path=xl/ctrlProps/ctrlProp702.xml><?xml version="1.0" encoding="utf-8"?>
<formControlPr xmlns="http://schemas.microsoft.com/office/spreadsheetml/2009/9/main" objectType="Drop" dropStyle="combo" dx="16" fmlaLink="Berekeningen!$B$59" fmlaRange="_VoedingToevoegingenKunstvoeding" val="0"/>
</file>

<file path=xl/ctrlProps/ctrlProp703.xml><?xml version="1.0" encoding="utf-8"?>
<formControlPr xmlns="http://schemas.microsoft.com/office/spreadsheetml/2009/9/main" objectType="Drop" dropStyle="combo" dx="16" fmlaLink="Berekeningen!$B$55" fmlaRange="Lijsten!#REF!" sel="0" val="0"/>
</file>

<file path=xl/ctrlProps/ctrlProp704.xml><?xml version="1.0" encoding="utf-8"?>
<formControlPr xmlns="http://schemas.microsoft.com/office/spreadsheetml/2009/9/main" objectType="Drop" dropStyle="combo" dx="16" fmlaLink="Berekeningen!$B$60" fmlaRange="_VoedingToevoegingenKunstvoeding" val="0"/>
</file>

<file path=xl/ctrlProps/ctrlProp705.xml><?xml version="1.0" encoding="utf-8"?>
<formControlPr xmlns="http://schemas.microsoft.com/office/spreadsheetml/2009/9/main" objectType="Drop" dropStyle="combo" dx="16" fmlaLink="Berekeningen!$B$61" fmlaRange="_VoedingToevoegingenKunstvoeding" val="0"/>
</file>

<file path=xl/ctrlProps/ctrlProp706.xml><?xml version="1.0" encoding="utf-8"?>
<formControlPr xmlns="http://schemas.microsoft.com/office/spreadsheetml/2009/9/main" objectType="Drop" dropStyle="combo" dx="16" fmlaLink="Berekeningen!$L$58" fmlaRange="_VoedingToevoegingenWaarden" sel="0" val="0"/>
</file>

<file path=xl/ctrlProps/ctrlProp707.xml><?xml version="1.0" encoding="utf-8"?>
<formControlPr xmlns="http://schemas.microsoft.com/office/spreadsheetml/2009/9/main" objectType="Drop" dropStyle="combo" dx="16" fmlaLink="Berekeningen!$K$59" fmlaRange="_VoedingToevoegingenWaarden" val="0"/>
</file>

<file path=xl/ctrlProps/ctrlProp708.xml><?xml version="1.0" encoding="utf-8"?>
<formControlPr xmlns="http://schemas.microsoft.com/office/spreadsheetml/2009/9/main" objectType="Drop" dropStyle="combo" dx="16" fmlaLink="Berekeningen!$K$60" fmlaRange="_VoedingToevoegingenWaarden" val="0"/>
</file>

<file path=xl/ctrlProps/ctrlProp709.xml><?xml version="1.0" encoding="utf-8"?>
<formControlPr xmlns="http://schemas.microsoft.com/office/spreadsheetml/2009/9/main" objectType="Drop" dropStyle="combo" dx="16" fmlaLink="Berekeningen!$K$61" fmlaRange="_VoedingToevoegingenWaarden" val="0"/>
</file>

<file path=xl/ctrlProps/ctrlProp710.xml><?xml version="1.0" encoding="utf-8"?>
<formControlPr xmlns="http://schemas.microsoft.com/office/spreadsheetml/2009/9/main" objectType="Drop" dropStyle="combo" dx="16" fmlaLink="Berekeningen!$B$53" fmlaRange="_VoedingToevoegingenMoedermelk" val="0"/>
</file>

<file path=xl/ctrlProps/ctrlProp711.xml><?xml version="1.0" encoding="utf-8"?>
<formControlPr xmlns="http://schemas.microsoft.com/office/spreadsheetml/2009/9/main" objectType="Drop" dropStyle="combo" dx="16" fmlaLink="Berekeningen!$B$58" fmlaRange="_VoedingToevoegingenKunstvoeding" val="0"/>
</file>

<file path=xl/ctrlProps/ctrlProp712.xml><?xml version="1.0" encoding="utf-8"?>
<formControlPr xmlns="http://schemas.microsoft.com/office/spreadsheetml/2009/9/main" objectType="Drop" dropStyle="combo" dx="16" fmlaLink="Berekeningen!$K$58" fmlaRange="_VoedingToevoegingenWaarden" val="0"/>
</file>

<file path=xl/ctrlProps/ctrlProp713.xml><?xml version="1.0" encoding="utf-8"?>
<formControlPr xmlns="http://schemas.microsoft.com/office/spreadsheetml/2009/9/main" objectType="Drop" dropStyle="combo" dx="16" fmlaLink="Berekeningen!$K$52" fmlaRange="_VoedingBMFWaarden" val="0"/>
</file>

<file path=xl/ctrlProps/ctrlProp714.xml><?xml version="1.0" encoding="utf-8"?>
<formControlPr xmlns="http://schemas.microsoft.com/office/spreadsheetml/2009/9/main" objectType="Drop" dropStyle="combo" dx="16" fmlaLink="Berekeningen!$K$54" fmlaRange="_VoedingToevoegingenWaarden" val="0"/>
</file>

<file path=xl/ctrlProps/ctrlProp715.xml><?xml version="1.0" encoding="utf-8"?>
<formControlPr xmlns="http://schemas.microsoft.com/office/spreadsheetml/2009/9/main" objectType="Drop" dropStyle="combo" dx="16" fmlaLink="Berekeningen!$K$55" fmlaRange="_VoedingToevoegingenWaarden" val="0"/>
</file>

<file path=xl/ctrlProps/ctrlProp716.xml><?xml version="1.0" encoding="utf-8"?>
<formControlPr xmlns="http://schemas.microsoft.com/office/spreadsheetml/2009/9/main" objectType="Drop" dropStyle="combo" dx="16" fmlaLink="Berekeningen!$K$56" fmlaRange="_VoedingToevoegingenWaarden" val="0"/>
</file>

<file path=xl/ctrlProps/ctrlProp717.xml><?xml version="1.0" encoding="utf-8"?>
<formControlPr xmlns="http://schemas.microsoft.com/office/spreadsheetml/2009/9/main" objectType="Drop" dropStyle="combo" dx="16" fmlaLink="Berekeningen!$K$53" fmlaRange="_VoedingToevoegingenWaarden" val="0"/>
</file>

<file path=xl/ctrlProps/ctrlProp718.xml><?xml version="1.0" encoding="utf-8"?>
<formControlPr xmlns="http://schemas.microsoft.com/office/spreadsheetml/2009/9/main" objectType="CheckBox" fmlaLink="Berekeningen!$B$17" lockText="1" noThreeD="1"/>
</file>

<file path=xl/ctrlProps/ctrlProp719.xml><?xml version="1.0" encoding="utf-8"?>
<formControlPr xmlns="http://schemas.microsoft.com/office/spreadsheetml/2009/9/main" objectType="Spin" dx="15" fmlaLink="Berekeningen!$F$21" max="30000" page="10" val="0"/>
</file>

<file path=xl/ctrlProps/ctrlProp720.xml><?xml version="1.0" encoding="utf-8"?>
<formControlPr xmlns="http://schemas.microsoft.com/office/spreadsheetml/2009/9/main" objectType="Spin" dx="15" fmlaLink="Berekeningen!$F$22" max="30000" page="10" val="0"/>
</file>

<file path=xl/ctrlProps/ctrlProp721.xml><?xml version="1.0" encoding="utf-8"?>
<formControlPr xmlns="http://schemas.microsoft.com/office/spreadsheetml/2009/9/main" objectType="Spin" dx="15" fmlaLink="Berekeningen!$F$23" max="30000" page="10" val="0"/>
</file>

<file path=xl/ctrlProps/ctrlProp722.xml><?xml version="1.0" encoding="utf-8"?>
<formControlPr xmlns="http://schemas.microsoft.com/office/spreadsheetml/2009/9/main" objectType="Spin" dx="15" fmlaLink="Berekeningen!$F$24" max="30000" page="10" val="0"/>
</file>

<file path=xl/ctrlProps/ctrlProp723.xml><?xml version="1.0" encoding="utf-8"?>
<formControlPr xmlns="http://schemas.microsoft.com/office/spreadsheetml/2009/9/main" objectType="Spin" dx="15" fmlaLink="Berekeningen!$F$25" max="30000" page="10" val="0"/>
</file>

<file path=xl/ctrlProps/ctrlProp724.xml><?xml version="1.0" encoding="utf-8"?>
<formControlPr xmlns="http://schemas.microsoft.com/office/spreadsheetml/2009/9/main" objectType="Spin" dx="15" fmlaLink="Berekeningen!$F$26" max="30000" page="10" val="0"/>
</file>

<file path=xl/ctrlProps/ctrlProp725.xml><?xml version="1.0" encoding="utf-8"?>
<formControlPr xmlns="http://schemas.microsoft.com/office/spreadsheetml/2009/9/main" objectType="Spin" dx="15" fmlaLink="Berekeningen!$F$27" max="30000" page="10" val="0"/>
</file>

<file path=xl/ctrlProps/ctrlProp726.xml><?xml version="1.0" encoding="utf-8"?>
<formControlPr xmlns="http://schemas.microsoft.com/office/spreadsheetml/2009/9/main" objectType="Spin" dx="15" fmlaLink="Berekeningen!$F$28" max="30000" page="10" val="0"/>
</file>

<file path=xl/ctrlProps/ctrlProp727.xml><?xml version="1.0" encoding="utf-8"?>
<formControlPr xmlns="http://schemas.microsoft.com/office/spreadsheetml/2009/9/main" objectType="Drop" dropStyle="combo" dx="16" fmlaLink="Berekeningen!$F$35" fmlaRange="lijstIntralipidSmof" val="0"/>
</file>

<file path=xl/ctrlProps/ctrlProp728.xml><?xml version="1.0" encoding="utf-8"?>
<formControlPr xmlns="http://schemas.microsoft.com/office/spreadsheetml/2009/9/main" objectType="Drop" dropStyle="combo" dx="16" fmlaLink="Berekeningen1700!$B$20" fmlaRange="Medicamenten" val="0"/>
</file>

<file path=xl/ctrlProps/ctrlProp729.xml><?xml version="1.0" encoding="utf-8"?>
<formControlPr xmlns="http://schemas.microsoft.com/office/spreadsheetml/2009/9/main" objectType="Drop" dropStyle="combo" dx="16" fmlaLink="Berekeningen1700!$B$21" fmlaRange="Medicamenten" val="0"/>
</file>

<file path=xl/ctrlProps/ctrlProp730.xml><?xml version="1.0" encoding="utf-8"?>
<formControlPr xmlns="http://schemas.microsoft.com/office/spreadsheetml/2009/9/main" objectType="Drop" dropStyle="combo" dx="16" fmlaLink="Berekeningen1700!$B$22" fmlaRange="Medicamenten" val="0"/>
</file>

<file path=xl/ctrlProps/ctrlProp731.xml><?xml version="1.0" encoding="utf-8"?>
<formControlPr xmlns="http://schemas.microsoft.com/office/spreadsheetml/2009/9/main" objectType="Drop" dropStyle="combo" dx="16" fmlaLink="Berekeningen1700!$B$23" fmlaRange="Medicamenten" val="0"/>
</file>

<file path=xl/ctrlProps/ctrlProp732.xml><?xml version="1.0" encoding="utf-8"?>
<formControlPr xmlns="http://schemas.microsoft.com/office/spreadsheetml/2009/9/main" objectType="Drop" dropStyle="combo" dx="16" fmlaLink="Berekeningen1700!$B$24" fmlaRange="Medicamenten" val="0"/>
</file>

<file path=xl/ctrlProps/ctrlProp733.xml><?xml version="1.0" encoding="utf-8"?>
<formControlPr xmlns="http://schemas.microsoft.com/office/spreadsheetml/2009/9/main" objectType="Drop" dropStyle="combo" dx="16" fmlaLink="Berekeningen1700!$B$25" fmlaRange="Medicamenten" val="0"/>
</file>

<file path=xl/ctrlProps/ctrlProp734.xml><?xml version="1.0" encoding="utf-8"?>
<formControlPr xmlns="http://schemas.microsoft.com/office/spreadsheetml/2009/9/main" objectType="Drop" dropStyle="combo" dx="16" fmlaLink="Berekeningen1700!$B$26" fmlaRange="Medicamenten" val="0"/>
</file>

<file path=xl/ctrlProps/ctrlProp735.xml><?xml version="1.0" encoding="utf-8"?>
<formControlPr xmlns="http://schemas.microsoft.com/office/spreadsheetml/2009/9/main" objectType="Spin" dx="15" fmlaLink="Berekeningen1700!$B$18" inc="5" max="10" page="10" val="0"/>
</file>

<file path=xl/ctrlProps/ctrlProp736.xml><?xml version="1.0" encoding="utf-8"?>
<formControlPr xmlns="http://schemas.microsoft.com/office/spreadsheetml/2009/9/main" objectType="Spin" dx="15" fmlaLink="Berekeningen1700!$F$20" max="30000" page="10" val="0"/>
</file>

<file path=xl/ctrlProps/ctrlProp737.xml><?xml version="1.0" encoding="utf-8"?>
<formControlPr xmlns="http://schemas.microsoft.com/office/spreadsheetml/2009/9/main" objectType="Spin" dx="15" fmlaLink="Berekeningen1700!$F$21" max="30000" page="10" val="0"/>
</file>

<file path=xl/ctrlProps/ctrlProp738.xml><?xml version="1.0" encoding="utf-8"?>
<formControlPr xmlns="http://schemas.microsoft.com/office/spreadsheetml/2009/9/main" objectType="Spin" dx="15" fmlaLink="Berekeningen1700!$F$22" max="30000" page="10" val="0"/>
</file>

<file path=xl/ctrlProps/ctrlProp739.xml><?xml version="1.0" encoding="utf-8"?>
<formControlPr xmlns="http://schemas.microsoft.com/office/spreadsheetml/2009/9/main" objectType="Spin" dx="15" fmlaLink="Berekeningen1700!$F$23" max="30000" page="10" val="0"/>
</file>

<file path=xl/ctrlProps/ctrlProp740.xml><?xml version="1.0" encoding="utf-8"?>
<formControlPr xmlns="http://schemas.microsoft.com/office/spreadsheetml/2009/9/main" objectType="Spin" dx="15" fmlaLink="Berekeningen1700!$F$24" max="30000" page="10" val="0"/>
</file>

<file path=xl/ctrlProps/ctrlProp741.xml><?xml version="1.0" encoding="utf-8"?>
<formControlPr xmlns="http://schemas.microsoft.com/office/spreadsheetml/2009/9/main" objectType="Spin" dx="15" fmlaLink="Berekeningen1700!$F$25" max="30000" page="10" val="0"/>
</file>

<file path=xl/ctrlProps/ctrlProp742.xml><?xml version="1.0" encoding="utf-8"?>
<formControlPr xmlns="http://schemas.microsoft.com/office/spreadsheetml/2009/9/main" objectType="Spin" dx="15" fmlaLink="Berekeningen1700!$F$26" max="30000" page="10" val="0"/>
</file>

<file path=xl/ctrlProps/ctrlProp743.xml><?xml version="1.0" encoding="utf-8"?>
<formControlPr xmlns="http://schemas.microsoft.com/office/spreadsheetml/2009/9/main" objectType="Radio" checked="Checked" firstButton="1" fmlaLink="Berekeningen1700!$K$14" lockText="1"/>
</file>

<file path=xl/ctrlProps/ctrlProp744.xml><?xml version="1.0" encoding="utf-8"?>
<formControlPr xmlns="http://schemas.microsoft.com/office/spreadsheetml/2009/9/main" objectType="Radio" lockText="1"/>
</file>

<file path=xl/ctrlProps/ctrlProp745.xml><?xml version="1.0" encoding="utf-8"?>
<formControlPr xmlns="http://schemas.microsoft.com/office/spreadsheetml/2009/9/main" objectType="Spin" dx="15" fmlaLink="Berekeningen1700!$D$10" max="24" page="10" val="0"/>
</file>

<file path=xl/ctrlProps/ctrlProp746.xml><?xml version="1.0" encoding="utf-8"?>
<formControlPr xmlns="http://schemas.microsoft.com/office/spreadsheetml/2009/9/main" objectType="Spin" dx="15" fmlaLink="Berekeningen1700!$D$11" inc="5" max="30000" page="10" val="0"/>
</file>

<file path=xl/ctrlProps/ctrlProp747.xml><?xml version="1.0" encoding="utf-8"?>
<formControlPr xmlns="http://schemas.microsoft.com/office/spreadsheetml/2009/9/main" objectType="Spin" dx="15" fmlaLink="Berekeningen1700!$D$16" inc="5" max="30000" page="10" val="5000"/>
</file>

<file path=xl/ctrlProps/ctrlProp748.xml><?xml version="1.0" encoding="utf-8"?>
<formControlPr xmlns="http://schemas.microsoft.com/office/spreadsheetml/2009/9/main" objectType="Radio" checked="Checked" firstButton="1" fmlaLink="Berekeningen1700!$D$36" lockText="1"/>
</file>

<file path=xl/ctrlProps/ctrlProp749.xml><?xml version="1.0" encoding="utf-8"?>
<formControlPr xmlns="http://schemas.microsoft.com/office/spreadsheetml/2009/9/main" objectType="Radio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Spin" dx="15" fmlaLink="Berekeningen1700!$D$37" inc="10" max="30000" page="10" val="5000"/>
</file>

<file path=xl/ctrlProps/ctrlProp752.xml><?xml version="1.0" encoding="utf-8"?>
<formControlPr xmlns="http://schemas.microsoft.com/office/spreadsheetml/2009/9/main" objectType="Spin" dx="15" fmlaLink="Berekeningen1700!$D$38" inc="10" max="30000" page="10" val="5000"/>
</file>

<file path=xl/ctrlProps/ctrlProp753.xml><?xml version="1.0" encoding="utf-8"?>
<formControlPr xmlns="http://schemas.microsoft.com/office/spreadsheetml/2009/9/main" objectType="Spin" dx="15" fmlaLink="Berekeningen1700!$D$39" inc="10" max="30000" page="10" val="5000"/>
</file>

<file path=xl/ctrlProps/ctrlProp754.xml><?xml version="1.0" encoding="utf-8"?>
<formControlPr xmlns="http://schemas.microsoft.com/office/spreadsheetml/2009/9/main" objectType="Spin" dx="15" fmlaLink="Berekeningen1700!$D$40" max="30000" page="10" val="5000"/>
</file>

<file path=xl/ctrlProps/ctrlProp755.xml><?xml version="1.0" encoding="utf-8"?>
<formControlPr xmlns="http://schemas.microsoft.com/office/spreadsheetml/2009/9/main" objectType="Spin" dx="15" fmlaLink="Berekeningen1700!$D$41" max="30000" page="10" val="5000"/>
</file>

<file path=xl/ctrlProps/ctrlProp756.xml><?xml version="1.0" encoding="utf-8"?>
<formControlPr xmlns="http://schemas.microsoft.com/office/spreadsheetml/2009/9/main" objectType="Spin" dx="15" fmlaLink="Berekeningen1700!$D$42" max="30000" page="10" val="5000"/>
</file>

<file path=xl/ctrlProps/ctrlProp757.xml><?xml version="1.0" encoding="utf-8"?>
<formControlPr xmlns="http://schemas.microsoft.com/office/spreadsheetml/2009/9/main" objectType="Spin" dx="15" fmlaLink="Berekeningen1700!$D$43" max="30000" page="10" val="5000"/>
</file>

<file path=xl/ctrlProps/ctrlProp758.xml><?xml version="1.0" encoding="utf-8"?>
<formControlPr xmlns="http://schemas.microsoft.com/office/spreadsheetml/2009/9/main" objectType="Spin" dx="15" fmlaLink="Berekeningen1700!$D$37" max="30000" page="10" val="5000"/>
</file>

<file path=xl/ctrlProps/ctrlProp759.xml><?xml version="1.0" encoding="utf-8"?>
<formControlPr xmlns="http://schemas.microsoft.com/office/spreadsheetml/2009/9/main" objectType="Spin" dx="15" fmlaLink="Berekeningen1700!$D$38" max="30000" page="10" val="5000"/>
</file>

<file path=xl/ctrlProps/ctrlProp760.xml><?xml version="1.0" encoding="utf-8"?>
<formControlPr xmlns="http://schemas.microsoft.com/office/spreadsheetml/2009/9/main" objectType="Spin" dx="15" fmlaLink="Berekeningen1700!$D$44" max="30000" page="10" val="5000"/>
</file>

<file path=xl/ctrlProps/ctrlProp761.xml><?xml version="1.0" encoding="utf-8"?>
<formControlPr xmlns="http://schemas.microsoft.com/office/spreadsheetml/2009/9/main" objectType="Radio" firstButton="1" fmlaLink="Berekeningen1700!$B$15" lockText="1"/>
</file>

<file path=xl/ctrlProps/ctrlProp762.xml><?xml version="1.0" encoding="utf-8"?>
<formControlPr xmlns="http://schemas.microsoft.com/office/spreadsheetml/2009/9/main" objectType="Radio" checked="Checked" lockText="1"/>
</file>

<file path=xl/ctrlProps/ctrlProp763.xml><?xml version="1.0" encoding="utf-8"?>
<formControlPr xmlns="http://schemas.microsoft.com/office/spreadsheetml/2009/9/main" objectType="Drop" dropStyle="combo" dx="16" fmlaLink="Berekeningen1700!$E$20" fmlaRange="Opl" val="2"/>
</file>

<file path=xl/ctrlProps/ctrlProp764.xml><?xml version="1.0" encoding="utf-8"?>
<formControlPr xmlns="http://schemas.microsoft.com/office/spreadsheetml/2009/9/main" objectType="Drop" dropStyle="combo" dx="16" fmlaLink="Berekeningen1700!$E$21" fmlaRange="Opl" val="0"/>
</file>

<file path=xl/ctrlProps/ctrlProp765.xml><?xml version="1.0" encoding="utf-8"?>
<formControlPr xmlns="http://schemas.microsoft.com/office/spreadsheetml/2009/9/main" objectType="Drop" dropStyle="combo" dx="16" fmlaLink="Berekeningen1700!$E$22" fmlaRange="Opl" val="0"/>
</file>

<file path=xl/ctrlProps/ctrlProp766.xml><?xml version="1.0" encoding="utf-8"?>
<formControlPr xmlns="http://schemas.microsoft.com/office/spreadsheetml/2009/9/main" objectType="Drop" dropStyle="combo" dx="16" fmlaLink="Berekeningen1700!$E$23" fmlaRange="Opl" val="0"/>
</file>

<file path=xl/ctrlProps/ctrlProp767.xml><?xml version="1.0" encoding="utf-8"?>
<formControlPr xmlns="http://schemas.microsoft.com/office/spreadsheetml/2009/9/main" objectType="Drop" dropStyle="combo" dx="16" fmlaLink="Berekeningen1700!$E$24" fmlaRange="Opl" val="0"/>
</file>

<file path=xl/ctrlProps/ctrlProp768.xml><?xml version="1.0" encoding="utf-8"?>
<formControlPr xmlns="http://schemas.microsoft.com/office/spreadsheetml/2009/9/main" objectType="Drop" dropStyle="combo" dx="16" fmlaLink="Berekeningen1700!$E$25" fmlaRange="Opl" val="0"/>
</file>

<file path=xl/ctrlProps/ctrlProp769.xml><?xml version="1.0" encoding="utf-8"?>
<formControlPr xmlns="http://schemas.microsoft.com/office/spreadsheetml/2009/9/main" objectType="Spin" dx="15" fmlaLink="Berekeningen1700!$D$20" max="30000" page="10" val="0"/>
</file>

<file path=xl/ctrlProps/ctrlProp770.xml><?xml version="1.0" encoding="utf-8"?>
<formControlPr xmlns="http://schemas.microsoft.com/office/spreadsheetml/2009/9/main" objectType="Spin" dx="15" fmlaLink="Berekeningen1700!$D$21" max="30000" page="10" val="0"/>
</file>

<file path=xl/ctrlProps/ctrlProp771.xml><?xml version="1.0" encoding="utf-8"?>
<formControlPr xmlns="http://schemas.microsoft.com/office/spreadsheetml/2009/9/main" objectType="Spin" dx="15" fmlaLink="Berekeningen1700!$D$22" max="30000" page="10" val="0"/>
</file>

<file path=xl/ctrlProps/ctrlProp772.xml><?xml version="1.0" encoding="utf-8"?>
<formControlPr xmlns="http://schemas.microsoft.com/office/spreadsheetml/2009/9/main" objectType="Spin" dx="15" fmlaLink="Berekeningen1700!$D$23" max="30000" page="10" val="0"/>
</file>

<file path=xl/ctrlProps/ctrlProp773.xml><?xml version="1.0" encoding="utf-8"?>
<formControlPr xmlns="http://schemas.microsoft.com/office/spreadsheetml/2009/9/main" objectType="Spin" dx="15" fmlaLink="Berekeningen1700!$D$24" max="30000" page="10" val="0"/>
</file>

<file path=xl/ctrlProps/ctrlProp774.xml><?xml version="1.0" encoding="utf-8"?>
<formControlPr xmlns="http://schemas.microsoft.com/office/spreadsheetml/2009/9/main" objectType="Spin" dx="15" fmlaLink="Berekeningen1700!$D$25" max="30000" page="10" val="0"/>
</file>

<file path=xl/ctrlProps/ctrlProp775.xml><?xml version="1.0" encoding="utf-8"?>
<formControlPr xmlns="http://schemas.microsoft.com/office/spreadsheetml/2009/9/main" objectType="Spin" dx="15" fmlaLink="Berekeningen1700!$D$26" max="30000" page="10" val="0"/>
</file>

<file path=xl/ctrlProps/ctrlProp776.xml><?xml version="1.0" encoding="utf-8"?>
<formControlPr xmlns="http://schemas.microsoft.com/office/spreadsheetml/2009/9/main" objectType="Spin" dx="15" fmlaLink="Berekeningen1700!$C$20" inc="10" max="30000" page="10" val="0"/>
</file>

<file path=xl/ctrlProps/ctrlProp777.xml><?xml version="1.0" encoding="utf-8"?>
<formControlPr xmlns="http://schemas.microsoft.com/office/spreadsheetml/2009/9/main" objectType="Spin" dx="15" fmlaLink="Berekeningen1700!$C$21" inc="10" max="30000" page="10" val="0"/>
</file>

<file path=xl/ctrlProps/ctrlProp778.xml><?xml version="1.0" encoding="utf-8"?>
<formControlPr xmlns="http://schemas.microsoft.com/office/spreadsheetml/2009/9/main" objectType="Spin" dx="15" fmlaLink="Berekeningen1700!$C$22" inc="10" max="30000" page="10" val="0"/>
</file>

<file path=xl/ctrlProps/ctrlProp779.xml><?xml version="1.0" encoding="utf-8"?>
<formControlPr xmlns="http://schemas.microsoft.com/office/spreadsheetml/2009/9/main" objectType="Spin" dx="15" fmlaLink="Berekeningen1700!$C$23" inc="10" max="30000" page="10" val="0"/>
</file>

<file path=xl/ctrlProps/ctrlProp780.xml><?xml version="1.0" encoding="utf-8"?>
<formControlPr xmlns="http://schemas.microsoft.com/office/spreadsheetml/2009/9/main" objectType="Spin" dx="15" fmlaLink="Berekeningen1700!$C$24" inc="10" max="30000" page="10" val="0"/>
</file>

<file path=xl/ctrlProps/ctrlProp781.xml><?xml version="1.0" encoding="utf-8"?>
<formControlPr xmlns="http://schemas.microsoft.com/office/spreadsheetml/2009/9/main" objectType="Spin" dx="15" fmlaLink="Berekeningen1700!$C$25" inc="10" max="30000" page="10" val="0"/>
</file>

<file path=xl/ctrlProps/ctrlProp782.xml><?xml version="1.0" encoding="utf-8"?>
<formControlPr xmlns="http://schemas.microsoft.com/office/spreadsheetml/2009/9/main" objectType="Spin" dx="15" fmlaLink="Berekeningen1700!$C$26" inc="10" max="30000" page="10" val="0"/>
</file>

<file path=xl/ctrlProps/ctrlProp783.xml><?xml version="1.0" encoding="utf-8"?>
<formControlPr xmlns="http://schemas.microsoft.com/office/spreadsheetml/2009/9/main" objectType="GBox"/>
</file>

<file path=xl/ctrlProps/ctrlProp784.xml><?xml version="1.0" encoding="utf-8"?>
<formControlPr xmlns="http://schemas.microsoft.com/office/spreadsheetml/2009/9/main" objectType="GBox" noThreeD="1"/>
</file>

<file path=xl/ctrlProps/ctrlProp785.xml><?xml version="1.0" encoding="utf-8"?>
<formControlPr xmlns="http://schemas.microsoft.com/office/spreadsheetml/2009/9/main" objectType="CheckBox" fmlaLink="Berekeningen1700!$K$18" lockText="1"/>
</file>

<file path=xl/ctrlProps/ctrlProp786.xml><?xml version="1.0" encoding="utf-8"?>
<formControlPr xmlns="http://schemas.microsoft.com/office/spreadsheetml/2009/9/main" objectType="CheckBox" fmlaLink="Berekeningen1700!$K$20" lockText="1"/>
</file>

<file path=xl/ctrlProps/ctrlProp787.xml><?xml version="1.0" encoding="utf-8"?>
<formControlPr xmlns="http://schemas.microsoft.com/office/spreadsheetml/2009/9/main" objectType="CheckBox" fmlaLink="Berekeningen1700!$K$21" lockText="1"/>
</file>

<file path=xl/ctrlProps/ctrlProp788.xml><?xml version="1.0" encoding="utf-8"?>
<formControlPr xmlns="http://schemas.microsoft.com/office/spreadsheetml/2009/9/main" objectType="CheckBox" fmlaLink="Berekeningen1700!$K$22" lockText="1"/>
</file>

<file path=xl/ctrlProps/ctrlProp789.xml><?xml version="1.0" encoding="utf-8"?>
<formControlPr xmlns="http://schemas.microsoft.com/office/spreadsheetml/2009/9/main" objectType="CheckBox" fmlaLink="Berekeningen1700!$K$23" lockText="1"/>
</file>

<file path=xl/ctrlProps/ctrlProp790.xml><?xml version="1.0" encoding="utf-8"?>
<formControlPr xmlns="http://schemas.microsoft.com/office/spreadsheetml/2009/9/main" objectType="CheckBox" fmlaLink="Berekeningen1700!$K$24" lockText="1"/>
</file>

<file path=xl/ctrlProps/ctrlProp791.xml><?xml version="1.0" encoding="utf-8"?>
<formControlPr xmlns="http://schemas.microsoft.com/office/spreadsheetml/2009/9/main" objectType="CheckBox" fmlaLink="Berekeningen1700!$K$25" lockText="1"/>
</file>

<file path=xl/ctrlProps/ctrlProp792.xml><?xml version="1.0" encoding="utf-8"?>
<formControlPr xmlns="http://schemas.microsoft.com/office/spreadsheetml/2009/9/main" objectType="CheckBox" lockText="1"/>
</file>

<file path=xl/ctrlProps/ctrlProp793.xml><?xml version="1.0" encoding="utf-8"?>
<formControlPr xmlns="http://schemas.microsoft.com/office/spreadsheetml/2009/9/main" objectType="Drop" dropStyle="combo" dx="16" fmlaLink="Berekeningen1700!$B$27" fmlaRange="Medicamenten" val="2"/>
</file>

<file path=xl/ctrlProps/ctrlProp794.xml><?xml version="1.0" encoding="utf-8"?>
<formControlPr xmlns="http://schemas.microsoft.com/office/spreadsheetml/2009/9/main" objectType="Spin" dx="15" fmlaLink="Berekeningen1700!$F$27" max="30000" page="10" val="0"/>
</file>

<file path=xl/ctrlProps/ctrlProp795.xml><?xml version="1.0" encoding="utf-8"?>
<formControlPr xmlns="http://schemas.microsoft.com/office/spreadsheetml/2009/9/main" objectType="Drop" dropStyle="combo" dx="16" fmlaLink="Berekeningen1700!$E$26" fmlaRange="Opl" val="0"/>
</file>

<file path=xl/ctrlProps/ctrlProp796.xml><?xml version="1.0" encoding="utf-8"?>
<formControlPr xmlns="http://schemas.microsoft.com/office/spreadsheetml/2009/9/main" objectType="Spin" dx="15" fmlaLink="Berekeningen1700!$D$27" max="30000" page="10" val="0"/>
</file>

<file path=xl/ctrlProps/ctrlProp797.xml><?xml version="1.0" encoding="utf-8"?>
<formControlPr xmlns="http://schemas.microsoft.com/office/spreadsheetml/2009/9/main" objectType="Spin" dx="15" fmlaLink="Berekeningen1700!$C$27" inc="10" max="30000" page="10" val="0"/>
</file>

<file path=xl/ctrlProps/ctrlProp798.xml><?xml version="1.0" encoding="utf-8"?>
<formControlPr xmlns="http://schemas.microsoft.com/office/spreadsheetml/2009/9/main" objectType="CheckBox" fmlaLink="Berekeningen1700!$K$26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Spin" dx="15" fmlaLink="Berekeningen1700!$F$28" max="30000" page="10" val="0"/>
</file>

<file path=xl/ctrlProps/ctrlProp801.xml><?xml version="1.0" encoding="utf-8"?>
<formControlPr xmlns="http://schemas.microsoft.com/office/spreadsheetml/2009/9/main" objectType="Drop" dropStyle="combo" dx="16" fmlaLink="Berekeningen1700!$E$27" fmlaRange="Opl" val="0"/>
</file>

<file path=xl/ctrlProps/ctrlProp802.xml><?xml version="1.0" encoding="utf-8"?>
<formControlPr xmlns="http://schemas.microsoft.com/office/spreadsheetml/2009/9/main" objectType="Drop" dropStyle="combo" dx="16" fmlaLink="Berekeningen1700!$E$28" fmlaRange="Opl" val="0"/>
</file>

<file path=xl/ctrlProps/ctrlProp803.xml><?xml version="1.0" encoding="utf-8"?>
<formControlPr xmlns="http://schemas.microsoft.com/office/spreadsheetml/2009/9/main" objectType="CheckBox" fmlaLink="Berekeningen1700!$K$27" lockText="1"/>
</file>

<file path=xl/ctrlProps/ctrlProp804.xml><?xml version="1.0" encoding="utf-8"?>
<formControlPr xmlns="http://schemas.microsoft.com/office/spreadsheetml/2009/9/main" objectType="CheckBox" fmlaLink="Berekeningen1700!$K$28" lockText="1"/>
</file>

<file path=xl/ctrlProps/ctrlProp805.xml><?xml version="1.0" encoding="utf-8"?>
<formControlPr xmlns="http://schemas.microsoft.com/office/spreadsheetml/2009/9/main" objectType="Spin" dx="15" fmlaLink="Berekeningen1700!$D$35" max="30000" page="10" val="5000"/>
</file>

<file path=xl/ctrlProps/ctrlProp806.xml><?xml version="1.0" encoding="utf-8"?>
<formControlPr xmlns="http://schemas.microsoft.com/office/spreadsheetml/2009/9/main" objectType="Drop" dropStyle="combo" dx="16" fmlaLink="Berekeningen1700!$D$45" fmlaRange="Lijsten!$A$4:$A$13" sel="2" val="0"/>
</file>

<file path=xl/ctrlProps/ctrlProp807.xml><?xml version="1.0" encoding="utf-8"?>
<formControlPr xmlns="http://schemas.microsoft.com/office/spreadsheetml/2009/9/main" objectType="Spin" dx="15" fmlaLink="Berekeningen!$D$4" max="43" min="24" page="10" val="24"/>
</file>

<file path=xl/ctrlProps/ctrlProp808.xml><?xml version="1.0" encoding="utf-8"?>
<formControlPr xmlns="http://schemas.microsoft.com/office/spreadsheetml/2009/9/main" objectType="Spin" dx="15" fmlaLink="Berekeningen!$D$5" max="6" page="10" val="0"/>
</file>

<file path=xl/ctrlProps/ctrlProp809.xml><?xml version="1.0" encoding="utf-8"?>
<formControlPr xmlns="http://schemas.microsoft.com/office/spreadsheetml/2009/9/main" objectType="Drop" dropStyle="combo" dx="16" fmlaLink="Berekeningen1700!$B$54" fmlaRange="_VoedingToevoegingenMoedermelk" val="0"/>
</file>

<file path=xl/ctrlProps/ctrlProp810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11.xml><?xml version="1.0" encoding="utf-8"?>
<formControlPr xmlns="http://schemas.microsoft.com/office/spreadsheetml/2009/9/main" objectType="Drop" dropStyle="combo" dx="16" fmlaLink="Berekeningen1700!$D$14" fmlaRange="Pos" val="0"/>
</file>

<file path=xl/ctrlProps/ctrlProp812.xml><?xml version="1.0" encoding="utf-8"?>
<formControlPr xmlns="http://schemas.microsoft.com/office/spreadsheetml/2009/9/main" objectType="Spin" dx="15" fmlaLink="Berekeningen1700!$D$12" max="24" page="10" val="0"/>
</file>

<file path=xl/ctrlProps/ctrlProp813.xml><?xml version="1.0" encoding="utf-8"?>
<formControlPr xmlns="http://schemas.microsoft.com/office/spreadsheetml/2009/9/main" objectType="Spin" dx="15" fmlaLink="Berekeningen1700!$D$13" inc="5" max="30000" page="10" val="0"/>
</file>

<file path=xl/ctrlProps/ctrlProp814.xml><?xml version="1.0" encoding="utf-8"?>
<formControlPr xmlns="http://schemas.microsoft.com/office/spreadsheetml/2009/9/main" objectType="Drop" dropStyle="combo" dx="16" fmlaLink="Berekeningen1700!$B$55" fmlaRange="_VoedingToevoegingenMoedermelk" val="0"/>
</file>

<file path=xl/ctrlProps/ctrlProp815.xml><?xml version="1.0" encoding="utf-8"?>
<formControlPr xmlns="http://schemas.microsoft.com/office/spreadsheetml/2009/9/main" objectType="Drop" dropStyle="combo" dx="16" fmlaLink="Berekeningen1700!$B$56" fmlaRange="_VoedingToevoegingenMoedermelk" val="0"/>
</file>

<file path=xl/ctrlProps/ctrlProp816.xml><?xml version="1.0" encoding="utf-8"?>
<formControlPr xmlns="http://schemas.microsoft.com/office/spreadsheetml/2009/9/main" objectType="Drop" dropStyle="combo" dx="16" fmlaLink="Berekeningen1700!$B$28" fmlaRange="Medicamenten" val="2"/>
</file>

<file path=xl/ctrlProps/ctrlProp817.xml><?xml version="1.0" encoding="utf-8"?>
<formControlPr xmlns="http://schemas.microsoft.com/office/spreadsheetml/2009/9/main" objectType="Spin" dx="15" fmlaLink="Berekeningen1700!$D$28" max="30000" page="10" val="0"/>
</file>

<file path=xl/ctrlProps/ctrlProp818.xml><?xml version="1.0" encoding="utf-8"?>
<formControlPr xmlns="http://schemas.microsoft.com/office/spreadsheetml/2009/9/main" objectType="Spin" dx="15" fmlaLink="Berekeningen1700!$C$28" inc="10" max="30000" page="10" val="0"/>
</file>

<file path=xl/ctrlProps/ctrlProp819.xml><?xml version="1.0" encoding="utf-8"?>
<formControlPr xmlns="http://schemas.microsoft.com/office/spreadsheetml/2009/9/main" objectType="Drop" dropStyle="combo" dx="16" fmlaLink="Berekeningen1700!$E$28" fmlaRange="Opl" val="2"/>
</file>

<file path=xl/ctrlProps/ctrlProp820.xml><?xml version="1.0" encoding="utf-8"?>
<formControlPr xmlns="http://schemas.microsoft.com/office/spreadsheetml/2009/9/main" objectType="Drop" dropStyle="combo" dx="16" fmlaLink="Berekeningen1700!$E$29" fmlaRange="Opl" val="0"/>
</file>

<file path=xl/ctrlProps/ctrlProp821.xml><?xml version="1.0" encoding="utf-8"?>
<formControlPr xmlns="http://schemas.microsoft.com/office/spreadsheetml/2009/9/main" objectType="Spin" dx="15" fmlaLink="Berekeningen1700!$F$29" max="30000" page="10" val="0"/>
</file>

<file path=xl/ctrlProps/ctrlProp822.xml><?xml version="1.0" encoding="utf-8"?>
<formControlPr xmlns="http://schemas.microsoft.com/office/spreadsheetml/2009/9/main" objectType="CheckBox" fmlaLink="Berekeningen1700!$K$29" lockText="1"/>
</file>

<file path=xl/ctrlProps/ctrlProp823.xml><?xml version="1.0" encoding="utf-8"?>
<formControlPr xmlns="http://schemas.microsoft.com/office/spreadsheetml/2009/9/main" objectType="Drop" dropStyle="combo" dx="16" fmlaLink="Berekeningen1700!$E$30" fmlaRange="Opl" val="0"/>
</file>

<file path=xl/ctrlProps/ctrlProp824.xml><?xml version="1.0" encoding="utf-8"?>
<formControlPr xmlns="http://schemas.microsoft.com/office/spreadsheetml/2009/9/main" objectType="Spin" dx="15" fmlaLink="Berekeningen1700!$F$30" max="30000" page="10" val="0"/>
</file>

<file path=xl/ctrlProps/ctrlProp825.xml><?xml version="1.0" encoding="utf-8"?>
<formControlPr xmlns="http://schemas.microsoft.com/office/spreadsheetml/2009/9/main" objectType="CheckBox" fmlaLink="Berekeningen1700!$K$30" lockText="1"/>
</file>

<file path=xl/ctrlProps/ctrlProp826.xml><?xml version="1.0" encoding="utf-8"?>
<formControlPr xmlns="http://schemas.microsoft.com/office/spreadsheetml/2009/9/main" objectType="CheckBox" fmlaLink="Berekeningen1700!$K$30" lockText="1"/>
</file>

<file path=xl/ctrlProps/ctrlProp827.xml><?xml version="1.0" encoding="utf-8"?>
<formControlPr xmlns="http://schemas.microsoft.com/office/spreadsheetml/2009/9/main" objectType="Drop" dropStyle="combo" dx="16" fmlaLink="Berekeningen1700!$E$31" fmlaRange="Opl" val="0"/>
</file>

<file path=xl/ctrlProps/ctrlProp828.xml><?xml version="1.0" encoding="utf-8"?>
<formControlPr xmlns="http://schemas.microsoft.com/office/spreadsheetml/2009/9/main" objectType="Spin" dx="15" fmlaLink="Berekeningen1700!$F$31" max="30000" page="10" val="0"/>
</file>

<file path=xl/ctrlProps/ctrlProp829.xml><?xml version="1.0" encoding="utf-8"?>
<formControlPr xmlns="http://schemas.microsoft.com/office/spreadsheetml/2009/9/main" objectType="CheckBox" fmlaLink="Berekeningen1700!$K$31" lockText="1"/>
</file>

<file path=xl/ctrlProps/ctrlProp830.xml><?xml version="1.0" encoding="utf-8"?>
<formControlPr xmlns="http://schemas.microsoft.com/office/spreadsheetml/2009/9/main" objectType="Drop" dropStyle="combo" dx="16" fmlaLink="Berekeningen1700!$B$59" fmlaRange="_VoedingToevoegingenKunstvoeding" val="0"/>
</file>

<file path=xl/ctrlProps/ctrlProp831.xml><?xml version="1.0" encoding="utf-8"?>
<formControlPr xmlns="http://schemas.microsoft.com/office/spreadsheetml/2009/9/main" objectType="Drop" dropStyle="combo" dx="16" fmlaLink="Berekeningen1700!$B$55" fmlaRange="Lijsten!#REF!" sel="0" val="0"/>
</file>

<file path=xl/ctrlProps/ctrlProp832.xml><?xml version="1.0" encoding="utf-8"?>
<formControlPr xmlns="http://schemas.microsoft.com/office/spreadsheetml/2009/9/main" objectType="Drop" dropStyle="combo" dx="16" fmlaLink="Berekeningen1700!$B$60" fmlaRange="_VoedingToevoegingenKunstvoeding" val="0"/>
</file>

<file path=xl/ctrlProps/ctrlProp833.xml><?xml version="1.0" encoding="utf-8"?>
<formControlPr xmlns="http://schemas.microsoft.com/office/spreadsheetml/2009/9/main" objectType="Drop" dropStyle="combo" dx="16" fmlaLink="Berekeningen1700!$B$61" fmlaRange="_VoedingToevoegingenKunstvoeding" val="0"/>
</file>

<file path=xl/ctrlProps/ctrlProp834.xml><?xml version="1.0" encoding="utf-8"?>
<formControlPr xmlns="http://schemas.microsoft.com/office/spreadsheetml/2009/9/main" objectType="Drop" dropStyle="combo" dx="16" fmlaLink="Berekeningen1700!$L$58" fmlaRange="_VoedingToevoegingenWaarden" sel="0" val="0"/>
</file>

<file path=xl/ctrlProps/ctrlProp835.xml><?xml version="1.0" encoding="utf-8"?>
<formControlPr xmlns="http://schemas.microsoft.com/office/spreadsheetml/2009/9/main" objectType="Drop" dropStyle="combo" dx="16" fmlaLink="Berekeningen1700!$K$59" fmlaRange="_VoedingToevoegingenWaarden" val="3"/>
</file>

<file path=xl/ctrlProps/ctrlProp836.xml><?xml version="1.0" encoding="utf-8"?>
<formControlPr xmlns="http://schemas.microsoft.com/office/spreadsheetml/2009/9/main" objectType="Drop" dropStyle="combo" dx="16" fmlaLink="Berekeningen1700!$K$60" fmlaRange="_VoedingToevoegingenWaarden" val="0"/>
</file>

<file path=xl/ctrlProps/ctrlProp837.xml><?xml version="1.0" encoding="utf-8"?>
<formControlPr xmlns="http://schemas.microsoft.com/office/spreadsheetml/2009/9/main" objectType="Drop" dropStyle="combo" dx="16" fmlaLink="Berekeningen1700!$K$61" fmlaRange="_VoedingToevoegingenWaarden" val="0"/>
</file>

<file path=xl/ctrlProps/ctrlProp838.xml><?xml version="1.0" encoding="utf-8"?>
<formControlPr xmlns="http://schemas.microsoft.com/office/spreadsheetml/2009/9/main" objectType="Drop" dropStyle="combo" dx="16" fmlaLink="Berekeningen1700!$B$53" fmlaRange="_VoedingToevoegingenMoedermelk" val="0"/>
</file>

<file path=xl/ctrlProps/ctrlProp839.xml><?xml version="1.0" encoding="utf-8"?>
<formControlPr xmlns="http://schemas.microsoft.com/office/spreadsheetml/2009/9/main" objectType="Drop" dropStyle="combo" dx="16" fmlaLink="Berekeningen1700!$B$58" fmlaRange="_VoedingToevoegingenKunstvoeding" val="0"/>
</file>

<file path=xl/ctrlProps/ctrlProp840.xml><?xml version="1.0" encoding="utf-8"?>
<formControlPr xmlns="http://schemas.microsoft.com/office/spreadsheetml/2009/9/main" objectType="Drop" dropStyle="combo" dx="16" fmlaLink="Berekeningen1700!$K$58" fmlaRange="_VoedingToevoegingenWaarden" val="0"/>
</file>

<file path=xl/ctrlProps/ctrlProp841.xml><?xml version="1.0" encoding="utf-8"?>
<formControlPr xmlns="http://schemas.microsoft.com/office/spreadsheetml/2009/9/main" objectType="Drop" dropStyle="combo" dx="16" fmlaLink="Berekeningen1700!$K$52" fmlaRange="_VoedingBMFWaarden" val="0"/>
</file>

<file path=xl/ctrlProps/ctrlProp842.xml><?xml version="1.0" encoding="utf-8"?>
<formControlPr xmlns="http://schemas.microsoft.com/office/spreadsheetml/2009/9/main" objectType="Drop" dropStyle="combo" dx="16" fmlaLink="Berekeningen1700!$K$54" fmlaRange="_VoedingToevoegingenWaarden" val="0"/>
</file>

<file path=xl/ctrlProps/ctrlProp843.xml><?xml version="1.0" encoding="utf-8"?>
<formControlPr xmlns="http://schemas.microsoft.com/office/spreadsheetml/2009/9/main" objectType="Drop" dropStyle="combo" dx="16" fmlaLink="Berekeningen1700!$K$55" fmlaRange="_VoedingToevoegingenWaarden" val="0"/>
</file>

<file path=xl/ctrlProps/ctrlProp844.xml><?xml version="1.0" encoding="utf-8"?>
<formControlPr xmlns="http://schemas.microsoft.com/office/spreadsheetml/2009/9/main" objectType="Drop" dropStyle="combo" dx="16" fmlaLink="Berekeningen1700!$K$56" fmlaRange="_VoedingToevoegingenWaarden" val="0"/>
</file>

<file path=xl/ctrlProps/ctrlProp845.xml><?xml version="1.0" encoding="utf-8"?>
<formControlPr xmlns="http://schemas.microsoft.com/office/spreadsheetml/2009/9/main" objectType="Drop" dropStyle="combo" dx="16" fmlaLink="Berekeningen1700!$K$53" fmlaRange="_VoedingToevoegingenWaarden" val="0"/>
</file>

<file path=xl/ctrlProps/ctrlProp846.xml><?xml version="1.0" encoding="utf-8"?>
<formControlPr xmlns="http://schemas.microsoft.com/office/spreadsheetml/2009/9/main" objectType="CheckBox" fmlaLink="Berekeningen1700!$B$17" lockText="1" noThreeD="1"/>
</file>

<file path=xl/ctrlProps/ctrlProp847.xml><?xml version="1.0" encoding="utf-8"?>
<formControlPr xmlns="http://schemas.microsoft.com/office/spreadsheetml/2009/9/main" objectType="Spin" dx="15" fmlaLink="Berekeningen1700!$F$21" max="30000" page="10" val="0"/>
</file>

<file path=xl/ctrlProps/ctrlProp848.xml><?xml version="1.0" encoding="utf-8"?>
<formControlPr xmlns="http://schemas.microsoft.com/office/spreadsheetml/2009/9/main" objectType="Spin" dx="15" fmlaLink="Berekeningen1700!$F$21" max="30000" page="10" val="0"/>
</file>

<file path=xl/ctrlProps/ctrlProp849.xml><?xml version="1.0" encoding="utf-8"?>
<formControlPr xmlns="http://schemas.microsoft.com/office/spreadsheetml/2009/9/main" objectType="Spin" dx="15" fmlaLink="Berekeningen1700!$F$22" max="30000" page="10" val="0"/>
</file>

<file path=xl/ctrlProps/ctrlProp850.xml><?xml version="1.0" encoding="utf-8"?>
<formControlPr xmlns="http://schemas.microsoft.com/office/spreadsheetml/2009/9/main" objectType="Spin" dx="15" fmlaLink="Berekeningen1700!$F$21" max="30000" page="10" val="0"/>
</file>

<file path=xl/ctrlProps/ctrlProp851.xml><?xml version="1.0" encoding="utf-8"?>
<formControlPr xmlns="http://schemas.microsoft.com/office/spreadsheetml/2009/9/main" objectType="Spin" dx="15" fmlaLink="Berekeningen1700!$F$23" max="30000" page="10" val="0"/>
</file>

<file path=xl/ctrlProps/ctrlProp852.xml><?xml version="1.0" encoding="utf-8"?>
<formControlPr xmlns="http://schemas.microsoft.com/office/spreadsheetml/2009/9/main" objectType="Spin" dx="15" fmlaLink="Berekeningen1700!$F$21" max="30000" page="10" val="0"/>
</file>

<file path=xl/ctrlProps/ctrlProp853.xml><?xml version="1.0" encoding="utf-8"?>
<formControlPr xmlns="http://schemas.microsoft.com/office/spreadsheetml/2009/9/main" objectType="Spin" dx="15" fmlaLink="Berekeningen1700!$F$24" max="30000" page="10" val="0"/>
</file>

<file path=xl/ctrlProps/ctrlProp854.xml><?xml version="1.0" encoding="utf-8"?>
<formControlPr xmlns="http://schemas.microsoft.com/office/spreadsheetml/2009/9/main" objectType="Spin" dx="15" fmlaLink="Berekeningen1700!$F$21" max="30000" page="10" val="0"/>
</file>

<file path=xl/ctrlProps/ctrlProp855.xml><?xml version="1.0" encoding="utf-8"?>
<formControlPr xmlns="http://schemas.microsoft.com/office/spreadsheetml/2009/9/main" objectType="Spin" dx="15" fmlaLink="Berekeningen1700!$F$25" max="30000" page="10" val="0"/>
</file>

<file path=xl/ctrlProps/ctrlProp856.xml><?xml version="1.0" encoding="utf-8"?>
<formControlPr xmlns="http://schemas.microsoft.com/office/spreadsheetml/2009/9/main" objectType="Spin" dx="15" fmlaLink="Berekeningen1700!$F$21" max="30000" page="10" val="0"/>
</file>

<file path=xl/ctrlProps/ctrlProp857.xml><?xml version="1.0" encoding="utf-8"?>
<formControlPr xmlns="http://schemas.microsoft.com/office/spreadsheetml/2009/9/main" objectType="Spin" dx="15" fmlaLink="Berekeningen1700!$F$26" max="30000" page="10" val="0"/>
</file>

<file path=xl/ctrlProps/ctrlProp858.xml><?xml version="1.0" encoding="utf-8"?>
<formControlPr xmlns="http://schemas.microsoft.com/office/spreadsheetml/2009/9/main" objectType="Spin" dx="15" fmlaLink="Berekeningen1700!$F$21" max="30000" page="10" val="0"/>
</file>

<file path=xl/ctrlProps/ctrlProp859.xml><?xml version="1.0" encoding="utf-8"?>
<formControlPr xmlns="http://schemas.microsoft.com/office/spreadsheetml/2009/9/main" objectType="Spin" dx="15" fmlaLink="Berekeningen1700!$F$27" max="30000" page="10" val="0"/>
</file>

<file path=xl/ctrlProps/ctrlProp860.xml><?xml version="1.0" encoding="utf-8"?>
<formControlPr xmlns="http://schemas.microsoft.com/office/spreadsheetml/2009/9/main" objectType="Spin" dx="15" fmlaLink="Berekeningen1700!$F$21" max="30000" page="10" val="0"/>
</file>

<file path=xl/ctrlProps/ctrlProp861.xml><?xml version="1.0" encoding="utf-8"?>
<formControlPr xmlns="http://schemas.microsoft.com/office/spreadsheetml/2009/9/main" objectType="Spin" dx="15" fmlaLink="Berekeningen1700!$F$28" max="30000" page="10" val="0"/>
</file>

<file path=xl/ctrlProps/ctrlProp862.xml><?xml version="1.0" encoding="utf-8"?>
<formControlPr xmlns="http://schemas.microsoft.com/office/spreadsheetml/2009/9/main" objectType="Spin" dx="15" fmlaLink="Berekeningen1700!$F$21" max="30000" page="10" val="0"/>
</file>

<file path=xl/ctrlProps/ctrlProp863.xml><?xml version="1.0" encoding="utf-8"?>
<formControlPr xmlns="http://schemas.microsoft.com/office/spreadsheetml/2009/9/main" objectType="Spin" dx="15" fmlaLink="Berekeningen1700!$F$22" max="30000" page="10" val="0"/>
</file>

<file path=xl/ctrlProps/ctrlProp864.xml><?xml version="1.0" encoding="utf-8"?>
<formControlPr xmlns="http://schemas.microsoft.com/office/spreadsheetml/2009/9/main" objectType="Spin" dx="15" fmlaLink="Berekeningen1700!$F$23" max="30000" page="10" val="0"/>
</file>

<file path=xl/ctrlProps/ctrlProp865.xml><?xml version="1.0" encoding="utf-8"?>
<formControlPr xmlns="http://schemas.microsoft.com/office/spreadsheetml/2009/9/main" objectType="Spin" dx="15" fmlaLink="Berekeningen1700!$F$24" max="30000" page="10" val="0"/>
</file>

<file path=xl/ctrlProps/ctrlProp866.xml><?xml version="1.0" encoding="utf-8"?>
<formControlPr xmlns="http://schemas.microsoft.com/office/spreadsheetml/2009/9/main" objectType="Spin" dx="15" fmlaLink="Berekeningen1700!$F$25" max="30000" page="10" val="0"/>
</file>

<file path=xl/ctrlProps/ctrlProp867.xml><?xml version="1.0" encoding="utf-8"?>
<formControlPr xmlns="http://schemas.microsoft.com/office/spreadsheetml/2009/9/main" objectType="Spin" dx="15" fmlaLink="Berekeningen1700!$F$26" max="30000" page="10" val="0"/>
</file>

<file path=xl/ctrlProps/ctrlProp868.xml><?xml version="1.0" encoding="utf-8"?>
<formControlPr xmlns="http://schemas.microsoft.com/office/spreadsheetml/2009/9/main" objectType="Spin" dx="15" fmlaLink="Berekeningen1700!$F$27" max="30000" page="10" val="0"/>
</file>

<file path=xl/ctrlProps/ctrlProp869.xml><?xml version="1.0" encoding="utf-8"?>
<formControlPr xmlns="http://schemas.microsoft.com/office/spreadsheetml/2009/9/main" objectType="Spin" dx="15" fmlaLink="Berekeningen1700!$F$28" max="30000" page="10" val="0"/>
</file>

<file path=xl/ctrlProps/ctrlProp870.xml><?xml version="1.0" encoding="utf-8"?>
<formControlPr xmlns="http://schemas.microsoft.com/office/spreadsheetml/2009/9/main" objectType="Drop" dropStyle="combo" dx="16" fmlaLink="Berekeningen1700!$F$35" fmlaRange="lijstIntralipidSmof" val="0"/>
</file>

<file path=xl/ctrlProps/ctrlProp871.xml><?xml version="1.0" encoding="utf-8"?>
<formControlPr xmlns="http://schemas.microsoft.com/office/spreadsheetml/2009/9/main" objectType="Spin" dx="15" fmlaLink="dbBead!$H$2" max="200" min="25" page="10" val="80"/>
</file>

<file path=xl/ctrlProps/ctrlProp872.xml><?xml version="1.0" encoding="utf-8"?>
<formControlPr xmlns="http://schemas.microsoft.com/office/spreadsheetml/2009/9/main" objectType="CheckBox" fmlaLink="ber_AanvullendeAfsprakenNeo!$F$7" lockText="1"/>
</file>

<file path=xl/ctrlProps/ctrlProp873.xml><?xml version="1.0" encoding="utf-8"?>
<formControlPr xmlns="http://schemas.microsoft.com/office/spreadsheetml/2009/9/main" objectType="CheckBox" fmlaLink="ber_AanvullendeAfsprakenNeo!$F$8" lockText="1"/>
</file>

<file path=xl/ctrlProps/ctrlProp874.xml><?xml version="1.0" encoding="utf-8"?>
<formControlPr xmlns="http://schemas.microsoft.com/office/spreadsheetml/2009/9/main" objectType="CheckBox" fmlaLink="ber_AanvullendeAfsprakenNeo!$F$13" lockText="1"/>
</file>

<file path=xl/ctrlProps/ctrlProp875.xml><?xml version="1.0" encoding="utf-8"?>
<formControlPr xmlns="http://schemas.microsoft.com/office/spreadsheetml/2009/9/main" objectType="CheckBox" fmlaLink="ber_AanvullendeAfsprakenNeo!$F$14" lockText="1"/>
</file>

<file path=xl/ctrlProps/ctrlProp876.xml><?xml version="1.0" encoding="utf-8"?>
<formControlPr xmlns="http://schemas.microsoft.com/office/spreadsheetml/2009/9/main" objectType="CheckBox" fmlaLink="ber_AanvullendeAfsprakenNeo!$F$15" lockText="1"/>
</file>

<file path=xl/ctrlProps/ctrlProp877.xml><?xml version="1.0" encoding="utf-8"?>
<formControlPr xmlns="http://schemas.microsoft.com/office/spreadsheetml/2009/9/main" objectType="CheckBox" fmlaLink="ber_AanvullendeAfsprakenNeo!$F$17" lockText="1"/>
</file>

<file path=xl/ctrlProps/ctrlProp878.xml><?xml version="1.0" encoding="utf-8"?>
<formControlPr xmlns="http://schemas.microsoft.com/office/spreadsheetml/2009/9/main" objectType="CheckBox" fmlaLink="ber_AanvullendeAfsprakenNeo!$F$18" lockText="1"/>
</file>

<file path=xl/ctrlProps/ctrlProp879.xml><?xml version="1.0" encoding="utf-8"?>
<formControlPr xmlns="http://schemas.microsoft.com/office/spreadsheetml/2009/9/main" objectType="CheckBox" fmlaLink="ber_AanvullendeAfsprakenNeo!$F$21" lockText="1"/>
</file>

<file path=xl/ctrlProps/ctrlProp880.xml><?xml version="1.0" encoding="utf-8"?>
<formControlPr xmlns="http://schemas.microsoft.com/office/spreadsheetml/2009/9/main" objectType="CheckBox" fmlaLink="ber_AanvullendeAfsprakenNeo!$F$22" lockText="1"/>
</file>

<file path=xl/ctrlProps/ctrlProp881.xml><?xml version="1.0" encoding="utf-8"?>
<formControlPr xmlns="http://schemas.microsoft.com/office/spreadsheetml/2009/9/main" objectType="CheckBox" fmlaLink="ber_AanvullendeAfsprakenNeo!$H$9" lockText="1"/>
</file>

<file path=xl/ctrlProps/ctrlProp882.xml><?xml version="1.0" encoding="utf-8"?>
<formControlPr xmlns="http://schemas.microsoft.com/office/spreadsheetml/2009/9/main" objectType="CheckBox" fmlaLink="ber_AanvullendeAfsprakenNeo!$H$10" lockText="1"/>
</file>

<file path=xl/ctrlProps/ctrlProp883.xml><?xml version="1.0" encoding="utf-8"?>
<formControlPr xmlns="http://schemas.microsoft.com/office/spreadsheetml/2009/9/main" objectType="CheckBox" fmlaLink="ber_AanvullendeAfsprakenNeo!$H$11" lockText="1"/>
</file>

<file path=xl/ctrlProps/ctrlProp884.xml><?xml version="1.0" encoding="utf-8"?>
<formControlPr xmlns="http://schemas.microsoft.com/office/spreadsheetml/2009/9/main" objectType="CheckBox" fmlaLink="ber_AanvullendeAfsprakenNeo!$H$8" lockText="1"/>
</file>

<file path=xl/ctrlProps/ctrlProp885.xml><?xml version="1.0" encoding="utf-8"?>
<formControlPr xmlns="http://schemas.microsoft.com/office/spreadsheetml/2009/9/main" objectType="CheckBox" fmlaLink="ber_AanvullendeAfsprakenNeo!$F$12" lockText="1"/>
</file>

<file path=xl/ctrlProps/ctrlProp886.xml><?xml version="1.0" encoding="utf-8"?>
<formControlPr xmlns="http://schemas.microsoft.com/office/spreadsheetml/2009/9/main" objectType="CheckBox" fmlaLink="ber_AanvullendeAfsprakenNeo!$H$13" lockText="1"/>
</file>

<file path=xl/ctrlProps/ctrlProp887.xml><?xml version="1.0" encoding="utf-8"?>
<formControlPr xmlns="http://schemas.microsoft.com/office/spreadsheetml/2009/9/main" objectType="CheckBox" fmlaLink="ber_AanvullendeAfsprakenNeo!$H$15" lockText="1"/>
</file>

<file path=xl/ctrlProps/ctrlProp888.xml><?xml version="1.0" encoding="utf-8"?>
<formControlPr xmlns="http://schemas.microsoft.com/office/spreadsheetml/2009/9/main" objectType="CheckBox" fmlaLink="ber_AanvullendeAfsprakenNeo!$H$16" lockText="1"/>
</file>

<file path=xl/ctrlProps/ctrlProp889.xml><?xml version="1.0" encoding="utf-8"?>
<formControlPr xmlns="http://schemas.microsoft.com/office/spreadsheetml/2009/9/main" objectType="CheckBox" fmlaLink="ber_AanvullendeAfsprakenNeo!$H$18" lockText="1"/>
</file>

<file path=xl/ctrlProps/ctrlProp890.xml><?xml version="1.0" encoding="utf-8"?>
<formControlPr xmlns="http://schemas.microsoft.com/office/spreadsheetml/2009/9/main" objectType="CheckBox" fmlaLink="ber_AanvullendeAfsprakenNeo!$H$20" lockText="1"/>
</file>

<file path=xl/ctrlProps/ctrlProp891.xml><?xml version="1.0" encoding="utf-8"?>
<formControlPr xmlns="http://schemas.microsoft.com/office/spreadsheetml/2009/9/main" objectType="CheckBox" fmlaLink="ber_AanvullendeAfsprakenNeo!$H$19" lockText="1"/>
</file>

<file path=xl/ctrlProps/ctrlProp892.xml><?xml version="1.0" encoding="utf-8"?>
<formControlPr xmlns="http://schemas.microsoft.com/office/spreadsheetml/2009/9/main" objectType="CheckBox" fmlaLink="ber_AanvullendeAfsprakenNeo!$H$22" lockText="1"/>
</file>

<file path=xl/ctrlProps/ctrlProp893.xml><?xml version="1.0" encoding="utf-8"?>
<formControlPr xmlns="http://schemas.microsoft.com/office/spreadsheetml/2009/9/main" objectType="CheckBox" fmlaLink="ber_AanvullendeAfsprakenNeo!$F$23" lockText="1"/>
</file>

<file path=xl/ctrlProps/ctrlProp894.xml><?xml version="1.0" encoding="utf-8"?>
<formControlPr xmlns="http://schemas.microsoft.com/office/spreadsheetml/2009/9/main" objectType="CheckBox" fmlaLink="ber_AanvullendeAfsprakenNeo!$H$23" lockText="1"/>
</file>

<file path=xl/ctrlProps/ctrlProp895.xml><?xml version="1.0" encoding="utf-8"?>
<formControlPr xmlns="http://schemas.microsoft.com/office/spreadsheetml/2009/9/main" objectType="CheckBox" fmlaLink="ber_AanvullendeAfsprakenNeo!$H$24" lockText="1"/>
</file>

<file path=xl/ctrlProps/ctrlProp896.xml><?xml version="1.0" encoding="utf-8"?>
<formControlPr xmlns="http://schemas.microsoft.com/office/spreadsheetml/2009/9/main" objectType="CheckBox" fmlaLink="ber_AanvullendeAfsprakenNeo!$H$25" lockText="1"/>
</file>

<file path=xl/ctrlProps/ctrlProp897.xml><?xml version="1.0" encoding="utf-8"?>
<formControlPr xmlns="http://schemas.microsoft.com/office/spreadsheetml/2009/9/main" objectType="CheckBox" fmlaLink="ber_AanvullendeAfsprakenNeo!$H$26" lockText="1"/>
</file>

<file path=xl/ctrlProps/ctrlProp898.xml><?xml version="1.0" encoding="utf-8"?>
<formControlPr xmlns="http://schemas.microsoft.com/office/spreadsheetml/2009/9/main" objectType="CheckBox" fmlaLink="ber_AanvullendeAfsprakenNeo!$H$27" lockText="1"/>
</file>

<file path=xl/ctrlProps/ctrlProp899.xml><?xml version="1.0" encoding="utf-8"?>
<formControlPr xmlns="http://schemas.microsoft.com/office/spreadsheetml/2009/9/main" objectType="CheckBox" fmlaLink="ber_AanvullendeAfsprakenNeo!$H$28" lockText="1"/>
</file>

<file path=xl/ctrlProps/ctrlProp900.xml><?xml version="1.0" encoding="utf-8"?>
<formControlPr xmlns="http://schemas.microsoft.com/office/spreadsheetml/2009/9/main" objectType="CheckBox" fmlaLink="ber_AanvullendeAfsprakenNeo!$H$29" lockText="1"/>
</file>

<file path=xl/ctrlProps/ctrlProp901.xml><?xml version="1.0" encoding="utf-8"?>
<formControlPr xmlns="http://schemas.microsoft.com/office/spreadsheetml/2009/9/main" objectType="CheckBox" fmlaLink="ber_AanvullendeAfsprakenNeo!$H$30" lockText="1"/>
</file>

<file path=xl/ctrlProps/ctrlProp902.xml><?xml version="1.0" encoding="utf-8"?>
<formControlPr xmlns="http://schemas.microsoft.com/office/spreadsheetml/2009/9/main" objectType="CheckBox" fmlaLink="ber_AanvullendeAfsprakenNeo!$F$31" lockText="1"/>
</file>

<file path=xl/ctrlProps/ctrlProp903.xml><?xml version="1.0" encoding="utf-8"?>
<formControlPr xmlns="http://schemas.microsoft.com/office/spreadsheetml/2009/9/main" objectType="CheckBox" fmlaLink="ber_AanvullendeAfsprakenNeo!$J$7" lockText="1"/>
</file>

<file path=xl/ctrlProps/ctrlProp904.xml><?xml version="1.0" encoding="utf-8"?>
<formControlPr xmlns="http://schemas.microsoft.com/office/spreadsheetml/2009/9/main" objectType="CheckBox" fmlaLink="ber_AanvullendeAfsprakenNeo!$J$8" lockText="1"/>
</file>

<file path=xl/ctrlProps/ctrlProp905.xml><?xml version="1.0" encoding="utf-8"?>
<formControlPr xmlns="http://schemas.microsoft.com/office/spreadsheetml/2009/9/main" objectType="CheckBox" fmlaLink="ber_AanvullendeAfsprakenNeo!$J$9" lockText="1"/>
</file>

<file path=xl/ctrlProps/ctrlProp906.xml><?xml version="1.0" encoding="utf-8"?>
<formControlPr xmlns="http://schemas.microsoft.com/office/spreadsheetml/2009/9/main" objectType="CheckBox" fmlaLink="ber_AanvullendeAfsprakenNeo!$J$10" lockText="1"/>
</file>

<file path=xl/ctrlProps/ctrlProp907.xml><?xml version="1.0" encoding="utf-8"?>
<formControlPr xmlns="http://schemas.microsoft.com/office/spreadsheetml/2009/9/main" objectType="CheckBox" fmlaLink="ber_AanvullendeAfsprakenNeo!$J$12" lockText="1"/>
</file>

<file path=xl/ctrlProps/ctrlProp908.xml><?xml version="1.0" encoding="utf-8"?>
<formControlPr xmlns="http://schemas.microsoft.com/office/spreadsheetml/2009/9/main" objectType="CheckBox" fmlaLink="ber_AanvullendeAfsprakenNeo!$J$13" lockText="1"/>
</file>

<file path=xl/ctrlProps/ctrlProp909.xml><?xml version="1.0" encoding="utf-8"?>
<formControlPr xmlns="http://schemas.microsoft.com/office/spreadsheetml/2009/9/main" objectType="CheckBox" fmlaLink="ber_AanvullendeAfsprakenNeo!$J$14" lockText="1"/>
</file>

<file path=xl/ctrlProps/ctrlProp910.xml><?xml version="1.0" encoding="utf-8"?>
<formControlPr xmlns="http://schemas.microsoft.com/office/spreadsheetml/2009/9/main" objectType="CheckBox" fmlaLink="ber_AanvullendeAfsprakenNeo!$J$15" lockText="1"/>
</file>

<file path=xl/ctrlProps/ctrlProp911.xml><?xml version="1.0" encoding="utf-8"?>
<formControlPr xmlns="http://schemas.microsoft.com/office/spreadsheetml/2009/9/main" objectType="CheckBox" fmlaLink="ber_AanvullendeAfsprakenNeo!$J$16" lockText="1"/>
</file>

<file path=xl/ctrlProps/ctrlProp912.xml><?xml version="1.0" encoding="utf-8"?>
<formControlPr xmlns="http://schemas.microsoft.com/office/spreadsheetml/2009/9/main" objectType="CheckBox" fmlaLink="ber_AanvullendeAfsprakenNeo!$J$19" lockText="1"/>
</file>

<file path=xl/ctrlProps/ctrlProp913.xml><?xml version="1.0" encoding="utf-8"?>
<formControlPr xmlns="http://schemas.microsoft.com/office/spreadsheetml/2009/9/main" objectType="CheckBox" fmlaLink="ber_AanvullendeAfsprakenNeo!$J$17" lockText="1"/>
</file>

<file path=xl/ctrlProps/ctrlProp914.xml><?xml version="1.0" encoding="utf-8"?>
<formControlPr xmlns="http://schemas.microsoft.com/office/spreadsheetml/2009/9/main" objectType="CheckBox" fmlaLink="ber_AanvullendeAfsprakenNeo!$J$24" lockText="1"/>
</file>

<file path=xl/ctrlProps/ctrlProp915.xml><?xml version="1.0" encoding="utf-8"?>
<formControlPr xmlns="http://schemas.microsoft.com/office/spreadsheetml/2009/9/main" objectType="CheckBox" fmlaLink="ber_AanvullendeAfsprakenNeo!$L$24" lockText="1"/>
</file>

<file path=xl/ctrlProps/ctrlProp916.xml><?xml version="1.0" encoding="utf-8"?>
<formControlPr xmlns="http://schemas.microsoft.com/office/spreadsheetml/2009/9/main" objectType="CheckBox" fmlaLink="ber_AanvullendeAfsprakenNeo!$L$25" lockText="1"/>
</file>

<file path=xl/ctrlProps/ctrlProp917.xml><?xml version="1.0" encoding="utf-8"?>
<formControlPr xmlns="http://schemas.microsoft.com/office/spreadsheetml/2009/9/main" objectType="CheckBox" fmlaLink="ber_AanvullendeAfsprakenNeo!$L$26" lockText="1"/>
</file>

<file path=xl/ctrlProps/ctrlProp918.xml><?xml version="1.0" encoding="utf-8"?>
<formControlPr xmlns="http://schemas.microsoft.com/office/spreadsheetml/2009/9/main" objectType="CheckBox" fmlaLink="ber_AanvullendeAfsprakenNeo!$L$27" lockText="1"/>
</file>

<file path=xl/ctrlProps/ctrlProp919.xml><?xml version="1.0" encoding="utf-8"?>
<formControlPr xmlns="http://schemas.microsoft.com/office/spreadsheetml/2009/9/main" objectType="CheckBox" fmlaLink="ber_AanvullendeAfsprakenNeo!$J$20" lockText="1"/>
</file>

<file path=xl/ctrlProps/ctrlProp920.xml><?xml version="1.0" encoding="utf-8"?>
<formControlPr xmlns="http://schemas.microsoft.com/office/spreadsheetml/2009/9/main" objectType="CheckBox" fmlaLink="ber_AanvullendeAfsprakenNeo!$L$21" lockText="1"/>
</file>

<file path=xl/ctrlProps/ctrlProp921.xml><?xml version="1.0" encoding="utf-8"?>
<formControlPr xmlns="http://schemas.microsoft.com/office/spreadsheetml/2009/9/main" objectType="CheckBox" fmlaLink="ber_AanvullendeAfsprakenNeo!$L$22" lockText="1"/>
</file>

<file path=xl/ctrlProps/ctrlProp922.xml><?xml version="1.0" encoding="utf-8"?>
<formControlPr xmlns="http://schemas.microsoft.com/office/spreadsheetml/2009/9/main" objectType="CheckBox" fmlaLink="ber_AanvullendeAfsprakenNeo!$L$23" lockText="1"/>
</file>

<file path=xl/ctrlProps/ctrlProp923.xml><?xml version="1.0" encoding="utf-8"?>
<formControlPr xmlns="http://schemas.microsoft.com/office/spreadsheetml/2009/9/main" objectType="Spin" dx="15" fmlaLink="ber_AanvullendeAfsprakenNeo!$B$12" max="24" page="10" val="0"/>
</file>

<file path=xl/ctrlProps/ctrlProp924.xml><?xml version="1.0" encoding="utf-8"?>
<formControlPr xmlns="http://schemas.microsoft.com/office/spreadsheetml/2009/9/main" objectType="Spin" dx="15" fmlaLink="ber_AanvullendeAfsprakenNeo!$K$17" max="24" page="10" val="0"/>
</file>

<file path=xl/ctrlProps/ctrlProp925.xml><?xml version="1.0" encoding="utf-8"?>
<formControlPr xmlns="http://schemas.microsoft.com/office/spreadsheetml/2009/9/main" objectType="Spin" dx="15" fmlaLink="ber_AanvullendeAfsprakenNeo!$L$17" max="1000" page="10" val="0"/>
</file>

<file path=xl/ctrlProps/ctrlProp926.xml><?xml version="1.0" encoding="utf-8"?>
<formControlPr xmlns="http://schemas.microsoft.com/office/spreadsheetml/2009/9/main" objectType="CheckBox" fmlaLink="ber_AanvullendeAfsprakenNeo!$B$27" lockText="1"/>
</file>

<file path=xl/ctrlProps/ctrlProp927.xml><?xml version="1.0" encoding="utf-8"?>
<formControlPr xmlns="http://schemas.microsoft.com/office/spreadsheetml/2009/9/main" objectType="CheckBox" fmlaLink="ber_AanvullendeAfsprakenNeo!$B$28" lockText="1"/>
</file>

<file path=xl/ctrlProps/ctrlProp928.xml><?xml version="1.0" encoding="utf-8"?>
<formControlPr xmlns="http://schemas.microsoft.com/office/spreadsheetml/2009/9/main" objectType="CheckBox" fmlaLink="ber_AanvullendeAfsprakenNeo!$B$29" lockText="1"/>
</file>

<file path=xl/ctrlProps/ctrlProp929.xml><?xml version="1.0" encoding="utf-8"?>
<formControlPr xmlns="http://schemas.microsoft.com/office/spreadsheetml/2009/9/main" objectType="CheckBox" fmlaLink="ber_AanvullendeAfsprakenNeo!$B$30" lockText="1"/>
</file>

<file path=xl/ctrlProps/ctrlProp930.xml><?xml version="1.0" encoding="utf-8"?>
<formControlPr xmlns="http://schemas.microsoft.com/office/spreadsheetml/2009/9/main" objectType="CheckBox" fmlaLink="ber_AanvullendeAfsprakenNeo!$B$34" lockText="1"/>
</file>

<file path=xl/ctrlProps/ctrlProp931.xml><?xml version="1.0" encoding="utf-8"?>
<formControlPr xmlns="http://schemas.microsoft.com/office/spreadsheetml/2009/9/main" objectType="CheckBox" fmlaLink="ber_AanvullendeAfsprakenNeo!$D$35" lockText="1"/>
</file>

<file path=xl/ctrlProps/ctrlProp932.xml><?xml version="1.0" encoding="utf-8"?>
<formControlPr xmlns="http://schemas.microsoft.com/office/spreadsheetml/2009/9/main" objectType="CheckBox" fmlaLink="ber_AanvullendeAfsprakenNeo!$D$36" lockText="1"/>
</file>

<file path=xl/ctrlProps/ctrlProp933.xml><?xml version="1.0" encoding="utf-8"?>
<formControlPr xmlns="http://schemas.microsoft.com/office/spreadsheetml/2009/9/main" objectType="Drop" dropStyle="combo" dx="16" fmlaLink="ber_AanvullendeAfsprakenNeo!$D$34" fmlaRange="Aanvullend_ThoraxDrainSub2" noThreeD="1" sel="0" val="0"/>
</file>

<file path=xl/ctrlProps/ctrlProp934.xml><?xml version="1.0" encoding="utf-8"?>
<formControlPr xmlns="http://schemas.microsoft.com/office/spreadsheetml/2009/9/main" objectType="CheckBox" fmlaLink="ber_AanvullendeAfsprakenNeo!$B$37" lockText="1"/>
</file>

<file path=xl/ctrlProps/ctrlProp935.xml><?xml version="1.0" encoding="utf-8"?>
<formControlPr xmlns="http://schemas.microsoft.com/office/spreadsheetml/2009/9/main" objectType="Drop" dropStyle="combo" dx="16" fmlaLink="ber_AanvullendeAfsprakenNeo!$D$37" fmlaRange="Aanvullend_ThoraxDrainSub2" noThreeD="1" sel="0" val="0"/>
</file>

<file path=xl/ctrlProps/ctrlProp936.xml><?xml version="1.0" encoding="utf-8"?>
<formControlPr xmlns="http://schemas.microsoft.com/office/spreadsheetml/2009/9/main" objectType="CheckBox" fmlaLink="ber_AanvullendeAfsprakenNeo!$B$7" lockText="1"/>
</file>

<file path=xl/ctrlProps/ctrlProp937.xml><?xml version="1.0" encoding="utf-8"?>
<formControlPr xmlns="http://schemas.microsoft.com/office/spreadsheetml/2009/9/main" objectType="CheckBox" fmlaLink="ber_AanvullendeAfsprakenNeo!$B$8" lockText="1"/>
</file>

<file path=xl/ctrlProps/ctrlProp938.xml><?xml version="1.0" encoding="utf-8"?>
<formControlPr xmlns="http://schemas.microsoft.com/office/spreadsheetml/2009/9/main" objectType="CheckBox" fmlaLink="ber_AanvullendeAfsprakenNeo!$B$9" lockText="1"/>
</file>

<file path=xl/ctrlProps/ctrlProp939.xml><?xml version="1.0" encoding="utf-8"?>
<formControlPr xmlns="http://schemas.microsoft.com/office/spreadsheetml/2009/9/main" objectType="CheckBox" fmlaLink="ber_AanvullendeAfsprakenNeo!$B$10" lockText="1"/>
</file>

<file path=xl/ctrlProps/ctrlProp940.xml><?xml version="1.0" encoding="utf-8"?>
<formControlPr xmlns="http://schemas.microsoft.com/office/spreadsheetml/2009/9/main" objectType="CheckBox" fmlaLink="ber_AanvullendeAfsprakenNeo!$B$22" lockText="1"/>
</file>

<file path=xl/ctrlProps/ctrlProp941.xml><?xml version="1.0" encoding="utf-8"?>
<formControlPr xmlns="http://schemas.microsoft.com/office/spreadsheetml/2009/9/main" objectType="Drop" dropStyle="combo" dx="16" fmlaLink="ber_AanvullendeAfsprakenNeo!$D$22" fmlaRange="Aanvullend_aEEG" noThreeD="1" sel="0" val="0"/>
</file>

<file path=xl/ctrlProps/ctrlProp942.xml><?xml version="1.0" encoding="utf-8"?>
<formControlPr xmlns="http://schemas.microsoft.com/office/spreadsheetml/2009/9/main" objectType="CheckBox" fmlaLink="ber_AanvullendeAfsprakenNeo!$B$23" lockText="1"/>
</file>

<file path=xl/ctrlProps/ctrlProp943.xml><?xml version="1.0" encoding="utf-8"?>
<formControlPr xmlns="http://schemas.microsoft.com/office/spreadsheetml/2009/9/main" objectType="CheckBox" fmlaLink="ber_AanvullendeAfsprakenNeo!$B$25" lockText="1"/>
</file>

<file path=xl/ctrlProps/ctrlProp944.xml><?xml version="1.0" encoding="utf-8"?>
<formControlPr xmlns="http://schemas.microsoft.com/office/spreadsheetml/2009/9/main" objectType="CheckBox" fmlaLink="ber_AanvullendeAfsprakenNeo!$B$26" lockText="1"/>
</file>

<file path=xl/ctrlProps/ctrlProp945.xml><?xml version="1.0" encoding="utf-8"?>
<formControlPr xmlns="http://schemas.microsoft.com/office/spreadsheetml/2009/9/main" objectType="CheckBox" fmlaLink="ber_AanvullendeAfsprakenNeo!$B$24" lockText="1"/>
</file>

<file path=xl/ctrlProps/ctrlProp946.xml><?xml version="1.0" encoding="utf-8"?>
<formControlPr xmlns="http://schemas.microsoft.com/office/spreadsheetml/2009/9/main" objectType="CheckBox" fmlaLink="ber_AanvullendeAfsprakenNeo!$B$31" lockText="1"/>
</file>

<file path=xl/ctrlProps/ctrlProp947.xml><?xml version="1.0" encoding="utf-8"?>
<formControlPr xmlns="http://schemas.microsoft.com/office/spreadsheetml/2009/9/main" objectType="CheckBox" fmlaLink="ber_AanvullendeAfsprakenNeo!$B$32" lockText="1"/>
</file>

<file path=xl/ctrlProps/ctrlProp948.xml><?xml version="1.0" encoding="utf-8"?>
<formControlPr xmlns="http://schemas.microsoft.com/office/spreadsheetml/2009/9/main" objectType="CheckBox" fmlaLink="ber_AanvullendeAfsprakenNeo!$B$11" lockText="1"/>
</file>

<file path=xl/ctrlProps/ctrlProp949.xml><?xml version="1.0" encoding="utf-8"?>
<formControlPr xmlns="http://schemas.microsoft.com/office/spreadsheetml/2009/9/main" objectType="CheckBox" fmlaLink="ber_AanvullendeAfsprakenNeo!$B$15" lockText="1"/>
</file>

<file path=xl/ctrlProps/ctrlProp950.xml><?xml version="1.0" encoding="utf-8"?>
<formControlPr xmlns="http://schemas.microsoft.com/office/spreadsheetml/2009/9/main" objectType="CheckBox" fmlaLink="ber_AanvullendeAfsprakenNeo!$B$16" lockText="1"/>
</file>

<file path=xl/ctrlProps/ctrlProp951.xml><?xml version="1.0" encoding="utf-8"?>
<formControlPr xmlns="http://schemas.microsoft.com/office/spreadsheetml/2009/9/main" objectType="CheckBox" fmlaLink="ber_AanvullendeAfsprakenNeo!$B$17" lockText="1"/>
</file>

<file path=xl/ctrlProps/ctrlProp952.xml><?xml version="1.0" encoding="utf-8"?>
<formControlPr xmlns="http://schemas.microsoft.com/office/spreadsheetml/2009/9/main" objectType="CheckBox" fmlaLink="ber_AanvullendeAfsprakenNeo!$B$19" lockText="1"/>
</file>

<file path=xl/ctrlProps/ctrlProp953.xml><?xml version="1.0" encoding="utf-8"?>
<formControlPr xmlns="http://schemas.microsoft.com/office/spreadsheetml/2009/9/main" objectType="CheckBox" fmlaLink="ber_AanvullendeAfsprakenNeo!$D$11" lockText="1"/>
</file>

<file path=xl/ctrlProps/ctrlProp954.xml><?xml version="1.0" encoding="utf-8"?>
<formControlPr xmlns="http://schemas.microsoft.com/office/spreadsheetml/2009/9/main" objectType="CheckBox" fmlaLink="ber_AanvullendeAfsprakenNeo!$D$12" lockText="1"/>
</file>

<file path=xl/ctrlProps/ctrlProp955.xml><?xml version="1.0" encoding="utf-8"?>
<formControlPr xmlns="http://schemas.microsoft.com/office/spreadsheetml/2009/9/main" objectType="CheckBox" fmlaLink="ber_AanvullendeAfsprakenNeo!$D$13" lockText="1"/>
</file>

<file path=xl/ctrlProps/ctrlProp956.xml><?xml version="1.0" encoding="utf-8"?>
<formControlPr xmlns="http://schemas.microsoft.com/office/spreadsheetml/2009/9/main" objectType="CheckBox" fmlaLink="ber_AanvullendeAfsprakenNeo!$D$14" lockText="1"/>
</file>

<file path=xl/ctrlProps/ctrlProp957.xml><?xml version="1.0" encoding="utf-8"?>
<formControlPr xmlns="http://schemas.microsoft.com/office/spreadsheetml/2009/9/main" objectType="Spin" dx="15" fmlaLink="ber_AanvullendeAfsprakenNeo!$D$27" max="97" min="1" page="10"/>
</file>

<file path=xl/ctrlProps/ctrlProp958.xml><?xml version="1.0" encoding="utf-8"?>
<formControlPr xmlns="http://schemas.microsoft.com/office/spreadsheetml/2009/9/main" objectType="Drop" dropStyle="combo" dx="16" fmlaLink="ber_AanvullendeAfsprakenNeo!$D$36" fmlaRange="Aanvullend_ThoraxDrainSub1" noThreeD="1" sel="0" val="0"/>
</file>

<file path=xl/ctrlProps/ctrlProp959.xml><?xml version="1.0" encoding="utf-8"?>
<formControlPr xmlns="http://schemas.microsoft.com/office/spreadsheetml/2009/9/main" objectType="Drop" dropStyle="combo" dx="16" fmlaLink="ber_AanvullendeAfsprakenNeo!$D$39" fmlaRange="Aanvullend_ThoraxDrainSub1" noThreeD="1" sel="0" val="0"/>
</file>

<file path=xl/ctrlProps/ctrlProp960.xml><?xml version="1.0" encoding="utf-8"?>
<formControlPr xmlns="http://schemas.microsoft.com/office/spreadsheetml/2009/9/main" objectType="Drop" dropStyle="combo" dx="16" fmlaLink="ber_AanvullendeAfsprakenNeo!$D$35" fmlaRange="Aanvullend_ThoraxDrainSub3" noThreeD="1" sel="0" val="0"/>
</file>

<file path=xl/ctrlProps/ctrlProp961.xml><?xml version="1.0" encoding="utf-8"?>
<formControlPr xmlns="http://schemas.microsoft.com/office/spreadsheetml/2009/9/main" objectType="Drop" dropStyle="combo" dx="16" fmlaLink="ber_AanvullendeAfsprakenNeo!$D$38" fmlaRange="Aanvullend_ThoraxDrainSub3" noThreeD="1" sel="0" val="0"/>
</file>

<file path=xl/ctrlProps/ctrlProp962.xml><?xml version="1.0" encoding="utf-8"?>
<formControlPr xmlns="http://schemas.microsoft.com/office/spreadsheetml/2009/9/main" objectType="CheckBox" fmlaLink="ber_AanvullendeAfsprakenNeo!$D$35" lockText="1"/>
</file>

<file path=xl/ctrlProps/ctrlProp963.xml><?xml version="1.0" encoding="utf-8"?>
<formControlPr xmlns="http://schemas.microsoft.com/office/spreadsheetml/2009/9/main" objectType="CheckBox" fmlaLink="ber_AanvullendeAfsprakenNeo!$D$36" lockText="1"/>
</file>

<file path=xl/ctrlProps/ctrlProp964.xml><?xml version="1.0" encoding="utf-8"?>
<formControlPr xmlns="http://schemas.microsoft.com/office/spreadsheetml/2009/9/main" objectType="CheckBox" fmlaLink="ber_AanvullendeAfsprakenNeo!$B$40" lockText="1"/>
</file>

<file path=xl/ctrlProps/ctrlProp965.xml><?xml version="1.0" encoding="utf-8"?>
<formControlPr xmlns="http://schemas.microsoft.com/office/spreadsheetml/2009/9/main" objectType="Drop" dropStyle="combo" dx="16" fmlaLink="ber_AanvullendeAfsprakenNeo!$D$40" fmlaRange="Aanvullend_ThoraxDrainSub2" noThreeD="1" sel="0" val="0"/>
</file>

<file path=xl/ctrlProps/ctrlProp966.xml><?xml version="1.0" encoding="utf-8"?>
<formControlPr xmlns="http://schemas.microsoft.com/office/spreadsheetml/2009/9/main" objectType="Drop" dropStyle="combo" dx="16" fmlaLink="ber_AanvullendeAfsprakenNeo!$D$42" fmlaRange="Aanvullend_ThoraxDrainSub1" noThreeD="1" sel="0" val="0"/>
</file>

<file path=xl/ctrlProps/ctrlProp967.xml><?xml version="1.0" encoding="utf-8"?>
<formControlPr xmlns="http://schemas.microsoft.com/office/spreadsheetml/2009/9/main" objectType="Drop" dropStyle="combo" dx="16" fmlaLink="ber_AanvullendeAfsprakenNeo!$D$41" fmlaRange="Aanvullend_ThoraxDrainSub3" noThreeD="1" sel="0" val="0"/>
</file>

<file path=xl/ctrlProps/ctrlProp968.xml><?xml version="1.0" encoding="utf-8"?>
<formControlPr xmlns="http://schemas.microsoft.com/office/spreadsheetml/2009/9/main" objectType="CheckBox" fmlaLink="ber_AanvullendeAfsprakenNeo!$B$43" lockText="1"/>
</file>

<file path=xl/ctrlProps/ctrlProp969.xml><?xml version="1.0" encoding="utf-8"?>
<formControlPr xmlns="http://schemas.microsoft.com/office/spreadsheetml/2009/9/main" objectType="CheckBox" fmlaLink="ber_AanvullendeAfsprakenNeo!$B$45" lockText="1"/>
</file>

<file path=xl/ctrlProps/ctrlProp970.xml><?xml version="1.0" encoding="utf-8"?>
<formControlPr xmlns="http://schemas.microsoft.com/office/spreadsheetml/2009/9/main" objectType="CheckBox" fmlaLink="ber_AanvullendeAfsprakenNeo!$B$44" lockText="1"/>
</file>

<file path=xl/ctrlProps/ctrlProp971.xml><?xml version="1.0" encoding="utf-8"?>
<formControlPr xmlns="http://schemas.microsoft.com/office/spreadsheetml/2009/9/main" objectType="CheckBox" fmlaLink="ber_AanvullendeAfsprakenNeo!$D$43" lockText="1"/>
</file>

<file path=xl/ctrlProps/ctrlProp972.xml><?xml version="1.0" encoding="utf-8"?>
<formControlPr xmlns="http://schemas.microsoft.com/office/spreadsheetml/2009/9/main" objectType="CheckBox" fmlaLink="ber_AanvullendeAfsprakenNeo!$D$44" lockText="1"/>
</file>

<file path=xl/ctrlProps/ctrlProp973.xml><?xml version="1.0" encoding="utf-8"?>
<formControlPr xmlns="http://schemas.microsoft.com/office/spreadsheetml/2009/9/main" objectType="CheckBox" fmlaLink="ber_AanvullendeAfsprakenNeo!$D$45" lockText="1"/>
</file>

<file path=xl/ctrlProps/ctrlProp974.xml><?xml version="1.0" encoding="utf-8"?>
<formControlPr xmlns="http://schemas.microsoft.com/office/spreadsheetml/2009/9/main" objectType="Drop" dropStyle="combo" dx="16" fmlaLink="ber_AanvullendeAfsprakenNeo!$D$46" fmlaRange="Aanvullend_LiquorDrainSub1" noThreeD="1" sel="0" val="0"/>
</file>

<file path=xl/ctrlProps/ctrlProp975.xml><?xml version="1.0" encoding="utf-8"?>
<formControlPr xmlns="http://schemas.microsoft.com/office/spreadsheetml/2009/9/main" objectType="Spin" dx="15" fmlaLink="ber_AanvullendeAfsprakenNeo!$D$47" max="100" page="10" val="0"/>
</file>

<file path=xl/ctrlProps/ctrlProp976.xml><?xml version="1.0" encoding="utf-8"?>
<formControlPr xmlns="http://schemas.microsoft.com/office/spreadsheetml/2009/9/main" objectType="CheckBox" fmlaLink="ber_AanvullendeAfsprakenNeo!$B$46" lockText="1"/>
</file>

<file path=xl/ctrlProps/ctrlProp977.xml><?xml version="1.0" encoding="utf-8"?>
<formControlPr xmlns="http://schemas.microsoft.com/office/spreadsheetml/2009/9/main" objectType="CheckBox" fmlaLink="ber_AanvullendeAfsprakenNeo!$L$28" lockText="1"/>
</file>

<file path=xl/ctrlProps/ctrlProp978.xml><?xml version="1.0" encoding="utf-8"?>
<formControlPr xmlns="http://schemas.microsoft.com/office/spreadsheetml/2009/9/main" objectType="Spin" dx="15" fmlaLink="ber_AanvullendeAfsprakenNeo!$C$8" max="10" page="10" val="0"/>
</file>

<file path=xl/ctrlProps/ctrlProp979.xml><?xml version="1.0" encoding="utf-8"?>
<formControlPr xmlns="http://schemas.microsoft.com/office/spreadsheetml/2009/9/main" objectType="Spin" dx="15" fmlaLink="ber_AanvullendeAfsprakenPed!$C$8" max="10" page="10" val="0"/>
</file>

<file path=xl/ctrlProps/ctrlProp980.xml><?xml version="1.0" encoding="utf-8"?>
<formControlPr xmlns="http://schemas.microsoft.com/office/spreadsheetml/2009/9/main" objectType="Drop" dropStyle="combo" dx="16" fmlaLink="ber_AanvullendeAfsprakenNeo!$D$8" fmlaRange="Aanvullend_PerPeriode" noThreeD="1" sel="0" val="0"/>
</file>

<file path=xl/ctrlProps/ctrlProp981.xml><?xml version="1.0" encoding="utf-8"?>
<formControlPr xmlns="http://schemas.microsoft.com/office/spreadsheetml/2009/9/main" objectType="Drop" dropStyle="combo" dx="16" fmlaLink="ber_AanvullendeAfsprakenNeo!$D$9" fmlaRange="Aanvullend_PerPeriode" noThreeD="1" sel="0" val="0"/>
</file>

<file path=xl/ctrlProps/ctrlProp982.xml><?xml version="1.0" encoding="utf-8"?>
<formControlPr xmlns="http://schemas.microsoft.com/office/spreadsheetml/2009/9/main" objectType="Spin" dx="15" fmlaLink="ber_AanvullendeAfsprakenPed!$C$8" max="10" page="10" val="0"/>
</file>

<file path=xl/ctrlProps/ctrlProp983.xml><?xml version="1.0" encoding="utf-8"?>
<formControlPr xmlns="http://schemas.microsoft.com/office/spreadsheetml/2009/9/main" objectType="Spin" dx="15" fmlaLink="ber_AanvullendeAfsprakenNeo!$C$9" max="10" page="10" val="0"/>
</file>

<file path=xl/ctrlProps/ctrlProp984.xml><?xml version="1.0" encoding="utf-8"?>
<formControlPr xmlns="http://schemas.microsoft.com/office/spreadsheetml/2009/9/main" objectType="Spin" dx="15" fmlaLink="ber_AanvullendeAfsprakenNeo!$K$20" max="24" page="10" val="0"/>
</file>

<file path=xl/ctrlProps/ctrlProp985.xml><?xml version="1.0" encoding="utf-8"?>
<formControlPr xmlns="http://schemas.microsoft.com/office/spreadsheetml/2009/9/main" objectType="CheckBox" fmlaLink="ber_AanvullendeAfsprakenNeo!$J$29" lockText="1"/>
</file>

<file path=xl/ctrlProps/ctrlProp986.xml><?xml version="1.0" encoding="utf-8"?>
<formControlPr xmlns="http://schemas.microsoft.com/office/spreadsheetml/2009/9/main" objectType="Spin" dx="15" fmlaLink="ber_AanvullendeAfsprakenNeo!$K$29" max="3" page="10" val="0"/>
</file>

<file path=xl/ctrlProps/ctrlProp987.xml><?xml version="1.0" encoding="utf-8"?>
<formControlPr xmlns="http://schemas.microsoft.com/office/spreadsheetml/2009/9/main" objectType="CheckBox" fmlaLink="ber_AanvullendeAfsprakenNeo!$B$18" lockText="1"/>
</file>

<file path=xl/ctrlProps/ctrlProp988.xml><?xml version="1.0" encoding="utf-8"?>
<formControlPr xmlns="http://schemas.microsoft.com/office/spreadsheetml/2009/9/main" objectType="Spin" dx="15" fmlaLink="ber_AanvullendeAfsprakenPed!$C$8" max="10" page="10" val="0"/>
</file>

<file path=xl/ctrlProps/ctrlProp989.xml><?xml version="1.0" encoding="utf-8"?>
<formControlPr xmlns="http://schemas.microsoft.com/office/spreadsheetml/2009/9/main" objectType="Drop" dropStyle="combo" dx="16" fmlaLink="ber_AanvullendeAfsprakenNeo!$D$18" fmlaRange="Aanvullend_PerPeriode" noThreeD="1" sel="0" val="0"/>
</file>

<file path=xl/ctrlProps/ctrlProp990.xml><?xml version="1.0" encoding="utf-8"?>
<formControlPr xmlns="http://schemas.microsoft.com/office/spreadsheetml/2009/9/main" objectType="Spin" dx="15" fmlaLink="ber_AanvullendeAfsprakenPed!$C$8" max="10" page="10" val="0"/>
</file>

<file path=xl/ctrlProps/ctrlProp991.xml><?xml version="1.0" encoding="utf-8"?>
<formControlPr xmlns="http://schemas.microsoft.com/office/spreadsheetml/2009/9/main" objectType="Spin" dx="15" fmlaLink="ber_AanvullendeAfsprakenNeo!$C$18" max="10" page="10" val="0"/>
</file>

<file path=xl/ctrlProps/ctrlProp992.xml><?xml version="1.0" encoding="utf-8"?>
<formControlPr xmlns="http://schemas.microsoft.com/office/spreadsheetml/2009/9/main" objectType="CheckBox" fmlaLink="Ber_Lab_Neo!$C$4" lockText="1"/>
</file>

<file path=xl/ctrlProps/ctrlProp993.xml><?xml version="1.0" encoding="utf-8"?>
<formControlPr xmlns="http://schemas.microsoft.com/office/spreadsheetml/2009/9/main" objectType="CheckBox" fmlaLink="Ber_Lab_Neo!C5" lockText="1"/>
</file>

<file path=xl/ctrlProps/ctrlProp994.xml><?xml version="1.0" encoding="utf-8"?>
<formControlPr xmlns="http://schemas.microsoft.com/office/spreadsheetml/2009/9/main" objectType="CheckBox" fmlaLink="Ber_Lab_Neo!C7" lockText="1"/>
</file>

<file path=xl/ctrlProps/ctrlProp995.xml><?xml version="1.0" encoding="utf-8"?>
<formControlPr xmlns="http://schemas.microsoft.com/office/spreadsheetml/2009/9/main" objectType="CheckBox" fmlaLink="Ber_Lab_Neo!C8" lockText="1"/>
</file>

<file path=xl/ctrlProps/ctrlProp996.xml><?xml version="1.0" encoding="utf-8"?>
<formControlPr xmlns="http://schemas.microsoft.com/office/spreadsheetml/2009/9/main" objectType="CheckBox" fmlaLink="Ber_Lab_Neo!C14" lockText="1"/>
</file>

<file path=xl/ctrlProps/ctrlProp997.xml><?xml version="1.0" encoding="utf-8"?>
<formControlPr xmlns="http://schemas.microsoft.com/office/spreadsheetml/2009/9/main" objectType="CheckBox" fmlaLink="Ber_Lab_Neo!C13" lockText="1"/>
</file>

<file path=xl/ctrlProps/ctrlProp998.xml><?xml version="1.0" encoding="utf-8"?>
<formControlPr xmlns="http://schemas.microsoft.com/office/spreadsheetml/2009/9/main" objectType="CheckBox" fmlaLink="Ber_Lab_Neo!C30" lockText="1"/>
</file>

<file path=xl/ctrlProps/ctrlProp999.xml><?xml version="1.0" encoding="utf-8"?>
<formControlPr xmlns="http://schemas.microsoft.com/office/spreadsheetml/2009/9/main" objectType="CheckBox" fmlaLink="Ber_Lab_Neo!C16" lockText="1"/>
</file>

<file path=xl/ctrlProps/ctrlProp1000.xml><?xml version="1.0" encoding="utf-8"?>
<formControlPr xmlns="http://schemas.microsoft.com/office/spreadsheetml/2009/9/main" objectType="CheckBox" fmlaLink="Ber_Lab_Neo!C19" lockText="1"/>
</file>

<file path=xl/ctrlProps/ctrlProp1001.xml><?xml version="1.0" encoding="utf-8"?>
<formControlPr xmlns="http://schemas.microsoft.com/office/spreadsheetml/2009/9/main" objectType="CheckBox" fmlaLink="Ber_Lab_Neo!C20" lockText="1"/>
</file>

<file path=xl/ctrlProps/ctrlProp1002.xml><?xml version="1.0" encoding="utf-8"?>
<formControlPr xmlns="http://schemas.microsoft.com/office/spreadsheetml/2009/9/main" objectType="CheckBox" fmlaLink="Ber_Lab_Neo!C21" lockText="1"/>
</file>

<file path=xl/ctrlProps/ctrlProp1003.xml><?xml version="1.0" encoding="utf-8"?>
<formControlPr xmlns="http://schemas.microsoft.com/office/spreadsheetml/2009/9/main" objectType="CheckBox" fmlaLink="Ber_Lab_Neo!C12" lockText="1"/>
</file>

<file path=xl/ctrlProps/ctrlProp1004.xml><?xml version="1.0" encoding="utf-8"?>
<formControlPr xmlns="http://schemas.microsoft.com/office/spreadsheetml/2009/9/main" objectType="CheckBox" fmlaLink="Ber_Lab_Neo!C28" lockText="1"/>
</file>

<file path=xl/ctrlProps/ctrlProp1005.xml><?xml version="1.0" encoding="utf-8"?>
<formControlPr xmlns="http://schemas.microsoft.com/office/spreadsheetml/2009/9/main" objectType="CheckBox" fmlaLink="Ber_Lab_Neo!$G$4" lockText="1"/>
</file>

<file path=xl/ctrlProps/ctrlProp1006.xml><?xml version="1.0" encoding="utf-8"?>
<formControlPr xmlns="http://schemas.microsoft.com/office/spreadsheetml/2009/9/main" objectType="CheckBox" fmlaLink="Ber_Lab_Neo!G5" lockText="1"/>
</file>

<file path=xl/ctrlProps/ctrlProp1007.xml><?xml version="1.0" encoding="utf-8"?>
<formControlPr xmlns="http://schemas.microsoft.com/office/spreadsheetml/2009/9/main" objectType="CheckBox" fmlaLink="Ber_Lab_Neo!G7" lockText="1"/>
</file>

<file path=xl/ctrlProps/ctrlProp1008.xml><?xml version="1.0" encoding="utf-8"?>
<formControlPr xmlns="http://schemas.microsoft.com/office/spreadsheetml/2009/9/main" objectType="CheckBox" fmlaLink="Ber_Lab_Neo!G8" lockText="1"/>
</file>

<file path=xl/ctrlProps/ctrlProp1009.xml><?xml version="1.0" encoding="utf-8"?>
<formControlPr xmlns="http://schemas.microsoft.com/office/spreadsheetml/2009/9/main" objectType="CheckBox" fmlaLink="Ber_Lab_Neo!G14" lockText="1"/>
</file>

<file path=xl/ctrlProps/ctrlProp1010.xml><?xml version="1.0" encoding="utf-8"?>
<formControlPr xmlns="http://schemas.microsoft.com/office/spreadsheetml/2009/9/main" objectType="CheckBox" fmlaLink="Ber_Lab_Neo!G13" lockText="1"/>
</file>

<file path=xl/ctrlProps/ctrlProp1011.xml><?xml version="1.0" encoding="utf-8"?>
<formControlPr xmlns="http://schemas.microsoft.com/office/spreadsheetml/2009/9/main" objectType="CheckBox" fmlaLink="Ber_Lab_Neo!G30" lockText="1"/>
</file>

<file path=xl/ctrlProps/ctrlProp1012.xml><?xml version="1.0" encoding="utf-8"?>
<formControlPr xmlns="http://schemas.microsoft.com/office/spreadsheetml/2009/9/main" objectType="CheckBox" fmlaLink="Ber_Lab_Neo!G16" lockText="1"/>
</file>

<file path=xl/ctrlProps/ctrlProp1013.xml><?xml version="1.0" encoding="utf-8"?>
<formControlPr xmlns="http://schemas.microsoft.com/office/spreadsheetml/2009/9/main" objectType="CheckBox" fmlaLink="Ber_Lab_Neo!G19" lockText="1"/>
</file>

<file path=xl/ctrlProps/ctrlProp1014.xml><?xml version="1.0" encoding="utf-8"?>
<formControlPr xmlns="http://schemas.microsoft.com/office/spreadsheetml/2009/9/main" objectType="CheckBox" fmlaLink="Ber_Lab_Neo!G20" lockText="1"/>
</file>

<file path=xl/ctrlProps/ctrlProp1015.xml><?xml version="1.0" encoding="utf-8"?>
<formControlPr xmlns="http://schemas.microsoft.com/office/spreadsheetml/2009/9/main" objectType="CheckBox" fmlaLink="Ber_Lab_Neo!G21" lockText="1"/>
</file>

<file path=xl/ctrlProps/ctrlProp1016.xml><?xml version="1.0" encoding="utf-8"?>
<formControlPr xmlns="http://schemas.microsoft.com/office/spreadsheetml/2009/9/main" objectType="CheckBox" fmlaLink="Ber_Lab_Neo!G12" lockText="1"/>
</file>

<file path=xl/ctrlProps/ctrlProp1017.xml><?xml version="1.0" encoding="utf-8"?>
<formControlPr xmlns="http://schemas.microsoft.com/office/spreadsheetml/2009/9/main" objectType="CheckBox" fmlaLink="Ber_Lab_Neo!G28" lockText="1"/>
</file>

<file path=xl/ctrlProps/ctrlProp1018.xml><?xml version="1.0" encoding="utf-8"?>
<formControlPr xmlns="http://schemas.microsoft.com/office/spreadsheetml/2009/9/main" objectType="CheckBox" fmlaLink="Ber_Lab_Neo!$I$4" lockText="1"/>
</file>

<file path=xl/ctrlProps/ctrlProp1019.xml><?xml version="1.0" encoding="utf-8"?>
<formControlPr xmlns="http://schemas.microsoft.com/office/spreadsheetml/2009/9/main" objectType="CheckBox" fmlaLink="Ber_Lab_Neo!I5" lockText="1"/>
</file>

<file path=xl/ctrlProps/ctrlProp1020.xml><?xml version="1.0" encoding="utf-8"?>
<formControlPr xmlns="http://schemas.microsoft.com/office/spreadsheetml/2009/9/main" objectType="CheckBox" fmlaLink="Ber_Lab_Neo!I7" lockText="1"/>
</file>

<file path=xl/ctrlProps/ctrlProp1021.xml><?xml version="1.0" encoding="utf-8"?>
<formControlPr xmlns="http://schemas.microsoft.com/office/spreadsheetml/2009/9/main" objectType="CheckBox" fmlaLink="Ber_Lab_Neo!I8" lockText="1"/>
</file>

<file path=xl/ctrlProps/ctrlProp1022.xml><?xml version="1.0" encoding="utf-8"?>
<formControlPr xmlns="http://schemas.microsoft.com/office/spreadsheetml/2009/9/main" objectType="CheckBox" fmlaLink="Ber_Lab_Neo!I14" lockText="1"/>
</file>

<file path=xl/ctrlProps/ctrlProp1023.xml><?xml version="1.0" encoding="utf-8"?>
<formControlPr xmlns="http://schemas.microsoft.com/office/spreadsheetml/2009/9/main" objectType="CheckBox" fmlaLink="Ber_Lab_Neo!I13" lockText="1"/>
</file>

<file path=xl/ctrlProps/ctrlProp1024.xml><?xml version="1.0" encoding="utf-8"?>
<formControlPr xmlns="http://schemas.microsoft.com/office/spreadsheetml/2009/9/main" objectType="CheckBox" fmlaLink="Ber_Lab_Neo!I30" lockText="1"/>
</file>

<file path=xl/ctrlProps/ctrlProp1025.xml><?xml version="1.0" encoding="utf-8"?>
<formControlPr xmlns="http://schemas.microsoft.com/office/spreadsheetml/2009/9/main" objectType="CheckBox" fmlaLink="Ber_Lab_Neo!I16" lockText="1"/>
</file>

<file path=xl/ctrlProps/ctrlProp1026.xml><?xml version="1.0" encoding="utf-8"?>
<formControlPr xmlns="http://schemas.microsoft.com/office/spreadsheetml/2009/9/main" objectType="CheckBox" fmlaLink="Ber_Lab_Neo!I19" lockText="1"/>
</file>

<file path=xl/ctrlProps/ctrlProp1027.xml><?xml version="1.0" encoding="utf-8"?>
<formControlPr xmlns="http://schemas.microsoft.com/office/spreadsheetml/2009/9/main" objectType="CheckBox" fmlaLink="Ber_Lab_Neo!I20" lockText="1"/>
</file>

<file path=xl/ctrlProps/ctrlProp1028.xml><?xml version="1.0" encoding="utf-8"?>
<formControlPr xmlns="http://schemas.microsoft.com/office/spreadsheetml/2009/9/main" objectType="CheckBox" fmlaLink="Ber_Lab_Neo!I21" lockText="1"/>
</file>

<file path=xl/ctrlProps/ctrlProp1029.xml><?xml version="1.0" encoding="utf-8"?>
<formControlPr xmlns="http://schemas.microsoft.com/office/spreadsheetml/2009/9/main" objectType="CheckBox" fmlaLink="Ber_Lab_Neo!I12" lockText="1"/>
</file>

<file path=xl/ctrlProps/ctrlProp1030.xml><?xml version="1.0" encoding="utf-8"?>
<formControlPr xmlns="http://schemas.microsoft.com/office/spreadsheetml/2009/9/main" objectType="CheckBox" fmlaLink="Ber_Lab_Neo!I28" lockText="1"/>
</file>

<file path=xl/ctrlProps/ctrlProp1031.xml><?xml version="1.0" encoding="utf-8"?>
<formControlPr xmlns="http://schemas.microsoft.com/office/spreadsheetml/2009/9/main" objectType="CheckBox" fmlaLink="Ber_Lab_Neo!$O$4" lockText="1"/>
</file>

<file path=xl/ctrlProps/ctrlProp1032.xml><?xml version="1.0" encoding="utf-8"?>
<formControlPr xmlns="http://schemas.microsoft.com/office/spreadsheetml/2009/9/main" objectType="CheckBox" fmlaLink="Ber_Lab_Neo!O5" lockText="1"/>
</file>

<file path=xl/ctrlProps/ctrlProp1033.xml><?xml version="1.0" encoding="utf-8"?>
<formControlPr xmlns="http://schemas.microsoft.com/office/spreadsheetml/2009/9/main" objectType="CheckBox" fmlaLink="Ber_Lab_Neo!O7" lockText="1"/>
</file>

<file path=xl/ctrlProps/ctrlProp1034.xml><?xml version="1.0" encoding="utf-8"?>
<formControlPr xmlns="http://schemas.microsoft.com/office/spreadsheetml/2009/9/main" objectType="CheckBox" fmlaLink="Ber_Lab_Neo!O8" lockText="1"/>
</file>

<file path=xl/ctrlProps/ctrlProp1035.xml><?xml version="1.0" encoding="utf-8"?>
<formControlPr xmlns="http://schemas.microsoft.com/office/spreadsheetml/2009/9/main" objectType="CheckBox" fmlaLink="Ber_Lab_Neo!O14" lockText="1"/>
</file>

<file path=xl/ctrlProps/ctrlProp1036.xml><?xml version="1.0" encoding="utf-8"?>
<formControlPr xmlns="http://schemas.microsoft.com/office/spreadsheetml/2009/9/main" objectType="CheckBox" fmlaLink="Ber_Lab_Neo!O13" lockText="1"/>
</file>

<file path=xl/ctrlProps/ctrlProp1037.xml><?xml version="1.0" encoding="utf-8"?>
<formControlPr xmlns="http://schemas.microsoft.com/office/spreadsheetml/2009/9/main" objectType="CheckBox" fmlaLink="Ber_Lab_Neo!O30" lockText="1"/>
</file>

<file path=xl/ctrlProps/ctrlProp1038.xml><?xml version="1.0" encoding="utf-8"?>
<formControlPr xmlns="http://schemas.microsoft.com/office/spreadsheetml/2009/9/main" objectType="CheckBox" fmlaLink="Ber_Lab_Neo!O16" lockText="1"/>
</file>

<file path=xl/ctrlProps/ctrlProp1039.xml><?xml version="1.0" encoding="utf-8"?>
<formControlPr xmlns="http://schemas.microsoft.com/office/spreadsheetml/2009/9/main" objectType="CheckBox" fmlaLink="Ber_Lab_Neo!O19" lockText="1"/>
</file>

<file path=xl/ctrlProps/ctrlProp1040.xml><?xml version="1.0" encoding="utf-8"?>
<formControlPr xmlns="http://schemas.microsoft.com/office/spreadsheetml/2009/9/main" objectType="CheckBox" fmlaLink="Ber_Lab_Neo!O20" lockText="1"/>
</file>

<file path=xl/ctrlProps/ctrlProp1041.xml><?xml version="1.0" encoding="utf-8"?>
<formControlPr xmlns="http://schemas.microsoft.com/office/spreadsheetml/2009/9/main" objectType="CheckBox" fmlaLink="Ber_Lab_Neo!O21" lockText="1"/>
</file>

<file path=xl/ctrlProps/ctrlProp1042.xml><?xml version="1.0" encoding="utf-8"?>
<formControlPr xmlns="http://schemas.microsoft.com/office/spreadsheetml/2009/9/main" objectType="CheckBox" fmlaLink="Ber_Lab_Neo!O12" lockText="1"/>
</file>

<file path=xl/ctrlProps/ctrlProp1043.xml><?xml version="1.0" encoding="utf-8"?>
<formControlPr xmlns="http://schemas.microsoft.com/office/spreadsheetml/2009/9/main" objectType="CheckBox" fmlaLink="Ber_Lab_Neo!O28" lockText="1"/>
</file>

<file path=xl/ctrlProps/ctrlProp1044.xml><?xml version="1.0" encoding="utf-8"?>
<formControlPr xmlns="http://schemas.microsoft.com/office/spreadsheetml/2009/9/main" objectType="CheckBox" fmlaLink="Ber_Lab_Neo!C32" lockText="1"/>
</file>

<file path=xl/ctrlProps/ctrlProp1045.xml><?xml version="1.0" encoding="utf-8"?>
<formControlPr xmlns="http://schemas.microsoft.com/office/spreadsheetml/2009/9/main" objectType="CheckBox" fmlaLink="Ber_Lab_Neo!G32" lockText="1"/>
</file>

<file path=xl/ctrlProps/ctrlProp1046.xml><?xml version="1.0" encoding="utf-8"?>
<formControlPr xmlns="http://schemas.microsoft.com/office/spreadsheetml/2009/9/main" objectType="CheckBox" fmlaLink="Ber_Lab_Neo!I32" lockText="1"/>
</file>

<file path=xl/ctrlProps/ctrlProp1047.xml><?xml version="1.0" encoding="utf-8"?>
<formControlPr xmlns="http://schemas.microsoft.com/office/spreadsheetml/2009/9/main" objectType="CheckBox" fmlaLink="Ber_Lab_Neo!O32" lockText="1"/>
</file>

<file path=xl/ctrlProps/ctrlProp1048.xml><?xml version="1.0" encoding="utf-8"?>
<formControlPr xmlns="http://schemas.microsoft.com/office/spreadsheetml/2009/9/main" objectType="CheckBox" fmlaLink="Ber_Lab_Neo!C6" lockText="1"/>
</file>

<file path=xl/ctrlProps/ctrlProp1049.xml><?xml version="1.0" encoding="utf-8"?>
<formControlPr xmlns="http://schemas.microsoft.com/office/spreadsheetml/2009/9/main" objectType="CheckBox" fmlaLink="Ber_Lab_Neo!G6" lockText="1"/>
</file>

<file path=xl/ctrlProps/ctrlProp1050.xml><?xml version="1.0" encoding="utf-8"?>
<formControlPr xmlns="http://schemas.microsoft.com/office/spreadsheetml/2009/9/main" objectType="CheckBox" fmlaLink="Ber_Lab_Neo!I6" lockText="1"/>
</file>

<file path=xl/ctrlProps/ctrlProp1051.xml><?xml version="1.0" encoding="utf-8"?>
<formControlPr xmlns="http://schemas.microsoft.com/office/spreadsheetml/2009/9/main" objectType="CheckBox" fmlaLink="Ber_Lab_Neo!O6" lockText="1"/>
</file>

<file path=xl/ctrlProps/ctrlProp1052.xml><?xml version="1.0" encoding="utf-8"?>
<formControlPr xmlns="http://schemas.microsoft.com/office/spreadsheetml/2009/9/main" objectType="CheckBox" fmlaLink="Ber_Lab_Neo!C17" lockText="1"/>
</file>

<file path=xl/ctrlProps/ctrlProp1053.xml><?xml version="1.0" encoding="utf-8"?>
<formControlPr xmlns="http://schemas.microsoft.com/office/spreadsheetml/2009/9/main" objectType="CheckBox" fmlaLink="Ber_Lab_Neo!G17" lockText="1"/>
</file>

<file path=xl/ctrlProps/ctrlProp1054.xml><?xml version="1.0" encoding="utf-8"?>
<formControlPr xmlns="http://schemas.microsoft.com/office/spreadsheetml/2009/9/main" objectType="CheckBox" fmlaLink="Ber_Lab_Neo!I17" lockText="1"/>
</file>

<file path=xl/ctrlProps/ctrlProp1055.xml><?xml version="1.0" encoding="utf-8"?>
<formControlPr xmlns="http://schemas.microsoft.com/office/spreadsheetml/2009/9/main" objectType="CheckBox" fmlaLink="Ber_Lab_Neo!O17" lockText="1"/>
</file>

<file path=xl/ctrlProps/ctrlProp1056.xml><?xml version="1.0" encoding="utf-8"?>
<formControlPr xmlns="http://schemas.microsoft.com/office/spreadsheetml/2009/9/main" objectType="CheckBox" fmlaLink="Ber_Lab_Neo!$E$4" lockText="1"/>
</file>

<file path=xl/ctrlProps/ctrlProp1057.xml><?xml version="1.0" encoding="utf-8"?>
<formControlPr xmlns="http://schemas.microsoft.com/office/spreadsheetml/2009/9/main" objectType="CheckBox" fmlaLink="Ber_Lab_Neo!E5" lockText="1"/>
</file>

<file path=xl/ctrlProps/ctrlProp1058.xml><?xml version="1.0" encoding="utf-8"?>
<formControlPr xmlns="http://schemas.microsoft.com/office/spreadsheetml/2009/9/main" objectType="CheckBox" fmlaLink="Ber_Lab_Neo!E7" lockText="1"/>
</file>

<file path=xl/ctrlProps/ctrlProp1059.xml><?xml version="1.0" encoding="utf-8"?>
<formControlPr xmlns="http://schemas.microsoft.com/office/spreadsheetml/2009/9/main" objectType="CheckBox" fmlaLink="Ber_Lab_Neo!E8" lockText="1"/>
</file>

<file path=xl/ctrlProps/ctrlProp1060.xml><?xml version="1.0" encoding="utf-8"?>
<formControlPr xmlns="http://schemas.microsoft.com/office/spreadsheetml/2009/9/main" objectType="CheckBox" fmlaLink="Ber_Lab_Neo!E14" lockText="1"/>
</file>

<file path=xl/ctrlProps/ctrlProp1061.xml><?xml version="1.0" encoding="utf-8"?>
<formControlPr xmlns="http://schemas.microsoft.com/office/spreadsheetml/2009/9/main" objectType="CheckBox" fmlaLink="Ber_Lab_Neo!E13" lockText="1"/>
</file>

<file path=xl/ctrlProps/ctrlProp1062.xml><?xml version="1.0" encoding="utf-8"?>
<formControlPr xmlns="http://schemas.microsoft.com/office/spreadsheetml/2009/9/main" objectType="CheckBox" fmlaLink="Ber_Lab_Neo!E30" lockText="1"/>
</file>

<file path=xl/ctrlProps/ctrlProp1063.xml><?xml version="1.0" encoding="utf-8"?>
<formControlPr xmlns="http://schemas.microsoft.com/office/spreadsheetml/2009/9/main" objectType="CheckBox" fmlaLink="Ber_Lab_Neo!E16" lockText="1"/>
</file>

<file path=xl/ctrlProps/ctrlProp1064.xml><?xml version="1.0" encoding="utf-8"?>
<formControlPr xmlns="http://schemas.microsoft.com/office/spreadsheetml/2009/9/main" objectType="CheckBox" fmlaLink="Ber_Lab_Neo!E19" lockText="1"/>
</file>

<file path=xl/ctrlProps/ctrlProp1065.xml><?xml version="1.0" encoding="utf-8"?>
<formControlPr xmlns="http://schemas.microsoft.com/office/spreadsheetml/2009/9/main" objectType="CheckBox" fmlaLink="Ber_Lab_Neo!E20" lockText="1"/>
</file>

<file path=xl/ctrlProps/ctrlProp1066.xml><?xml version="1.0" encoding="utf-8"?>
<formControlPr xmlns="http://schemas.microsoft.com/office/spreadsheetml/2009/9/main" objectType="CheckBox" fmlaLink="Ber_Lab_Neo!E21" lockText="1"/>
</file>

<file path=xl/ctrlProps/ctrlProp1067.xml><?xml version="1.0" encoding="utf-8"?>
<formControlPr xmlns="http://schemas.microsoft.com/office/spreadsheetml/2009/9/main" objectType="CheckBox" fmlaLink="Ber_Lab_Neo!E12" lockText="1"/>
</file>

<file path=xl/ctrlProps/ctrlProp1068.xml><?xml version="1.0" encoding="utf-8"?>
<formControlPr xmlns="http://schemas.microsoft.com/office/spreadsheetml/2009/9/main" objectType="CheckBox" fmlaLink="Ber_Lab_Neo!E28" lockText="1"/>
</file>

<file path=xl/ctrlProps/ctrlProp1069.xml><?xml version="1.0" encoding="utf-8"?>
<formControlPr xmlns="http://schemas.microsoft.com/office/spreadsheetml/2009/9/main" objectType="CheckBox" fmlaLink="Ber_Lab_Neo!E32" lockText="1"/>
</file>

<file path=xl/ctrlProps/ctrlProp1070.xml><?xml version="1.0" encoding="utf-8"?>
<formControlPr xmlns="http://schemas.microsoft.com/office/spreadsheetml/2009/9/main" objectType="CheckBox" fmlaLink="Ber_Lab_Neo!E6" lockText="1"/>
</file>

<file path=xl/ctrlProps/ctrlProp1071.xml><?xml version="1.0" encoding="utf-8"?>
<formControlPr xmlns="http://schemas.microsoft.com/office/spreadsheetml/2009/9/main" objectType="CheckBox" fmlaLink="Ber_Lab_Neo!E17" lockText="1"/>
</file>

<file path=xl/ctrlProps/ctrlProp1072.xml><?xml version="1.0" encoding="utf-8"?>
<formControlPr xmlns="http://schemas.microsoft.com/office/spreadsheetml/2009/9/main" objectType="CheckBox" fmlaLink="Ber_Lab_Neo!C33" lockText="1"/>
</file>

<file path=xl/ctrlProps/ctrlProp1073.xml><?xml version="1.0" encoding="utf-8"?>
<formControlPr xmlns="http://schemas.microsoft.com/office/spreadsheetml/2009/9/main" objectType="CheckBox" fmlaLink="Ber_Lab_Neo!G33" lockText="1"/>
</file>

<file path=xl/ctrlProps/ctrlProp1074.xml><?xml version="1.0" encoding="utf-8"?>
<formControlPr xmlns="http://schemas.microsoft.com/office/spreadsheetml/2009/9/main" objectType="CheckBox" fmlaLink="Ber_Lab_Neo!I33" lockText="1"/>
</file>

<file path=xl/ctrlProps/ctrlProp1075.xml><?xml version="1.0" encoding="utf-8"?>
<formControlPr xmlns="http://schemas.microsoft.com/office/spreadsheetml/2009/9/main" objectType="CheckBox" fmlaLink="Ber_Lab_Neo!O33" lockText="1"/>
</file>

<file path=xl/ctrlProps/ctrlProp1076.xml><?xml version="1.0" encoding="utf-8"?>
<formControlPr xmlns="http://schemas.microsoft.com/office/spreadsheetml/2009/9/main" objectType="CheckBox" fmlaLink="Ber_Lab_Neo!E33" lockText="1"/>
</file>

<file path=xl/ctrlProps/ctrlProp1077.xml><?xml version="1.0" encoding="utf-8"?>
<formControlPr xmlns="http://schemas.microsoft.com/office/spreadsheetml/2009/9/main" objectType="CheckBox" fmlaLink="Ber_Lab_Neo!C34" lockText="1"/>
</file>

<file path=xl/ctrlProps/ctrlProp1078.xml><?xml version="1.0" encoding="utf-8"?>
<formControlPr xmlns="http://schemas.microsoft.com/office/spreadsheetml/2009/9/main" objectType="CheckBox" fmlaLink="Ber_Lab_Neo!G34" lockText="1"/>
</file>

<file path=xl/ctrlProps/ctrlProp1079.xml><?xml version="1.0" encoding="utf-8"?>
<formControlPr xmlns="http://schemas.microsoft.com/office/spreadsheetml/2009/9/main" objectType="CheckBox" fmlaLink="Ber_Lab_Neo!I34" lockText="1"/>
</file>

<file path=xl/ctrlProps/ctrlProp1080.xml><?xml version="1.0" encoding="utf-8"?>
<formControlPr xmlns="http://schemas.microsoft.com/office/spreadsheetml/2009/9/main" objectType="CheckBox" fmlaLink="Ber_Lab_Neo!O34" lockText="1"/>
</file>

<file path=xl/ctrlProps/ctrlProp1081.xml><?xml version="1.0" encoding="utf-8"?>
<formControlPr xmlns="http://schemas.microsoft.com/office/spreadsheetml/2009/9/main" objectType="CheckBox" fmlaLink="Ber_Lab_Neo!E34" lockText="1"/>
</file>

<file path=xl/ctrlProps/ctrlProp1082.xml><?xml version="1.0" encoding="utf-8"?>
<formControlPr xmlns="http://schemas.microsoft.com/office/spreadsheetml/2009/9/main" objectType="CheckBox" fmlaLink="Ber_Lab_Neo!C9" lockText="1"/>
</file>

<file path=xl/ctrlProps/ctrlProp1083.xml><?xml version="1.0" encoding="utf-8"?>
<formControlPr xmlns="http://schemas.microsoft.com/office/spreadsheetml/2009/9/main" objectType="CheckBox" fmlaLink="Ber_Lab_Neo!G9" lockText="1"/>
</file>

<file path=xl/ctrlProps/ctrlProp1084.xml><?xml version="1.0" encoding="utf-8"?>
<formControlPr xmlns="http://schemas.microsoft.com/office/spreadsheetml/2009/9/main" objectType="CheckBox" fmlaLink="Ber_Lab_Neo!I9" lockText="1"/>
</file>

<file path=xl/ctrlProps/ctrlProp1085.xml><?xml version="1.0" encoding="utf-8"?>
<formControlPr xmlns="http://schemas.microsoft.com/office/spreadsheetml/2009/9/main" objectType="CheckBox" fmlaLink="Ber_Lab_Neo!O9" lockText="1"/>
</file>

<file path=xl/ctrlProps/ctrlProp1086.xml><?xml version="1.0" encoding="utf-8"?>
<formControlPr xmlns="http://schemas.microsoft.com/office/spreadsheetml/2009/9/main" objectType="CheckBox" fmlaLink="Ber_Lab_Neo!E9" lockText="1"/>
</file>

<file path=xl/ctrlProps/ctrlProp1087.xml><?xml version="1.0" encoding="utf-8"?>
<formControlPr xmlns="http://schemas.microsoft.com/office/spreadsheetml/2009/9/main" objectType="CheckBox" fmlaLink="Ber_Lab_Neo!C11" lockText="1"/>
</file>

<file path=xl/ctrlProps/ctrlProp1088.xml><?xml version="1.0" encoding="utf-8"?>
<formControlPr xmlns="http://schemas.microsoft.com/office/spreadsheetml/2009/9/main" objectType="CheckBox" fmlaLink="Ber_Lab_Neo!G11" lockText="1"/>
</file>

<file path=xl/ctrlProps/ctrlProp1089.xml><?xml version="1.0" encoding="utf-8"?>
<formControlPr xmlns="http://schemas.microsoft.com/office/spreadsheetml/2009/9/main" objectType="CheckBox" fmlaLink="Ber_Lab_Neo!I11" lockText="1"/>
</file>

<file path=xl/ctrlProps/ctrlProp1090.xml><?xml version="1.0" encoding="utf-8"?>
<formControlPr xmlns="http://schemas.microsoft.com/office/spreadsheetml/2009/9/main" objectType="CheckBox" fmlaLink="Ber_Lab_Neo!O11" lockText="1"/>
</file>

<file path=xl/ctrlProps/ctrlProp1091.xml><?xml version="1.0" encoding="utf-8"?>
<formControlPr xmlns="http://schemas.microsoft.com/office/spreadsheetml/2009/9/main" objectType="CheckBox" fmlaLink="Ber_Lab_Neo!E11" lockText="1"/>
</file>

<file path=xl/ctrlProps/ctrlProp1092.xml><?xml version="1.0" encoding="utf-8"?>
<formControlPr xmlns="http://schemas.microsoft.com/office/spreadsheetml/2009/9/main" objectType="CheckBox" fmlaLink="Ber_Lab_Neo!C15" lockText="1"/>
</file>

<file path=xl/ctrlProps/ctrlProp1093.xml><?xml version="1.0" encoding="utf-8"?>
<formControlPr xmlns="http://schemas.microsoft.com/office/spreadsheetml/2009/9/main" objectType="CheckBox" fmlaLink="Ber_Lab_Neo!G15" lockText="1"/>
</file>

<file path=xl/ctrlProps/ctrlProp1094.xml><?xml version="1.0" encoding="utf-8"?>
<formControlPr xmlns="http://schemas.microsoft.com/office/spreadsheetml/2009/9/main" objectType="CheckBox" fmlaLink="Ber_Lab_Neo!I15" lockText="1"/>
</file>

<file path=xl/ctrlProps/ctrlProp1095.xml><?xml version="1.0" encoding="utf-8"?>
<formControlPr xmlns="http://schemas.microsoft.com/office/spreadsheetml/2009/9/main" objectType="CheckBox" fmlaLink="Ber_Lab_Neo!O15" lockText="1"/>
</file>

<file path=xl/ctrlProps/ctrlProp1096.xml><?xml version="1.0" encoding="utf-8"?>
<formControlPr xmlns="http://schemas.microsoft.com/office/spreadsheetml/2009/9/main" objectType="CheckBox" fmlaLink="Ber_Lab_Neo!E15" lockText="1"/>
</file>

<file path=xl/ctrlProps/ctrlProp1097.xml><?xml version="1.0" encoding="utf-8"?>
<formControlPr xmlns="http://schemas.microsoft.com/office/spreadsheetml/2009/9/main" objectType="CheckBox" fmlaLink="Ber_Lab_Neo!C22" lockText="1"/>
</file>

<file path=xl/ctrlProps/ctrlProp1098.xml><?xml version="1.0" encoding="utf-8"?>
<formControlPr xmlns="http://schemas.microsoft.com/office/spreadsheetml/2009/9/main" objectType="CheckBox" fmlaLink="Ber_Lab_Neo!G22" lockText="1"/>
</file>

<file path=xl/ctrlProps/ctrlProp1099.xml><?xml version="1.0" encoding="utf-8"?>
<formControlPr xmlns="http://schemas.microsoft.com/office/spreadsheetml/2009/9/main" objectType="CheckBox" fmlaLink="Ber_Lab_Neo!I22" lockText="1"/>
</file>

<file path=xl/ctrlProps/ctrlProp1100.xml><?xml version="1.0" encoding="utf-8"?>
<formControlPr xmlns="http://schemas.microsoft.com/office/spreadsheetml/2009/9/main" objectType="CheckBox" fmlaLink="Ber_Lab_Neo!O22" lockText="1"/>
</file>

<file path=xl/ctrlProps/ctrlProp1101.xml><?xml version="1.0" encoding="utf-8"?>
<formControlPr xmlns="http://schemas.microsoft.com/office/spreadsheetml/2009/9/main" objectType="CheckBox" fmlaLink="Ber_Lab_Neo!E22" lockText="1"/>
</file>

<file path=xl/ctrlProps/ctrlProp1102.xml><?xml version="1.0" encoding="utf-8"?>
<formControlPr xmlns="http://schemas.microsoft.com/office/spreadsheetml/2009/9/main" objectType="CheckBox" fmlaLink="Ber_Lab_Neo!C23" lockText="1"/>
</file>

<file path=xl/ctrlProps/ctrlProp1103.xml><?xml version="1.0" encoding="utf-8"?>
<formControlPr xmlns="http://schemas.microsoft.com/office/spreadsheetml/2009/9/main" objectType="CheckBox" fmlaLink="Ber_Lab_Neo!G23" lockText="1"/>
</file>

<file path=xl/ctrlProps/ctrlProp1104.xml><?xml version="1.0" encoding="utf-8"?>
<formControlPr xmlns="http://schemas.microsoft.com/office/spreadsheetml/2009/9/main" objectType="CheckBox" fmlaLink="Ber_Lab_Neo!I23" lockText="1"/>
</file>

<file path=xl/ctrlProps/ctrlProp1105.xml><?xml version="1.0" encoding="utf-8"?>
<formControlPr xmlns="http://schemas.microsoft.com/office/spreadsheetml/2009/9/main" objectType="CheckBox" fmlaLink="Ber_Lab_Neo!O23" lockText="1"/>
</file>

<file path=xl/ctrlProps/ctrlProp1106.xml><?xml version="1.0" encoding="utf-8"?>
<formControlPr xmlns="http://schemas.microsoft.com/office/spreadsheetml/2009/9/main" objectType="CheckBox" fmlaLink="Ber_Lab_Neo!E23" lockText="1"/>
</file>

<file path=xl/ctrlProps/ctrlProp1107.xml><?xml version="1.0" encoding="utf-8"?>
<formControlPr xmlns="http://schemas.microsoft.com/office/spreadsheetml/2009/9/main" objectType="CheckBox" fmlaLink="Ber_Lab_Neo!C24" lockText="1"/>
</file>

<file path=xl/ctrlProps/ctrlProp1108.xml><?xml version="1.0" encoding="utf-8"?>
<formControlPr xmlns="http://schemas.microsoft.com/office/spreadsheetml/2009/9/main" objectType="CheckBox" fmlaLink="Ber_Lab_Neo!G24" lockText="1"/>
</file>

<file path=xl/ctrlProps/ctrlProp1109.xml><?xml version="1.0" encoding="utf-8"?>
<formControlPr xmlns="http://schemas.microsoft.com/office/spreadsheetml/2009/9/main" objectType="CheckBox" fmlaLink="Ber_Lab_Neo!I24" lockText="1"/>
</file>

<file path=xl/ctrlProps/ctrlProp1110.xml><?xml version="1.0" encoding="utf-8"?>
<formControlPr xmlns="http://schemas.microsoft.com/office/spreadsheetml/2009/9/main" objectType="CheckBox" fmlaLink="Ber_Lab_Neo!O24" lockText="1"/>
</file>

<file path=xl/ctrlProps/ctrlProp1111.xml><?xml version="1.0" encoding="utf-8"?>
<formControlPr xmlns="http://schemas.microsoft.com/office/spreadsheetml/2009/9/main" objectType="CheckBox" fmlaLink="Ber_Lab_Neo!E24" lockText="1"/>
</file>

<file path=xl/ctrlProps/ctrlProp1112.xml><?xml version="1.0" encoding="utf-8"?>
<formControlPr xmlns="http://schemas.microsoft.com/office/spreadsheetml/2009/9/main" objectType="CheckBox" fmlaLink="Ber_Lab_Neo!C25" lockText="1"/>
</file>

<file path=xl/ctrlProps/ctrlProp1113.xml><?xml version="1.0" encoding="utf-8"?>
<formControlPr xmlns="http://schemas.microsoft.com/office/spreadsheetml/2009/9/main" objectType="CheckBox" fmlaLink="Ber_Lab_Neo!G25" lockText="1"/>
</file>

<file path=xl/ctrlProps/ctrlProp1114.xml><?xml version="1.0" encoding="utf-8"?>
<formControlPr xmlns="http://schemas.microsoft.com/office/spreadsheetml/2009/9/main" objectType="CheckBox" fmlaLink="Ber_Lab_Neo!I25" lockText="1"/>
</file>

<file path=xl/ctrlProps/ctrlProp1115.xml><?xml version="1.0" encoding="utf-8"?>
<formControlPr xmlns="http://schemas.microsoft.com/office/spreadsheetml/2009/9/main" objectType="CheckBox" fmlaLink="Ber_Lab_Neo!O25" lockText="1"/>
</file>

<file path=xl/ctrlProps/ctrlProp1116.xml><?xml version="1.0" encoding="utf-8"?>
<formControlPr xmlns="http://schemas.microsoft.com/office/spreadsheetml/2009/9/main" objectType="CheckBox" fmlaLink="Ber_Lab_Neo!E25" lockText="1"/>
</file>

<file path=xl/ctrlProps/ctrlProp1117.xml><?xml version="1.0" encoding="utf-8"?>
<formControlPr xmlns="http://schemas.microsoft.com/office/spreadsheetml/2009/9/main" objectType="CheckBox" fmlaLink="Ber_Lab_Neo!C26" lockText="1"/>
</file>

<file path=xl/ctrlProps/ctrlProp1118.xml><?xml version="1.0" encoding="utf-8"?>
<formControlPr xmlns="http://schemas.microsoft.com/office/spreadsheetml/2009/9/main" objectType="CheckBox" fmlaLink="Ber_Lab_Neo!G26" lockText="1"/>
</file>

<file path=xl/ctrlProps/ctrlProp1119.xml><?xml version="1.0" encoding="utf-8"?>
<formControlPr xmlns="http://schemas.microsoft.com/office/spreadsheetml/2009/9/main" objectType="CheckBox" fmlaLink="Ber_Lab_Neo!I26" lockText="1"/>
</file>

<file path=xl/ctrlProps/ctrlProp1120.xml><?xml version="1.0" encoding="utf-8"?>
<formControlPr xmlns="http://schemas.microsoft.com/office/spreadsheetml/2009/9/main" objectType="CheckBox" fmlaLink="Ber_Lab_Neo!O26" lockText="1"/>
</file>

<file path=xl/ctrlProps/ctrlProp1121.xml><?xml version="1.0" encoding="utf-8"?>
<formControlPr xmlns="http://schemas.microsoft.com/office/spreadsheetml/2009/9/main" objectType="CheckBox" fmlaLink="Ber_Lab_Neo!E26" lockText="1"/>
</file>

<file path=xl/ctrlProps/ctrlProp1122.xml><?xml version="1.0" encoding="utf-8"?>
<formControlPr xmlns="http://schemas.microsoft.com/office/spreadsheetml/2009/9/main" objectType="CheckBox" fmlaLink="Ber_Lab_Neo!C29" lockText="1"/>
</file>

<file path=xl/ctrlProps/ctrlProp1123.xml><?xml version="1.0" encoding="utf-8"?>
<formControlPr xmlns="http://schemas.microsoft.com/office/spreadsheetml/2009/9/main" objectType="CheckBox" fmlaLink="Ber_Lab_Neo!G29" lockText="1"/>
</file>

<file path=xl/ctrlProps/ctrlProp1124.xml><?xml version="1.0" encoding="utf-8"?>
<formControlPr xmlns="http://schemas.microsoft.com/office/spreadsheetml/2009/9/main" objectType="CheckBox" fmlaLink="Ber_Lab_Neo!I29" lockText="1"/>
</file>

<file path=xl/ctrlProps/ctrlProp1125.xml><?xml version="1.0" encoding="utf-8"?>
<formControlPr xmlns="http://schemas.microsoft.com/office/spreadsheetml/2009/9/main" objectType="CheckBox" fmlaLink="Ber_Lab_Neo!O29" lockText="1"/>
</file>

<file path=xl/ctrlProps/ctrlProp1126.xml><?xml version="1.0" encoding="utf-8"?>
<formControlPr xmlns="http://schemas.microsoft.com/office/spreadsheetml/2009/9/main" objectType="CheckBox" fmlaLink="Ber_Lab_Neo!E29" lockText="1"/>
</file>

<file path=xl/ctrlProps/ctrlProp1127.xml><?xml version="1.0" encoding="utf-8"?>
<formControlPr xmlns="http://schemas.microsoft.com/office/spreadsheetml/2009/9/main" objectType="CheckBox" fmlaLink="Ber_Lab_Neo!C18" lockText="1"/>
</file>

<file path=xl/ctrlProps/ctrlProp1128.xml><?xml version="1.0" encoding="utf-8"?>
<formControlPr xmlns="http://schemas.microsoft.com/office/spreadsheetml/2009/9/main" objectType="CheckBox" fmlaLink="Ber_Lab_Neo!G18" lockText="1"/>
</file>

<file path=xl/ctrlProps/ctrlProp1129.xml><?xml version="1.0" encoding="utf-8"?>
<formControlPr xmlns="http://schemas.microsoft.com/office/spreadsheetml/2009/9/main" objectType="CheckBox" fmlaLink="Ber_Lab_Neo!I18" lockText="1"/>
</file>

<file path=xl/ctrlProps/ctrlProp1130.xml><?xml version="1.0" encoding="utf-8"?>
<formControlPr xmlns="http://schemas.microsoft.com/office/spreadsheetml/2009/9/main" objectType="CheckBox" fmlaLink="Ber_Lab_Neo!O18" lockText="1"/>
</file>

<file path=xl/ctrlProps/ctrlProp1131.xml><?xml version="1.0" encoding="utf-8"?>
<formControlPr xmlns="http://schemas.microsoft.com/office/spreadsheetml/2009/9/main" objectType="CheckBox" fmlaLink="Ber_Lab_Neo!E18" lockText="1"/>
</file>

<file path=xl/ctrlProps/ctrlProp1132.xml><?xml version="1.0" encoding="utf-8"?>
<formControlPr xmlns="http://schemas.microsoft.com/office/spreadsheetml/2009/9/main" objectType="CheckBox" fmlaLink="Ber_Lab_Neo!$K$4" lockText="1"/>
</file>

<file path=xl/ctrlProps/ctrlProp1133.xml><?xml version="1.0" encoding="utf-8"?>
<formControlPr xmlns="http://schemas.microsoft.com/office/spreadsheetml/2009/9/main" objectType="CheckBox" fmlaLink="Ber_Lab_Neo!K5" lockText="1"/>
</file>

<file path=xl/ctrlProps/ctrlProp1134.xml><?xml version="1.0" encoding="utf-8"?>
<formControlPr xmlns="http://schemas.microsoft.com/office/spreadsheetml/2009/9/main" objectType="CheckBox" fmlaLink="Ber_Lab_Neo!K7" lockText="1"/>
</file>

<file path=xl/ctrlProps/ctrlProp1135.xml><?xml version="1.0" encoding="utf-8"?>
<formControlPr xmlns="http://schemas.microsoft.com/office/spreadsheetml/2009/9/main" objectType="CheckBox" fmlaLink="Ber_Lab_Neo!K8" lockText="1"/>
</file>

<file path=xl/ctrlProps/ctrlProp1136.xml><?xml version="1.0" encoding="utf-8"?>
<formControlPr xmlns="http://schemas.microsoft.com/office/spreadsheetml/2009/9/main" objectType="CheckBox" fmlaLink="Ber_Lab_Neo!K14" lockText="1"/>
</file>

<file path=xl/ctrlProps/ctrlProp1137.xml><?xml version="1.0" encoding="utf-8"?>
<formControlPr xmlns="http://schemas.microsoft.com/office/spreadsheetml/2009/9/main" objectType="CheckBox" fmlaLink="Ber_Lab_Neo!K13" lockText="1"/>
</file>

<file path=xl/ctrlProps/ctrlProp1138.xml><?xml version="1.0" encoding="utf-8"?>
<formControlPr xmlns="http://schemas.microsoft.com/office/spreadsheetml/2009/9/main" objectType="CheckBox" fmlaLink="Ber_Lab_Neo!K30" lockText="1"/>
</file>

<file path=xl/ctrlProps/ctrlProp1139.xml><?xml version="1.0" encoding="utf-8"?>
<formControlPr xmlns="http://schemas.microsoft.com/office/spreadsheetml/2009/9/main" objectType="CheckBox" fmlaLink="Ber_Lab_Neo!K16" lockText="1"/>
</file>

<file path=xl/ctrlProps/ctrlProp1140.xml><?xml version="1.0" encoding="utf-8"?>
<formControlPr xmlns="http://schemas.microsoft.com/office/spreadsheetml/2009/9/main" objectType="CheckBox" fmlaLink="Ber_Lab_Neo!K19" lockText="1"/>
</file>

<file path=xl/ctrlProps/ctrlProp1141.xml><?xml version="1.0" encoding="utf-8"?>
<formControlPr xmlns="http://schemas.microsoft.com/office/spreadsheetml/2009/9/main" objectType="CheckBox" fmlaLink="Ber_Lab_Neo!K20" lockText="1"/>
</file>

<file path=xl/ctrlProps/ctrlProp1142.xml><?xml version="1.0" encoding="utf-8"?>
<formControlPr xmlns="http://schemas.microsoft.com/office/spreadsheetml/2009/9/main" objectType="CheckBox" fmlaLink="Ber_Lab_Neo!K21" lockText="1"/>
</file>

<file path=xl/ctrlProps/ctrlProp1143.xml><?xml version="1.0" encoding="utf-8"?>
<formControlPr xmlns="http://schemas.microsoft.com/office/spreadsheetml/2009/9/main" objectType="CheckBox" fmlaLink="Ber_Lab_Neo!K12" lockText="1"/>
</file>

<file path=xl/ctrlProps/ctrlProp1144.xml><?xml version="1.0" encoding="utf-8"?>
<formControlPr xmlns="http://schemas.microsoft.com/office/spreadsheetml/2009/9/main" objectType="CheckBox" fmlaLink="Ber_Lab_Neo!K28" lockText="1"/>
</file>

<file path=xl/ctrlProps/ctrlProp1145.xml><?xml version="1.0" encoding="utf-8"?>
<formControlPr xmlns="http://schemas.microsoft.com/office/spreadsheetml/2009/9/main" objectType="CheckBox" fmlaLink="Ber_Lab_Neo!$M$4" lockText="1"/>
</file>

<file path=xl/ctrlProps/ctrlProp1146.xml><?xml version="1.0" encoding="utf-8"?>
<formControlPr xmlns="http://schemas.microsoft.com/office/spreadsheetml/2009/9/main" objectType="CheckBox" fmlaLink="Ber_Lab_Neo!M5" lockText="1"/>
</file>

<file path=xl/ctrlProps/ctrlProp1147.xml><?xml version="1.0" encoding="utf-8"?>
<formControlPr xmlns="http://schemas.microsoft.com/office/spreadsheetml/2009/9/main" objectType="CheckBox" fmlaLink="Ber_Lab_Neo!M7" lockText="1"/>
</file>

<file path=xl/ctrlProps/ctrlProp1148.xml><?xml version="1.0" encoding="utf-8"?>
<formControlPr xmlns="http://schemas.microsoft.com/office/spreadsheetml/2009/9/main" objectType="CheckBox" fmlaLink="Ber_Lab_Neo!M8" lockText="1"/>
</file>

<file path=xl/ctrlProps/ctrlProp1149.xml><?xml version="1.0" encoding="utf-8"?>
<formControlPr xmlns="http://schemas.microsoft.com/office/spreadsheetml/2009/9/main" objectType="CheckBox" fmlaLink="Ber_Lab_Neo!M14" lockText="1"/>
</file>

<file path=xl/ctrlProps/ctrlProp1150.xml><?xml version="1.0" encoding="utf-8"?>
<formControlPr xmlns="http://schemas.microsoft.com/office/spreadsheetml/2009/9/main" objectType="CheckBox" fmlaLink="Ber_Lab_Neo!M13" lockText="1"/>
</file>

<file path=xl/ctrlProps/ctrlProp1151.xml><?xml version="1.0" encoding="utf-8"?>
<formControlPr xmlns="http://schemas.microsoft.com/office/spreadsheetml/2009/9/main" objectType="CheckBox" fmlaLink="Ber_Lab_Neo!M30" lockText="1"/>
</file>

<file path=xl/ctrlProps/ctrlProp1152.xml><?xml version="1.0" encoding="utf-8"?>
<formControlPr xmlns="http://schemas.microsoft.com/office/spreadsheetml/2009/9/main" objectType="CheckBox" fmlaLink="Ber_Lab_Neo!M16" lockText="1"/>
</file>

<file path=xl/ctrlProps/ctrlProp1153.xml><?xml version="1.0" encoding="utf-8"?>
<formControlPr xmlns="http://schemas.microsoft.com/office/spreadsheetml/2009/9/main" objectType="CheckBox" fmlaLink="Ber_Lab_Neo!M19" lockText="1"/>
</file>

<file path=xl/ctrlProps/ctrlProp1154.xml><?xml version="1.0" encoding="utf-8"?>
<formControlPr xmlns="http://schemas.microsoft.com/office/spreadsheetml/2009/9/main" objectType="CheckBox" fmlaLink="Ber_Lab_Neo!M20" lockText="1"/>
</file>

<file path=xl/ctrlProps/ctrlProp1155.xml><?xml version="1.0" encoding="utf-8"?>
<formControlPr xmlns="http://schemas.microsoft.com/office/spreadsheetml/2009/9/main" objectType="CheckBox" fmlaLink="Ber_Lab_Neo!M21" lockText="1"/>
</file>

<file path=xl/ctrlProps/ctrlProp1156.xml><?xml version="1.0" encoding="utf-8"?>
<formControlPr xmlns="http://schemas.microsoft.com/office/spreadsheetml/2009/9/main" objectType="CheckBox" fmlaLink="Ber_Lab_Neo!M12" lockText="1"/>
</file>

<file path=xl/ctrlProps/ctrlProp1157.xml><?xml version="1.0" encoding="utf-8"?>
<formControlPr xmlns="http://schemas.microsoft.com/office/spreadsheetml/2009/9/main" objectType="CheckBox" fmlaLink="Ber_Lab_Neo!M28" lockText="1"/>
</file>

<file path=xl/ctrlProps/ctrlProp1158.xml><?xml version="1.0" encoding="utf-8"?>
<formControlPr xmlns="http://schemas.microsoft.com/office/spreadsheetml/2009/9/main" objectType="CheckBox" fmlaLink="Ber_Lab_Neo!K32" lockText="1"/>
</file>

<file path=xl/ctrlProps/ctrlProp1159.xml><?xml version="1.0" encoding="utf-8"?>
<formControlPr xmlns="http://schemas.microsoft.com/office/spreadsheetml/2009/9/main" objectType="CheckBox" fmlaLink="Ber_Lab_Neo!M32" lockText="1"/>
</file>

<file path=xl/ctrlProps/ctrlProp1160.xml><?xml version="1.0" encoding="utf-8"?>
<formControlPr xmlns="http://schemas.microsoft.com/office/spreadsheetml/2009/9/main" objectType="CheckBox" fmlaLink="Ber_Lab_Neo!K6" lockText="1"/>
</file>

<file path=xl/ctrlProps/ctrlProp1161.xml><?xml version="1.0" encoding="utf-8"?>
<formControlPr xmlns="http://schemas.microsoft.com/office/spreadsheetml/2009/9/main" objectType="CheckBox" fmlaLink="Ber_Lab_Neo!M6" lockText="1"/>
</file>

<file path=xl/ctrlProps/ctrlProp1162.xml><?xml version="1.0" encoding="utf-8"?>
<formControlPr xmlns="http://schemas.microsoft.com/office/spreadsheetml/2009/9/main" objectType="CheckBox" fmlaLink="Ber_Lab_Neo!K17" lockText="1"/>
</file>

<file path=xl/ctrlProps/ctrlProp1163.xml><?xml version="1.0" encoding="utf-8"?>
<formControlPr xmlns="http://schemas.microsoft.com/office/spreadsheetml/2009/9/main" objectType="CheckBox" fmlaLink="Ber_Lab_Neo!M17" lockText="1"/>
</file>

<file path=xl/ctrlProps/ctrlProp1164.xml><?xml version="1.0" encoding="utf-8"?>
<formControlPr xmlns="http://schemas.microsoft.com/office/spreadsheetml/2009/9/main" objectType="CheckBox" fmlaLink="Ber_Lab_Neo!K33" lockText="1"/>
</file>

<file path=xl/ctrlProps/ctrlProp1165.xml><?xml version="1.0" encoding="utf-8"?>
<formControlPr xmlns="http://schemas.microsoft.com/office/spreadsheetml/2009/9/main" objectType="CheckBox" fmlaLink="Ber_Lab_Neo!M33" lockText="1"/>
</file>

<file path=xl/ctrlProps/ctrlProp1166.xml><?xml version="1.0" encoding="utf-8"?>
<formControlPr xmlns="http://schemas.microsoft.com/office/spreadsheetml/2009/9/main" objectType="CheckBox" fmlaLink="Ber_Lab_Neo!K34" lockText="1"/>
</file>

<file path=xl/ctrlProps/ctrlProp1167.xml><?xml version="1.0" encoding="utf-8"?>
<formControlPr xmlns="http://schemas.microsoft.com/office/spreadsheetml/2009/9/main" objectType="CheckBox" fmlaLink="Ber_Lab_Neo!M34" lockText="1"/>
</file>

<file path=xl/ctrlProps/ctrlProp1168.xml><?xml version="1.0" encoding="utf-8"?>
<formControlPr xmlns="http://schemas.microsoft.com/office/spreadsheetml/2009/9/main" objectType="CheckBox" fmlaLink="Ber_Lab_Neo!K9" lockText="1"/>
</file>

<file path=xl/ctrlProps/ctrlProp1169.xml><?xml version="1.0" encoding="utf-8"?>
<formControlPr xmlns="http://schemas.microsoft.com/office/spreadsheetml/2009/9/main" objectType="CheckBox" fmlaLink="Ber_Lab_Neo!M9" lockText="1"/>
</file>

<file path=xl/ctrlProps/ctrlProp1170.xml><?xml version="1.0" encoding="utf-8"?>
<formControlPr xmlns="http://schemas.microsoft.com/office/spreadsheetml/2009/9/main" objectType="CheckBox" fmlaLink="Ber_Lab_Neo!K11" lockText="1"/>
</file>

<file path=xl/ctrlProps/ctrlProp1171.xml><?xml version="1.0" encoding="utf-8"?>
<formControlPr xmlns="http://schemas.microsoft.com/office/spreadsheetml/2009/9/main" objectType="CheckBox" fmlaLink="Ber_Lab_Neo!M11" lockText="1"/>
</file>

<file path=xl/ctrlProps/ctrlProp1172.xml><?xml version="1.0" encoding="utf-8"?>
<formControlPr xmlns="http://schemas.microsoft.com/office/spreadsheetml/2009/9/main" objectType="CheckBox" fmlaLink="Ber_Lab_Neo!K15" lockText="1"/>
</file>

<file path=xl/ctrlProps/ctrlProp1173.xml><?xml version="1.0" encoding="utf-8"?>
<formControlPr xmlns="http://schemas.microsoft.com/office/spreadsheetml/2009/9/main" objectType="CheckBox" fmlaLink="Ber_Lab_Neo!M15" lockText="1"/>
</file>

<file path=xl/ctrlProps/ctrlProp1174.xml><?xml version="1.0" encoding="utf-8"?>
<formControlPr xmlns="http://schemas.microsoft.com/office/spreadsheetml/2009/9/main" objectType="CheckBox" fmlaLink="Ber_Lab_Neo!K22" lockText="1"/>
</file>

<file path=xl/ctrlProps/ctrlProp1175.xml><?xml version="1.0" encoding="utf-8"?>
<formControlPr xmlns="http://schemas.microsoft.com/office/spreadsheetml/2009/9/main" objectType="CheckBox" fmlaLink="Ber_Lab_Neo!M22" lockText="1"/>
</file>

<file path=xl/ctrlProps/ctrlProp1176.xml><?xml version="1.0" encoding="utf-8"?>
<formControlPr xmlns="http://schemas.microsoft.com/office/spreadsheetml/2009/9/main" objectType="CheckBox" fmlaLink="Ber_Lab_Neo!K23" lockText="1"/>
</file>

<file path=xl/ctrlProps/ctrlProp1177.xml><?xml version="1.0" encoding="utf-8"?>
<formControlPr xmlns="http://schemas.microsoft.com/office/spreadsheetml/2009/9/main" objectType="CheckBox" fmlaLink="Ber_Lab_Neo!M23" lockText="1"/>
</file>

<file path=xl/ctrlProps/ctrlProp1178.xml><?xml version="1.0" encoding="utf-8"?>
<formControlPr xmlns="http://schemas.microsoft.com/office/spreadsheetml/2009/9/main" objectType="CheckBox" fmlaLink="Ber_Lab_Neo!K24" lockText="1"/>
</file>

<file path=xl/ctrlProps/ctrlProp1179.xml><?xml version="1.0" encoding="utf-8"?>
<formControlPr xmlns="http://schemas.microsoft.com/office/spreadsheetml/2009/9/main" objectType="CheckBox" fmlaLink="Ber_Lab_Neo!M24" lockText="1"/>
</file>

<file path=xl/ctrlProps/ctrlProp1180.xml><?xml version="1.0" encoding="utf-8"?>
<formControlPr xmlns="http://schemas.microsoft.com/office/spreadsheetml/2009/9/main" objectType="CheckBox" fmlaLink="Ber_Lab_Neo!K25" lockText="1"/>
</file>

<file path=xl/ctrlProps/ctrlProp1181.xml><?xml version="1.0" encoding="utf-8"?>
<formControlPr xmlns="http://schemas.microsoft.com/office/spreadsheetml/2009/9/main" objectType="CheckBox" fmlaLink="Ber_Lab_Neo!M25" lockText="1"/>
</file>

<file path=xl/ctrlProps/ctrlProp1182.xml><?xml version="1.0" encoding="utf-8"?>
<formControlPr xmlns="http://schemas.microsoft.com/office/spreadsheetml/2009/9/main" objectType="CheckBox" fmlaLink="Ber_Lab_Neo!K26" lockText="1"/>
</file>

<file path=xl/ctrlProps/ctrlProp1183.xml><?xml version="1.0" encoding="utf-8"?>
<formControlPr xmlns="http://schemas.microsoft.com/office/spreadsheetml/2009/9/main" objectType="CheckBox" fmlaLink="Ber_Lab_Neo!M26" lockText="1"/>
</file>

<file path=xl/ctrlProps/ctrlProp1184.xml><?xml version="1.0" encoding="utf-8"?>
<formControlPr xmlns="http://schemas.microsoft.com/office/spreadsheetml/2009/9/main" objectType="CheckBox" fmlaLink="Ber_Lab_Neo!K29" lockText="1"/>
</file>

<file path=xl/ctrlProps/ctrlProp1185.xml><?xml version="1.0" encoding="utf-8"?>
<formControlPr xmlns="http://schemas.microsoft.com/office/spreadsheetml/2009/9/main" objectType="CheckBox" fmlaLink="Ber_Lab_Neo!M29" lockText="1"/>
</file>

<file path=xl/ctrlProps/ctrlProp1186.xml><?xml version="1.0" encoding="utf-8"?>
<formControlPr xmlns="http://schemas.microsoft.com/office/spreadsheetml/2009/9/main" objectType="CheckBox" fmlaLink="Ber_Lab_Neo!K18" lockText="1"/>
</file>

<file path=xl/ctrlProps/ctrlProp1187.xml><?xml version="1.0" encoding="utf-8"?>
<formControlPr xmlns="http://schemas.microsoft.com/office/spreadsheetml/2009/9/main" objectType="CheckBox" fmlaLink="Ber_Lab_Neo!M18" lockText="1"/>
</file>

<file path=xl/ctrlProps/ctrlProp1188.xml><?xml version="1.0" encoding="utf-8"?>
<formControlPr xmlns="http://schemas.microsoft.com/office/spreadsheetml/2009/9/main" objectType="CheckBox" fmlaLink="Ber_Lab_Neo!C10" lockText="1"/>
</file>

<file path=xl/ctrlProps/ctrlProp1189.xml><?xml version="1.0" encoding="utf-8"?>
<formControlPr xmlns="http://schemas.microsoft.com/office/spreadsheetml/2009/9/main" objectType="CheckBox" fmlaLink="Ber_Lab_Neo!G10" lockText="1"/>
</file>

<file path=xl/ctrlProps/ctrlProp1190.xml><?xml version="1.0" encoding="utf-8"?>
<formControlPr xmlns="http://schemas.microsoft.com/office/spreadsheetml/2009/9/main" objectType="CheckBox" fmlaLink="Ber_Lab_Neo!I10" lockText="1"/>
</file>

<file path=xl/ctrlProps/ctrlProp1191.xml><?xml version="1.0" encoding="utf-8"?>
<formControlPr xmlns="http://schemas.microsoft.com/office/spreadsheetml/2009/9/main" objectType="CheckBox" fmlaLink="Ber_Lab_Neo!O10" lockText="1"/>
</file>

<file path=xl/ctrlProps/ctrlProp1192.xml><?xml version="1.0" encoding="utf-8"?>
<formControlPr xmlns="http://schemas.microsoft.com/office/spreadsheetml/2009/9/main" objectType="CheckBox" fmlaLink="Ber_Lab_Neo!E10" lockText="1"/>
</file>

<file path=xl/ctrlProps/ctrlProp1193.xml><?xml version="1.0" encoding="utf-8"?>
<formControlPr xmlns="http://schemas.microsoft.com/office/spreadsheetml/2009/9/main" objectType="CheckBox" fmlaLink="Ber_Lab_Neo!K10" lockText="1"/>
</file>

<file path=xl/ctrlProps/ctrlProp1194.xml><?xml version="1.0" encoding="utf-8"?>
<formControlPr xmlns="http://schemas.microsoft.com/office/spreadsheetml/2009/9/main" objectType="CheckBox" fmlaLink="Ber_Lab_Neo!M10" lockText="1"/>
</file>

<file path=xl/ctrlProps/ctrlProp1195.xml><?xml version="1.0" encoding="utf-8"?>
<formControlPr xmlns="http://schemas.microsoft.com/office/spreadsheetml/2009/9/main" objectType="CheckBox" fmlaLink="Ber_Lab_Neo!C31" lockText="1"/>
</file>

<file path=xl/ctrlProps/ctrlProp1196.xml><?xml version="1.0" encoding="utf-8"?>
<formControlPr xmlns="http://schemas.microsoft.com/office/spreadsheetml/2009/9/main" objectType="CheckBox" fmlaLink="Ber_Lab_Neo!G31" lockText="1"/>
</file>

<file path=xl/ctrlProps/ctrlProp1197.xml><?xml version="1.0" encoding="utf-8"?>
<formControlPr xmlns="http://schemas.microsoft.com/office/spreadsheetml/2009/9/main" objectType="CheckBox" fmlaLink="Ber_Lab_Neo!I31" lockText="1"/>
</file>

<file path=xl/ctrlProps/ctrlProp1198.xml><?xml version="1.0" encoding="utf-8"?>
<formControlPr xmlns="http://schemas.microsoft.com/office/spreadsheetml/2009/9/main" objectType="CheckBox" fmlaLink="Ber_Lab_Neo!O31" lockText="1"/>
</file>

<file path=xl/ctrlProps/ctrlProp1199.xml><?xml version="1.0" encoding="utf-8"?>
<formControlPr xmlns="http://schemas.microsoft.com/office/spreadsheetml/2009/9/main" objectType="CheckBox" fmlaLink="Ber_Lab_Neo!E31" lockText="1"/>
</file>

<file path=xl/ctrlProps/ctrlProp1200.xml><?xml version="1.0" encoding="utf-8"?>
<formControlPr xmlns="http://schemas.microsoft.com/office/spreadsheetml/2009/9/main" objectType="CheckBox" fmlaLink="Ber_Lab_Neo!K31" lockText="1"/>
</file>

<file path=xl/ctrlProps/ctrlProp1201.xml><?xml version="1.0" encoding="utf-8"?>
<formControlPr xmlns="http://schemas.microsoft.com/office/spreadsheetml/2009/9/main" objectType="CheckBox" fmlaLink="Ber_Lab_Neo!M31" lockText="1"/>
</file>

<file path=xl/ctrlProps/ctrlProp1202.xml><?xml version="1.0" encoding="utf-8"?>
<formControlPr xmlns="http://schemas.microsoft.com/office/spreadsheetml/2009/9/main" objectType="CheckBox" fmlaLink="Ber_Lab_Neo!C27" lockText="1"/>
</file>

<file path=xl/ctrlProps/ctrlProp1203.xml><?xml version="1.0" encoding="utf-8"?>
<formControlPr xmlns="http://schemas.microsoft.com/office/spreadsheetml/2009/9/main" objectType="CheckBox" fmlaLink="Ber_Lab_Neo!G27" lockText="1"/>
</file>

<file path=xl/ctrlProps/ctrlProp1204.xml><?xml version="1.0" encoding="utf-8"?>
<formControlPr xmlns="http://schemas.microsoft.com/office/spreadsheetml/2009/9/main" objectType="CheckBox" fmlaLink="Ber_Lab_Neo!I27" lockText="1"/>
</file>

<file path=xl/ctrlProps/ctrlProp1205.xml><?xml version="1.0" encoding="utf-8"?>
<formControlPr xmlns="http://schemas.microsoft.com/office/spreadsheetml/2009/9/main" objectType="CheckBox" fmlaLink="Ber_Lab_Neo!O27" lockText="1"/>
</file>

<file path=xl/ctrlProps/ctrlProp1206.xml><?xml version="1.0" encoding="utf-8"?>
<formControlPr xmlns="http://schemas.microsoft.com/office/spreadsheetml/2009/9/main" objectType="CheckBox" fmlaLink="Ber_Lab_Neo!E27" lockText="1"/>
</file>

<file path=xl/ctrlProps/ctrlProp1207.xml><?xml version="1.0" encoding="utf-8"?>
<formControlPr xmlns="http://schemas.microsoft.com/office/spreadsheetml/2009/9/main" objectType="CheckBox" fmlaLink="Ber_Lab_Neo!K27" lockText="1"/>
</file>

<file path=xl/ctrlProps/ctrlProp1208.xml><?xml version="1.0" encoding="utf-8"?>
<formControlPr xmlns="http://schemas.microsoft.com/office/spreadsheetml/2009/9/main" objectType="CheckBox" fmlaLink="Ber_Lab_Neo!M27" lockText="1"/>
</file>

<file path=xl/ctrlProps/ctrlProp1209.xml><?xml version="1.0" encoding="utf-8"?>
<formControlPr xmlns="http://schemas.microsoft.com/office/spreadsheetml/2009/9/main" objectType="CheckBox" fmlaLink="Ber_Lab_Neo!C35" lockText="1"/>
</file>

<file path=xl/ctrlProps/ctrlProp1210.xml><?xml version="1.0" encoding="utf-8"?>
<formControlPr xmlns="http://schemas.microsoft.com/office/spreadsheetml/2009/9/main" objectType="CheckBox" fmlaLink="Ber_Lab_Neo!$Q$4" lockText="1"/>
</file>

<file path=xl/ctrlProps/ctrlProp1211.xml><?xml version="1.0" encoding="utf-8"?>
<formControlPr xmlns="http://schemas.microsoft.com/office/spreadsheetml/2009/9/main" objectType="CheckBox" fmlaLink="Ber_Lab_Neo!Q5" lockText="1"/>
</file>

<file path=xl/ctrlProps/ctrlProp1212.xml><?xml version="1.0" encoding="utf-8"?>
<formControlPr xmlns="http://schemas.microsoft.com/office/spreadsheetml/2009/9/main" objectType="CheckBox" fmlaLink="Ber_Lab_Neo!Q7" lockText="1"/>
</file>

<file path=xl/ctrlProps/ctrlProp1213.xml><?xml version="1.0" encoding="utf-8"?>
<formControlPr xmlns="http://schemas.microsoft.com/office/spreadsheetml/2009/9/main" objectType="CheckBox" fmlaLink="Ber_Lab_Neo!Q8" lockText="1"/>
</file>

<file path=xl/ctrlProps/ctrlProp1214.xml><?xml version="1.0" encoding="utf-8"?>
<formControlPr xmlns="http://schemas.microsoft.com/office/spreadsheetml/2009/9/main" objectType="CheckBox" fmlaLink="Ber_Lab_Neo!Q14" lockText="1"/>
</file>

<file path=xl/ctrlProps/ctrlProp1215.xml><?xml version="1.0" encoding="utf-8"?>
<formControlPr xmlns="http://schemas.microsoft.com/office/spreadsheetml/2009/9/main" objectType="CheckBox" fmlaLink="Ber_Lab_Neo!Q13" lockText="1"/>
</file>

<file path=xl/ctrlProps/ctrlProp1216.xml><?xml version="1.0" encoding="utf-8"?>
<formControlPr xmlns="http://schemas.microsoft.com/office/spreadsheetml/2009/9/main" objectType="CheckBox" fmlaLink="Ber_Lab_Neo!Q30" lockText="1"/>
</file>

<file path=xl/ctrlProps/ctrlProp1217.xml><?xml version="1.0" encoding="utf-8"?>
<formControlPr xmlns="http://schemas.microsoft.com/office/spreadsheetml/2009/9/main" objectType="CheckBox" fmlaLink="Ber_Lab_Neo!Q16" lockText="1"/>
</file>

<file path=xl/ctrlProps/ctrlProp1218.xml><?xml version="1.0" encoding="utf-8"?>
<formControlPr xmlns="http://schemas.microsoft.com/office/spreadsheetml/2009/9/main" objectType="CheckBox" fmlaLink="Ber_Lab_Neo!Q19" lockText="1"/>
</file>

<file path=xl/ctrlProps/ctrlProp1219.xml><?xml version="1.0" encoding="utf-8"?>
<formControlPr xmlns="http://schemas.microsoft.com/office/spreadsheetml/2009/9/main" objectType="CheckBox" fmlaLink="Ber_Lab_Neo!Q20" lockText="1"/>
</file>

<file path=xl/ctrlProps/ctrlProp1220.xml><?xml version="1.0" encoding="utf-8"?>
<formControlPr xmlns="http://schemas.microsoft.com/office/spreadsheetml/2009/9/main" objectType="CheckBox" fmlaLink="Ber_Lab_Neo!Q21" lockText="1"/>
</file>

<file path=xl/ctrlProps/ctrlProp1221.xml><?xml version="1.0" encoding="utf-8"?>
<formControlPr xmlns="http://schemas.microsoft.com/office/spreadsheetml/2009/9/main" objectType="CheckBox" fmlaLink="Ber_Lab_Neo!Q12" lockText="1"/>
</file>

<file path=xl/ctrlProps/ctrlProp1222.xml><?xml version="1.0" encoding="utf-8"?>
<formControlPr xmlns="http://schemas.microsoft.com/office/spreadsheetml/2009/9/main" objectType="CheckBox" fmlaLink="Ber_Lab_Neo!Q28" lockText="1"/>
</file>

<file path=xl/ctrlProps/ctrlProp1223.xml><?xml version="1.0" encoding="utf-8"?>
<formControlPr xmlns="http://schemas.microsoft.com/office/spreadsheetml/2009/9/main" objectType="CheckBox" fmlaLink="Ber_Lab_Neo!Q32" lockText="1"/>
</file>

<file path=xl/ctrlProps/ctrlProp1224.xml><?xml version="1.0" encoding="utf-8"?>
<formControlPr xmlns="http://schemas.microsoft.com/office/spreadsheetml/2009/9/main" objectType="CheckBox" fmlaLink="Ber_Lab_Neo!Q6" lockText="1"/>
</file>

<file path=xl/ctrlProps/ctrlProp1225.xml><?xml version="1.0" encoding="utf-8"?>
<formControlPr xmlns="http://schemas.microsoft.com/office/spreadsheetml/2009/9/main" objectType="CheckBox" fmlaLink="Ber_Lab_Neo!Q17" lockText="1"/>
</file>

<file path=xl/ctrlProps/ctrlProp1226.xml><?xml version="1.0" encoding="utf-8"?>
<formControlPr xmlns="http://schemas.microsoft.com/office/spreadsheetml/2009/9/main" objectType="CheckBox" fmlaLink="Ber_Lab_Neo!Q33" lockText="1"/>
</file>

<file path=xl/ctrlProps/ctrlProp1227.xml><?xml version="1.0" encoding="utf-8"?>
<formControlPr xmlns="http://schemas.microsoft.com/office/spreadsheetml/2009/9/main" objectType="CheckBox" fmlaLink="Ber_Lab_Neo!Q34" lockText="1"/>
</file>

<file path=xl/ctrlProps/ctrlProp1228.xml><?xml version="1.0" encoding="utf-8"?>
<formControlPr xmlns="http://schemas.microsoft.com/office/spreadsheetml/2009/9/main" objectType="CheckBox" fmlaLink="Ber_Lab_Neo!Q9" lockText="1"/>
</file>

<file path=xl/ctrlProps/ctrlProp1229.xml><?xml version="1.0" encoding="utf-8"?>
<formControlPr xmlns="http://schemas.microsoft.com/office/spreadsheetml/2009/9/main" objectType="CheckBox" fmlaLink="Ber_Lab_Neo!Q11" lockText="1"/>
</file>

<file path=xl/ctrlProps/ctrlProp1230.xml><?xml version="1.0" encoding="utf-8"?>
<formControlPr xmlns="http://schemas.microsoft.com/office/spreadsheetml/2009/9/main" objectType="CheckBox" fmlaLink="Ber_Lab_Neo!Q15" lockText="1"/>
</file>

<file path=xl/ctrlProps/ctrlProp1231.xml><?xml version="1.0" encoding="utf-8"?>
<formControlPr xmlns="http://schemas.microsoft.com/office/spreadsheetml/2009/9/main" objectType="CheckBox" fmlaLink="Ber_Lab_Neo!Q22" lockText="1"/>
</file>

<file path=xl/ctrlProps/ctrlProp1232.xml><?xml version="1.0" encoding="utf-8"?>
<formControlPr xmlns="http://schemas.microsoft.com/office/spreadsheetml/2009/9/main" objectType="CheckBox" fmlaLink="Ber_Lab_Neo!Q23" lockText="1"/>
</file>

<file path=xl/ctrlProps/ctrlProp1233.xml><?xml version="1.0" encoding="utf-8"?>
<formControlPr xmlns="http://schemas.microsoft.com/office/spreadsheetml/2009/9/main" objectType="CheckBox" fmlaLink="Ber_Lab_Neo!Q24" lockText="1"/>
</file>

<file path=xl/ctrlProps/ctrlProp1234.xml><?xml version="1.0" encoding="utf-8"?>
<formControlPr xmlns="http://schemas.microsoft.com/office/spreadsheetml/2009/9/main" objectType="CheckBox" fmlaLink="Ber_Lab_Neo!Q25" lockText="1"/>
</file>

<file path=xl/ctrlProps/ctrlProp1235.xml><?xml version="1.0" encoding="utf-8"?>
<formControlPr xmlns="http://schemas.microsoft.com/office/spreadsheetml/2009/9/main" objectType="CheckBox" fmlaLink="Ber_Lab_Neo!Q26" lockText="1"/>
</file>

<file path=xl/ctrlProps/ctrlProp1236.xml><?xml version="1.0" encoding="utf-8"?>
<formControlPr xmlns="http://schemas.microsoft.com/office/spreadsheetml/2009/9/main" objectType="CheckBox" fmlaLink="Ber_Lab_Neo!Q29" lockText="1"/>
</file>

<file path=xl/ctrlProps/ctrlProp1237.xml><?xml version="1.0" encoding="utf-8"?>
<formControlPr xmlns="http://schemas.microsoft.com/office/spreadsheetml/2009/9/main" objectType="CheckBox" fmlaLink="Ber_Lab_Neo!Q18" lockText="1"/>
</file>

<file path=xl/ctrlProps/ctrlProp1238.xml><?xml version="1.0" encoding="utf-8"?>
<formControlPr xmlns="http://schemas.microsoft.com/office/spreadsheetml/2009/9/main" objectType="CheckBox" fmlaLink="Ber_Lab_Neo!Q10" lockText="1"/>
</file>

<file path=xl/ctrlProps/ctrlProp1239.xml><?xml version="1.0" encoding="utf-8"?>
<formControlPr xmlns="http://schemas.microsoft.com/office/spreadsheetml/2009/9/main" objectType="CheckBox" fmlaLink="Ber_Lab_Neo!Q31" lockText="1"/>
</file>

<file path=xl/ctrlProps/ctrlProp1240.xml><?xml version="1.0" encoding="utf-8"?>
<formControlPr xmlns="http://schemas.microsoft.com/office/spreadsheetml/2009/9/main" objectType="CheckBox" fmlaLink="Ber_Lab_Neo!Q27" lockText="1"/>
</file>

<file path=xl/ctrlProps/ctrlProp1241.xml><?xml version="1.0" encoding="utf-8"?>
<formControlPr xmlns="http://schemas.microsoft.com/office/spreadsheetml/2009/9/main" objectType="CheckBox" fmlaLink="Ber_Lab_Neo!$S$4" lockText="1"/>
</file>

<file path=xl/ctrlProps/ctrlProp1242.xml><?xml version="1.0" encoding="utf-8"?>
<formControlPr xmlns="http://schemas.microsoft.com/office/spreadsheetml/2009/9/main" objectType="CheckBox" fmlaLink="Ber_Lab_Neo!S5" lockText="1"/>
</file>

<file path=xl/ctrlProps/ctrlProp1243.xml><?xml version="1.0" encoding="utf-8"?>
<formControlPr xmlns="http://schemas.microsoft.com/office/spreadsheetml/2009/9/main" objectType="CheckBox" fmlaLink="Ber_Lab_Neo!S7" lockText="1"/>
</file>

<file path=xl/ctrlProps/ctrlProp1244.xml><?xml version="1.0" encoding="utf-8"?>
<formControlPr xmlns="http://schemas.microsoft.com/office/spreadsheetml/2009/9/main" objectType="CheckBox" fmlaLink="Ber_Lab_Neo!S8" lockText="1"/>
</file>

<file path=xl/ctrlProps/ctrlProp1245.xml><?xml version="1.0" encoding="utf-8"?>
<formControlPr xmlns="http://schemas.microsoft.com/office/spreadsheetml/2009/9/main" objectType="CheckBox" fmlaLink="Ber_Lab_Neo!S14" lockText="1"/>
</file>

<file path=xl/ctrlProps/ctrlProp1246.xml><?xml version="1.0" encoding="utf-8"?>
<formControlPr xmlns="http://schemas.microsoft.com/office/spreadsheetml/2009/9/main" objectType="CheckBox" fmlaLink="Ber_Lab_Neo!S13" lockText="1"/>
</file>

<file path=xl/ctrlProps/ctrlProp1247.xml><?xml version="1.0" encoding="utf-8"?>
<formControlPr xmlns="http://schemas.microsoft.com/office/spreadsheetml/2009/9/main" objectType="CheckBox" fmlaLink="Ber_Lab_Neo!S30" lockText="1"/>
</file>

<file path=xl/ctrlProps/ctrlProp1248.xml><?xml version="1.0" encoding="utf-8"?>
<formControlPr xmlns="http://schemas.microsoft.com/office/spreadsheetml/2009/9/main" objectType="CheckBox" fmlaLink="Ber_Lab_Neo!S16" lockText="1"/>
</file>

<file path=xl/ctrlProps/ctrlProp1249.xml><?xml version="1.0" encoding="utf-8"?>
<formControlPr xmlns="http://schemas.microsoft.com/office/spreadsheetml/2009/9/main" objectType="CheckBox" fmlaLink="Ber_Lab_Neo!S19" lockText="1"/>
</file>

<file path=xl/ctrlProps/ctrlProp1250.xml><?xml version="1.0" encoding="utf-8"?>
<formControlPr xmlns="http://schemas.microsoft.com/office/spreadsheetml/2009/9/main" objectType="CheckBox" fmlaLink="Ber_Lab_Neo!S20" lockText="1"/>
</file>

<file path=xl/ctrlProps/ctrlProp1251.xml><?xml version="1.0" encoding="utf-8"?>
<formControlPr xmlns="http://schemas.microsoft.com/office/spreadsheetml/2009/9/main" objectType="CheckBox" fmlaLink="Ber_Lab_Neo!S21" lockText="1"/>
</file>

<file path=xl/ctrlProps/ctrlProp1252.xml><?xml version="1.0" encoding="utf-8"?>
<formControlPr xmlns="http://schemas.microsoft.com/office/spreadsheetml/2009/9/main" objectType="CheckBox" fmlaLink="Ber_Lab_Neo!S12" lockText="1"/>
</file>

<file path=xl/ctrlProps/ctrlProp1253.xml><?xml version="1.0" encoding="utf-8"?>
<formControlPr xmlns="http://schemas.microsoft.com/office/spreadsheetml/2009/9/main" objectType="CheckBox" fmlaLink="Ber_Lab_Neo!S28" lockText="1"/>
</file>

<file path=xl/ctrlProps/ctrlProp1254.xml><?xml version="1.0" encoding="utf-8"?>
<formControlPr xmlns="http://schemas.microsoft.com/office/spreadsheetml/2009/9/main" objectType="CheckBox" fmlaLink="Ber_Lab_Neo!S32" lockText="1"/>
</file>

<file path=xl/ctrlProps/ctrlProp1255.xml><?xml version="1.0" encoding="utf-8"?>
<formControlPr xmlns="http://schemas.microsoft.com/office/spreadsheetml/2009/9/main" objectType="CheckBox" fmlaLink="Ber_Lab_Neo!S6" lockText="1"/>
</file>

<file path=xl/ctrlProps/ctrlProp1256.xml><?xml version="1.0" encoding="utf-8"?>
<formControlPr xmlns="http://schemas.microsoft.com/office/spreadsheetml/2009/9/main" objectType="CheckBox" fmlaLink="Ber_Lab_Neo!S17" lockText="1"/>
</file>

<file path=xl/ctrlProps/ctrlProp1257.xml><?xml version="1.0" encoding="utf-8"?>
<formControlPr xmlns="http://schemas.microsoft.com/office/spreadsheetml/2009/9/main" objectType="CheckBox" fmlaLink="Ber_Lab_Neo!S33" lockText="1"/>
</file>

<file path=xl/ctrlProps/ctrlProp1258.xml><?xml version="1.0" encoding="utf-8"?>
<formControlPr xmlns="http://schemas.microsoft.com/office/spreadsheetml/2009/9/main" objectType="CheckBox" fmlaLink="Ber_Lab_Neo!S34" lockText="1"/>
</file>

<file path=xl/ctrlProps/ctrlProp1259.xml><?xml version="1.0" encoding="utf-8"?>
<formControlPr xmlns="http://schemas.microsoft.com/office/spreadsheetml/2009/9/main" objectType="CheckBox" fmlaLink="Ber_Lab_Neo!S9" lockText="1"/>
</file>

<file path=xl/ctrlProps/ctrlProp1260.xml><?xml version="1.0" encoding="utf-8"?>
<formControlPr xmlns="http://schemas.microsoft.com/office/spreadsheetml/2009/9/main" objectType="CheckBox" fmlaLink="Ber_Lab_Neo!S11" lockText="1"/>
</file>

<file path=xl/ctrlProps/ctrlProp1261.xml><?xml version="1.0" encoding="utf-8"?>
<formControlPr xmlns="http://schemas.microsoft.com/office/spreadsheetml/2009/9/main" objectType="CheckBox" fmlaLink="Ber_Lab_Neo!S15" lockText="1"/>
</file>

<file path=xl/ctrlProps/ctrlProp1262.xml><?xml version="1.0" encoding="utf-8"?>
<formControlPr xmlns="http://schemas.microsoft.com/office/spreadsheetml/2009/9/main" objectType="CheckBox" fmlaLink="Ber_Lab_Neo!S22" lockText="1"/>
</file>

<file path=xl/ctrlProps/ctrlProp1263.xml><?xml version="1.0" encoding="utf-8"?>
<formControlPr xmlns="http://schemas.microsoft.com/office/spreadsheetml/2009/9/main" objectType="CheckBox" fmlaLink="Ber_Lab_Neo!S23" lockText="1"/>
</file>

<file path=xl/ctrlProps/ctrlProp1264.xml><?xml version="1.0" encoding="utf-8"?>
<formControlPr xmlns="http://schemas.microsoft.com/office/spreadsheetml/2009/9/main" objectType="CheckBox" fmlaLink="Ber_Lab_Neo!S24" lockText="1"/>
</file>

<file path=xl/ctrlProps/ctrlProp1265.xml><?xml version="1.0" encoding="utf-8"?>
<formControlPr xmlns="http://schemas.microsoft.com/office/spreadsheetml/2009/9/main" objectType="CheckBox" fmlaLink="Ber_Lab_Neo!S25" lockText="1"/>
</file>

<file path=xl/ctrlProps/ctrlProp1266.xml><?xml version="1.0" encoding="utf-8"?>
<formControlPr xmlns="http://schemas.microsoft.com/office/spreadsheetml/2009/9/main" objectType="CheckBox" fmlaLink="Ber_Lab_Neo!S26" lockText="1"/>
</file>

<file path=xl/ctrlProps/ctrlProp1267.xml><?xml version="1.0" encoding="utf-8"?>
<formControlPr xmlns="http://schemas.microsoft.com/office/spreadsheetml/2009/9/main" objectType="CheckBox" fmlaLink="Ber_Lab_Neo!S29" lockText="1"/>
</file>

<file path=xl/ctrlProps/ctrlProp1268.xml><?xml version="1.0" encoding="utf-8"?>
<formControlPr xmlns="http://schemas.microsoft.com/office/spreadsheetml/2009/9/main" objectType="CheckBox" fmlaLink="Ber_Lab_Neo!S18" lockText="1"/>
</file>

<file path=xl/ctrlProps/ctrlProp1269.xml><?xml version="1.0" encoding="utf-8"?>
<formControlPr xmlns="http://schemas.microsoft.com/office/spreadsheetml/2009/9/main" objectType="CheckBox" fmlaLink="Ber_Lab_Neo!S10" lockText="1"/>
</file>

<file path=xl/ctrlProps/ctrlProp1270.xml><?xml version="1.0" encoding="utf-8"?>
<formControlPr xmlns="http://schemas.microsoft.com/office/spreadsheetml/2009/9/main" objectType="CheckBox" fmlaLink="Ber_Lab_Neo!S31" lockText="1"/>
</file>

<file path=xl/ctrlProps/ctrlProp1271.xml><?xml version="1.0" encoding="utf-8"?>
<formControlPr xmlns="http://schemas.microsoft.com/office/spreadsheetml/2009/9/main" objectType="CheckBox" fmlaLink="Ber_Lab_Neo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47625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47625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47625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47625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12</xdr:row>
          <xdr:rowOff>47625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47625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14</xdr:row>
          <xdr:rowOff>47625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47625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47625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19050</xdr:rowOff>
        </xdr:from>
        <xdr:to>
          <xdr:col>5</xdr:col>
          <xdr:colOff>723900</xdr:colOff>
          <xdr:row>8</xdr:row>
          <xdr:rowOff>238125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19050</xdr:rowOff>
        </xdr:from>
        <xdr:to>
          <xdr:col>5</xdr:col>
          <xdr:colOff>723900</xdr:colOff>
          <xdr:row>9</xdr:row>
          <xdr:rowOff>238125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19050</xdr:rowOff>
        </xdr:from>
        <xdr:to>
          <xdr:col>5</xdr:col>
          <xdr:colOff>723900</xdr:colOff>
          <xdr:row>10</xdr:row>
          <xdr:rowOff>238125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19050</xdr:rowOff>
        </xdr:from>
        <xdr:to>
          <xdr:col>5</xdr:col>
          <xdr:colOff>723900</xdr:colOff>
          <xdr:row>11</xdr:row>
          <xdr:rowOff>238125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19050</xdr:rowOff>
        </xdr:from>
        <xdr:to>
          <xdr:col>5</xdr:col>
          <xdr:colOff>723900</xdr:colOff>
          <xdr:row>12</xdr:row>
          <xdr:rowOff>238125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19050</xdr:rowOff>
        </xdr:from>
        <xdr:to>
          <xdr:col>5</xdr:col>
          <xdr:colOff>723900</xdr:colOff>
          <xdr:row>13</xdr:row>
          <xdr:rowOff>238125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14</xdr:row>
          <xdr:rowOff>19050</xdr:rowOff>
        </xdr:from>
        <xdr:to>
          <xdr:col>5</xdr:col>
          <xdr:colOff>723900</xdr:colOff>
          <xdr:row>14</xdr:row>
          <xdr:rowOff>238125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19050</xdr:rowOff>
        </xdr:from>
        <xdr:to>
          <xdr:col>5</xdr:col>
          <xdr:colOff>723900</xdr:colOff>
          <xdr:row>15</xdr:row>
          <xdr:rowOff>238125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19050</xdr:rowOff>
        </xdr:from>
        <xdr:to>
          <xdr:col>5</xdr:col>
          <xdr:colOff>723900</xdr:colOff>
          <xdr:row>16</xdr:row>
          <xdr:rowOff>238125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21</xdr:row>
          <xdr:rowOff>0</xdr:rowOff>
        </xdr:from>
        <xdr:to>
          <xdr:col>5</xdr:col>
          <xdr:colOff>666750</xdr:colOff>
          <xdr:row>21</xdr:row>
          <xdr:rowOff>219075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22</xdr:row>
          <xdr:rowOff>0</xdr:rowOff>
        </xdr:from>
        <xdr:to>
          <xdr:col>5</xdr:col>
          <xdr:colOff>666750</xdr:colOff>
          <xdr:row>22</xdr:row>
          <xdr:rowOff>219075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23</xdr:row>
          <xdr:rowOff>0</xdr:rowOff>
        </xdr:from>
        <xdr:to>
          <xdr:col>5</xdr:col>
          <xdr:colOff>666750</xdr:colOff>
          <xdr:row>23</xdr:row>
          <xdr:rowOff>219075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21</xdr:row>
          <xdr:rowOff>28575</xdr:rowOff>
        </xdr:from>
        <xdr:to>
          <xdr:col>4</xdr:col>
          <xdr:colOff>647700</xdr:colOff>
          <xdr:row>21</xdr:row>
          <xdr:rowOff>219075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22</xdr:row>
          <xdr:rowOff>0</xdr:rowOff>
        </xdr:from>
        <xdr:to>
          <xdr:col>5</xdr:col>
          <xdr:colOff>666750</xdr:colOff>
          <xdr:row>22</xdr:row>
          <xdr:rowOff>219075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22</xdr:row>
          <xdr:rowOff>28575</xdr:rowOff>
        </xdr:from>
        <xdr:to>
          <xdr:col>4</xdr:col>
          <xdr:colOff>647700</xdr:colOff>
          <xdr:row>22</xdr:row>
          <xdr:rowOff>219075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23</xdr:row>
          <xdr:rowOff>0</xdr:rowOff>
        </xdr:from>
        <xdr:to>
          <xdr:col>5</xdr:col>
          <xdr:colOff>666750</xdr:colOff>
          <xdr:row>23</xdr:row>
          <xdr:rowOff>219075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23</xdr:row>
          <xdr:rowOff>28575</xdr:rowOff>
        </xdr:from>
        <xdr:to>
          <xdr:col>4</xdr:col>
          <xdr:colOff>647700</xdr:colOff>
          <xdr:row>23</xdr:row>
          <xdr:rowOff>219075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21</xdr:row>
          <xdr:rowOff>19050</xdr:rowOff>
        </xdr:from>
        <xdr:to>
          <xdr:col>6</xdr:col>
          <xdr:colOff>962025</xdr:colOff>
          <xdr:row>21</xdr:row>
          <xdr:rowOff>209550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22</xdr:row>
          <xdr:rowOff>19050</xdr:rowOff>
        </xdr:from>
        <xdr:to>
          <xdr:col>6</xdr:col>
          <xdr:colOff>962025</xdr:colOff>
          <xdr:row>22</xdr:row>
          <xdr:rowOff>209550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23</xdr:row>
          <xdr:rowOff>19050</xdr:rowOff>
        </xdr:from>
        <xdr:to>
          <xdr:col>6</xdr:col>
          <xdr:colOff>962025</xdr:colOff>
          <xdr:row>23</xdr:row>
          <xdr:rowOff>209550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19</xdr:row>
          <xdr:rowOff>0</xdr:rowOff>
        </xdr:from>
        <xdr:to>
          <xdr:col>5</xdr:col>
          <xdr:colOff>666750</xdr:colOff>
          <xdr:row>19</xdr:row>
          <xdr:rowOff>219075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19</xdr:row>
          <xdr:rowOff>28575</xdr:rowOff>
        </xdr:from>
        <xdr:to>
          <xdr:col>4</xdr:col>
          <xdr:colOff>647700</xdr:colOff>
          <xdr:row>19</xdr:row>
          <xdr:rowOff>219075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19</xdr:row>
          <xdr:rowOff>19050</xdr:rowOff>
        </xdr:from>
        <xdr:to>
          <xdr:col>6</xdr:col>
          <xdr:colOff>962025</xdr:colOff>
          <xdr:row>19</xdr:row>
          <xdr:rowOff>209550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20</xdr:row>
          <xdr:rowOff>0</xdr:rowOff>
        </xdr:from>
        <xdr:to>
          <xdr:col>5</xdr:col>
          <xdr:colOff>666750</xdr:colOff>
          <xdr:row>20</xdr:row>
          <xdr:rowOff>219075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20</xdr:row>
          <xdr:rowOff>28575</xdr:rowOff>
        </xdr:from>
        <xdr:to>
          <xdr:col>4</xdr:col>
          <xdr:colOff>647700</xdr:colOff>
          <xdr:row>20</xdr:row>
          <xdr:rowOff>219075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20</xdr:row>
          <xdr:rowOff>19050</xdr:rowOff>
        </xdr:from>
        <xdr:to>
          <xdr:col>6</xdr:col>
          <xdr:colOff>962025</xdr:colOff>
          <xdr:row>20</xdr:row>
          <xdr:rowOff>209550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47625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19050</xdr:rowOff>
        </xdr:from>
        <xdr:to>
          <xdr:col>5</xdr:col>
          <xdr:colOff>723900</xdr:colOff>
          <xdr:row>17</xdr:row>
          <xdr:rowOff>238125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8</xdr:row>
          <xdr:rowOff>9525</xdr:rowOff>
        </xdr:from>
        <xdr:to>
          <xdr:col>7</xdr:col>
          <xdr:colOff>0</xdr:colOff>
          <xdr:row>8</xdr:row>
          <xdr:rowOff>219075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9</xdr:row>
          <xdr:rowOff>9525</xdr:rowOff>
        </xdr:from>
        <xdr:to>
          <xdr:col>7</xdr:col>
          <xdr:colOff>0</xdr:colOff>
          <xdr:row>9</xdr:row>
          <xdr:rowOff>219075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10</xdr:row>
          <xdr:rowOff>9525</xdr:rowOff>
        </xdr:from>
        <xdr:to>
          <xdr:col>7</xdr:col>
          <xdr:colOff>0</xdr:colOff>
          <xdr:row>10</xdr:row>
          <xdr:rowOff>219075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11</xdr:row>
          <xdr:rowOff>9525</xdr:rowOff>
        </xdr:from>
        <xdr:to>
          <xdr:col>7</xdr:col>
          <xdr:colOff>0</xdr:colOff>
          <xdr:row>11</xdr:row>
          <xdr:rowOff>219075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12</xdr:row>
          <xdr:rowOff>9525</xdr:rowOff>
        </xdr:from>
        <xdr:to>
          <xdr:col>7</xdr:col>
          <xdr:colOff>0</xdr:colOff>
          <xdr:row>12</xdr:row>
          <xdr:rowOff>219075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13</xdr:row>
          <xdr:rowOff>9525</xdr:rowOff>
        </xdr:from>
        <xdr:to>
          <xdr:col>7</xdr:col>
          <xdr:colOff>0</xdr:colOff>
          <xdr:row>13</xdr:row>
          <xdr:rowOff>219075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14</xdr:row>
          <xdr:rowOff>9525</xdr:rowOff>
        </xdr:from>
        <xdr:to>
          <xdr:col>7</xdr:col>
          <xdr:colOff>0</xdr:colOff>
          <xdr:row>14</xdr:row>
          <xdr:rowOff>219075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15</xdr:row>
          <xdr:rowOff>9525</xdr:rowOff>
        </xdr:from>
        <xdr:to>
          <xdr:col>7</xdr:col>
          <xdr:colOff>0</xdr:colOff>
          <xdr:row>15</xdr:row>
          <xdr:rowOff>219075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16</xdr:row>
          <xdr:rowOff>9525</xdr:rowOff>
        </xdr:from>
        <xdr:to>
          <xdr:col>7</xdr:col>
          <xdr:colOff>0</xdr:colOff>
          <xdr:row>16</xdr:row>
          <xdr:rowOff>219075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1000125</xdr:colOff>
          <xdr:row>17</xdr:row>
          <xdr:rowOff>9525</xdr:rowOff>
        </xdr:from>
        <xdr:to>
          <xdr:col>7</xdr:col>
          <xdr:colOff>0</xdr:colOff>
          <xdr:row>17</xdr:row>
          <xdr:rowOff>219075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800100</xdr:colOff>
          <xdr:row>3</xdr:row>
          <xdr:rowOff>9525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8</xdr:row>
          <xdr:rowOff>9525</xdr:rowOff>
        </xdr:from>
        <xdr:to>
          <xdr:col>5</xdr:col>
          <xdr:colOff>0</xdr:colOff>
          <xdr:row>8</xdr:row>
          <xdr:rowOff>219075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9</xdr:row>
          <xdr:rowOff>9525</xdr:rowOff>
        </xdr:from>
        <xdr:to>
          <xdr:col>5</xdr:col>
          <xdr:colOff>0</xdr:colOff>
          <xdr:row>9</xdr:row>
          <xdr:rowOff>219075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10</xdr:row>
          <xdr:rowOff>9525</xdr:rowOff>
        </xdr:from>
        <xdr:to>
          <xdr:col>5</xdr:col>
          <xdr:colOff>0</xdr:colOff>
          <xdr:row>10</xdr:row>
          <xdr:rowOff>219075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11</xdr:row>
          <xdr:rowOff>9525</xdr:rowOff>
        </xdr:from>
        <xdr:to>
          <xdr:col>5</xdr:col>
          <xdr:colOff>0</xdr:colOff>
          <xdr:row>11</xdr:row>
          <xdr:rowOff>219075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12</xdr:row>
          <xdr:rowOff>9525</xdr:rowOff>
        </xdr:from>
        <xdr:to>
          <xdr:col>5</xdr:col>
          <xdr:colOff>0</xdr:colOff>
          <xdr:row>12</xdr:row>
          <xdr:rowOff>219075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13</xdr:row>
          <xdr:rowOff>9525</xdr:rowOff>
        </xdr:from>
        <xdr:to>
          <xdr:col>5</xdr:col>
          <xdr:colOff>0</xdr:colOff>
          <xdr:row>13</xdr:row>
          <xdr:rowOff>219075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14</xdr:row>
          <xdr:rowOff>9525</xdr:rowOff>
        </xdr:from>
        <xdr:to>
          <xdr:col>5</xdr:col>
          <xdr:colOff>0</xdr:colOff>
          <xdr:row>14</xdr:row>
          <xdr:rowOff>219075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15</xdr:row>
          <xdr:rowOff>9525</xdr:rowOff>
        </xdr:from>
        <xdr:to>
          <xdr:col>5</xdr:col>
          <xdr:colOff>0</xdr:colOff>
          <xdr:row>15</xdr:row>
          <xdr:rowOff>219075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9525</xdr:rowOff>
        </xdr:from>
        <xdr:to>
          <xdr:col>5</xdr:col>
          <xdr:colOff>0</xdr:colOff>
          <xdr:row>16</xdr:row>
          <xdr:rowOff>219075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17</xdr:row>
          <xdr:rowOff>9525</xdr:rowOff>
        </xdr:from>
        <xdr:to>
          <xdr:col>5</xdr:col>
          <xdr:colOff>0</xdr:colOff>
          <xdr:row>17</xdr:row>
          <xdr:rowOff>219075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</xdr:row>
          <xdr:rowOff>28575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9</xdr:row>
          <xdr:rowOff>28575</xdr:rowOff>
        </xdr:from>
        <xdr:to>
          <xdr:col>4</xdr:col>
          <xdr:colOff>0</xdr:colOff>
          <xdr:row>9</xdr:row>
          <xdr:rowOff>238125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10</xdr:row>
          <xdr:rowOff>28575</xdr:rowOff>
        </xdr:from>
        <xdr:to>
          <xdr:col>4</xdr:col>
          <xdr:colOff>0</xdr:colOff>
          <xdr:row>10</xdr:row>
          <xdr:rowOff>238125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11</xdr:row>
          <xdr:rowOff>28575</xdr:rowOff>
        </xdr:from>
        <xdr:to>
          <xdr:col>4</xdr:col>
          <xdr:colOff>0</xdr:colOff>
          <xdr:row>11</xdr:row>
          <xdr:rowOff>238125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12</xdr:row>
          <xdr:rowOff>28575</xdr:rowOff>
        </xdr:from>
        <xdr:to>
          <xdr:col>4</xdr:col>
          <xdr:colOff>0</xdr:colOff>
          <xdr:row>12</xdr:row>
          <xdr:rowOff>238125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13</xdr:row>
          <xdr:rowOff>28575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14</xdr:row>
          <xdr:rowOff>28575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15</xdr:row>
          <xdr:rowOff>28575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16</xdr:row>
          <xdr:rowOff>28575</xdr:rowOff>
        </xdr:from>
        <xdr:to>
          <xdr:col>4</xdr:col>
          <xdr:colOff>0</xdr:colOff>
          <xdr:row>16</xdr:row>
          <xdr:rowOff>238125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17</xdr:row>
          <xdr:rowOff>28575</xdr:rowOff>
        </xdr:from>
        <xdr:to>
          <xdr:col>4</xdr:col>
          <xdr:colOff>0</xdr:colOff>
          <xdr:row>17</xdr:row>
          <xdr:rowOff>238125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8</xdr:row>
          <xdr:rowOff>57150</xdr:rowOff>
        </xdr:from>
        <xdr:to>
          <xdr:col>1</xdr:col>
          <xdr:colOff>28575</xdr:colOff>
          <xdr:row>8</xdr:row>
          <xdr:rowOff>209550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9</xdr:row>
          <xdr:rowOff>47625</xdr:rowOff>
        </xdr:from>
        <xdr:to>
          <xdr:col>1</xdr:col>
          <xdr:colOff>28575</xdr:colOff>
          <xdr:row>9</xdr:row>
          <xdr:rowOff>200025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57150</xdr:rowOff>
        </xdr:from>
        <xdr:to>
          <xdr:col>1</xdr:col>
          <xdr:colOff>28575</xdr:colOff>
          <xdr:row>10</xdr:row>
          <xdr:rowOff>209550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</xdr:row>
          <xdr:rowOff>57150</xdr:rowOff>
        </xdr:from>
        <xdr:to>
          <xdr:col>1</xdr:col>
          <xdr:colOff>28575</xdr:colOff>
          <xdr:row>11</xdr:row>
          <xdr:rowOff>209550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12</xdr:row>
          <xdr:rowOff>57150</xdr:rowOff>
        </xdr:from>
        <xdr:to>
          <xdr:col>1</xdr:col>
          <xdr:colOff>28575</xdr:colOff>
          <xdr:row>12</xdr:row>
          <xdr:rowOff>209550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13</xdr:row>
          <xdr:rowOff>57150</xdr:rowOff>
        </xdr:from>
        <xdr:to>
          <xdr:col>1</xdr:col>
          <xdr:colOff>28575</xdr:colOff>
          <xdr:row>13</xdr:row>
          <xdr:rowOff>209550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57150</xdr:rowOff>
        </xdr:from>
        <xdr:to>
          <xdr:col>1</xdr:col>
          <xdr:colOff>28575</xdr:colOff>
          <xdr:row>14</xdr:row>
          <xdr:rowOff>209550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15</xdr:row>
          <xdr:rowOff>57150</xdr:rowOff>
        </xdr:from>
        <xdr:to>
          <xdr:col>1</xdr:col>
          <xdr:colOff>28575</xdr:colOff>
          <xdr:row>15</xdr:row>
          <xdr:rowOff>209550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16</xdr:row>
          <xdr:rowOff>57150</xdr:rowOff>
        </xdr:from>
        <xdr:to>
          <xdr:col>1</xdr:col>
          <xdr:colOff>28575</xdr:colOff>
          <xdr:row>16</xdr:row>
          <xdr:rowOff>209550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57150</xdr:rowOff>
        </xdr:from>
        <xdr:to>
          <xdr:col>1</xdr:col>
          <xdr:colOff>28575</xdr:colOff>
          <xdr:row>17</xdr:row>
          <xdr:rowOff>209550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</xdr:row>
          <xdr:rowOff>28575</xdr:rowOff>
        </xdr:from>
        <xdr:to>
          <xdr:col>7</xdr:col>
          <xdr:colOff>581025</xdr:colOff>
          <xdr:row>5</xdr:row>
          <xdr:rowOff>219075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9525</xdr:rowOff>
        </xdr:from>
        <xdr:to>
          <xdr:col>9</xdr:col>
          <xdr:colOff>133350</xdr:colOff>
          <xdr:row>5</xdr:row>
          <xdr:rowOff>238125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</xdr:row>
          <xdr:rowOff>28575</xdr:rowOff>
        </xdr:from>
        <xdr:to>
          <xdr:col>13</xdr:col>
          <xdr:colOff>533400</xdr:colOff>
          <xdr:row>5</xdr:row>
          <xdr:rowOff>228600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</xdr:row>
          <xdr:rowOff>38100</xdr:rowOff>
        </xdr:from>
        <xdr:to>
          <xdr:col>12</xdr:col>
          <xdr:colOff>466725</xdr:colOff>
          <xdr:row>5</xdr:row>
          <xdr:rowOff>228600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9525</xdr:rowOff>
        </xdr:from>
        <xdr:to>
          <xdr:col>9</xdr:col>
          <xdr:colOff>133350</xdr:colOff>
          <xdr:row>7</xdr:row>
          <xdr:rowOff>238125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7</xdr:row>
          <xdr:rowOff>28575</xdr:rowOff>
        </xdr:from>
        <xdr:to>
          <xdr:col>13</xdr:col>
          <xdr:colOff>533400</xdr:colOff>
          <xdr:row>7</xdr:row>
          <xdr:rowOff>228600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7</xdr:row>
          <xdr:rowOff>38100</xdr:rowOff>
        </xdr:from>
        <xdr:to>
          <xdr:col>12</xdr:col>
          <xdr:colOff>466725</xdr:colOff>
          <xdr:row>7</xdr:row>
          <xdr:rowOff>228600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9</xdr:row>
          <xdr:rowOff>28575</xdr:rowOff>
        </xdr:from>
        <xdr:to>
          <xdr:col>7</xdr:col>
          <xdr:colOff>581025</xdr:colOff>
          <xdr:row>9</xdr:row>
          <xdr:rowOff>219075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9</xdr:col>
          <xdr:colOff>133350</xdr:colOff>
          <xdr:row>9</xdr:row>
          <xdr:rowOff>238125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9</xdr:row>
          <xdr:rowOff>28575</xdr:rowOff>
        </xdr:from>
        <xdr:to>
          <xdr:col>13</xdr:col>
          <xdr:colOff>533400</xdr:colOff>
          <xdr:row>9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9</xdr:row>
          <xdr:rowOff>38100</xdr:rowOff>
        </xdr:from>
        <xdr:to>
          <xdr:col>12</xdr:col>
          <xdr:colOff>466725</xdr:colOff>
          <xdr:row>9</xdr:row>
          <xdr:rowOff>228600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11</xdr:row>
          <xdr:rowOff>28575</xdr:rowOff>
        </xdr:from>
        <xdr:to>
          <xdr:col>7</xdr:col>
          <xdr:colOff>581025</xdr:colOff>
          <xdr:row>11</xdr:row>
          <xdr:rowOff>219075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9525</xdr:rowOff>
        </xdr:from>
        <xdr:to>
          <xdr:col>9</xdr:col>
          <xdr:colOff>133350</xdr:colOff>
          <xdr:row>11</xdr:row>
          <xdr:rowOff>238125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11</xdr:row>
          <xdr:rowOff>28575</xdr:rowOff>
        </xdr:from>
        <xdr:to>
          <xdr:col>13</xdr:col>
          <xdr:colOff>533400</xdr:colOff>
          <xdr:row>11</xdr:row>
          <xdr:rowOff>228600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11</xdr:row>
          <xdr:rowOff>38100</xdr:rowOff>
        </xdr:from>
        <xdr:to>
          <xdr:col>12</xdr:col>
          <xdr:colOff>466725</xdr:colOff>
          <xdr:row>11</xdr:row>
          <xdr:rowOff>228600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13</xdr:row>
          <xdr:rowOff>28575</xdr:rowOff>
        </xdr:from>
        <xdr:to>
          <xdr:col>7</xdr:col>
          <xdr:colOff>581025</xdr:colOff>
          <xdr:row>13</xdr:row>
          <xdr:rowOff>219075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9525</xdr:rowOff>
        </xdr:from>
        <xdr:to>
          <xdr:col>9</xdr:col>
          <xdr:colOff>133350</xdr:colOff>
          <xdr:row>13</xdr:row>
          <xdr:rowOff>238125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13</xdr:row>
          <xdr:rowOff>28575</xdr:rowOff>
        </xdr:from>
        <xdr:to>
          <xdr:col>13</xdr:col>
          <xdr:colOff>533400</xdr:colOff>
          <xdr:row>13</xdr:row>
          <xdr:rowOff>228600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13</xdr:row>
          <xdr:rowOff>38100</xdr:rowOff>
        </xdr:from>
        <xdr:to>
          <xdr:col>12</xdr:col>
          <xdr:colOff>466725</xdr:colOff>
          <xdr:row>13</xdr:row>
          <xdr:rowOff>228600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15</xdr:row>
          <xdr:rowOff>28575</xdr:rowOff>
        </xdr:from>
        <xdr:to>
          <xdr:col>7</xdr:col>
          <xdr:colOff>581025</xdr:colOff>
          <xdr:row>15</xdr:row>
          <xdr:rowOff>219075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9525</xdr:rowOff>
        </xdr:from>
        <xdr:to>
          <xdr:col>9</xdr:col>
          <xdr:colOff>133350</xdr:colOff>
          <xdr:row>15</xdr:row>
          <xdr:rowOff>238125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15</xdr:row>
          <xdr:rowOff>28575</xdr:rowOff>
        </xdr:from>
        <xdr:to>
          <xdr:col>13</xdr:col>
          <xdr:colOff>533400</xdr:colOff>
          <xdr:row>15</xdr:row>
          <xdr:rowOff>228600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15</xdr:row>
          <xdr:rowOff>38100</xdr:rowOff>
        </xdr:from>
        <xdr:to>
          <xdr:col>12</xdr:col>
          <xdr:colOff>466725</xdr:colOff>
          <xdr:row>15</xdr:row>
          <xdr:rowOff>228600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17</xdr:row>
          <xdr:rowOff>28575</xdr:rowOff>
        </xdr:from>
        <xdr:to>
          <xdr:col>7</xdr:col>
          <xdr:colOff>581025</xdr:colOff>
          <xdr:row>17</xdr:row>
          <xdr:rowOff>219075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9525</xdr:rowOff>
        </xdr:from>
        <xdr:to>
          <xdr:col>9</xdr:col>
          <xdr:colOff>133350</xdr:colOff>
          <xdr:row>17</xdr:row>
          <xdr:rowOff>238125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17</xdr:row>
          <xdr:rowOff>28575</xdr:rowOff>
        </xdr:from>
        <xdr:to>
          <xdr:col>13</xdr:col>
          <xdr:colOff>533400</xdr:colOff>
          <xdr:row>17</xdr:row>
          <xdr:rowOff>228600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17</xdr:row>
          <xdr:rowOff>38100</xdr:rowOff>
        </xdr:from>
        <xdr:to>
          <xdr:col>12</xdr:col>
          <xdr:colOff>466725</xdr:colOff>
          <xdr:row>17</xdr:row>
          <xdr:rowOff>228600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19</xdr:row>
          <xdr:rowOff>28575</xdr:rowOff>
        </xdr:from>
        <xdr:to>
          <xdr:col>7</xdr:col>
          <xdr:colOff>581025</xdr:colOff>
          <xdr:row>19</xdr:row>
          <xdr:rowOff>219075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9525</xdr:rowOff>
        </xdr:from>
        <xdr:to>
          <xdr:col>9</xdr:col>
          <xdr:colOff>133350</xdr:colOff>
          <xdr:row>19</xdr:row>
          <xdr:rowOff>238125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19</xdr:row>
          <xdr:rowOff>28575</xdr:rowOff>
        </xdr:from>
        <xdr:to>
          <xdr:col>13</xdr:col>
          <xdr:colOff>533400</xdr:colOff>
          <xdr:row>19</xdr:row>
          <xdr:rowOff>228600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19</xdr:row>
          <xdr:rowOff>38100</xdr:rowOff>
        </xdr:from>
        <xdr:to>
          <xdr:col>12</xdr:col>
          <xdr:colOff>466725</xdr:colOff>
          <xdr:row>19</xdr:row>
          <xdr:rowOff>228600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21</xdr:row>
          <xdr:rowOff>28575</xdr:rowOff>
        </xdr:from>
        <xdr:to>
          <xdr:col>7</xdr:col>
          <xdr:colOff>581025</xdr:colOff>
          <xdr:row>21</xdr:row>
          <xdr:rowOff>219075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9525</xdr:rowOff>
        </xdr:from>
        <xdr:to>
          <xdr:col>9</xdr:col>
          <xdr:colOff>133350</xdr:colOff>
          <xdr:row>21</xdr:row>
          <xdr:rowOff>238125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21</xdr:row>
          <xdr:rowOff>28575</xdr:rowOff>
        </xdr:from>
        <xdr:to>
          <xdr:col>13</xdr:col>
          <xdr:colOff>533400</xdr:colOff>
          <xdr:row>21</xdr:row>
          <xdr:rowOff>228600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21</xdr:row>
          <xdr:rowOff>38100</xdr:rowOff>
        </xdr:from>
        <xdr:to>
          <xdr:col>12</xdr:col>
          <xdr:colOff>466725</xdr:colOff>
          <xdr:row>21</xdr:row>
          <xdr:rowOff>228600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23</xdr:row>
          <xdr:rowOff>28575</xdr:rowOff>
        </xdr:from>
        <xdr:to>
          <xdr:col>7</xdr:col>
          <xdr:colOff>581025</xdr:colOff>
          <xdr:row>23</xdr:row>
          <xdr:rowOff>219075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9525</xdr:rowOff>
        </xdr:from>
        <xdr:to>
          <xdr:col>9</xdr:col>
          <xdr:colOff>133350</xdr:colOff>
          <xdr:row>23</xdr:row>
          <xdr:rowOff>238125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23</xdr:row>
          <xdr:rowOff>28575</xdr:rowOff>
        </xdr:from>
        <xdr:to>
          <xdr:col>13</xdr:col>
          <xdr:colOff>533400</xdr:colOff>
          <xdr:row>23</xdr:row>
          <xdr:rowOff>228600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23</xdr:row>
          <xdr:rowOff>38100</xdr:rowOff>
        </xdr:from>
        <xdr:to>
          <xdr:col>12</xdr:col>
          <xdr:colOff>466725</xdr:colOff>
          <xdr:row>23</xdr:row>
          <xdr:rowOff>228600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25</xdr:row>
          <xdr:rowOff>28575</xdr:rowOff>
        </xdr:from>
        <xdr:to>
          <xdr:col>7</xdr:col>
          <xdr:colOff>581025</xdr:colOff>
          <xdr:row>25</xdr:row>
          <xdr:rowOff>219075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9525</xdr:rowOff>
        </xdr:from>
        <xdr:to>
          <xdr:col>9</xdr:col>
          <xdr:colOff>133350</xdr:colOff>
          <xdr:row>25</xdr:row>
          <xdr:rowOff>238125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25</xdr:row>
          <xdr:rowOff>28575</xdr:rowOff>
        </xdr:from>
        <xdr:to>
          <xdr:col>13</xdr:col>
          <xdr:colOff>533400</xdr:colOff>
          <xdr:row>25</xdr:row>
          <xdr:rowOff>228600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25</xdr:row>
          <xdr:rowOff>38100</xdr:rowOff>
        </xdr:from>
        <xdr:to>
          <xdr:col>12</xdr:col>
          <xdr:colOff>466725</xdr:colOff>
          <xdr:row>25</xdr:row>
          <xdr:rowOff>228600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27</xdr:row>
          <xdr:rowOff>28575</xdr:rowOff>
        </xdr:from>
        <xdr:to>
          <xdr:col>7</xdr:col>
          <xdr:colOff>581025</xdr:colOff>
          <xdr:row>27</xdr:row>
          <xdr:rowOff>219075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9525</xdr:rowOff>
        </xdr:from>
        <xdr:to>
          <xdr:col>9</xdr:col>
          <xdr:colOff>133350</xdr:colOff>
          <xdr:row>27</xdr:row>
          <xdr:rowOff>238125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27</xdr:row>
          <xdr:rowOff>28575</xdr:rowOff>
        </xdr:from>
        <xdr:to>
          <xdr:col>13</xdr:col>
          <xdr:colOff>533400</xdr:colOff>
          <xdr:row>27</xdr:row>
          <xdr:rowOff>228600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27</xdr:row>
          <xdr:rowOff>38100</xdr:rowOff>
        </xdr:from>
        <xdr:to>
          <xdr:col>12</xdr:col>
          <xdr:colOff>466725</xdr:colOff>
          <xdr:row>27</xdr:row>
          <xdr:rowOff>228600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29</xdr:row>
          <xdr:rowOff>28575</xdr:rowOff>
        </xdr:from>
        <xdr:to>
          <xdr:col>7</xdr:col>
          <xdr:colOff>581025</xdr:colOff>
          <xdr:row>29</xdr:row>
          <xdr:rowOff>219075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9525</xdr:rowOff>
        </xdr:from>
        <xdr:to>
          <xdr:col>9</xdr:col>
          <xdr:colOff>133350</xdr:colOff>
          <xdr:row>29</xdr:row>
          <xdr:rowOff>238125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29</xdr:row>
          <xdr:rowOff>28575</xdr:rowOff>
        </xdr:from>
        <xdr:to>
          <xdr:col>13</xdr:col>
          <xdr:colOff>533400</xdr:colOff>
          <xdr:row>29</xdr:row>
          <xdr:rowOff>228600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29</xdr:row>
          <xdr:rowOff>38100</xdr:rowOff>
        </xdr:from>
        <xdr:to>
          <xdr:col>12</xdr:col>
          <xdr:colOff>466725</xdr:colOff>
          <xdr:row>29</xdr:row>
          <xdr:rowOff>228600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31</xdr:row>
          <xdr:rowOff>28575</xdr:rowOff>
        </xdr:from>
        <xdr:to>
          <xdr:col>7</xdr:col>
          <xdr:colOff>581025</xdr:colOff>
          <xdr:row>31</xdr:row>
          <xdr:rowOff>219075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9525</xdr:rowOff>
        </xdr:from>
        <xdr:to>
          <xdr:col>9</xdr:col>
          <xdr:colOff>133350</xdr:colOff>
          <xdr:row>31</xdr:row>
          <xdr:rowOff>238125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31</xdr:row>
          <xdr:rowOff>28575</xdr:rowOff>
        </xdr:from>
        <xdr:to>
          <xdr:col>13</xdr:col>
          <xdr:colOff>533400</xdr:colOff>
          <xdr:row>31</xdr:row>
          <xdr:rowOff>228600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31</xdr:row>
          <xdr:rowOff>38100</xdr:rowOff>
        </xdr:from>
        <xdr:to>
          <xdr:col>12</xdr:col>
          <xdr:colOff>466725</xdr:colOff>
          <xdr:row>31</xdr:row>
          <xdr:rowOff>228600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33</xdr:row>
          <xdr:rowOff>28575</xdr:rowOff>
        </xdr:from>
        <xdr:to>
          <xdr:col>7</xdr:col>
          <xdr:colOff>581025</xdr:colOff>
          <xdr:row>33</xdr:row>
          <xdr:rowOff>219075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9</xdr:col>
          <xdr:colOff>133350</xdr:colOff>
          <xdr:row>33</xdr:row>
          <xdr:rowOff>238125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33</xdr:row>
          <xdr:rowOff>28575</xdr:rowOff>
        </xdr:from>
        <xdr:to>
          <xdr:col>13</xdr:col>
          <xdr:colOff>533400</xdr:colOff>
          <xdr:row>33</xdr:row>
          <xdr:rowOff>228600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33</xdr:row>
          <xdr:rowOff>38100</xdr:rowOff>
        </xdr:from>
        <xdr:to>
          <xdr:col>12</xdr:col>
          <xdr:colOff>466725</xdr:colOff>
          <xdr:row>33</xdr:row>
          <xdr:rowOff>228600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35</xdr:row>
          <xdr:rowOff>28575</xdr:rowOff>
        </xdr:from>
        <xdr:to>
          <xdr:col>7</xdr:col>
          <xdr:colOff>581025</xdr:colOff>
          <xdr:row>35</xdr:row>
          <xdr:rowOff>219075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9525</xdr:rowOff>
        </xdr:from>
        <xdr:to>
          <xdr:col>9</xdr:col>
          <xdr:colOff>133350</xdr:colOff>
          <xdr:row>35</xdr:row>
          <xdr:rowOff>238125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35</xdr:row>
          <xdr:rowOff>28575</xdr:rowOff>
        </xdr:from>
        <xdr:to>
          <xdr:col>13</xdr:col>
          <xdr:colOff>533400</xdr:colOff>
          <xdr:row>35</xdr:row>
          <xdr:rowOff>228600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35</xdr:row>
          <xdr:rowOff>38100</xdr:rowOff>
        </xdr:from>
        <xdr:to>
          <xdr:col>12</xdr:col>
          <xdr:colOff>466725</xdr:colOff>
          <xdr:row>35</xdr:row>
          <xdr:rowOff>228600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37</xdr:row>
          <xdr:rowOff>28575</xdr:rowOff>
        </xdr:from>
        <xdr:to>
          <xdr:col>7</xdr:col>
          <xdr:colOff>581025</xdr:colOff>
          <xdr:row>37</xdr:row>
          <xdr:rowOff>219075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9525</xdr:rowOff>
        </xdr:from>
        <xdr:to>
          <xdr:col>9</xdr:col>
          <xdr:colOff>133350</xdr:colOff>
          <xdr:row>37</xdr:row>
          <xdr:rowOff>238125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37</xdr:row>
          <xdr:rowOff>28575</xdr:rowOff>
        </xdr:from>
        <xdr:to>
          <xdr:col>13</xdr:col>
          <xdr:colOff>533400</xdr:colOff>
          <xdr:row>37</xdr:row>
          <xdr:rowOff>228600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37</xdr:row>
          <xdr:rowOff>38100</xdr:rowOff>
        </xdr:from>
        <xdr:to>
          <xdr:col>12</xdr:col>
          <xdr:colOff>466725</xdr:colOff>
          <xdr:row>37</xdr:row>
          <xdr:rowOff>228600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39</xdr:row>
          <xdr:rowOff>28575</xdr:rowOff>
        </xdr:from>
        <xdr:to>
          <xdr:col>7</xdr:col>
          <xdr:colOff>581025</xdr:colOff>
          <xdr:row>39</xdr:row>
          <xdr:rowOff>219075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9525</xdr:rowOff>
        </xdr:from>
        <xdr:to>
          <xdr:col>9</xdr:col>
          <xdr:colOff>133350</xdr:colOff>
          <xdr:row>39</xdr:row>
          <xdr:rowOff>238125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39</xdr:row>
          <xdr:rowOff>28575</xdr:rowOff>
        </xdr:from>
        <xdr:to>
          <xdr:col>13</xdr:col>
          <xdr:colOff>533400</xdr:colOff>
          <xdr:row>39</xdr:row>
          <xdr:rowOff>228600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39</xdr:row>
          <xdr:rowOff>38100</xdr:rowOff>
        </xdr:from>
        <xdr:to>
          <xdr:col>12</xdr:col>
          <xdr:colOff>466725</xdr:colOff>
          <xdr:row>39</xdr:row>
          <xdr:rowOff>228600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41</xdr:row>
          <xdr:rowOff>28575</xdr:rowOff>
        </xdr:from>
        <xdr:to>
          <xdr:col>7</xdr:col>
          <xdr:colOff>581025</xdr:colOff>
          <xdr:row>41</xdr:row>
          <xdr:rowOff>219075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9525</xdr:rowOff>
        </xdr:from>
        <xdr:to>
          <xdr:col>9</xdr:col>
          <xdr:colOff>133350</xdr:colOff>
          <xdr:row>41</xdr:row>
          <xdr:rowOff>238125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41</xdr:row>
          <xdr:rowOff>28575</xdr:rowOff>
        </xdr:from>
        <xdr:to>
          <xdr:col>13</xdr:col>
          <xdr:colOff>533400</xdr:colOff>
          <xdr:row>41</xdr:row>
          <xdr:rowOff>228600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41</xdr:row>
          <xdr:rowOff>38100</xdr:rowOff>
        </xdr:from>
        <xdr:to>
          <xdr:col>12</xdr:col>
          <xdr:colOff>466725</xdr:colOff>
          <xdr:row>41</xdr:row>
          <xdr:rowOff>228600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43</xdr:row>
          <xdr:rowOff>28575</xdr:rowOff>
        </xdr:from>
        <xdr:to>
          <xdr:col>7</xdr:col>
          <xdr:colOff>581025</xdr:colOff>
          <xdr:row>43</xdr:row>
          <xdr:rowOff>219075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9525</xdr:rowOff>
        </xdr:from>
        <xdr:to>
          <xdr:col>9</xdr:col>
          <xdr:colOff>133350</xdr:colOff>
          <xdr:row>43</xdr:row>
          <xdr:rowOff>238125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43</xdr:row>
          <xdr:rowOff>28575</xdr:rowOff>
        </xdr:from>
        <xdr:to>
          <xdr:col>13</xdr:col>
          <xdr:colOff>533400</xdr:colOff>
          <xdr:row>43</xdr:row>
          <xdr:rowOff>228600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43</xdr:row>
          <xdr:rowOff>38100</xdr:rowOff>
        </xdr:from>
        <xdr:to>
          <xdr:col>12</xdr:col>
          <xdr:colOff>466725</xdr:colOff>
          <xdr:row>43</xdr:row>
          <xdr:rowOff>228600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7</xdr:row>
          <xdr:rowOff>28575</xdr:rowOff>
        </xdr:from>
        <xdr:to>
          <xdr:col>7</xdr:col>
          <xdr:colOff>581025</xdr:colOff>
          <xdr:row>7</xdr:row>
          <xdr:rowOff>219075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</xdr:row>
          <xdr:rowOff>38100</xdr:rowOff>
        </xdr:from>
        <xdr:to>
          <xdr:col>15</xdr:col>
          <xdr:colOff>180975</xdr:colOff>
          <xdr:row>5</xdr:row>
          <xdr:rowOff>228600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7</xdr:row>
          <xdr:rowOff>38100</xdr:rowOff>
        </xdr:from>
        <xdr:to>
          <xdr:col>15</xdr:col>
          <xdr:colOff>180975</xdr:colOff>
          <xdr:row>7</xdr:row>
          <xdr:rowOff>228600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9</xdr:row>
          <xdr:rowOff>38100</xdr:rowOff>
        </xdr:from>
        <xdr:to>
          <xdr:col>15</xdr:col>
          <xdr:colOff>180975</xdr:colOff>
          <xdr:row>9</xdr:row>
          <xdr:rowOff>228600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11</xdr:row>
          <xdr:rowOff>38100</xdr:rowOff>
        </xdr:from>
        <xdr:to>
          <xdr:col>15</xdr:col>
          <xdr:colOff>180975</xdr:colOff>
          <xdr:row>11</xdr:row>
          <xdr:rowOff>228600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13</xdr:row>
          <xdr:rowOff>38100</xdr:rowOff>
        </xdr:from>
        <xdr:to>
          <xdr:col>15</xdr:col>
          <xdr:colOff>180975</xdr:colOff>
          <xdr:row>13</xdr:row>
          <xdr:rowOff>228600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15</xdr:row>
          <xdr:rowOff>38100</xdr:rowOff>
        </xdr:from>
        <xdr:to>
          <xdr:col>15</xdr:col>
          <xdr:colOff>180975</xdr:colOff>
          <xdr:row>15</xdr:row>
          <xdr:rowOff>228600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17</xdr:row>
          <xdr:rowOff>38100</xdr:rowOff>
        </xdr:from>
        <xdr:to>
          <xdr:col>15</xdr:col>
          <xdr:colOff>180975</xdr:colOff>
          <xdr:row>17</xdr:row>
          <xdr:rowOff>228600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19</xdr:row>
          <xdr:rowOff>38100</xdr:rowOff>
        </xdr:from>
        <xdr:to>
          <xdr:col>15</xdr:col>
          <xdr:colOff>180975</xdr:colOff>
          <xdr:row>19</xdr:row>
          <xdr:rowOff>228600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21</xdr:row>
          <xdr:rowOff>38100</xdr:rowOff>
        </xdr:from>
        <xdr:to>
          <xdr:col>15</xdr:col>
          <xdr:colOff>180975</xdr:colOff>
          <xdr:row>21</xdr:row>
          <xdr:rowOff>228600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23</xdr:row>
          <xdr:rowOff>38100</xdr:rowOff>
        </xdr:from>
        <xdr:to>
          <xdr:col>15</xdr:col>
          <xdr:colOff>180975</xdr:colOff>
          <xdr:row>23</xdr:row>
          <xdr:rowOff>228600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25</xdr:row>
          <xdr:rowOff>38100</xdr:rowOff>
        </xdr:from>
        <xdr:to>
          <xdr:col>15</xdr:col>
          <xdr:colOff>180975</xdr:colOff>
          <xdr:row>25</xdr:row>
          <xdr:rowOff>228600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27</xdr:row>
          <xdr:rowOff>38100</xdr:rowOff>
        </xdr:from>
        <xdr:to>
          <xdr:col>15</xdr:col>
          <xdr:colOff>180975</xdr:colOff>
          <xdr:row>27</xdr:row>
          <xdr:rowOff>228600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29</xdr:row>
          <xdr:rowOff>38100</xdr:rowOff>
        </xdr:from>
        <xdr:to>
          <xdr:col>15</xdr:col>
          <xdr:colOff>180975</xdr:colOff>
          <xdr:row>29</xdr:row>
          <xdr:rowOff>228600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31</xdr:row>
          <xdr:rowOff>38100</xdr:rowOff>
        </xdr:from>
        <xdr:to>
          <xdr:col>15</xdr:col>
          <xdr:colOff>180975</xdr:colOff>
          <xdr:row>31</xdr:row>
          <xdr:rowOff>228600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33</xdr:row>
          <xdr:rowOff>38100</xdr:rowOff>
        </xdr:from>
        <xdr:to>
          <xdr:col>15</xdr:col>
          <xdr:colOff>180975</xdr:colOff>
          <xdr:row>33</xdr:row>
          <xdr:rowOff>228600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35</xdr:row>
          <xdr:rowOff>38100</xdr:rowOff>
        </xdr:from>
        <xdr:to>
          <xdr:col>15</xdr:col>
          <xdr:colOff>180975</xdr:colOff>
          <xdr:row>35</xdr:row>
          <xdr:rowOff>228600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37</xdr:row>
          <xdr:rowOff>38100</xdr:rowOff>
        </xdr:from>
        <xdr:to>
          <xdr:col>15</xdr:col>
          <xdr:colOff>180975</xdr:colOff>
          <xdr:row>37</xdr:row>
          <xdr:rowOff>228600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39</xdr:row>
          <xdr:rowOff>38100</xdr:rowOff>
        </xdr:from>
        <xdr:to>
          <xdr:col>15</xdr:col>
          <xdr:colOff>180975</xdr:colOff>
          <xdr:row>39</xdr:row>
          <xdr:rowOff>228600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41</xdr:row>
          <xdr:rowOff>38100</xdr:rowOff>
        </xdr:from>
        <xdr:to>
          <xdr:col>15</xdr:col>
          <xdr:colOff>180975</xdr:colOff>
          <xdr:row>41</xdr:row>
          <xdr:rowOff>228600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43</xdr:row>
          <xdr:rowOff>38100</xdr:rowOff>
        </xdr:from>
        <xdr:to>
          <xdr:col>15</xdr:col>
          <xdr:colOff>180975</xdr:colOff>
          <xdr:row>43</xdr:row>
          <xdr:rowOff>228600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9</xdr:row>
          <xdr:rowOff>28575</xdr:rowOff>
        </xdr:from>
        <xdr:to>
          <xdr:col>13</xdr:col>
          <xdr:colOff>533400</xdr:colOff>
          <xdr:row>9</xdr:row>
          <xdr:rowOff>228600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2</xdr:row>
          <xdr:rowOff>28575</xdr:rowOff>
        </xdr:from>
        <xdr:to>
          <xdr:col>14</xdr:col>
          <xdr:colOff>514350</xdr:colOff>
          <xdr:row>2</xdr:row>
          <xdr:rowOff>200025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45</xdr:row>
          <xdr:rowOff>0</xdr:rowOff>
        </xdr:from>
        <xdr:to>
          <xdr:col>13</xdr:col>
          <xdr:colOff>533400</xdr:colOff>
          <xdr:row>45</xdr:row>
          <xdr:rowOff>200025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45</xdr:row>
          <xdr:rowOff>28575</xdr:rowOff>
        </xdr:from>
        <xdr:to>
          <xdr:col>7</xdr:col>
          <xdr:colOff>581025</xdr:colOff>
          <xdr:row>45</xdr:row>
          <xdr:rowOff>219075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9525</xdr:rowOff>
        </xdr:from>
        <xdr:to>
          <xdr:col>9</xdr:col>
          <xdr:colOff>133350</xdr:colOff>
          <xdr:row>45</xdr:row>
          <xdr:rowOff>238125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45</xdr:row>
          <xdr:rowOff>38100</xdr:rowOff>
        </xdr:from>
        <xdr:to>
          <xdr:col>12</xdr:col>
          <xdr:colOff>466725</xdr:colOff>
          <xdr:row>45</xdr:row>
          <xdr:rowOff>228600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45</xdr:row>
          <xdr:rowOff>38100</xdr:rowOff>
        </xdr:from>
        <xdr:to>
          <xdr:col>15</xdr:col>
          <xdr:colOff>180975</xdr:colOff>
          <xdr:row>45</xdr:row>
          <xdr:rowOff>228600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47</xdr:row>
          <xdr:rowOff>0</xdr:rowOff>
        </xdr:from>
        <xdr:to>
          <xdr:col>13</xdr:col>
          <xdr:colOff>533400</xdr:colOff>
          <xdr:row>47</xdr:row>
          <xdr:rowOff>200025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47</xdr:row>
          <xdr:rowOff>28575</xdr:rowOff>
        </xdr:from>
        <xdr:to>
          <xdr:col>7</xdr:col>
          <xdr:colOff>581025</xdr:colOff>
          <xdr:row>47</xdr:row>
          <xdr:rowOff>219075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9525</xdr:rowOff>
        </xdr:from>
        <xdr:to>
          <xdr:col>9</xdr:col>
          <xdr:colOff>133350</xdr:colOff>
          <xdr:row>47</xdr:row>
          <xdr:rowOff>238125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47</xdr:row>
          <xdr:rowOff>38100</xdr:rowOff>
        </xdr:from>
        <xdr:to>
          <xdr:col>12</xdr:col>
          <xdr:colOff>466725</xdr:colOff>
          <xdr:row>47</xdr:row>
          <xdr:rowOff>228600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47</xdr:row>
          <xdr:rowOff>38100</xdr:rowOff>
        </xdr:from>
        <xdr:to>
          <xdr:col>15</xdr:col>
          <xdr:colOff>180975</xdr:colOff>
          <xdr:row>47</xdr:row>
          <xdr:rowOff>228600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49</xdr:row>
          <xdr:rowOff>0</xdr:rowOff>
        </xdr:from>
        <xdr:to>
          <xdr:col>13</xdr:col>
          <xdr:colOff>533400</xdr:colOff>
          <xdr:row>49</xdr:row>
          <xdr:rowOff>200025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49</xdr:row>
          <xdr:rowOff>28575</xdr:rowOff>
        </xdr:from>
        <xdr:to>
          <xdr:col>7</xdr:col>
          <xdr:colOff>581025</xdr:colOff>
          <xdr:row>49</xdr:row>
          <xdr:rowOff>219075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9525</xdr:rowOff>
        </xdr:from>
        <xdr:to>
          <xdr:col>9</xdr:col>
          <xdr:colOff>133350</xdr:colOff>
          <xdr:row>49</xdr:row>
          <xdr:rowOff>238125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49</xdr:row>
          <xdr:rowOff>38100</xdr:rowOff>
        </xdr:from>
        <xdr:to>
          <xdr:col>12</xdr:col>
          <xdr:colOff>466725</xdr:colOff>
          <xdr:row>49</xdr:row>
          <xdr:rowOff>228600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49</xdr:row>
          <xdr:rowOff>38100</xdr:rowOff>
        </xdr:from>
        <xdr:to>
          <xdr:col>15</xdr:col>
          <xdr:colOff>180975</xdr:colOff>
          <xdr:row>49</xdr:row>
          <xdr:rowOff>228600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51</xdr:row>
          <xdr:rowOff>0</xdr:rowOff>
        </xdr:from>
        <xdr:to>
          <xdr:col>13</xdr:col>
          <xdr:colOff>533400</xdr:colOff>
          <xdr:row>51</xdr:row>
          <xdr:rowOff>200025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51</xdr:row>
          <xdr:rowOff>28575</xdr:rowOff>
        </xdr:from>
        <xdr:to>
          <xdr:col>7</xdr:col>
          <xdr:colOff>581025</xdr:colOff>
          <xdr:row>51</xdr:row>
          <xdr:rowOff>219075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9525</xdr:rowOff>
        </xdr:from>
        <xdr:to>
          <xdr:col>9</xdr:col>
          <xdr:colOff>133350</xdr:colOff>
          <xdr:row>51</xdr:row>
          <xdr:rowOff>238125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51</xdr:row>
          <xdr:rowOff>38100</xdr:rowOff>
        </xdr:from>
        <xdr:to>
          <xdr:col>12</xdr:col>
          <xdr:colOff>466725</xdr:colOff>
          <xdr:row>51</xdr:row>
          <xdr:rowOff>228600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51</xdr:row>
          <xdr:rowOff>38100</xdr:rowOff>
        </xdr:from>
        <xdr:to>
          <xdr:col>15</xdr:col>
          <xdr:colOff>180975</xdr:colOff>
          <xdr:row>51</xdr:row>
          <xdr:rowOff>228600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53</xdr:row>
          <xdr:rowOff>0</xdr:rowOff>
        </xdr:from>
        <xdr:to>
          <xdr:col>13</xdr:col>
          <xdr:colOff>533400</xdr:colOff>
          <xdr:row>53</xdr:row>
          <xdr:rowOff>200025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53</xdr:row>
          <xdr:rowOff>28575</xdr:rowOff>
        </xdr:from>
        <xdr:to>
          <xdr:col>7</xdr:col>
          <xdr:colOff>581025</xdr:colOff>
          <xdr:row>53</xdr:row>
          <xdr:rowOff>219075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9525</xdr:rowOff>
        </xdr:from>
        <xdr:to>
          <xdr:col>9</xdr:col>
          <xdr:colOff>133350</xdr:colOff>
          <xdr:row>53</xdr:row>
          <xdr:rowOff>238125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53</xdr:row>
          <xdr:rowOff>38100</xdr:rowOff>
        </xdr:from>
        <xdr:to>
          <xdr:col>12</xdr:col>
          <xdr:colOff>466725</xdr:colOff>
          <xdr:row>53</xdr:row>
          <xdr:rowOff>228600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53</xdr:row>
          <xdr:rowOff>38100</xdr:rowOff>
        </xdr:from>
        <xdr:to>
          <xdr:col>15</xdr:col>
          <xdr:colOff>180975</xdr:colOff>
          <xdr:row>53</xdr:row>
          <xdr:rowOff>228600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55</xdr:row>
          <xdr:rowOff>0</xdr:rowOff>
        </xdr:from>
        <xdr:to>
          <xdr:col>13</xdr:col>
          <xdr:colOff>533400</xdr:colOff>
          <xdr:row>55</xdr:row>
          <xdr:rowOff>200025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55</xdr:row>
          <xdr:rowOff>28575</xdr:rowOff>
        </xdr:from>
        <xdr:to>
          <xdr:col>7</xdr:col>
          <xdr:colOff>581025</xdr:colOff>
          <xdr:row>55</xdr:row>
          <xdr:rowOff>219075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9525</xdr:rowOff>
        </xdr:from>
        <xdr:to>
          <xdr:col>9</xdr:col>
          <xdr:colOff>133350</xdr:colOff>
          <xdr:row>55</xdr:row>
          <xdr:rowOff>238125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55</xdr:row>
          <xdr:rowOff>38100</xdr:rowOff>
        </xdr:from>
        <xdr:to>
          <xdr:col>12</xdr:col>
          <xdr:colOff>466725</xdr:colOff>
          <xdr:row>55</xdr:row>
          <xdr:rowOff>228600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55</xdr:row>
          <xdr:rowOff>38100</xdr:rowOff>
        </xdr:from>
        <xdr:to>
          <xdr:col>15</xdr:col>
          <xdr:colOff>180975</xdr:colOff>
          <xdr:row>55</xdr:row>
          <xdr:rowOff>228600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57</xdr:row>
          <xdr:rowOff>0</xdr:rowOff>
        </xdr:from>
        <xdr:to>
          <xdr:col>13</xdr:col>
          <xdr:colOff>533400</xdr:colOff>
          <xdr:row>57</xdr:row>
          <xdr:rowOff>200025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57</xdr:row>
          <xdr:rowOff>28575</xdr:rowOff>
        </xdr:from>
        <xdr:to>
          <xdr:col>7</xdr:col>
          <xdr:colOff>581025</xdr:colOff>
          <xdr:row>57</xdr:row>
          <xdr:rowOff>219075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9525</xdr:rowOff>
        </xdr:from>
        <xdr:to>
          <xdr:col>9</xdr:col>
          <xdr:colOff>133350</xdr:colOff>
          <xdr:row>57</xdr:row>
          <xdr:rowOff>238125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57</xdr:row>
          <xdr:rowOff>38100</xdr:rowOff>
        </xdr:from>
        <xdr:to>
          <xdr:col>12</xdr:col>
          <xdr:colOff>466725</xdr:colOff>
          <xdr:row>57</xdr:row>
          <xdr:rowOff>228600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57</xdr:row>
          <xdr:rowOff>38100</xdr:rowOff>
        </xdr:from>
        <xdr:to>
          <xdr:col>15</xdr:col>
          <xdr:colOff>180975</xdr:colOff>
          <xdr:row>57</xdr:row>
          <xdr:rowOff>228600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59</xdr:row>
          <xdr:rowOff>0</xdr:rowOff>
        </xdr:from>
        <xdr:to>
          <xdr:col>13</xdr:col>
          <xdr:colOff>533400</xdr:colOff>
          <xdr:row>59</xdr:row>
          <xdr:rowOff>200025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59</xdr:row>
          <xdr:rowOff>28575</xdr:rowOff>
        </xdr:from>
        <xdr:to>
          <xdr:col>7</xdr:col>
          <xdr:colOff>581025</xdr:colOff>
          <xdr:row>59</xdr:row>
          <xdr:rowOff>219075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9525</xdr:rowOff>
        </xdr:from>
        <xdr:to>
          <xdr:col>9</xdr:col>
          <xdr:colOff>133350</xdr:colOff>
          <xdr:row>59</xdr:row>
          <xdr:rowOff>238125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59</xdr:row>
          <xdr:rowOff>38100</xdr:rowOff>
        </xdr:from>
        <xdr:to>
          <xdr:col>12</xdr:col>
          <xdr:colOff>466725</xdr:colOff>
          <xdr:row>59</xdr:row>
          <xdr:rowOff>228600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59</xdr:row>
          <xdr:rowOff>38100</xdr:rowOff>
        </xdr:from>
        <xdr:to>
          <xdr:col>15</xdr:col>
          <xdr:colOff>180975</xdr:colOff>
          <xdr:row>59</xdr:row>
          <xdr:rowOff>228600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61</xdr:row>
          <xdr:rowOff>0</xdr:rowOff>
        </xdr:from>
        <xdr:to>
          <xdr:col>13</xdr:col>
          <xdr:colOff>533400</xdr:colOff>
          <xdr:row>61</xdr:row>
          <xdr:rowOff>200025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61</xdr:row>
          <xdr:rowOff>28575</xdr:rowOff>
        </xdr:from>
        <xdr:to>
          <xdr:col>7</xdr:col>
          <xdr:colOff>581025</xdr:colOff>
          <xdr:row>61</xdr:row>
          <xdr:rowOff>219075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9525</xdr:rowOff>
        </xdr:from>
        <xdr:to>
          <xdr:col>9</xdr:col>
          <xdr:colOff>133350</xdr:colOff>
          <xdr:row>61</xdr:row>
          <xdr:rowOff>238125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61</xdr:row>
          <xdr:rowOff>38100</xdr:rowOff>
        </xdr:from>
        <xdr:to>
          <xdr:col>12</xdr:col>
          <xdr:colOff>466725</xdr:colOff>
          <xdr:row>61</xdr:row>
          <xdr:rowOff>228600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61</xdr:row>
          <xdr:rowOff>38100</xdr:rowOff>
        </xdr:from>
        <xdr:to>
          <xdr:col>15</xdr:col>
          <xdr:colOff>180975</xdr:colOff>
          <xdr:row>61</xdr:row>
          <xdr:rowOff>228600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63</xdr:row>
          <xdr:rowOff>0</xdr:rowOff>
        </xdr:from>
        <xdr:to>
          <xdr:col>13</xdr:col>
          <xdr:colOff>533400</xdr:colOff>
          <xdr:row>63</xdr:row>
          <xdr:rowOff>200025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63</xdr:row>
          <xdr:rowOff>28575</xdr:rowOff>
        </xdr:from>
        <xdr:to>
          <xdr:col>7</xdr:col>
          <xdr:colOff>581025</xdr:colOff>
          <xdr:row>63</xdr:row>
          <xdr:rowOff>219075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9525</xdr:rowOff>
        </xdr:from>
        <xdr:to>
          <xdr:col>9</xdr:col>
          <xdr:colOff>133350</xdr:colOff>
          <xdr:row>63</xdr:row>
          <xdr:rowOff>238125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63</xdr:row>
          <xdr:rowOff>38100</xdr:rowOff>
        </xdr:from>
        <xdr:to>
          <xdr:col>12</xdr:col>
          <xdr:colOff>466725</xdr:colOff>
          <xdr:row>63</xdr:row>
          <xdr:rowOff>228600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63</xdr:row>
          <xdr:rowOff>38100</xdr:rowOff>
        </xdr:from>
        <xdr:to>
          <xdr:col>15</xdr:col>
          <xdr:colOff>180975</xdr:colOff>
          <xdr:row>63</xdr:row>
          <xdr:rowOff>228600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4</xdr:col>
          <xdr:colOff>904875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4</xdr:col>
          <xdr:colOff>904875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4</xdr:col>
          <xdr:colOff>904875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4</xdr:col>
          <xdr:colOff>904875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4</xdr:col>
          <xdr:colOff>904875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19050</xdr:rowOff>
        </xdr:from>
        <xdr:to>
          <xdr:col>4</xdr:col>
          <xdr:colOff>904875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571500</xdr:colOff>
          <xdr:row>2</xdr:row>
          <xdr:rowOff>171450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3</xdr:col>
          <xdr:colOff>476250</xdr:colOff>
          <xdr:row>19</xdr:row>
          <xdr:rowOff>219075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19050</xdr:rowOff>
        </xdr:from>
        <xdr:to>
          <xdr:col>6</xdr:col>
          <xdr:colOff>409575</xdr:colOff>
          <xdr:row>19</xdr:row>
          <xdr:rowOff>219075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21</xdr:row>
          <xdr:rowOff>28575</xdr:rowOff>
        </xdr:from>
        <xdr:to>
          <xdr:col>3</xdr:col>
          <xdr:colOff>0</xdr:colOff>
          <xdr:row>22</xdr:row>
          <xdr:rowOff>38100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23</xdr:row>
          <xdr:rowOff>28575</xdr:rowOff>
        </xdr:from>
        <xdr:to>
          <xdr:col>3</xdr:col>
          <xdr:colOff>0</xdr:colOff>
          <xdr:row>23</xdr:row>
          <xdr:rowOff>200025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24</xdr:row>
          <xdr:rowOff>28575</xdr:rowOff>
        </xdr:from>
        <xdr:to>
          <xdr:col>3</xdr:col>
          <xdr:colOff>0</xdr:colOff>
          <xdr:row>24</xdr:row>
          <xdr:rowOff>200025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26</xdr:row>
          <xdr:rowOff>28575</xdr:rowOff>
        </xdr:from>
        <xdr:to>
          <xdr:col>3</xdr:col>
          <xdr:colOff>0</xdr:colOff>
          <xdr:row>26</xdr:row>
          <xdr:rowOff>200025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28</xdr:row>
          <xdr:rowOff>28575</xdr:rowOff>
        </xdr:from>
        <xdr:to>
          <xdr:col>3</xdr:col>
          <xdr:colOff>0</xdr:colOff>
          <xdr:row>28</xdr:row>
          <xdr:rowOff>200025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29</xdr:row>
          <xdr:rowOff>28575</xdr:rowOff>
        </xdr:from>
        <xdr:to>
          <xdr:col>3</xdr:col>
          <xdr:colOff>0</xdr:colOff>
          <xdr:row>29</xdr:row>
          <xdr:rowOff>200025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8</xdr:row>
          <xdr:rowOff>76200</xdr:rowOff>
        </xdr:from>
        <xdr:to>
          <xdr:col>2</xdr:col>
          <xdr:colOff>857250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8</xdr:row>
          <xdr:rowOff>66675</xdr:rowOff>
        </xdr:from>
        <xdr:to>
          <xdr:col>3</xdr:col>
          <xdr:colOff>819150</xdr:colOff>
          <xdr:row>8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28575</xdr:rowOff>
        </xdr:from>
        <xdr:to>
          <xdr:col>5</xdr:col>
          <xdr:colOff>1714500</xdr:colOff>
          <xdr:row>8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16</xdr:row>
          <xdr:rowOff>66675</xdr:rowOff>
        </xdr:from>
        <xdr:to>
          <xdr:col>3</xdr:col>
          <xdr:colOff>933450</xdr:colOff>
          <xdr:row>16</xdr:row>
          <xdr:rowOff>257175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19</xdr:row>
          <xdr:rowOff>28575</xdr:rowOff>
        </xdr:from>
        <xdr:to>
          <xdr:col>5</xdr:col>
          <xdr:colOff>228600</xdr:colOff>
          <xdr:row>19</xdr:row>
          <xdr:rowOff>219075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20</xdr:row>
          <xdr:rowOff>28575</xdr:rowOff>
        </xdr:from>
        <xdr:to>
          <xdr:col>5</xdr:col>
          <xdr:colOff>228600</xdr:colOff>
          <xdr:row>20</xdr:row>
          <xdr:rowOff>219075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22</xdr:row>
          <xdr:rowOff>28575</xdr:rowOff>
        </xdr:from>
        <xdr:to>
          <xdr:col>5</xdr:col>
          <xdr:colOff>228600</xdr:colOff>
          <xdr:row>22</xdr:row>
          <xdr:rowOff>219075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47625</xdr:rowOff>
        </xdr:from>
        <xdr:to>
          <xdr:col>2</xdr:col>
          <xdr:colOff>123825</xdr:colOff>
          <xdr:row>20</xdr:row>
          <xdr:rowOff>19050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47625</xdr:rowOff>
        </xdr:from>
        <xdr:to>
          <xdr:col>2</xdr:col>
          <xdr:colOff>123825</xdr:colOff>
          <xdr:row>21</xdr:row>
          <xdr:rowOff>19050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47625</xdr:rowOff>
        </xdr:from>
        <xdr:to>
          <xdr:col>2</xdr:col>
          <xdr:colOff>123825</xdr:colOff>
          <xdr:row>23</xdr:row>
          <xdr:rowOff>19050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26</xdr:row>
          <xdr:rowOff>76200</xdr:rowOff>
        </xdr:from>
        <xdr:to>
          <xdr:col>4</xdr:col>
          <xdr:colOff>133350</xdr:colOff>
          <xdr:row>26</xdr:row>
          <xdr:rowOff>266700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28</xdr:row>
          <xdr:rowOff>47625</xdr:rowOff>
        </xdr:from>
        <xdr:to>
          <xdr:col>2</xdr:col>
          <xdr:colOff>123825</xdr:colOff>
          <xdr:row>29</xdr:row>
          <xdr:rowOff>28575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47625</xdr:rowOff>
        </xdr:from>
        <xdr:to>
          <xdr:col>2</xdr:col>
          <xdr:colOff>123825</xdr:colOff>
          <xdr:row>30</xdr:row>
          <xdr:rowOff>19050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28</xdr:row>
          <xdr:rowOff>28575</xdr:rowOff>
        </xdr:from>
        <xdr:to>
          <xdr:col>5</xdr:col>
          <xdr:colOff>228600</xdr:colOff>
          <xdr:row>28</xdr:row>
          <xdr:rowOff>219075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29</xdr:row>
          <xdr:rowOff>28575</xdr:rowOff>
        </xdr:from>
        <xdr:to>
          <xdr:col>5</xdr:col>
          <xdr:colOff>228600</xdr:colOff>
          <xdr:row>29</xdr:row>
          <xdr:rowOff>219075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5</xdr:col>
          <xdr:colOff>19050</xdr:colOff>
          <xdr:row>7</xdr:row>
          <xdr:rowOff>9525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23</xdr:row>
          <xdr:rowOff>47625</xdr:rowOff>
        </xdr:from>
        <xdr:to>
          <xdr:col>2</xdr:col>
          <xdr:colOff>123825</xdr:colOff>
          <xdr:row>24</xdr:row>
          <xdr:rowOff>19050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25</xdr:row>
          <xdr:rowOff>95250</xdr:rowOff>
        </xdr:from>
        <xdr:to>
          <xdr:col>2</xdr:col>
          <xdr:colOff>114300</xdr:colOff>
          <xdr:row>26</xdr:row>
          <xdr:rowOff>9525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23</xdr:row>
          <xdr:rowOff>28575</xdr:rowOff>
        </xdr:from>
        <xdr:to>
          <xdr:col>5</xdr:col>
          <xdr:colOff>228600</xdr:colOff>
          <xdr:row>23</xdr:row>
          <xdr:rowOff>219075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25</xdr:row>
          <xdr:rowOff>123825</xdr:rowOff>
        </xdr:from>
        <xdr:to>
          <xdr:col>5</xdr:col>
          <xdr:colOff>228600</xdr:colOff>
          <xdr:row>26</xdr:row>
          <xdr:rowOff>9525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17</xdr:row>
          <xdr:rowOff>66675</xdr:rowOff>
        </xdr:from>
        <xdr:to>
          <xdr:col>3</xdr:col>
          <xdr:colOff>438150</xdr:colOff>
          <xdr:row>17</xdr:row>
          <xdr:rowOff>266700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66675</xdr:rowOff>
        </xdr:from>
        <xdr:to>
          <xdr:col>3</xdr:col>
          <xdr:colOff>428625</xdr:colOff>
          <xdr:row>18</xdr:row>
          <xdr:rowOff>266700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17</xdr:row>
          <xdr:rowOff>76200</xdr:rowOff>
        </xdr:from>
        <xdr:to>
          <xdr:col>5</xdr:col>
          <xdr:colOff>219075</xdr:colOff>
          <xdr:row>17</xdr:row>
          <xdr:rowOff>266700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10</xdr:row>
          <xdr:rowOff>76200</xdr:rowOff>
        </xdr:from>
        <xdr:to>
          <xdr:col>2</xdr:col>
          <xdr:colOff>857250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10</xdr:row>
          <xdr:rowOff>66675</xdr:rowOff>
        </xdr:from>
        <xdr:to>
          <xdr:col>3</xdr:col>
          <xdr:colOff>800100</xdr:colOff>
          <xdr:row>10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28575</xdr:rowOff>
        </xdr:from>
        <xdr:to>
          <xdr:col>5</xdr:col>
          <xdr:colOff>1714500</xdr:colOff>
          <xdr:row>10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17</xdr:row>
          <xdr:rowOff>76200</xdr:rowOff>
        </xdr:from>
        <xdr:to>
          <xdr:col>6</xdr:col>
          <xdr:colOff>657225</xdr:colOff>
          <xdr:row>17</xdr:row>
          <xdr:rowOff>266700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11</xdr:row>
          <xdr:rowOff>76200</xdr:rowOff>
        </xdr:from>
        <xdr:to>
          <xdr:col>2</xdr:col>
          <xdr:colOff>857250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11</xdr:row>
          <xdr:rowOff>66675</xdr:rowOff>
        </xdr:from>
        <xdr:to>
          <xdr:col>3</xdr:col>
          <xdr:colOff>800100</xdr:colOff>
          <xdr:row>11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28575</xdr:rowOff>
        </xdr:from>
        <xdr:to>
          <xdr:col>5</xdr:col>
          <xdr:colOff>1714500</xdr:colOff>
          <xdr:row>11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12</xdr:row>
          <xdr:rowOff>76200</xdr:rowOff>
        </xdr:from>
        <xdr:to>
          <xdr:col>2</xdr:col>
          <xdr:colOff>857250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12</xdr:row>
          <xdr:rowOff>66675</xdr:rowOff>
        </xdr:from>
        <xdr:to>
          <xdr:col>3</xdr:col>
          <xdr:colOff>800100</xdr:colOff>
          <xdr:row>12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28575</xdr:rowOff>
        </xdr:from>
        <xdr:to>
          <xdr:col>5</xdr:col>
          <xdr:colOff>1714500</xdr:colOff>
          <xdr:row>12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771525</xdr:colOff>
          <xdr:row>16</xdr:row>
          <xdr:rowOff>66675</xdr:rowOff>
        </xdr:from>
        <xdr:to>
          <xdr:col>8</xdr:col>
          <xdr:colOff>933450</xdr:colOff>
          <xdr:row>16</xdr:row>
          <xdr:rowOff>257175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19</xdr:row>
          <xdr:rowOff>38100</xdr:rowOff>
        </xdr:from>
        <xdr:to>
          <xdr:col>10</xdr:col>
          <xdr:colOff>447675</xdr:colOff>
          <xdr:row>19</xdr:row>
          <xdr:rowOff>228600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20</xdr:row>
          <xdr:rowOff>28575</xdr:rowOff>
        </xdr:from>
        <xdr:to>
          <xdr:col>10</xdr:col>
          <xdr:colOff>457200</xdr:colOff>
          <xdr:row>20</xdr:row>
          <xdr:rowOff>219075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</xdr:row>
          <xdr:rowOff>47625</xdr:rowOff>
        </xdr:from>
        <xdr:to>
          <xdr:col>7</xdr:col>
          <xdr:colOff>333375</xdr:colOff>
          <xdr:row>20</xdr:row>
          <xdr:rowOff>19050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</xdr:row>
          <xdr:rowOff>47625</xdr:rowOff>
        </xdr:from>
        <xdr:to>
          <xdr:col>7</xdr:col>
          <xdr:colOff>333375</xdr:colOff>
          <xdr:row>21</xdr:row>
          <xdr:rowOff>19050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66675</xdr:rowOff>
        </xdr:from>
        <xdr:to>
          <xdr:col>8</xdr:col>
          <xdr:colOff>571500</xdr:colOff>
          <xdr:row>18</xdr:row>
          <xdr:rowOff>266700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142875</xdr:rowOff>
        </xdr:from>
        <xdr:to>
          <xdr:col>9</xdr:col>
          <xdr:colOff>209550</xdr:colOff>
          <xdr:row>3</xdr:row>
          <xdr:rowOff>28575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47625</xdr:rowOff>
        </xdr:from>
        <xdr:to>
          <xdr:col>2</xdr:col>
          <xdr:colOff>123825</xdr:colOff>
          <xdr:row>30</xdr:row>
          <xdr:rowOff>19050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0</xdr:rowOff>
        </xdr:from>
        <xdr:to>
          <xdr:col>2</xdr:col>
          <xdr:colOff>628650</xdr:colOff>
          <xdr:row>3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0</xdr:rowOff>
        </xdr:from>
        <xdr:to>
          <xdr:col>2</xdr:col>
          <xdr:colOff>628650</xdr:colOff>
          <xdr:row>4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0</xdr:rowOff>
        </xdr:from>
        <xdr:to>
          <xdr:col>2</xdr:col>
          <xdr:colOff>628650</xdr:colOff>
          <xdr:row>6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0</xdr:rowOff>
        </xdr:from>
        <xdr:to>
          <xdr:col>2</xdr:col>
          <xdr:colOff>628650</xdr:colOff>
          <xdr:row>7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0</xdr:rowOff>
        </xdr:from>
        <xdr:to>
          <xdr:col>2</xdr:col>
          <xdr:colOff>619125</xdr:colOff>
          <xdr:row>12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0</xdr:rowOff>
        </xdr:from>
        <xdr:to>
          <xdr:col>2</xdr:col>
          <xdr:colOff>628650</xdr:colOff>
          <xdr:row>18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0</xdr:rowOff>
        </xdr:from>
        <xdr:to>
          <xdr:col>2</xdr:col>
          <xdr:colOff>619125</xdr:colOff>
          <xdr:row>10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19050</xdr:rowOff>
        </xdr:from>
        <xdr:to>
          <xdr:col>2</xdr:col>
          <xdr:colOff>628650</xdr:colOff>
          <xdr:row>27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0</xdr:rowOff>
        </xdr:from>
        <xdr:to>
          <xdr:col>6</xdr:col>
          <xdr:colOff>628650</xdr:colOff>
          <xdr:row>3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0</xdr:rowOff>
        </xdr:from>
        <xdr:to>
          <xdr:col>6</xdr:col>
          <xdr:colOff>628650</xdr:colOff>
          <xdr:row>4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0</xdr:rowOff>
        </xdr:from>
        <xdr:to>
          <xdr:col>6</xdr:col>
          <xdr:colOff>628650</xdr:colOff>
          <xdr:row>6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0</xdr:rowOff>
        </xdr:from>
        <xdr:to>
          <xdr:col>6</xdr:col>
          <xdr:colOff>628650</xdr:colOff>
          <xdr:row>7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0</xdr:rowOff>
        </xdr:from>
        <xdr:to>
          <xdr:col>6</xdr:col>
          <xdr:colOff>619125</xdr:colOff>
          <xdr:row>12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0</xdr:rowOff>
        </xdr:from>
        <xdr:to>
          <xdr:col>6</xdr:col>
          <xdr:colOff>628650</xdr:colOff>
          <xdr:row>18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10</xdr:row>
          <xdr:rowOff>0</xdr:rowOff>
        </xdr:from>
        <xdr:to>
          <xdr:col>6</xdr:col>
          <xdr:colOff>619125</xdr:colOff>
          <xdr:row>10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19050</xdr:rowOff>
        </xdr:from>
        <xdr:to>
          <xdr:col>6</xdr:col>
          <xdr:colOff>628650</xdr:colOff>
          <xdr:row>27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</xdr:row>
          <xdr:rowOff>0</xdr:rowOff>
        </xdr:from>
        <xdr:to>
          <xdr:col>8</xdr:col>
          <xdr:colOff>628650</xdr:colOff>
          <xdr:row>3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</xdr:row>
          <xdr:rowOff>0</xdr:rowOff>
        </xdr:from>
        <xdr:to>
          <xdr:col>8</xdr:col>
          <xdr:colOff>628650</xdr:colOff>
          <xdr:row>4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0</xdr:rowOff>
        </xdr:from>
        <xdr:to>
          <xdr:col>8</xdr:col>
          <xdr:colOff>628650</xdr:colOff>
          <xdr:row>6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0</xdr:rowOff>
        </xdr:from>
        <xdr:to>
          <xdr:col>8</xdr:col>
          <xdr:colOff>628650</xdr:colOff>
          <xdr:row>7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0</xdr:rowOff>
        </xdr:from>
        <xdr:to>
          <xdr:col>8</xdr:col>
          <xdr:colOff>619125</xdr:colOff>
          <xdr:row>12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0</xdr:rowOff>
        </xdr:from>
        <xdr:to>
          <xdr:col>8</xdr:col>
          <xdr:colOff>628650</xdr:colOff>
          <xdr:row>18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0</xdr:rowOff>
        </xdr:from>
        <xdr:to>
          <xdr:col>8</xdr:col>
          <xdr:colOff>619125</xdr:colOff>
          <xdr:row>10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19050</xdr:rowOff>
        </xdr:from>
        <xdr:to>
          <xdr:col>8</xdr:col>
          <xdr:colOff>628650</xdr:colOff>
          <xdr:row>27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</xdr:row>
          <xdr:rowOff>0</xdr:rowOff>
        </xdr:from>
        <xdr:to>
          <xdr:col>12</xdr:col>
          <xdr:colOff>628650</xdr:colOff>
          <xdr:row>3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</xdr:row>
          <xdr:rowOff>0</xdr:rowOff>
        </xdr:from>
        <xdr:to>
          <xdr:col>12</xdr:col>
          <xdr:colOff>628650</xdr:colOff>
          <xdr:row>4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6</xdr:row>
          <xdr:rowOff>0</xdr:rowOff>
        </xdr:from>
        <xdr:to>
          <xdr:col>12</xdr:col>
          <xdr:colOff>628650</xdr:colOff>
          <xdr:row>6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</xdr:row>
          <xdr:rowOff>0</xdr:rowOff>
        </xdr:from>
        <xdr:to>
          <xdr:col>12</xdr:col>
          <xdr:colOff>628650</xdr:colOff>
          <xdr:row>7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0</xdr:rowOff>
        </xdr:from>
        <xdr:to>
          <xdr:col>12</xdr:col>
          <xdr:colOff>619125</xdr:colOff>
          <xdr:row>12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18</xdr:row>
          <xdr:rowOff>0</xdr:rowOff>
        </xdr:from>
        <xdr:to>
          <xdr:col>12</xdr:col>
          <xdr:colOff>628650</xdr:colOff>
          <xdr:row>18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10</xdr:row>
          <xdr:rowOff>0</xdr:rowOff>
        </xdr:from>
        <xdr:to>
          <xdr:col>12</xdr:col>
          <xdr:colOff>619125</xdr:colOff>
          <xdr:row>10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19050</xdr:rowOff>
        </xdr:from>
        <xdr:to>
          <xdr:col>12</xdr:col>
          <xdr:colOff>628650</xdr:colOff>
          <xdr:row>27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19050</xdr:rowOff>
        </xdr:from>
        <xdr:to>
          <xdr:col>2</xdr:col>
          <xdr:colOff>628650</xdr:colOff>
          <xdr:row>26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19050</xdr:rowOff>
        </xdr:from>
        <xdr:to>
          <xdr:col>6</xdr:col>
          <xdr:colOff>628650</xdr:colOff>
          <xdr:row>26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19050</xdr:rowOff>
        </xdr:from>
        <xdr:to>
          <xdr:col>8</xdr:col>
          <xdr:colOff>628650</xdr:colOff>
          <xdr:row>26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19050</xdr:rowOff>
        </xdr:from>
        <xdr:to>
          <xdr:col>12</xdr:col>
          <xdr:colOff>628650</xdr:colOff>
          <xdr:row>26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0</xdr:rowOff>
        </xdr:from>
        <xdr:to>
          <xdr:col>2</xdr:col>
          <xdr:colOff>628650</xdr:colOff>
          <xdr:row>5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6</xdr:col>
          <xdr:colOff>628650</xdr:colOff>
          <xdr:row>5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0</xdr:rowOff>
        </xdr:from>
        <xdr:to>
          <xdr:col>8</xdr:col>
          <xdr:colOff>628650</xdr:colOff>
          <xdr:row>5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</xdr:row>
          <xdr:rowOff>0</xdr:rowOff>
        </xdr:from>
        <xdr:to>
          <xdr:col>12</xdr:col>
          <xdr:colOff>628650</xdr:colOff>
          <xdr:row>5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0</xdr:rowOff>
        </xdr:from>
        <xdr:to>
          <xdr:col>4</xdr:col>
          <xdr:colOff>628650</xdr:colOff>
          <xdr:row>3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0</xdr:rowOff>
        </xdr:from>
        <xdr:to>
          <xdr:col>4</xdr:col>
          <xdr:colOff>628650</xdr:colOff>
          <xdr:row>4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6</xdr:row>
          <xdr:rowOff>0</xdr:rowOff>
        </xdr:from>
        <xdr:to>
          <xdr:col>4</xdr:col>
          <xdr:colOff>628650</xdr:colOff>
          <xdr:row>6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0</xdr:rowOff>
        </xdr:from>
        <xdr:to>
          <xdr:col>4</xdr:col>
          <xdr:colOff>628650</xdr:colOff>
          <xdr:row>7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0</xdr:rowOff>
        </xdr:from>
        <xdr:to>
          <xdr:col>4</xdr:col>
          <xdr:colOff>619125</xdr:colOff>
          <xdr:row>12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18</xdr:row>
          <xdr:rowOff>0</xdr:rowOff>
        </xdr:from>
        <xdr:to>
          <xdr:col>4</xdr:col>
          <xdr:colOff>628650</xdr:colOff>
          <xdr:row>18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</xdr:row>
          <xdr:rowOff>0</xdr:rowOff>
        </xdr:from>
        <xdr:to>
          <xdr:col>4</xdr:col>
          <xdr:colOff>619125</xdr:colOff>
          <xdr:row>10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19050</xdr:rowOff>
        </xdr:from>
        <xdr:to>
          <xdr:col>4</xdr:col>
          <xdr:colOff>628650</xdr:colOff>
          <xdr:row>27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19050</xdr:rowOff>
        </xdr:from>
        <xdr:to>
          <xdr:col>4</xdr:col>
          <xdr:colOff>628650</xdr:colOff>
          <xdr:row>26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0</xdr:rowOff>
        </xdr:from>
        <xdr:to>
          <xdr:col>4</xdr:col>
          <xdr:colOff>628650</xdr:colOff>
          <xdr:row>5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35</xdr:row>
      <xdr:rowOff>9525</xdr:rowOff>
    </xdr:from>
    <xdr:to>
      <xdr:col>12</xdr:col>
      <xdr:colOff>704850</xdr:colOff>
      <xdr:row>36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19050</xdr:rowOff>
        </xdr:from>
        <xdr:to>
          <xdr:col>2</xdr:col>
          <xdr:colOff>628650</xdr:colOff>
          <xdr:row>25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19050</xdr:rowOff>
        </xdr:from>
        <xdr:to>
          <xdr:col>6</xdr:col>
          <xdr:colOff>628650</xdr:colOff>
          <xdr:row>25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19050</xdr:rowOff>
        </xdr:from>
        <xdr:to>
          <xdr:col>8</xdr:col>
          <xdr:colOff>628650</xdr:colOff>
          <xdr:row>25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19050</xdr:rowOff>
        </xdr:from>
        <xdr:to>
          <xdr:col>12</xdr:col>
          <xdr:colOff>628650</xdr:colOff>
          <xdr:row>25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19050</xdr:rowOff>
        </xdr:from>
        <xdr:to>
          <xdr:col>4</xdr:col>
          <xdr:colOff>628650</xdr:colOff>
          <xdr:row>25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19050</xdr:rowOff>
        </xdr:from>
        <xdr:to>
          <xdr:col>12</xdr:col>
          <xdr:colOff>628650</xdr:colOff>
          <xdr:row>31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0</xdr:rowOff>
        </xdr:from>
        <xdr:to>
          <xdr:col>2</xdr:col>
          <xdr:colOff>628650</xdr:colOff>
          <xdr:row>8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0</xdr:rowOff>
        </xdr:from>
        <xdr:to>
          <xdr:col>6</xdr:col>
          <xdr:colOff>628650</xdr:colOff>
          <xdr:row>8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0</xdr:rowOff>
        </xdr:from>
        <xdr:to>
          <xdr:col>8</xdr:col>
          <xdr:colOff>628650</xdr:colOff>
          <xdr:row>8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</xdr:row>
          <xdr:rowOff>0</xdr:rowOff>
        </xdr:from>
        <xdr:to>
          <xdr:col>12</xdr:col>
          <xdr:colOff>628650</xdr:colOff>
          <xdr:row>8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0</xdr:rowOff>
        </xdr:from>
        <xdr:to>
          <xdr:col>4</xdr:col>
          <xdr:colOff>628650</xdr:colOff>
          <xdr:row>8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9</xdr:row>
          <xdr:rowOff>0</xdr:rowOff>
        </xdr:from>
        <xdr:to>
          <xdr:col>12</xdr:col>
          <xdr:colOff>628650</xdr:colOff>
          <xdr:row>9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0</xdr:rowOff>
        </xdr:from>
        <xdr:to>
          <xdr:col>2</xdr:col>
          <xdr:colOff>619125</xdr:colOff>
          <xdr:row>13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13</xdr:row>
          <xdr:rowOff>0</xdr:rowOff>
        </xdr:from>
        <xdr:to>
          <xdr:col>6</xdr:col>
          <xdr:colOff>619125</xdr:colOff>
          <xdr:row>13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0</xdr:rowOff>
        </xdr:from>
        <xdr:to>
          <xdr:col>8</xdr:col>
          <xdr:colOff>619125</xdr:colOff>
          <xdr:row>13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0</xdr:rowOff>
        </xdr:from>
        <xdr:to>
          <xdr:col>12</xdr:col>
          <xdr:colOff>619125</xdr:colOff>
          <xdr:row>13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0</xdr:rowOff>
        </xdr:from>
        <xdr:to>
          <xdr:col>4</xdr:col>
          <xdr:colOff>619125</xdr:colOff>
          <xdr:row>13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20</xdr:row>
          <xdr:rowOff>0</xdr:rowOff>
        </xdr:from>
        <xdr:to>
          <xdr:col>12</xdr:col>
          <xdr:colOff>628650</xdr:colOff>
          <xdr:row>20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21</xdr:row>
          <xdr:rowOff>0</xdr:rowOff>
        </xdr:from>
        <xdr:to>
          <xdr:col>12</xdr:col>
          <xdr:colOff>628650</xdr:colOff>
          <xdr:row>21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0</xdr:rowOff>
        </xdr:from>
        <xdr:to>
          <xdr:col>12</xdr:col>
          <xdr:colOff>628650</xdr:colOff>
          <xdr:row>24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19050</xdr:rowOff>
        </xdr:from>
        <xdr:to>
          <xdr:col>2</xdr:col>
          <xdr:colOff>628650</xdr:colOff>
          <xdr:row>16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19050</xdr:rowOff>
        </xdr:from>
        <xdr:to>
          <xdr:col>6</xdr:col>
          <xdr:colOff>628650</xdr:colOff>
          <xdr:row>16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19050</xdr:rowOff>
        </xdr:from>
        <xdr:to>
          <xdr:col>8</xdr:col>
          <xdr:colOff>628650</xdr:colOff>
          <xdr:row>16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19050</xdr:rowOff>
        </xdr:from>
        <xdr:to>
          <xdr:col>12</xdr:col>
          <xdr:colOff>628650</xdr:colOff>
          <xdr:row>16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19050</xdr:rowOff>
        </xdr:from>
        <xdr:to>
          <xdr:col>4</xdr:col>
          <xdr:colOff>628650</xdr:colOff>
          <xdr:row>16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19050</xdr:rowOff>
        </xdr:from>
        <xdr:to>
          <xdr:col>2</xdr:col>
          <xdr:colOff>628650</xdr:colOff>
          <xdr:row>30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19050</xdr:rowOff>
        </xdr:from>
        <xdr:to>
          <xdr:col>6</xdr:col>
          <xdr:colOff>628650</xdr:colOff>
          <xdr:row>30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19050</xdr:rowOff>
        </xdr:from>
        <xdr:to>
          <xdr:col>8</xdr:col>
          <xdr:colOff>628650</xdr:colOff>
          <xdr:row>30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19050</xdr:rowOff>
        </xdr:from>
        <xdr:to>
          <xdr:col>12</xdr:col>
          <xdr:colOff>628650</xdr:colOff>
          <xdr:row>30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19050</xdr:rowOff>
        </xdr:from>
        <xdr:to>
          <xdr:col>4</xdr:col>
          <xdr:colOff>628650</xdr:colOff>
          <xdr:row>30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19050</xdr:rowOff>
        </xdr:from>
        <xdr:to>
          <xdr:col>12</xdr:col>
          <xdr:colOff>628650</xdr:colOff>
          <xdr:row>32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1228725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1495425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3</xdr:col>
          <xdr:colOff>142875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3</xdr:col>
          <xdr:colOff>142875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3</xdr:col>
          <xdr:colOff>142875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1228725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1228725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1228725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1228725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1495425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1495425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0</xdr:rowOff>
        </xdr:from>
        <xdr:to>
          <xdr:col>2</xdr:col>
          <xdr:colOff>628650</xdr:colOff>
          <xdr:row>3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0</xdr:rowOff>
        </xdr:from>
        <xdr:to>
          <xdr:col>2</xdr:col>
          <xdr:colOff>628650</xdr:colOff>
          <xdr:row>4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0</xdr:rowOff>
        </xdr:from>
        <xdr:to>
          <xdr:col>2</xdr:col>
          <xdr:colOff>628650</xdr:colOff>
          <xdr:row>6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0</xdr:rowOff>
        </xdr:from>
        <xdr:to>
          <xdr:col>2</xdr:col>
          <xdr:colOff>628650</xdr:colOff>
          <xdr:row>7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0</xdr:rowOff>
        </xdr:from>
        <xdr:to>
          <xdr:col>2</xdr:col>
          <xdr:colOff>619125</xdr:colOff>
          <xdr:row>13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0</xdr:rowOff>
        </xdr:from>
        <xdr:to>
          <xdr:col>2</xdr:col>
          <xdr:colOff>628650</xdr:colOff>
          <xdr:row>18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0</xdr:rowOff>
        </xdr:from>
        <xdr:to>
          <xdr:col>2</xdr:col>
          <xdr:colOff>619125</xdr:colOff>
          <xdr:row>11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19050</xdr:rowOff>
        </xdr:from>
        <xdr:to>
          <xdr:col>2</xdr:col>
          <xdr:colOff>628650</xdr:colOff>
          <xdr:row>27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0</xdr:rowOff>
        </xdr:from>
        <xdr:to>
          <xdr:col>6</xdr:col>
          <xdr:colOff>628650</xdr:colOff>
          <xdr:row>3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0</xdr:rowOff>
        </xdr:from>
        <xdr:to>
          <xdr:col>6</xdr:col>
          <xdr:colOff>628650</xdr:colOff>
          <xdr:row>4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0</xdr:rowOff>
        </xdr:from>
        <xdr:to>
          <xdr:col>6</xdr:col>
          <xdr:colOff>628650</xdr:colOff>
          <xdr:row>6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0</xdr:rowOff>
        </xdr:from>
        <xdr:to>
          <xdr:col>6</xdr:col>
          <xdr:colOff>628650</xdr:colOff>
          <xdr:row>7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13</xdr:row>
          <xdr:rowOff>0</xdr:rowOff>
        </xdr:from>
        <xdr:to>
          <xdr:col>6</xdr:col>
          <xdr:colOff>619125</xdr:colOff>
          <xdr:row>13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0</xdr:rowOff>
        </xdr:from>
        <xdr:to>
          <xdr:col>6</xdr:col>
          <xdr:colOff>628650</xdr:colOff>
          <xdr:row>18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11</xdr:row>
          <xdr:rowOff>0</xdr:rowOff>
        </xdr:from>
        <xdr:to>
          <xdr:col>6</xdr:col>
          <xdr:colOff>619125</xdr:colOff>
          <xdr:row>11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19050</xdr:rowOff>
        </xdr:from>
        <xdr:to>
          <xdr:col>6</xdr:col>
          <xdr:colOff>628650</xdr:colOff>
          <xdr:row>27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</xdr:row>
          <xdr:rowOff>0</xdr:rowOff>
        </xdr:from>
        <xdr:to>
          <xdr:col>8</xdr:col>
          <xdr:colOff>628650</xdr:colOff>
          <xdr:row>3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</xdr:row>
          <xdr:rowOff>0</xdr:rowOff>
        </xdr:from>
        <xdr:to>
          <xdr:col>8</xdr:col>
          <xdr:colOff>628650</xdr:colOff>
          <xdr:row>4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0</xdr:rowOff>
        </xdr:from>
        <xdr:to>
          <xdr:col>8</xdr:col>
          <xdr:colOff>628650</xdr:colOff>
          <xdr:row>6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0</xdr:rowOff>
        </xdr:from>
        <xdr:to>
          <xdr:col>8</xdr:col>
          <xdr:colOff>628650</xdr:colOff>
          <xdr:row>7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0</xdr:rowOff>
        </xdr:from>
        <xdr:to>
          <xdr:col>8</xdr:col>
          <xdr:colOff>619125</xdr:colOff>
          <xdr:row>13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0</xdr:rowOff>
        </xdr:from>
        <xdr:to>
          <xdr:col>8</xdr:col>
          <xdr:colOff>628650</xdr:colOff>
          <xdr:row>18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0</xdr:rowOff>
        </xdr:from>
        <xdr:to>
          <xdr:col>8</xdr:col>
          <xdr:colOff>619125</xdr:colOff>
          <xdr:row>11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19050</xdr:rowOff>
        </xdr:from>
        <xdr:to>
          <xdr:col>8</xdr:col>
          <xdr:colOff>628650</xdr:colOff>
          <xdr:row>27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</xdr:row>
          <xdr:rowOff>0</xdr:rowOff>
        </xdr:from>
        <xdr:to>
          <xdr:col>16</xdr:col>
          <xdr:colOff>628650</xdr:colOff>
          <xdr:row>3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</xdr:row>
          <xdr:rowOff>0</xdr:rowOff>
        </xdr:from>
        <xdr:to>
          <xdr:col>16</xdr:col>
          <xdr:colOff>628650</xdr:colOff>
          <xdr:row>4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6</xdr:row>
          <xdr:rowOff>0</xdr:rowOff>
        </xdr:from>
        <xdr:to>
          <xdr:col>16</xdr:col>
          <xdr:colOff>628650</xdr:colOff>
          <xdr:row>6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7</xdr:row>
          <xdr:rowOff>0</xdr:rowOff>
        </xdr:from>
        <xdr:to>
          <xdr:col>16</xdr:col>
          <xdr:colOff>628650</xdr:colOff>
          <xdr:row>7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13</xdr:row>
          <xdr:rowOff>0</xdr:rowOff>
        </xdr:from>
        <xdr:to>
          <xdr:col>16</xdr:col>
          <xdr:colOff>619125</xdr:colOff>
          <xdr:row>13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18</xdr:row>
          <xdr:rowOff>0</xdr:rowOff>
        </xdr:from>
        <xdr:to>
          <xdr:col>16</xdr:col>
          <xdr:colOff>628650</xdr:colOff>
          <xdr:row>18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20</xdr:row>
          <xdr:rowOff>0</xdr:rowOff>
        </xdr:from>
        <xdr:to>
          <xdr:col>16</xdr:col>
          <xdr:colOff>628650</xdr:colOff>
          <xdr:row>20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11</xdr:row>
          <xdr:rowOff>0</xdr:rowOff>
        </xdr:from>
        <xdr:to>
          <xdr:col>16</xdr:col>
          <xdr:colOff>619125</xdr:colOff>
          <xdr:row>11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19050</xdr:rowOff>
        </xdr:from>
        <xdr:to>
          <xdr:col>16</xdr:col>
          <xdr:colOff>628650</xdr:colOff>
          <xdr:row>27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19050</xdr:rowOff>
        </xdr:from>
        <xdr:to>
          <xdr:col>16</xdr:col>
          <xdr:colOff>628650</xdr:colOff>
          <xdr:row>31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0</xdr:rowOff>
        </xdr:from>
        <xdr:to>
          <xdr:col>2</xdr:col>
          <xdr:colOff>628650</xdr:colOff>
          <xdr:row>5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6</xdr:col>
          <xdr:colOff>628650</xdr:colOff>
          <xdr:row>5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0</xdr:rowOff>
        </xdr:from>
        <xdr:to>
          <xdr:col>8</xdr:col>
          <xdr:colOff>628650</xdr:colOff>
          <xdr:row>5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5</xdr:row>
          <xdr:rowOff>0</xdr:rowOff>
        </xdr:from>
        <xdr:to>
          <xdr:col>16</xdr:col>
          <xdr:colOff>628650</xdr:colOff>
          <xdr:row>5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0</xdr:rowOff>
        </xdr:from>
        <xdr:to>
          <xdr:col>4</xdr:col>
          <xdr:colOff>628650</xdr:colOff>
          <xdr:row>3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0</xdr:rowOff>
        </xdr:from>
        <xdr:to>
          <xdr:col>4</xdr:col>
          <xdr:colOff>628650</xdr:colOff>
          <xdr:row>4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6</xdr:row>
          <xdr:rowOff>0</xdr:rowOff>
        </xdr:from>
        <xdr:to>
          <xdr:col>4</xdr:col>
          <xdr:colOff>628650</xdr:colOff>
          <xdr:row>6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0</xdr:rowOff>
        </xdr:from>
        <xdr:to>
          <xdr:col>4</xdr:col>
          <xdr:colOff>628650</xdr:colOff>
          <xdr:row>7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0</xdr:rowOff>
        </xdr:from>
        <xdr:to>
          <xdr:col>4</xdr:col>
          <xdr:colOff>619125</xdr:colOff>
          <xdr:row>13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18</xdr:row>
          <xdr:rowOff>0</xdr:rowOff>
        </xdr:from>
        <xdr:to>
          <xdr:col>4</xdr:col>
          <xdr:colOff>628650</xdr:colOff>
          <xdr:row>18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0</xdr:rowOff>
        </xdr:from>
        <xdr:to>
          <xdr:col>4</xdr:col>
          <xdr:colOff>619125</xdr:colOff>
          <xdr:row>11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19050</xdr:rowOff>
        </xdr:from>
        <xdr:to>
          <xdr:col>4</xdr:col>
          <xdr:colOff>628650</xdr:colOff>
          <xdr:row>27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0</xdr:rowOff>
        </xdr:from>
        <xdr:to>
          <xdr:col>4</xdr:col>
          <xdr:colOff>628650</xdr:colOff>
          <xdr:row>5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35</xdr:row>
      <xdr:rowOff>9525</xdr:rowOff>
    </xdr:from>
    <xdr:to>
      <xdr:col>16</xdr:col>
      <xdr:colOff>704850</xdr:colOff>
      <xdr:row>36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19050</xdr:rowOff>
        </xdr:from>
        <xdr:to>
          <xdr:col>16</xdr:col>
          <xdr:colOff>628650</xdr:colOff>
          <xdr:row>32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0</xdr:rowOff>
        </xdr:from>
        <xdr:to>
          <xdr:col>2</xdr:col>
          <xdr:colOff>628650</xdr:colOff>
          <xdr:row>8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0</xdr:rowOff>
        </xdr:from>
        <xdr:to>
          <xdr:col>6</xdr:col>
          <xdr:colOff>628650</xdr:colOff>
          <xdr:row>8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0</xdr:rowOff>
        </xdr:from>
        <xdr:to>
          <xdr:col>8</xdr:col>
          <xdr:colOff>628650</xdr:colOff>
          <xdr:row>8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8</xdr:row>
          <xdr:rowOff>0</xdr:rowOff>
        </xdr:from>
        <xdr:to>
          <xdr:col>16</xdr:col>
          <xdr:colOff>628650</xdr:colOff>
          <xdr:row>8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0</xdr:rowOff>
        </xdr:from>
        <xdr:to>
          <xdr:col>4</xdr:col>
          <xdr:colOff>628650</xdr:colOff>
          <xdr:row>8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0</xdr:rowOff>
        </xdr:from>
        <xdr:to>
          <xdr:col>2</xdr:col>
          <xdr:colOff>619125</xdr:colOff>
          <xdr:row>14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14</xdr:row>
          <xdr:rowOff>0</xdr:rowOff>
        </xdr:from>
        <xdr:to>
          <xdr:col>6</xdr:col>
          <xdr:colOff>619125</xdr:colOff>
          <xdr:row>14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14</xdr:row>
          <xdr:rowOff>0</xdr:rowOff>
        </xdr:from>
        <xdr:to>
          <xdr:col>8</xdr:col>
          <xdr:colOff>619125</xdr:colOff>
          <xdr:row>14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14</xdr:row>
          <xdr:rowOff>0</xdr:rowOff>
        </xdr:from>
        <xdr:to>
          <xdr:col>16</xdr:col>
          <xdr:colOff>619125</xdr:colOff>
          <xdr:row>14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619125</xdr:colOff>
          <xdr:row>14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21</xdr:row>
          <xdr:rowOff>0</xdr:rowOff>
        </xdr:from>
        <xdr:to>
          <xdr:col>16</xdr:col>
          <xdr:colOff>628650</xdr:colOff>
          <xdr:row>21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0</xdr:rowOff>
        </xdr:from>
        <xdr:to>
          <xdr:col>16</xdr:col>
          <xdr:colOff>628650</xdr:colOff>
          <xdr:row>24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19050</xdr:rowOff>
        </xdr:from>
        <xdr:to>
          <xdr:col>2</xdr:col>
          <xdr:colOff>628650</xdr:colOff>
          <xdr:row>17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19050</xdr:rowOff>
        </xdr:from>
        <xdr:to>
          <xdr:col>6</xdr:col>
          <xdr:colOff>628650</xdr:colOff>
          <xdr:row>17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19050</xdr:rowOff>
        </xdr:from>
        <xdr:to>
          <xdr:col>8</xdr:col>
          <xdr:colOff>628650</xdr:colOff>
          <xdr:row>17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19050</xdr:rowOff>
        </xdr:from>
        <xdr:to>
          <xdr:col>16</xdr:col>
          <xdr:colOff>628650</xdr:colOff>
          <xdr:row>17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19050</xdr:rowOff>
        </xdr:from>
        <xdr:to>
          <xdr:col>4</xdr:col>
          <xdr:colOff>628650</xdr:colOff>
          <xdr:row>17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</xdr:row>
          <xdr:rowOff>0</xdr:rowOff>
        </xdr:from>
        <xdr:to>
          <xdr:col>10</xdr:col>
          <xdr:colOff>628650</xdr:colOff>
          <xdr:row>3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</xdr:row>
          <xdr:rowOff>0</xdr:rowOff>
        </xdr:from>
        <xdr:to>
          <xdr:col>10</xdr:col>
          <xdr:colOff>628650</xdr:colOff>
          <xdr:row>4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</xdr:row>
          <xdr:rowOff>0</xdr:rowOff>
        </xdr:from>
        <xdr:to>
          <xdr:col>10</xdr:col>
          <xdr:colOff>628650</xdr:colOff>
          <xdr:row>6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7</xdr:row>
          <xdr:rowOff>0</xdr:rowOff>
        </xdr:from>
        <xdr:to>
          <xdr:col>10</xdr:col>
          <xdr:colOff>628650</xdr:colOff>
          <xdr:row>7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0</xdr:rowOff>
        </xdr:from>
        <xdr:to>
          <xdr:col>10</xdr:col>
          <xdr:colOff>619125</xdr:colOff>
          <xdr:row>13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18</xdr:row>
          <xdr:rowOff>0</xdr:rowOff>
        </xdr:from>
        <xdr:to>
          <xdr:col>10</xdr:col>
          <xdr:colOff>628650</xdr:colOff>
          <xdr:row>18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20</xdr:row>
          <xdr:rowOff>0</xdr:rowOff>
        </xdr:from>
        <xdr:to>
          <xdr:col>10</xdr:col>
          <xdr:colOff>628650</xdr:colOff>
          <xdr:row>20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11</xdr:row>
          <xdr:rowOff>0</xdr:rowOff>
        </xdr:from>
        <xdr:to>
          <xdr:col>10</xdr:col>
          <xdr:colOff>619125</xdr:colOff>
          <xdr:row>11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19050</xdr:rowOff>
        </xdr:from>
        <xdr:to>
          <xdr:col>10</xdr:col>
          <xdr:colOff>628650</xdr:colOff>
          <xdr:row>27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</xdr:row>
          <xdr:rowOff>0</xdr:rowOff>
        </xdr:from>
        <xdr:to>
          <xdr:col>12</xdr:col>
          <xdr:colOff>628650</xdr:colOff>
          <xdr:row>3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</xdr:row>
          <xdr:rowOff>0</xdr:rowOff>
        </xdr:from>
        <xdr:to>
          <xdr:col>12</xdr:col>
          <xdr:colOff>628650</xdr:colOff>
          <xdr:row>4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6</xdr:row>
          <xdr:rowOff>0</xdr:rowOff>
        </xdr:from>
        <xdr:to>
          <xdr:col>12</xdr:col>
          <xdr:colOff>628650</xdr:colOff>
          <xdr:row>6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</xdr:row>
          <xdr:rowOff>0</xdr:rowOff>
        </xdr:from>
        <xdr:to>
          <xdr:col>12</xdr:col>
          <xdr:colOff>628650</xdr:colOff>
          <xdr:row>7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0</xdr:rowOff>
        </xdr:from>
        <xdr:to>
          <xdr:col>12</xdr:col>
          <xdr:colOff>619125</xdr:colOff>
          <xdr:row>13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18</xdr:row>
          <xdr:rowOff>0</xdr:rowOff>
        </xdr:from>
        <xdr:to>
          <xdr:col>12</xdr:col>
          <xdr:colOff>628650</xdr:colOff>
          <xdr:row>18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20</xdr:row>
          <xdr:rowOff>0</xdr:rowOff>
        </xdr:from>
        <xdr:to>
          <xdr:col>12</xdr:col>
          <xdr:colOff>628650</xdr:colOff>
          <xdr:row>20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11</xdr:row>
          <xdr:rowOff>0</xdr:rowOff>
        </xdr:from>
        <xdr:to>
          <xdr:col>12</xdr:col>
          <xdr:colOff>619125</xdr:colOff>
          <xdr:row>11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19050</xdr:rowOff>
        </xdr:from>
        <xdr:to>
          <xdr:col>12</xdr:col>
          <xdr:colOff>628650</xdr:colOff>
          <xdr:row>27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19050</xdr:rowOff>
        </xdr:from>
        <xdr:to>
          <xdr:col>10</xdr:col>
          <xdr:colOff>628650</xdr:colOff>
          <xdr:row>31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19050</xdr:rowOff>
        </xdr:from>
        <xdr:to>
          <xdr:col>12</xdr:col>
          <xdr:colOff>628650</xdr:colOff>
          <xdr:row>31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5</xdr:row>
          <xdr:rowOff>0</xdr:rowOff>
        </xdr:from>
        <xdr:to>
          <xdr:col>10</xdr:col>
          <xdr:colOff>628650</xdr:colOff>
          <xdr:row>5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</xdr:row>
          <xdr:rowOff>0</xdr:rowOff>
        </xdr:from>
        <xdr:to>
          <xdr:col>12</xdr:col>
          <xdr:colOff>628650</xdr:colOff>
          <xdr:row>5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19050</xdr:rowOff>
        </xdr:from>
        <xdr:to>
          <xdr:col>10</xdr:col>
          <xdr:colOff>628650</xdr:colOff>
          <xdr:row>32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19050</xdr:rowOff>
        </xdr:from>
        <xdr:to>
          <xdr:col>12</xdr:col>
          <xdr:colOff>628650</xdr:colOff>
          <xdr:row>32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8</xdr:row>
          <xdr:rowOff>0</xdr:rowOff>
        </xdr:from>
        <xdr:to>
          <xdr:col>10</xdr:col>
          <xdr:colOff>628650</xdr:colOff>
          <xdr:row>8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</xdr:row>
          <xdr:rowOff>0</xdr:rowOff>
        </xdr:from>
        <xdr:to>
          <xdr:col>12</xdr:col>
          <xdr:colOff>628650</xdr:colOff>
          <xdr:row>8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14</xdr:row>
          <xdr:rowOff>0</xdr:rowOff>
        </xdr:from>
        <xdr:to>
          <xdr:col>10</xdr:col>
          <xdr:colOff>619125</xdr:colOff>
          <xdr:row>14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0</xdr:rowOff>
        </xdr:from>
        <xdr:to>
          <xdr:col>12</xdr:col>
          <xdr:colOff>619125</xdr:colOff>
          <xdr:row>14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0</xdr:rowOff>
        </xdr:from>
        <xdr:to>
          <xdr:col>10</xdr:col>
          <xdr:colOff>628650</xdr:colOff>
          <xdr:row>21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21</xdr:row>
          <xdr:rowOff>0</xdr:rowOff>
        </xdr:from>
        <xdr:to>
          <xdr:col>12</xdr:col>
          <xdr:colOff>628650</xdr:colOff>
          <xdr:row>21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0</xdr:rowOff>
        </xdr:from>
        <xdr:to>
          <xdr:col>10</xdr:col>
          <xdr:colOff>628650</xdr:colOff>
          <xdr:row>24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0</xdr:rowOff>
        </xdr:from>
        <xdr:to>
          <xdr:col>12</xdr:col>
          <xdr:colOff>628650</xdr:colOff>
          <xdr:row>24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19050</xdr:rowOff>
        </xdr:from>
        <xdr:to>
          <xdr:col>10</xdr:col>
          <xdr:colOff>628650</xdr:colOff>
          <xdr:row>17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19050</xdr:rowOff>
        </xdr:from>
        <xdr:to>
          <xdr:col>12</xdr:col>
          <xdr:colOff>628650</xdr:colOff>
          <xdr:row>17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9</xdr:row>
          <xdr:rowOff>0</xdr:rowOff>
        </xdr:from>
        <xdr:to>
          <xdr:col>16</xdr:col>
          <xdr:colOff>628650</xdr:colOff>
          <xdr:row>9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9</xdr:row>
          <xdr:rowOff>0</xdr:rowOff>
        </xdr:from>
        <xdr:to>
          <xdr:col>10</xdr:col>
          <xdr:colOff>628650</xdr:colOff>
          <xdr:row>9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9</xdr:row>
          <xdr:rowOff>0</xdr:rowOff>
        </xdr:from>
        <xdr:to>
          <xdr:col>12</xdr:col>
          <xdr:colOff>628650</xdr:colOff>
          <xdr:row>9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19050</xdr:rowOff>
        </xdr:from>
        <xdr:to>
          <xdr:col>2</xdr:col>
          <xdr:colOff>628650</xdr:colOff>
          <xdr:row>26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19050</xdr:rowOff>
        </xdr:from>
        <xdr:to>
          <xdr:col>6</xdr:col>
          <xdr:colOff>628650</xdr:colOff>
          <xdr:row>26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19050</xdr:rowOff>
        </xdr:from>
        <xdr:to>
          <xdr:col>8</xdr:col>
          <xdr:colOff>628650</xdr:colOff>
          <xdr:row>26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19050</xdr:rowOff>
        </xdr:from>
        <xdr:to>
          <xdr:col>16</xdr:col>
          <xdr:colOff>628650</xdr:colOff>
          <xdr:row>26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19050</xdr:rowOff>
        </xdr:from>
        <xdr:to>
          <xdr:col>4</xdr:col>
          <xdr:colOff>628650</xdr:colOff>
          <xdr:row>26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19050</xdr:rowOff>
        </xdr:from>
        <xdr:to>
          <xdr:col>10</xdr:col>
          <xdr:colOff>628650</xdr:colOff>
          <xdr:row>26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19050</xdr:rowOff>
        </xdr:from>
        <xdr:to>
          <xdr:col>12</xdr:col>
          <xdr:colOff>628650</xdr:colOff>
          <xdr:row>26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</xdr:row>
          <xdr:rowOff>0</xdr:rowOff>
        </xdr:from>
        <xdr:to>
          <xdr:col>18</xdr:col>
          <xdr:colOff>628650</xdr:colOff>
          <xdr:row>3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</xdr:row>
          <xdr:rowOff>0</xdr:rowOff>
        </xdr:from>
        <xdr:to>
          <xdr:col>18</xdr:col>
          <xdr:colOff>628650</xdr:colOff>
          <xdr:row>4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6</xdr:row>
          <xdr:rowOff>0</xdr:rowOff>
        </xdr:from>
        <xdr:to>
          <xdr:col>18</xdr:col>
          <xdr:colOff>628650</xdr:colOff>
          <xdr:row>6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7</xdr:row>
          <xdr:rowOff>0</xdr:rowOff>
        </xdr:from>
        <xdr:to>
          <xdr:col>18</xdr:col>
          <xdr:colOff>628650</xdr:colOff>
          <xdr:row>7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13</xdr:row>
          <xdr:rowOff>0</xdr:rowOff>
        </xdr:from>
        <xdr:to>
          <xdr:col>18</xdr:col>
          <xdr:colOff>619125</xdr:colOff>
          <xdr:row>13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18</xdr:row>
          <xdr:rowOff>0</xdr:rowOff>
        </xdr:from>
        <xdr:to>
          <xdr:col>18</xdr:col>
          <xdr:colOff>628650</xdr:colOff>
          <xdr:row>18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20</xdr:row>
          <xdr:rowOff>0</xdr:rowOff>
        </xdr:from>
        <xdr:to>
          <xdr:col>18</xdr:col>
          <xdr:colOff>628650</xdr:colOff>
          <xdr:row>20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11</xdr:row>
          <xdr:rowOff>0</xdr:rowOff>
        </xdr:from>
        <xdr:to>
          <xdr:col>18</xdr:col>
          <xdr:colOff>619125</xdr:colOff>
          <xdr:row>11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19050</xdr:rowOff>
        </xdr:from>
        <xdr:to>
          <xdr:col>18</xdr:col>
          <xdr:colOff>628650</xdr:colOff>
          <xdr:row>27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19050</xdr:rowOff>
        </xdr:from>
        <xdr:to>
          <xdr:col>18</xdr:col>
          <xdr:colOff>628650</xdr:colOff>
          <xdr:row>31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5</xdr:row>
          <xdr:rowOff>0</xdr:rowOff>
        </xdr:from>
        <xdr:to>
          <xdr:col>18</xdr:col>
          <xdr:colOff>628650</xdr:colOff>
          <xdr:row>5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19050</xdr:rowOff>
        </xdr:from>
        <xdr:to>
          <xdr:col>18</xdr:col>
          <xdr:colOff>628650</xdr:colOff>
          <xdr:row>32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8</xdr:row>
          <xdr:rowOff>0</xdr:rowOff>
        </xdr:from>
        <xdr:to>
          <xdr:col>18</xdr:col>
          <xdr:colOff>628650</xdr:colOff>
          <xdr:row>8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14</xdr:row>
          <xdr:rowOff>0</xdr:rowOff>
        </xdr:from>
        <xdr:to>
          <xdr:col>18</xdr:col>
          <xdr:colOff>619125</xdr:colOff>
          <xdr:row>14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21</xdr:row>
          <xdr:rowOff>0</xdr:rowOff>
        </xdr:from>
        <xdr:to>
          <xdr:col>18</xdr:col>
          <xdr:colOff>628650</xdr:colOff>
          <xdr:row>21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0</xdr:rowOff>
        </xdr:from>
        <xdr:to>
          <xdr:col>18</xdr:col>
          <xdr:colOff>628650</xdr:colOff>
          <xdr:row>24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19050</xdr:rowOff>
        </xdr:from>
        <xdr:to>
          <xdr:col>18</xdr:col>
          <xdr:colOff>628650</xdr:colOff>
          <xdr:row>17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9</xdr:row>
          <xdr:rowOff>0</xdr:rowOff>
        </xdr:from>
        <xdr:to>
          <xdr:col>18</xdr:col>
          <xdr:colOff>628650</xdr:colOff>
          <xdr:row>9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19050</xdr:rowOff>
        </xdr:from>
        <xdr:to>
          <xdr:col>18</xdr:col>
          <xdr:colOff>628650</xdr:colOff>
          <xdr:row>26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0</xdr:rowOff>
        </xdr:from>
        <xdr:to>
          <xdr:col>20</xdr:col>
          <xdr:colOff>628650</xdr:colOff>
          <xdr:row>3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</xdr:row>
          <xdr:rowOff>0</xdr:rowOff>
        </xdr:from>
        <xdr:to>
          <xdr:col>20</xdr:col>
          <xdr:colOff>628650</xdr:colOff>
          <xdr:row>4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6</xdr:row>
          <xdr:rowOff>0</xdr:rowOff>
        </xdr:from>
        <xdr:to>
          <xdr:col>20</xdr:col>
          <xdr:colOff>628650</xdr:colOff>
          <xdr:row>6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7</xdr:row>
          <xdr:rowOff>0</xdr:rowOff>
        </xdr:from>
        <xdr:to>
          <xdr:col>20</xdr:col>
          <xdr:colOff>628650</xdr:colOff>
          <xdr:row>7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13</xdr:row>
          <xdr:rowOff>0</xdr:rowOff>
        </xdr:from>
        <xdr:to>
          <xdr:col>20</xdr:col>
          <xdr:colOff>619125</xdr:colOff>
          <xdr:row>13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18</xdr:row>
          <xdr:rowOff>0</xdr:rowOff>
        </xdr:from>
        <xdr:to>
          <xdr:col>20</xdr:col>
          <xdr:colOff>628650</xdr:colOff>
          <xdr:row>18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20</xdr:row>
          <xdr:rowOff>0</xdr:rowOff>
        </xdr:from>
        <xdr:to>
          <xdr:col>20</xdr:col>
          <xdr:colOff>628650</xdr:colOff>
          <xdr:row>20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11</xdr:row>
          <xdr:rowOff>0</xdr:rowOff>
        </xdr:from>
        <xdr:to>
          <xdr:col>20</xdr:col>
          <xdr:colOff>619125</xdr:colOff>
          <xdr:row>11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19050</xdr:rowOff>
        </xdr:from>
        <xdr:to>
          <xdr:col>20</xdr:col>
          <xdr:colOff>628650</xdr:colOff>
          <xdr:row>27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19050</xdr:rowOff>
        </xdr:from>
        <xdr:to>
          <xdr:col>20</xdr:col>
          <xdr:colOff>628650</xdr:colOff>
          <xdr:row>31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5</xdr:row>
          <xdr:rowOff>0</xdr:rowOff>
        </xdr:from>
        <xdr:to>
          <xdr:col>20</xdr:col>
          <xdr:colOff>628650</xdr:colOff>
          <xdr:row>5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19050</xdr:rowOff>
        </xdr:from>
        <xdr:to>
          <xdr:col>20</xdr:col>
          <xdr:colOff>628650</xdr:colOff>
          <xdr:row>32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8</xdr:row>
          <xdr:rowOff>0</xdr:rowOff>
        </xdr:from>
        <xdr:to>
          <xdr:col>20</xdr:col>
          <xdr:colOff>628650</xdr:colOff>
          <xdr:row>8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14</xdr:row>
          <xdr:rowOff>0</xdr:rowOff>
        </xdr:from>
        <xdr:to>
          <xdr:col>20</xdr:col>
          <xdr:colOff>619125</xdr:colOff>
          <xdr:row>14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21</xdr:row>
          <xdr:rowOff>0</xdr:rowOff>
        </xdr:from>
        <xdr:to>
          <xdr:col>20</xdr:col>
          <xdr:colOff>628650</xdr:colOff>
          <xdr:row>21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0</xdr:rowOff>
        </xdr:from>
        <xdr:to>
          <xdr:col>20</xdr:col>
          <xdr:colOff>628650</xdr:colOff>
          <xdr:row>24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19050</xdr:rowOff>
        </xdr:from>
        <xdr:to>
          <xdr:col>20</xdr:col>
          <xdr:colOff>628650</xdr:colOff>
          <xdr:row>17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9</xdr:row>
          <xdr:rowOff>0</xdr:rowOff>
        </xdr:from>
        <xdr:to>
          <xdr:col>20</xdr:col>
          <xdr:colOff>628650</xdr:colOff>
          <xdr:row>9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19050</xdr:rowOff>
        </xdr:from>
        <xdr:to>
          <xdr:col>20</xdr:col>
          <xdr:colOff>628650</xdr:colOff>
          <xdr:row>26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29</xdr:row>
      <xdr:rowOff>0</xdr:rowOff>
    </xdr:from>
    <xdr:to>
      <xdr:col>7</xdr:col>
      <xdr:colOff>0</xdr:colOff>
      <xdr:row>31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08" Type="http://schemas.openxmlformats.org/officeDocument/2006/relationships/ctrlProp" Target="../ctrlProps/ctrlProp182.xml"/><Relationship Id="rId124" Type="http://schemas.openxmlformats.org/officeDocument/2006/relationships/ctrlProp" Target="../ctrlProps/ctrlProp198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0" Type="http://schemas.openxmlformats.org/officeDocument/2006/relationships/ctrlProp" Target="../ctrlProps/ctrlProp144.xml"/><Relationship Id="rId75" Type="http://schemas.openxmlformats.org/officeDocument/2006/relationships/ctrlProp" Target="../ctrlProps/ctrlProp149.xml"/><Relationship Id="rId91" Type="http://schemas.openxmlformats.org/officeDocument/2006/relationships/ctrlProp" Target="../ctrlProps/ctrlProp165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45" Type="http://schemas.openxmlformats.org/officeDocument/2006/relationships/ctrlProp" Target="../ctrlProps/ctrlProp219.xml"/><Relationship Id="rId161" Type="http://schemas.openxmlformats.org/officeDocument/2006/relationships/ctrlProp" Target="../ctrlProps/ctrlProp235.xml"/><Relationship Id="rId166" Type="http://schemas.openxmlformats.org/officeDocument/2006/relationships/ctrlProp" Target="../ctrlProps/ctrlProp240.xml"/><Relationship Id="rId182" Type="http://schemas.openxmlformats.org/officeDocument/2006/relationships/ctrlProp" Target="../ctrlProps/ctrlProp256.xml"/><Relationship Id="rId187" Type="http://schemas.openxmlformats.org/officeDocument/2006/relationships/ctrlProp" Target="../ctrlProps/ctrlProp261.xml"/><Relationship Id="rId217" Type="http://schemas.openxmlformats.org/officeDocument/2006/relationships/ctrlProp" Target="../ctrlProps/ctrlProp29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0" Type="http://schemas.openxmlformats.org/officeDocument/2006/relationships/ctrlProp" Target="../ctrlProps/ctrlProp134.xml"/><Relationship Id="rId65" Type="http://schemas.openxmlformats.org/officeDocument/2006/relationships/ctrlProp" Target="../ctrlProps/ctrlProp139.xml"/><Relationship Id="rId81" Type="http://schemas.openxmlformats.org/officeDocument/2006/relationships/ctrlProp" Target="../ctrlProps/ctrlProp155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35" Type="http://schemas.openxmlformats.org/officeDocument/2006/relationships/ctrlProp" Target="../ctrlProps/ctrlProp209.xml"/><Relationship Id="rId151" Type="http://schemas.openxmlformats.org/officeDocument/2006/relationships/ctrlProp" Target="../ctrlProps/ctrlProp225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2" Type="http://schemas.openxmlformats.org/officeDocument/2006/relationships/ctrlProp" Target="../ctrlProps/ctrlProp276.xml"/><Relationship Id="rId207" Type="http://schemas.openxmlformats.org/officeDocument/2006/relationships/ctrlProp" Target="../ctrlProps/ctrlProp281.xml"/><Relationship Id="rId223" Type="http://schemas.openxmlformats.org/officeDocument/2006/relationships/ctrlProp" Target="../ctrlProps/ctrlProp297.xml"/><Relationship Id="rId228" Type="http://schemas.openxmlformats.org/officeDocument/2006/relationships/ctrlProp" Target="../ctrlProps/ctrlProp302.xml"/><Relationship Id="rId244" Type="http://schemas.openxmlformats.org/officeDocument/2006/relationships/ctrlProp" Target="../ctrlProps/ctrlProp318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0" Type="http://schemas.openxmlformats.org/officeDocument/2006/relationships/ctrlProp" Target="../ctrlProps/ctrlProp124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04" Type="http://schemas.openxmlformats.org/officeDocument/2006/relationships/ctrlProp" Target="../ctrlProps/ctrlProp178.xml"/><Relationship Id="rId120" Type="http://schemas.openxmlformats.org/officeDocument/2006/relationships/ctrlProp" Target="../ctrlProps/ctrlProp194.xml"/><Relationship Id="rId125" Type="http://schemas.openxmlformats.org/officeDocument/2006/relationships/ctrlProp" Target="../ctrlProps/ctrlProp199.xml"/><Relationship Id="rId141" Type="http://schemas.openxmlformats.org/officeDocument/2006/relationships/ctrlProp" Target="../ctrlProps/ctrlProp215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" Type="http://schemas.openxmlformats.org/officeDocument/2006/relationships/ctrlProp" Target="../ctrlProps/ctrlProp81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3" Type="http://schemas.openxmlformats.org/officeDocument/2006/relationships/ctrlProp" Target="../ctrlProps/ctrlProp287.xml"/><Relationship Id="rId218" Type="http://schemas.openxmlformats.org/officeDocument/2006/relationships/ctrlProp" Target="../ctrlProps/ctrlProp292.xml"/><Relationship Id="rId234" Type="http://schemas.openxmlformats.org/officeDocument/2006/relationships/ctrlProp" Target="../ctrlProps/ctrlProp308.xml"/><Relationship Id="rId239" Type="http://schemas.openxmlformats.org/officeDocument/2006/relationships/ctrlProp" Target="../ctrlProps/ctrlProp313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103.xml"/><Relationship Id="rId24" Type="http://schemas.openxmlformats.org/officeDocument/2006/relationships/ctrlProp" Target="../ctrlProps/ctrlProp98.xml"/><Relationship Id="rId40" Type="http://schemas.openxmlformats.org/officeDocument/2006/relationships/ctrlProp" Target="../ctrlProps/ctrlProp114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15" Type="http://schemas.openxmlformats.org/officeDocument/2006/relationships/ctrlProp" Target="../ctrlProps/ctrlProp189.xml"/><Relationship Id="rId131" Type="http://schemas.openxmlformats.org/officeDocument/2006/relationships/ctrlProp" Target="../ctrlProps/ctrlProp205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0" Type="http://schemas.openxmlformats.org/officeDocument/2006/relationships/ctrlProp" Target="../ctrlProps/ctrlProp314.xml"/><Relationship Id="rId245" Type="http://schemas.openxmlformats.org/officeDocument/2006/relationships/ctrlProp" Target="../ctrlProps/ctrlProp319.xml"/><Relationship Id="rId14" Type="http://schemas.openxmlformats.org/officeDocument/2006/relationships/ctrlProp" Target="../ctrlProps/ctrlProp88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8" Type="http://schemas.openxmlformats.org/officeDocument/2006/relationships/ctrlProp" Target="../ctrlProps/ctrlProp8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189" Type="http://schemas.openxmlformats.org/officeDocument/2006/relationships/ctrlProp" Target="../ctrlProps/ctrlProp263.xml"/><Relationship Id="rId219" Type="http://schemas.openxmlformats.org/officeDocument/2006/relationships/ctrlProp" Target="../ctrlProps/ctrlProp29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0" Type="http://schemas.openxmlformats.org/officeDocument/2006/relationships/ctrlProp" Target="../ctrlProps/ctrlProp304.xml"/><Relationship Id="rId235" Type="http://schemas.openxmlformats.org/officeDocument/2006/relationships/ctrlProp" Target="../ctrlProps/ctrlProp309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79" Type="http://schemas.openxmlformats.org/officeDocument/2006/relationships/ctrlProp" Target="../ctrlProps/ctrlProp253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0" Type="http://schemas.openxmlformats.org/officeDocument/2006/relationships/ctrlProp" Target="../ctrlProps/ctrlProp294.xml"/><Relationship Id="rId225" Type="http://schemas.openxmlformats.org/officeDocument/2006/relationships/ctrlProp" Target="../ctrlProps/ctrlProp299.xml"/><Relationship Id="rId241" Type="http://schemas.openxmlformats.org/officeDocument/2006/relationships/ctrlProp" Target="../ctrlProps/ctrlProp315.xml"/><Relationship Id="rId246" Type="http://schemas.openxmlformats.org/officeDocument/2006/relationships/ctrlProp" Target="../ctrlProps/ctrlProp320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0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9.xml"/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347.xml"/><Relationship Id="rId20" Type="http://schemas.openxmlformats.org/officeDocument/2006/relationships/ctrlProp" Target="../ctrlProps/ctrlProp351.xml"/><Relationship Id="rId29" Type="http://schemas.openxmlformats.org/officeDocument/2006/relationships/ctrlProp" Target="../ctrlProps/ctrlProp360.xml"/><Relationship Id="rId41" Type="http://schemas.openxmlformats.org/officeDocument/2006/relationships/ctrlProp" Target="../ctrlProps/ctrlProp37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9.xml"/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47" Type="http://schemas.openxmlformats.org/officeDocument/2006/relationships/ctrlProp" Target="../ctrlProps/ctrlProp420.xml"/><Relationship Id="rId63" Type="http://schemas.openxmlformats.org/officeDocument/2006/relationships/ctrlProp" Target="../ctrlProps/ctrlProp436.xml"/><Relationship Id="rId68" Type="http://schemas.openxmlformats.org/officeDocument/2006/relationships/ctrlProp" Target="../ctrlProps/ctrlProp441.xml"/><Relationship Id="rId84" Type="http://schemas.openxmlformats.org/officeDocument/2006/relationships/ctrlProp" Target="../ctrlProps/ctrlProp457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38" Type="http://schemas.openxmlformats.org/officeDocument/2006/relationships/ctrlProp" Target="../ctrlProps/ctrlProp511.xml"/><Relationship Id="rId154" Type="http://schemas.openxmlformats.org/officeDocument/2006/relationships/ctrlProp" Target="../ctrlProps/ctrlProp527.xml"/><Relationship Id="rId159" Type="http://schemas.openxmlformats.org/officeDocument/2006/relationships/ctrlProp" Target="../ctrlProps/ctrlProp532.xml"/><Relationship Id="rId16" Type="http://schemas.openxmlformats.org/officeDocument/2006/relationships/ctrlProp" Target="../ctrlProps/ctrlProp389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37" Type="http://schemas.openxmlformats.org/officeDocument/2006/relationships/ctrlProp" Target="../ctrlProps/ctrlProp410.xml"/><Relationship Id="rId53" Type="http://schemas.openxmlformats.org/officeDocument/2006/relationships/ctrlProp" Target="../ctrlProps/ctrlProp426.xml"/><Relationship Id="rId58" Type="http://schemas.openxmlformats.org/officeDocument/2006/relationships/ctrlProp" Target="../ctrlProps/ctrlProp431.xml"/><Relationship Id="rId74" Type="http://schemas.openxmlformats.org/officeDocument/2006/relationships/ctrlProp" Target="../ctrlProps/ctrlProp447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28" Type="http://schemas.openxmlformats.org/officeDocument/2006/relationships/ctrlProp" Target="../ctrlProps/ctrlProp501.xml"/><Relationship Id="rId144" Type="http://schemas.openxmlformats.org/officeDocument/2006/relationships/ctrlProp" Target="../ctrlProps/ctrlProp517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0" Type="http://schemas.openxmlformats.org/officeDocument/2006/relationships/ctrlProp" Target="../ctrlProps/ctrlProp463.xml"/><Relationship Id="rId95" Type="http://schemas.openxmlformats.org/officeDocument/2006/relationships/ctrlProp" Target="../ctrlProps/ctrlProp468.xml"/><Relationship Id="rId22" Type="http://schemas.openxmlformats.org/officeDocument/2006/relationships/ctrlProp" Target="../ctrlProps/ctrlProp395.xml"/><Relationship Id="rId27" Type="http://schemas.openxmlformats.org/officeDocument/2006/relationships/ctrlProp" Target="../ctrlProps/ctrlProp400.xml"/><Relationship Id="rId43" Type="http://schemas.openxmlformats.org/officeDocument/2006/relationships/ctrlProp" Target="../ctrlProps/ctrlProp416.xml"/><Relationship Id="rId48" Type="http://schemas.openxmlformats.org/officeDocument/2006/relationships/ctrlProp" Target="../ctrlProps/ctrlProp421.xml"/><Relationship Id="rId64" Type="http://schemas.openxmlformats.org/officeDocument/2006/relationships/ctrlProp" Target="../ctrlProps/ctrlProp437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18" Type="http://schemas.openxmlformats.org/officeDocument/2006/relationships/ctrlProp" Target="../ctrlProps/ctrlProp491.xml"/><Relationship Id="rId134" Type="http://schemas.openxmlformats.org/officeDocument/2006/relationships/ctrlProp" Target="../ctrlProps/ctrlProp507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54" Type="http://schemas.openxmlformats.org/officeDocument/2006/relationships/ctrlProp" Target="../ctrlProps/ctrlProp427.xml"/><Relationship Id="rId62" Type="http://schemas.openxmlformats.org/officeDocument/2006/relationships/ctrlProp" Target="../ctrlProps/ctrlProp435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53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79.xml"/><Relationship Id="rId15" Type="http://schemas.openxmlformats.org/officeDocument/2006/relationships/ctrlProp" Target="../ctrlProps/ctrlProp388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36" Type="http://schemas.openxmlformats.org/officeDocument/2006/relationships/ctrlProp" Target="../ctrlProps/ctrlProp409.xml"/><Relationship Id="rId49" Type="http://schemas.openxmlformats.org/officeDocument/2006/relationships/ctrlProp" Target="../ctrlProps/ctrlProp422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44" Type="http://schemas.openxmlformats.org/officeDocument/2006/relationships/ctrlProp" Target="../ctrlProps/ctrlProp417.xml"/><Relationship Id="rId52" Type="http://schemas.openxmlformats.org/officeDocument/2006/relationships/ctrlProp" Target="../ctrlProps/ctrlProp425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2.xml"/><Relationship Id="rId18" Type="http://schemas.openxmlformats.org/officeDocument/2006/relationships/ctrlProp" Target="../ctrlProps/ctrlProp547.xml"/><Relationship Id="rId26" Type="http://schemas.openxmlformats.org/officeDocument/2006/relationships/ctrlProp" Target="../ctrlProps/ctrlProp555.xml"/><Relationship Id="rId39" Type="http://schemas.openxmlformats.org/officeDocument/2006/relationships/ctrlProp" Target="../ctrlProps/ctrlProp568.xml"/><Relationship Id="rId21" Type="http://schemas.openxmlformats.org/officeDocument/2006/relationships/ctrlProp" Target="../ctrlProps/ctrlProp550.xml"/><Relationship Id="rId34" Type="http://schemas.openxmlformats.org/officeDocument/2006/relationships/ctrlProp" Target="../ctrlProps/ctrlProp563.xml"/><Relationship Id="rId42" Type="http://schemas.openxmlformats.org/officeDocument/2006/relationships/ctrlProp" Target="../ctrlProps/ctrlProp571.xml"/><Relationship Id="rId47" Type="http://schemas.openxmlformats.org/officeDocument/2006/relationships/ctrlProp" Target="../ctrlProps/ctrlProp576.xml"/><Relationship Id="rId50" Type="http://schemas.openxmlformats.org/officeDocument/2006/relationships/ctrlProp" Target="../ctrlProps/ctrlProp579.xml"/><Relationship Id="rId55" Type="http://schemas.openxmlformats.org/officeDocument/2006/relationships/ctrlProp" Target="../ctrlProps/ctrlProp584.xml"/><Relationship Id="rId63" Type="http://schemas.openxmlformats.org/officeDocument/2006/relationships/ctrlProp" Target="../ctrlProps/ctrlProp592.xml"/><Relationship Id="rId68" Type="http://schemas.openxmlformats.org/officeDocument/2006/relationships/ctrlProp" Target="../ctrlProps/ctrlProp597.xml"/><Relationship Id="rId7" Type="http://schemas.openxmlformats.org/officeDocument/2006/relationships/ctrlProp" Target="../ctrlProps/ctrlProp53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5.xml"/><Relationship Id="rId29" Type="http://schemas.openxmlformats.org/officeDocument/2006/relationships/ctrlProp" Target="../ctrlProps/ctrlProp55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35.xml"/><Relationship Id="rId11" Type="http://schemas.openxmlformats.org/officeDocument/2006/relationships/ctrlProp" Target="../ctrlProps/ctrlProp540.xml"/><Relationship Id="rId24" Type="http://schemas.openxmlformats.org/officeDocument/2006/relationships/ctrlProp" Target="../ctrlProps/ctrlProp553.xml"/><Relationship Id="rId32" Type="http://schemas.openxmlformats.org/officeDocument/2006/relationships/ctrlProp" Target="../ctrlProps/ctrlProp561.xml"/><Relationship Id="rId37" Type="http://schemas.openxmlformats.org/officeDocument/2006/relationships/ctrlProp" Target="../ctrlProps/ctrlProp566.xml"/><Relationship Id="rId40" Type="http://schemas.openxmlformats.org/officeDocument/2006/relationships/ctrlProp" Target="../ctrlProps/ctrlProp569.xml"/><Relationship Id="rId45" Type="http://schemas.openxmlformats.org/officeDocument/2006/relationships/ctrlProp" Target="../ctrlProps/ctrlProp574.xml"/><Relationship Id="rId53" Type="http://schemas.openxmlformats.org/officeDocument/2006/relationships/ctrlProp" Target="../ctrlProps/ctrlProp582.xml"/><Relationship Id="rId58" Type="http://schemas.openxmlformats.org/officeDocument/2006/relationships/ctrlProp" Target="../ctrlProps/ctrlProp587.xml"/><Relationship Id="rId66" Type="http://schemas.openxmlformats.org/officeDocument/2006/relationships/ctrlProp" Target="../ctrlProps/ctrlProp595.xml"/><Relationship Id="rId5" Type="http://schemas.openxmlformats.org/officeDocument/2006/relationships/ctrlProp" Target="../ctrlProps/ctrlProp534.xml"/><Relationship Id="rId15" Type="http://schemas.openxmlformats.org/officeDocument/2006/relationships/ctrlProp" Target="../ctrlProps/ctrlProp544.xml"/><Relationship Id="rId23" Type="http://schemas.openxmlformats.org/officeDocument/2006/relationships/ctrlProp" Target="../ctrlProps/ctrlProp552.xml"/><Relationship Id="rId28" Type="http://schemas.openxmlformats.org/officeDocument/2006/relationships/ctrlProp" Target="../ctrlProps/ctrlProp557.xml"/><Relationship Id="rId36" Type="http://schemas.openxmlformats.org/officeDocument/2006/relationships/ctrlProp" Target="../ctrlProps/ctrlProp565.xml"/><Relationship Id="rId49" Type="http://schemas.openxmlformats.org/officeDocument/2006/relationships/ctrlProp" Target="../ctrlProps/ctrlProp578.xml"/><Relationship Id="rId57" Type="http://schemas.openxmlformats.org/officeDocument/2006/relationships/ctrlProp" Target="../ctrlProps/ctrlProp586.xml"/><Relationship Id="rId61" Type="http://schemas.openxmlformats.org/officeDocument/2006/relationships/ctrlProp" Target="../ctrlProps/ctrlProp590.xml"/><Relationship Id="rId10" Type="http://schemas.openxmlformats.org/officeDocument/2006/relationships/ctrlProp" Target="../ctrlProps/ctrlProp539.xml"/><Relationship Id="rId19" Type="http://schemas.openxmlformats.org/officeDocument/2006/relationships/ctrlProp" Target="../ctrlProps/ctrlProp548.xml"/><Relationship Id="rId31" Type="http://schemas.openxmlformats.org/officeDocument/2006/relationships/ctrlProp" Target="../ctrlProps/ctrlProp560.xml"/><Relationship Id="rId44" Type="http://schemas.openxmlformats.org/officeDocument/2006/relationships/ctrlProp" Target="../ctrlProps/ctrlProp573.xml"/><Relationship Id="rId52" Type="http://schemas.openxmlformats.org/officeDocument/2006/relationships/ctrlProp" Target="../ctrlProps/ctrlProp581.xml"/><Relationship Id="rId60" Type="http://schemas.openxmlformats.org/officeDocument/2006/relationships/ctrlProp" Target="../ctrlProps/ctrlProp589.xml"/><Relationship Id="rId65" Type="http://schemas.openxmlformats.org/officeDocument/2006/relationships/ctrlProp" Target="../ctrlProps/ctrlProp594.xml"/><Relationship Id="rId4" Type="http://schemas.openxmlformats.org/officeDocument/2006/relationships/ctrlProp" Target="../ctrlProps/ctrlProp533.xml"/><Relationship Id="rId9" Type="http://schemas.openxmlformats.org/officeDocument/2006/relationships/ctrlProp" Target="../ctrlProps/ctrlProp538.xml"/><Relationship Id="rId14" Type="http://schemas.openxmlformats.org/officeDocument/2006/relationships/ctrlProp" Target="../ctrlProps/ctrlProp543.xml"/><Relationship Id="rId22" Type="http://schemas.openxmlformats.org/officeDocument/2006/relationships/ctrlProp" Target="../ctrlProps/ctrlProp551.xml"/><Relationship Id="rId27" Type="http://schemas.openxmlformats.org/officeDocument/2006/relationships/ctrlProp" Target="../ctrlProps/ctrlProp556.xml"/><Relationship Id="rId30" Type="http://schemas.openxmlformats.org/officeDocument/2006/relationships/ctrlProp" Target="../ctrlProps/ctrlProp559.xml"/><Relationship Id="rId35" Type="http://schemas.openxmlformats.org/officeDocument/2006/relationships/ctrlProp" Target="../ctrlProps/ctrlProp564.xml"/><Relationship Id="rId43" Type="http://schemas.openxmlformats.org/officeDocument/2006/relationships/ctrlProp" Target="../ctrlProps/ctrlProp572.xml"/><Relationship Id="rId48" Type="http://schemas.openxmlformats.org/officeDocument/2006/relationships/ctrlProp" Target="../ctrlProps/ctrlProp577.xml"/><Relationship Id="rId56" Type="http://schemas.openxmlformats.org/officeDocument/2006/relationships/ctrlProp" Target="../ctrlProps/ctrlProp585.xml"/><Relationship Id="rId64" Type="http://schemas.openxmlformats.org/officeDocument/2006/relationships/ctrlProp" Target="../ctrlProps/ctrlProp593.xml"/><Relationship Id="rId69" Type="http://schemas.openxmlformats.org/officeDocument/2006/relationships/ctrlProp" Target="../ctrlProps/ctrlProp598.xml"/><Relationship Id="rId8" Type="http://schemas.openxmlformats.org/officeDocument/2006/relationships/ctrlProp" Target="../ctrlProps/ctrlProp537.xml"/><Relationship Id="rId51" Type="http://schemas.openxmlformats.org/officeDocument/2006/relationships/ctrlProp" Target="../ctrlProps/ctrlProp58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1.xml"/><Relationship Id="rId17" Type="http://schemas.openxmlformats.org/officeDocument/2006/relationships/ctrlProp" Target="../ctrlProps/ctrlProp546.xml"/><Relationship Id="rId25" Type="http://schemas.openxmlformats.org/officeDocument/2006/relationships/ctrlProp" Target="../ctrlProps/ctrlProp554.xml"/><Relationship Id="rId33" Type="http://schemas.openxmlformats.org/officeDocument/2006/relationships/ctrlProp" Target="../ctrlProps/ctrlProp562.xml"/><Relationship Id="rId38" Type="http://schemas.openxmlformats.org/officeDocument/2006/relationships/ctrlProp" Target="../ctrlProps/ctrlProp567.xml"/><Relationship Id="rId46" Type="http://schemas.openxmlformats.org/officeDocument/2006/relationships/ctrlProp" Target="../ctrlProps/ctrlProp575.xml"/><Relationship Id="rId59" Type="http://schemas.openxmlformats.org/officeDocument/2006/relationships/ctrlProp" Target="../ctrlProps/ctrlProp588.xml"/><Relationship Id="rId67" Type="http://schemas.openxmlformats.org/officeDocument/2006/relationships/ctrlProp" Target="../ctrlProps/ctrlProp596.xml"/><Relationship Id="rId20" Type="http://schemas.openxmlformats.org/officeDocument/2006/relationships/ctrlProp" Target="../ctrlProps/ctrlProp549.xml"/><Relationship Id="rId41" Type="http://schemas.openxmlformats.org/officeDocument/2006/relationships/ctrlProp" Target="../ctrlProps/ctrlProp570.xml"/><Relationship Id="rId54" Type="http://schemas.openxmlformats.org/officeDocument/2006/relationships/ctrlProp" Target="../ctrlProps/ctrlProp583.xml"/><Relationship Id="rId62" Type="http://schemas.openxmlformats.org/officeDocument/2006/relationships/ctrlProp" Target="../ctrlProps/ctrlProp591.xml"/><Relationship Id="rId70" Type="http://schemas.openxmlformats.org/officeDocument/2006/relationships/ctrlProp" Target="../ctrlProps/ctrlProp59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2.xml"/><Relationship Id="rId117" Type="http://schemas.openxmlformats.org/officeDocument/2006/relationships/ctrlProp" Target="../ctrlProps/ctrlProp713.xml"/><Relationship Id="rId21" Type="http://schemas.openxmlformats.org/officeDocument/2006/relationships/ctrlProp" Target="../ctrlProps/ctrlProp617.xml"/><Relationship Id="rId42" Type="http://schemas.openxmlformats.org/officeDocument/2006/relationships/ctrlProp" Target="../ctrlProps/ctrlProp638.xml"/><Relationship Id="rId47" Type="http://schemas.openxmlformats.org/officeDocument/2006/relationships/ctrlProp" Target="../ctrlProps/ctrlProp643.xml"/><Relationship Id="rId63" Type="http://schemas.openxmlformats.org/officeDocument/2006/relationships/ctrlProp" Target="../ctrlProps/ctrlProp659.xml"/><Relationship Id="rId68" Type="http://schemas.openxmlformats.org/officeDocument/2006/relationships/ctrlProp" Target="../ctrlProps/ctrlProp664.xml"/><Relationship Id="rId84" Type="http://schemas.openxmlformats.org/officeDocument/2006/relationships/ctrlProp" Target="../ctrlProps/ctrlProp680.xml"/><Relationship Id="rId89" Type="http://schemas.openxmlformats.org/officeDocument/2006/relationships/ctrlProp" Target="../ctrlProps/ctrlProp685.xml"/><Relationship Id="rId112" Type="http://schemas.openxmlformats.org/officeDocument/2006/relationships/ctrlProp" Target="../ctrlProps/ctrlProp708.xml"/><Relationship Id="rId16" Type="http://schemas.openxmlformats.org/officeDocument/2006/relationships/ctrlProp" Target="../ctrlProps/ctrlProp612.xml"/><Relationship Id="rId107" Type="http://schemas.openxmlformats.org/officeDocument/2006/relationships/ctrlProp" Target="../ctrlProps/ctrlProp703.xml"/><Relationship Id="rId11" Type="http://schemas.openxmlformats.org/officeDocument/2006/relationships/ctrlProp" Target="../ctrlProps/ctrlProp607.xml"/><Relationship Id="rId32" Type="http://schemas.openxmlformats.org/officeDocument/2006/relationships/ctrlProp" Target="../ctrlProps/ctrlProp628.xml"/><Relationship Id="rId37" Type="http://schemas.openxmlformats.org/officeDocument/2006/relationships/ctrlProp" Target="../ctrlProps/ctrlProp633.xml"/><Relationship Id="rId53" Type="http://schemas.openxmlformats.org/officeDocument/2006/relationships/ctrlProp" Target="../ctrlProps/ctrlProp649.xml"/><Relationship Id="rId58" Type="http://schemas.openxmlformats.org/officeDocument/2006/relationships/ctrlProp" Target="../ctrlProps/ctrlProp654.xml"/><Relationship Id="rId74" Type="http://schemas.openxmlformats.org/officeDocument/2006/relationships/ctrlProp" Target="../ctrlProps/ctrlProp670.xml"/><Relationship Id="rId79" Type="http://schemas.openxmlformats.org/officeDocument/2006/relationships/ctrlProp" Target="../ctrlProps/ctrlProp675.xml"/><Relationship Id="rId102" Type="http://schemas.openxmlformats.org/officeDocument/2006/relationships/ctrlProp" Target="../ctrlProps/ctrlProp698.xml"/><Relationship Id="rId123" Type="http://schemas.openxmlformats.org/officeDocument/2006/relationships/ctrlProp" Target="../ctrlProps/ctrlProp719.xml"/><Relationship Id="rId128" Type="http://schemas.openxmlformats.org/officeDocument/2006/relationships/ctrlProp" Target="../ctrlProps/ctrlProp724.xml"/><Relationship Id="rId5" Type="http://schemas.openxmlformats.org/officeDocument/2006/relationships/ctrlProp" Target="../ctrlProps/ctrlProp601.xml"/><Relationship Id="rId90" Type="http://schemas.openxmlformats.org/officeDocument/2006/relationships/ctrlProp" Target="../ctrlProps/ctrlProp686.xml"/><Relationship Id="rId95" Type="http://schemas.openxmlformats.org/officeDocument/2006/relationships/ctrlProp" Target="../ctrlProps/ctrlProp691.xml"/><Relationship Id="rId19" Type="http://schemas.openxmlformats.org/officeDocument/2006/relationships/ctrlProp" Target="../ctrlProps/ctrlProp615.xml"/><Relationship Id="rId14" Type="http://schemas.openxmlformats.org/officeDocument/2006/relationships/ctrlProp" Target="../ctrlProps/ctrlProp610.xml"/><Relationship Id="rId22" Type="http://schemas.openxmlformats.org/officeDocument/2006/relationships/ctrlProp" Target="../ctrlProps/ctrlProp618.xml"/><Relationship Id="rId27" Type="http://schemas.openxmlformats.org/officeDocument/2006/relationships/ctrlProp" Target="../ctrlProps/ctrlProp623.xml"/><Relationship Id="rId30" Type="http://schemas.openxmlformats.org/officeDocument/2006/relationships/ctrlProp" Target="../ctrlProps/ctrlProp626.xml"/><Relationship Id="rId35" Type="http://schemas.openxmlformats.org/officeDocument/2006/relationships/ctrlProp" Target="../ctrlProps/ctrlProp631.xml"/><Relationship Id="rId43" Type="http://schemas.openxmlformats.org/officeDocument/2006/relationships/ctrlProp" Target="../ctrlProps/ctrlProp639.xml"/><Relationship Id="rId48" Type="http://schemas.openxmlformats.org/officeDocument/2006/relationships/ctrlProp" Target="../ctrlProps/ctrlProp644.xml"/><Relationship Id="rId56" Type="http://schemas.openxmlformats.org/officeDocument/2006/relationships/ctrlProp" Target="../ctrlProps/ctrlProp652.xml"/><Relationship Id="rId64" Type="http://schemas.openxmlformats.org/officeDocument/2006/relationships/ctrlProp" Target="../ctrlProps/ctrlProp660.xml"/><Relationship Id="rId69" Type="http://schemas.openxmlformats.org/officeDocument/2006/relationships/ctrlProp" Target="../ctrlProps/ctrlProp665.xml"/><Relationship Id="rId77" Type="http://schemas.openxmlformats.org/officeDocument/2006/relationships/ctrlProp" Target="../ctrlProps/ctrlProp673.xml"/><Relationship Id="rId100" Type="http://schemas.openxmlformats.org/officeDocument/2006/relationships/ctrlProp" Target="../ctrlProps/ctrlProp696.xml"/><Relationship Id="rId105" Type="http://schemas.openxmlformats.org/officeDocument/2006/relationships/ctrlProp" Target="../ctrlProps/ctrlProp701.xml"/><Relationship Id="rId113" Type="http://schemas.openxmlformats.org/officeDocument/2006/relationships/ctrlProp" Target="../ctrlProps/ctrlProp709.xml"/><Relationship Id="rId118" Type="http://schemas.openxmlformats.org/officeDocument/2006/relationships/ctrlProp" Target="../ctrlProps/ctrlProp714.xml"/><Relationship Id="rId126" Type="http://schemas.openxmlformats.org/officeDocument/2006/relationships/ctrlProp" Target="../ctrlProps/ctrlProp722.xml"/><Relationship Id="rId8" Type="http://schemas.openxmlformats.org/officeDocument/2006/relationships/ctrlProp" Target="../ctrlProps/ctrlProp604.xml"/><Relationship Id="rId51" Type="http://schemas.openxmlformats.org/officeDocument/2006/relationships/ctrlProp" Target="../ctrlProps/ctrlProp647.xml"/><Relationship Id="rId72" Type="http://schemas.openxmlformats.org/officeDocument/2006/relationships/ctrlProp" Target="../ctrlProps/ctrlProp668.xml"/><Relationship Id="rId80" Type="http://schemas.openxmlformats.org/officeDocument/2006/relationships/ctrlProp" Target="../ctrlProps/ctrlProp676.xml"/><Relationship Id="rId85" Type="http://schemas.openxmlformats.org/officeDocument/2006/relationships/ctrlProp" Target="../ctrlProps/ctrlProp681.xml"/><Relationship Id="rId93" Type="http://schemas.openxmlformats.org/officeDocument/2006/relationships/ctrlProp" Target="../ctrlProps/ctrlProp689.xml"/><Relationship Id="rId98" Type="http://schemas.openxmlformats.org/officeDocument/2006/relationships/ctrlProp" Target="../ctrlProps/ctrlProp694.xml"/><Relationship Id="rId121" Type="http://schemas.openxmlformats.org/officeDocument/2006/relationships/ctrlProp" Target="../ctrlProps/ctrlProp717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08.xml"/><Relationship Id="rId17" Type="http://schemas.openxmlformats.org/officeDocument/2006/relationships/ctrlProp" Target="../ctrlProps/ctrlProp613.xml"/><Relationship Id="rId25" Type="http://schemas.openxmlformats.org/officeDocument/2006/relationships/ctrlProp" Target="../ctrlProps/ctrlProp621.xml"/><Relationship Id="rId33" Type="http://schemas.openxmlformats.org/officeDocument/2006/relationships/ctrlProp" Target="../ctrlProps/ctrlProp629.xml"/><Relationship Id="rId38" Type="http://schemas.openxmlformats.org/officeDocument/2006/relationships/ctrlProp" Target="../ctrlProps/ctrlProp634.xml"/><Relationship Id="rId46" Type="http://schemas.openxmlformats.org/officeDocument/2006/relationships/ctrlProp" Target="../ctrlProps/ctrlProp642.xml"/><Relationship Id="rId59" Type="http://schemas.openxmlformats.org/officeDocument/2006/relationships/ctrlProp" Target="../ctrlProps/ctrlProp655.xml"/><Relationship Id="rId67" Type="http://schemas.openxmlformats.org/officeDocument/2006/relationships/ctrlProp" Target="../ctrlProps/ctrlProp663.xml"/><Relationship Id="rId103" Type="http://schemas.openxmlformats.org/officeDocument/2006/relationships/ctrlProp" Target="../ctrlProps/ctrlProp699.xml"/><Relationship Id="rId108" Type="http://schemas.openxmlformats.org/officeDocument/2006/relationships/ctrlProp" Target="../ctrlProps/ctrlProp704.xml"/><Relationship Id="rId116" Type="http://schemas.openxmlformats.org/officeDocument/2006/relationships/ctrlProp" Target="../ctrlProps/ctrlProp712.xml"/><Relationship Id="rId124" Type="http://schemas.openxmlformats.org/officeDocument/2006/relationships/ctrlProp" Target="../ctrlProps/ctrlProp720.xml"/><Relationship Id="rId129" Type="http://schemas.openxmlformats.org/officeDocument/2006/relationships/ctrlProp" Target="../ctrlProps/ctrlProp725.xml"/><Relationship Id="rId20" Type="http://schemas.openxmlformats.org/officeDocument/2006/relationships/ctrlProp" Target="../ctrlProps/ctrlProp616.xml"/><Relationship Id="rId41" Type="http://schemas.openxmlformats.org/officeDocument/2006/relationships/ctrlProp" Target="../ctrlProps/ctrlProp637.xml"/><Relationship Id="rId54" Type="http://schemas.openxmlformats.org/officeDocument/2006/relationships/ctrlProp" Target="../ctrlProps/ctrlProp650.xml"/><Relationship Id="rId62" Type="http://schemas.openxmlformats.org/officeDocument/2006/relationships/ctrlProp" Target="../ctrlProps/ctrlProp658.xml"/><Relationship Id="rId70" Type="http://schemas.openxmlformats.org/officeDocument/2006/relationships/ctrlProp" Target="../ctrlProps/ctrlProp666.xml"/><Relationship Id="rId75" Type="http://schemas.openxmlformats.org/officeDocument/2006/relationships/ctrlProp" Target="../ctrlProps/ctrlProp671.xml"/><Relationship Id="rId83" Type="http://schemas.openxmlformats.org/officeDocument/2006/relationships/ctrlProp" Target="../ctrlProps/ctrlProp679.xml"/><Relationship Id="rId88" Type="http://schemas.openxmlformats.org/officeDocument/2006/relationships/ctrlProp" Target="../ctrlProps/ctrlProp684.xml"/><Relationship Id="rId91" Type="http://schemas.openxmlformats.org/officeDocument/2006/relationships/ctrlProp" Target="../ctrlProps/ctrlProp687.xml"/><Relationship Id="rId96" Type="http://schemas.openxmlformats.org/officeDocument/2006/relationships/ctrlProp" Target="../ctrlProps/ctrlProp692.xml"/><Relationship Id="rId111" Type="http://schemas.openxmlformats.org/officeDocument/2006/relationships/ctrlProp" Target="../ctrlProps/ctrlProp707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02.xml"/><Relationship Id="rId15" Type="http://schemas.openxmlformats.org/officeDocument/2006/relationships/ctrlProp" Target="../ctrlProps/ctrlProp611.xml"/><Relationship Id="rId23" Type="http://schemas.openxmlformats.org/officeDocument/2006/relationships/ctrlProp" Target="../ctrlProps/ctrlProp619.xml"/><Relationship Id="rId28" Type="http://schemas.openxmlformats.org/officeDocument/2006/relationships/ctrlProp" Target="../ctrlProps/ctrlProp624.xml"/><Relationship Id="rId36" Type="http://schemas.openxmlformats.org/officeDocument/2006/relationships/ctrlProp" Target="../ctrlProps/ctrlProp632.xml"/><Relationship Id="rId49" Type="http://schemas.openxmlformats.org/officeDocument/2006/relationships/ctrlProp" Target="../ctrlProps/ctrlProp645.xml"/><Relationship Id="rId57" Type="http://schemas.openxmlformats.org/officeDocument/2006/relationships/ctrlProp" Target="../ctrlProps/ctrlProp653.xml"/><Relationship Id="rId106" Type="http://schemas.openxmlformats.org/officeDocument/2006/relationships/ctrlProp" Target="../ctrlProps/ctrlProp702.xml"/><Relationship Id="rId114" Type="http://schemas.openxmlformats.org/officeDocument/2006/relationships/ctrlProp" Target="../ctrlProps/ctrlProp710.xml"/><Relationship Id="rId119" Type="http://schemas.openxmlformats.org/officeDocument/2006/relationships/ctrlProp" Target="../ctrlProps/ctrlProp715.xml"/><Relationship Id="rId127" Type="http://schemas.openxmlformats.org/officeDocument/2006/relationships/ctrlProp" Target="../ctrlProps/ctrlProp723.xml"/><Relationship Id="rId10" Type="http://schemas.openxmlformats.org/officeDocument/2006/relationships/ctrlProp" Target="../ctrlProps/ctrlProp606.xml"/><Relationship Id="rId31" Type="http://schemas.openxmlformats.org/officeDocument/2006/relationships/ctrlProp" Target="../ctrlProps/ctrlProp627.xml"/><Relationship Id="rId44" Type="http://schemas.openxmlformats.org/officeDocument/2006/relationships/ctrlProp" Target="../ctrlProps/ctrlProp640.xml"/><Relationship Id="rId52" Type="http://schemas.openxmlformats.org/officeDocument/2006/relationships/ctrlProp" Target="../ctrlProps/ctrlProp648.xml"/><Relationship Id="rId60" Type="http://schemas.openxmlformats.org/officeDocument/2006/relationships/ctrlProp" Target="../ctrlProps/ctrlProp656.xml"/><Relationship Id="rId65" Type="http://schemas.openxmlformats.org/officeDocument/2006/relationships/ctrlProp" Target="../ctrlProps/ctrlProp661.xml"/><Relationship Id="rId73" Type="http://schemas.openxmlformats.org/officeDocument/2006/relationships/ctrlProp" Target="../ctrlProps/ctrlProp669.xml"/><Relationship Id="rId78" Type="http://schemas.openxmlformats.org/officeDocument/2006/relationships/ctrlProp" Target="../ctrlProps/ctrlProp674.xml"/><Relationship Id="rId81" Type="http://schemas.openxmlformats.org/officeDocument/2006/relationships/ctrlProp" Target="../ctrlProps/ctrlProp677.xml"/><Relationship Id="rId86" Type="http://schemas.openxmlformats.org/officeDocument/2006/relationships/ctrlProp" Target="../ctrlProps/ctrlProp682.xml"/><Relationship Id="rId94" Type="http://schemas.openxmlformats.org/officeDocument/2006/relationships/ctrlProp" Target="../ctrlProps/ctrlProp690.xml"/><Relationship Id="rId99" Type="http://schemas.openxmlformats.org/officeDocument/2006/relationships/ctrlProp" Target="../ctrlProps/ctrlProp695.xml"/><Relationship Id="rId101" Type="http://schemas.openxmlformats.org/officeDocument/2006/relationships/ctrlProp" Target="../ctrlProps/ctrlProp697.xml"/><Relationship Id="rId122" Type="http://schemas.openxmlformats.org/officeDocument/2006/relationships/ctrlProp" Target="../ctrlProps/ctrlProp718.xml"/><Relationship Id="rId130" Type="http://schemas.openxmlformats.org/officeDocument/2006/relationships/ctrlProp" Target="../ctrlProps/ctrlProp726.xml"/><Relationship Id="rId4" Type="http://schemas.openxmlformats.org/officeDocument/2006/relationships/ctrlProp" Target="../ctrlProps/ctrlProp600.xml"/><Relationship Id="rId9" Type="http://schemas.openxmlformats.org/officeDocument/2006/relationships/ctrlProp" Target="../ctrlProps/ctrlProp605.xml"/><Relationship Id="rId13" Type="http://schemas.openxmlformats.org/officeDocument/2006/relationships/ctrlProp" Target="../ctrlProps/ctrlProp609.xml"/><Relationship Id="rId18" Type="http://schemas.openxmlformats.org/officeDocument/2006/relationships/ctrlProp" Target="../ctrlProps/ctrlProp614.xml"/><Relationship Id="rId39" Type="http://schemas.openxmlformats.org/officeDocument/2006/relationships/ctrlProp" Target="../ctrlProps/ctrlProp635.xml"/><Relationship Id="rId109" Type="http://schemas.openxmlformats.org/officeDocument/2006/relationships/ctrlProp" Target="../ctrlProps/ctrlProp705.xml"/><Relationship Id="rId34" Type="http://schemas.openxmlformats.org/officeDocument/2006/relationships/ctrlProp" Target="../ctrlProps/ctrlProp630.xml"/><Relationship Id="rId50" Type="http://schemas.openxmlformats.org/officeDocument/2006/relationships/ctrlProp" Target="../ctrlProps/ctrlProp646.xml"/><Relationship Id="rId55" Type="http://schemas.openxmlformats.org/officeDocument/2006/relationships/ctrlProp" Target="../ctrlProps/ctrlProp651.xml"/><Relationship Id="rId76" Type="http://schemas.openxmlformats.org/officeDocument/2006/relationships/ctrlProp" Target="../ctrlProps/ctrlProp672.xml"/><Relationship Id="rId97" Type="http://schemas.openxmlformats.org/officeDocument/2006/relationships/ctrlProp" Target="../ctrlProps/ctrlProp693.xml"/><Relationship Id="rId104" Type="http://schemas.openxmlformats.org/officeDocument/2006/relationships/ctrlProp" Target="../ctrlProps/ctrlProp700.xml"/><Relationship Id="rId120" Type="http://schemas.openxmlformats.org/officeDocument/2006/relationships/ctrlProp" Target="../ctrlProps/ctrlProp716.xml"/><Relationship Id="rId125" Type="http://schemas.openxmlformats.org/officeDocument/2006/relationships/ctrlProp" Target="../ctrlProps/ctrlProp721.xml"/><Relationship Id="rId7" Type="http://schemas.openxmlformats.org/officeDocument/2006/relationships/ctrlProp" Target="../ctrlProps/ctrlProp603.xml"/><Relationship Id="rId71" Type="http://schemas.openxmlformats.org/officeDocument/2006/relationships/ctrlProp" Target="../ctrlProps/ctrlProp667.xml"/><Relationship Id="rId92" Type="http://schemas.openxmlformats.org/officeDocument/2006/relationships/ctrlProp" Target="../ctrlProps/ctrlProp688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5.xml"/><Relationship Id="rId24" Type="http://schemas.openxmlformats.org/officeDocument/2006/relationships/ctrlProp" Target="../ctrlProps/ctrlProp620.xml"/><Relationship Id="rId40" Type="http://schemas.openxmlformats.org/officeDocument/2006/relationships/ctrlProp" Target="../ctrlProps/ctrlProp636.xml"/><Relationship Id="rId45" Type="http://schemas.openxmlformats.org/officeDocument/2006/relationships/ctrlProp" Target="../ctrlProps/ctrlProp641.xml"/><Relationship Id="rId66" Type="http://schemas.openxmlformats.org/officeDocument/2006/relationships/ctrlProp" Target="../ctrlProps/ctrlProp662.xml"/><Relationship Id="rId87" Type="http://schemas.openxmlformats.org/officeDocument/2006/relationships/ctrlProp" Target="../ctrlProps/ctrlProp683.xml"/><Relationship Id="rId110" Type="http://schemas.openxmlformats.org/officeDocument/2006/relationships/ctrlProp" Target="../ctrlProps/ctrlProp706.xml"/><Relationship Id="rId115" Type="http://schemas.openxmlformats.org/officeDocument/2006/relationships/ctrlProp" Target="../ctrlProps/ctrlProp711.xml"/><Relationship Id="rId131" Type="http://schemas.openxmlformats.org/officeDocument/2006/relationships/ctrlProp" Target="../ctrlProps/ctrlProp727.xml"/><Relationship Id="rId61" Type="http://schemas.openxmlformats.org/officeDocument/2006/relationships/ctrlProp" Target="../ctrlProps/ctrlProp657.xml"/><Relationship Id="rId82" Type="http://schemas.openxmlformats.org/officeDocument/2006/relationships/ctrlProp" Target="../ctrlProps/ctrlProp67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0.xml"/><Relationship Id="rId117" Type="http://schemas.openxmlformats.org/officeDocument/2006/relationships/ctrlProp" Target="../ctrlProps/ctrlProp841.xml"/><Relationship Id="rId21" Type="http://schemas.openxmlformats.org/officeDocument/2006/relationships/ctrlProp" Target="../ctrlProps/ctrlProp745.xml"/><Relationship Id="rId42" Type="http://schemas.openxmlformats.org/officeDocument/2006/relationships/ctrlProp" Target="../ctrlProps/ctrlProp766.xml"/><Relationship Id="rId47" Type="http://schemas.openxmlformats.org/officeDocument/2006/relationships/ctrlProp" Target="../ctrlProps/ctrlProp771.xml"/><Relationship Id="rId63" Type="http://schemas.openxmlformats.org/officeDocument/2006/relationships/ctrlProp" Target="../ctrlProps/ctrlProp787.xml"/><Relationship Id="rId68" Type="http://schemas.openxmlformats.org/officeDocument/2006/relationships/ctrlProp" Target="../ctrlProps/ctrlProp792.xml"/><Relationship Id="rId84" Type="http://schemas.openxmlformats.org/officeDocument/2006/relationships/ctrlProp" Target="../ctrlProps/ctrlProp808.xml"/><Relationship Id="rId89" Type="http://schemas.openxmlformats.org/officeDocument/2006/relationships/ctrlProp" Target="../ctrlProps/ctrlProp813.xml"/><Relationship Id="rId112" Type="http://schemas.openxmlformats.org/officeDocument/2006/relationships/ctrlProp" Target="../ctrlProps/ctrlProp836.xml"/><Relationship Id="rId133" Type="http://schemas.openxmlformats.org/officeDocument/2006/relationships/ctrlProp" Target="../ctrlProps/ctrlProp857.xml"/><Relationship Id="rId138" Type="http://schemas.openxmlformats.org/officeDocument/2006/relationships/ctrlProp" Target="../ctrlProps/ctrlProp862.xml"/><Relationship Id="rId16" Type="http://schemas.openxmlformats.org/officeDocument/2006/relationships/ctrlProp" Target="../ctrlProps/ctrlProp740.xml"/><Relationship Id="rId107" Type="http://schemas.openxmlformats.org/officeDocument/2006/relationships/ctrlProp" Target="../ctrlProps/ctrlProp831.xml"/><Relationship Id="rId11" Type="http://schemas.openxmlformats.org/officeDocument/2006/relationships/ctrlProp" Target="../ctrlProps/ctrlProp735.xml"/><Relationship Id="rId32" Type="http://schemas.openxmlformats.org/officeDocument/2006/relationships/ctrlProp" Target="../ctrlProps/ctrlProp756.xml"/><Relationship Id="rId37" Type="http://schemas.openxmlformats.org/officeDocument/2006/relationships/ctrlProp" Target="../ctrlProps/ctrlProp761.xml"/><Relationship Id="rId53" Type="http://schemas.openxmlformats.org/officeDocument/2006/relationships/ctrlProp" Target="../ctrlProps/ctrlProp777.xml"/><Relationship Id="rId58" Type="http://schemas.openxmlformats.org/officeDocument/2006/relationships/ctrlProp" Target="../ctrlProps/ctrlProp782.xml"/><Relationship Id="rId74" Type="http://schemas.openxmlformats.org/officeDocument/2006/relationships/ctrlProp" Target="../ctrlProps/ctrlProp798.xml"/><Relationship Id="rId79" Type="http://schemas.openxmlformats.org/officeDocument/2006/relationships/ctrlProp" Target="../ctrlProps/ctrlProp803.xml"/><Relationship Id="rId102" Type="http://schemas.openxmlformats.org/officeDocument/2006/relationships/ctrlProp" Target="../ctrlProps/ctrlProp826.xml"/><Relationship Id="rId123" Type="http://schemas.openxmlformats.org/officeDocument/2006/relationships/ctrlProp" Target="../ctrlProps/ctrlProp847.xml"/><Relationship Id="rId128" Type="http://schemas.openxmlformats.org/officeDocument/2006/relationships/ctrlProp" Target="../ctrlProps/ctrlProp852.xml"/><Relationship Id="rId144" Type="http://schemas.openxmlformats.org/officeDocument/2006/relationships/ctrlProp" Target="../ctrlProps/ctrlProp868.xml"/><Relationship Id="rId5" Type="http://schemas.openxmlformats.org/officeDocument/2006/relationships/ctrlProp" Target="../ctrlProps/ctrlProp729.xml"/><Relationship Id="rId90" Type="http://schemas.openxmlformats.org/officeDocument/2006/relationships/ctrlProp" Target="../ctrlProps/ctrlProp814.xml"/><Relationship Id="rId95" Type="http://schemas.openxmlformats.org/officeDocument/2006/relationships/ctrlProp" Target="../ctrlProps/ctrlProp819.xml"/><Relationship Id="rId22" Type="http://schemas.openxmlformats.org/officeDocument/2006/relationships/ctrlProp" Target="../ctrlProps/ctrlProp746.xml"/><Relationship Id="rId27" Type="http://schemas.openxmlformats.org/officeDocument/2006/relationships/ctrlProp" Target="../ctrlProps/ctrlProp751.xml"/><Relationship Id="rId43" Type="http://schemas.openxmlformats.org/officeDocument/2006/relationships/ctrlProp" Target="../ctrlProps/ctrlProp767.xml"/><Relationship Id="rId48" Type="http://schemas.openxmlformats.org/officeDocument/2006/relationships/ctrlProp" Target="../ctrlProps/ctrlProp772.xml"/><Relationship Id="rId64" Type="http://schemas.openxmlformats.org/officeDocument/2006/relationships/ctrlProp" Target="../ctrlProps/ctrlProp788.xml"/><Relationship Id="rId69" Type="http://schemas.openxmlformats.org/officeDocument/2006/relationships/ctrlProp" Target="../ctrlProps/ctrlProp793.xml"/><Relationship Id="rId113" Type="http://schemas.openxmlformats.org/officeDocument/2006/relationships/ctrlProp" Target="../ctrlProps/ctrlProp837.xml"/><Relationship Id="rId118" Type="http://schemas.openxmlformats.org/officeDocument/2006/relationships/ctrlProp" Target="../ctrlProps/ctrlProp842.xml"/><Relationship Id="rId134" Type="http://schemas.openxmlformats.org/officeDocument/2006/relationships/ctrlProp" Target="../ctrlProps/ctrlProp858.xml"/><Relationship Id="rId139" Type="http://schemas.openxmlformats.org/officeDocument/2006/relationships/ctrlProp" Target="../ctrlProps/ctrlProp863.xml"/><Relationship Id="rId80" Type="http://schemas.openxmlformats.org/officeDocument/2006/relationships/ctrlProp" Target="../ctrlProps/ctrlProp804.xml"/><Relationship Id="rId85" Type="http://schemas.openxmlformats.org/officeDocument/2006/relationships/ctrlProp" Target="../ctrlProps/ctrlProp80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36.xml"/><Relationship Id="rId17" Type="http://schemas.openxmlformats.org/officeDocument/2006/relationships/ctrlProp" Target="../ctrlProps/ctrlProp741.xml"/><Relationship Id="rId25" Type="http://schemas.openxmlformats.org/officeDocument/2006/relationships/ctrlProp" Target="../ctrlProps/ctrlProp749.xml"/><Relationship Id="rId33" Type="http://schemas.openxmlformats.org/officeDocument/2006/relationships/ctrlProp" Target="../ctrlProps/ctrlProp757.xml"/><Relationship Id="rId38" Type="http://schemas.openxmlformats.org/officeDocument/2006/relationships/ctrlProp" Target="../ctrlProps/ctrlProp762.xml"/><Relationship Id="rId46" Type="http://schemas.openxmlformats.org/officeDocument/2006/relationships/ctrlProp" Target="../ctrlProps/ctrlProp770.xml"/><Relationship Id="rId59" Type="http://schemas.openxmlformats.org/officeDocument/2006/relationships/ctrlProp" Target="../ctrlProps/ctrlProp783.xml"/><Relationship Id="rId67" Type="http://schemas.openxmlformats.org/officeDocument/2006/relationships/ctrlProp" Target="../ctrlProps/ctrlProp791.xml"/><Relationship Id="rId103" Type="http://schemas.openxmlformats.org/officeDocument/2006/relationships/ctrlProp" Target="../ctrlProps/ctrlProp827.xml"/><Relationship Id="rId108" Type="http://schemas.openxmlformats.org/officeDocument/2006/relationships/ctrlProp" Target="../ctrlProps/ctrlProp832.xml"/><Relationship Id="rId116" Type="http://schemas.openxmlformats.org/officeDocument/2006/relationships/ctrlProp" Target="../ctrlProps/ctrlProp840.xml"/><Relationship Id="rId124" Type="http://schemas.openxmlformats.org/officeDocument/2006/relationships/ctrlProp" Target="../ctrlProps/ctrlProp848.xml"/><Relationship Id="rId129" Type="http://schemas.openxmlformats.org/officeDocument/2006/relationships/ctrlProp" Target="../ctrlProps/ctrlProp853.xml"/><Relationship Id="rId137" Type="http://schemas.openxmlformats.org/officeDocument/2006/relationships/ctrlProp" Target="../ctrlProps/ctrlProp861.xml"/><Relationship Id="rId20" Type="http://schemas.openxmlformats.org/officeDocument/2006/relationships/ctrlProp" Target="../ctrlProps/ctrlProp744.xml"/><Relationship Id="rId41" Type="http://schemas.openxmlformats.org/officeDocument/2006/relationships/ctrlProp" Target="../ctrlProps/ctrlProp765.xml"/><Relationship Id="rId54" Type="http://schemas.openxmlformats.org/officeDocument/2006/relationships/ctrlProp" Target="../ctrlProps/ctrlProp778.xml"/><Relationship Id="rId62" Type="http://schemas.openxmlformats.org/officeDocument/2006/relationships/ctrlProp" Target="../ctrlProps/ctrlProp786.xml"/><Relationship Id="rId70" Type="http://schemas.openxmlformats.org/officeDocument/2006/relationships/ctrlProp" Target="../ctrlProps/ctrlProp794.xml"/><Relationship Id="rId75" Type="http://schemas.openxmlformats.org/officeDocument/2006/relationships/ctrlProp" Target="../ctrlProps/ctrlProp799.xml"/><Relationship Id="rId83" Type="http://schemas.openxmlformats.org/officeDocument/2006/relationships/ctrlProp" Target="../ctrlProps/ctrlProp807.xml"/><Relationship Id="rId88" Type="http://schemas.openxmlformats.org/officeDocument/2006/relationships/ctrlProp" Target="../ctrlProps/ctrlProp812.xml"/><Relationship Id="rId91" Type="http://schemas.openxmlformats.org/officeDocument/2006/relationships/ctrlProp" Target="../ctrlProps/ctrlProp815.xml"/><Relationship Id="rId96" Type="http://schemas.openxmlformats.org/officeDocument/2006/relationships/ctrlProp" Target="../ctrlProps/ctrlProp820.xml"/><Relationship Id="rId111" Type="http://schemas.openxmlformats.org/officeDocument/2006/relationships/ctrlProp" Target="../ctrlProps/ctrlProp835.xml"/><Relationship Id="rId132" Type="http://schemas.openxmlformats.org/officeDocument/2006/relationships/ctrlProp" Target="../ctrlProps/ctrlProp856.xml"/><Relationship Id="rId140" Type="http://schemas.openxmlformats.org/officeDocument/2006/relationships/ctrlProp" Target="../ctrlProps/ctrlProp864.xml"/><Relationship Id="rId145" Type="http://schemas.openxmlformats.org/officeDocument/2006/relationships/ctrlProp" Target="../ctrlProps/ctrlProp869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30.xml"/><Relationship Id="rId15" Type="http://schemas.openxmlformats.org/officeDocument/2006/relationships/ctrlProp" Target="../ctrlProps/ctrlProp739.xml"/><Relationship Id="rId23" Type="http://schemas.openxmlformats.org/officeDocument/2006/relationships/ctrlProp" Target="../ctrlProps/ctrlProp747.xml"/><Relationship Id="rId28" Type="http://schemas.openxmlformats.org/officeDocument/2006/relationships/ctrlProp" Target="../ctrlProps/ctrlProp752.xml"/><Relationship Id="rId36" Type="http://schemas.openxmlformats.org/officeDocument/2006/relationships/ctrlProp" Target="../ctrlProps/ctrlProp760.xml"/><Relationship Id="rId49" Type="http://schemas.openxmlformats.org/officeDocument/2006/relationships/ctrlProp" Target="../ctrlProps/ctrlProp773.xml"/><Relationship Id="rId57" Type="http://schemas.openxmlformats.org/officeDocument/2006/relationships/ctrlProp" Target="../ctrlProps/ctrlProp781.xml"/><Relationship Id="rId106" Type="http://schemas.openxmlformats.org/officeDocument/2006/relationships/ctrlProp" Target="../ctrlProps/ctrlProp830.xml"/><Relationship Id="rId114" Type="http://schemas.openxmlformats.org/officeDocument/2006/relationships/ctrlProp" Target="../ctrlProps/ctrlProp838.xml"/><Relationship Id="rId119" Type="http://schemas.openxmlformats.org/officeDocument/2006/relationships/ctrlProp" Target="../ctrlProps/ctrlProp843.xml"/><Relationship Id="rId127" Type="http://schemas.openxmlformats.org/officeDocument/2006/relationships/ctrlProp" Target="../ctrlProps/ctrlProp851.xml"/><Relationship Id="rId10" Type="http://schemas.openxmlformats.org/officeDocument/2006/relationships/ctrlProp" Target="../ctrlProps/ctrlProp734.xml"/><Relationship Id="rId31" Type="http://schemas.openxmlformats.org/officeDocument/2006/relationships/ctrlProp" Target="../ctrlProps/ctrlProp755.xml"/><Relationship Id="rId44" Type="http://schemas.openxmlformats.org/officeDocument/2006/relationships/ctrlProp" Target="../ctrlProps/ctrlProp768.xml"/><Relationship Id="rId52" Type="http://schemas.openxmlformats.org/officeDocument/2006/relationships/ctrlProp" Target="../ctrlProps/ctrlProp776.xml"/><Relationship Id="rId60" Type="http://schemas.openxmlformats.org/officeDocument/2006/relationships/ctrlProp" Target="../ctrlProps/ctrlProp784.xml"/><Relationship Id="rId65" Type="http://schemas.openxmlformats.org/officeDocument/2006/relationships/ctrlProp" Target="../ctrlProps/ctrlProp789.xml"/><Relationship Id="rId73" Type="http://schemas.openxmlformats.org/officeDocument/2006/relationships/ctrlProp" Target="../ctrlProps/ctrlProp797.xml"/><Relationship Id="rId78" Type="http://schemas.openxmlformats.org/officeDocument/2006/relationships/ctrlProp" Target="../ctrlProps/ctrlProp802.xml"/><Relationship Id="rId81" Type="http://schemas.openxmlformats.org/officeDocument/2006/relationships/ctrlProp" Target="../ctrlProps/ctrlProp805.xml"/><Relationship Id="rId86" Type="http://schemas.openxmlformats.org/officeDocument/2006/relationships/ctrlProp" Target="../ctrlProps/ctrlProp810.xml"/><Relationship Id="rId94" Type="http://schemas.openxmlformats.org/officeDocument/2006/relationships/ctrlProp" Target="../ctrlProps/ctrlProp818.xml"/><Relationship Id="rId99" Type="http://schemas.openxmlformats.org/officeDocument/2006/relationships/ctrlProp" Target="../ctrlProps/ctrlProp823.xml"/><Relationship Id="rId101" Type="http://schemas.openxmlformats.org/officeDocument/2006/relationships/ctrlProp" Target="../ctrlProps/ctrlProp825.xml"/><Relationship Id="rId122" Type="http://schemas.openxmlformats.org/officeDocument/2006/relationships/ctrlProp" Target="../ctrlProps/ctrlProp846.xml"/><Relationship Id="rId130" Type="http://schemas.openxmlformats.org/officeDocument/2006/relationships/ctrlProp" Target="../ctrlProps/ctrlProp854.xml"/><Relationship Id="rId135" Type="http://schemas.openxmlformats.org/officeDocument/2006/relationships/ctrlProp" Target="../ctrlProps/ctrlProp859.xml"/><Relationship Id="rId143" Type="http://schemas.openxmlformats.org/officeDocument/2006/relationships/ctrlProp" Target="../ctrlProps/ctrlProp867.xml"/><Relationship Id="rId4" Type="http://schemas.openxmlformats.org/officeDocument/2006/relationships/ctrlProp" Target="../ctrlProps/ctrlProp728.xml"/><Relationship Id="rId9" Type="http://schemas.openxmlformats.org/officeDocument/2006/relationships/ctrlProp" Target="../ctrlProps/ctrlProp733.xml"/><Relationship Id="rId13" Type="http://schemas.openxmlformats.org/officeDocument/2006/relationships/ctrlProp" Target="../ctrlProps/ctrlProp737.xml"/><Relationship Id="rId18" Type="http://schemas.openxmlformats.org/officeDocument/2006/relationships/ctrlProp" Target="../ctrlProps/ctrlProp742.xml"/><Relationship Id="rId39" Type="http://schemas.openxmlformats.org/officeDocument/2006/relationships/ctrlProp" Target="../ctrlProps/ctrlProp763.xml"/><Relationship Id="rId109" Type="http://schemas.openxmlformats.org/officeDocument/2006/relationships/ctrlProp" Target="../ctrlProps/ctrlProp833.xml"/><Relationship Id="rId34" Type="http://schemas.openxmlformats.org/officeDocument/2006/relationships/ctrlProp" Target="../ctrlProps/ctrlProp758.xml"/><Relationship Id="rId50" Type="http://schemas.openxmlformats.org/officeDocument/2006/relationships/ctrlProp" Target="../ctrlProps/ctrlProp774.xml"/><Relationship Id="rId55" Type="http://schemas.openxmlformats.org/officeDocument/2006/relationships/ctrlProp" Target="../ctrlProps/ctrlProp779.xml"/><Relationship Id="rId76" Type="http://schemas.openxmlformats.org/officeDocument/2006/relationships/ctrlProp" Target="../ctrlProps/ctrlProp800.xml"/><Relationship Id="rId97" Type="http://schemas.openxmlformats.org/officeDocument/2006/relationships/ctrlProp" Target="../ctrlProps/ctrlProp821.xml"/><Relationship Id="rId104" Type="http://schemas.openxmlformats.org/officeDocument/2006/relationships/ctrlProp" Target="../ctrlProps/ctrlProp828.xml"/><Relationship Id="rId120" Type="http://schemas.openxmlformats.org/officeDocument/2006/relationships/ctrlProp" Target="../ctrlProps/ctrlProp844.xml"/><Relationship Id="rId125" Type="http://schemas.openxmlformats.org/officeDocument/2006/relationships/ctrlProp" Target="../ctrlProps/ctrlProp849.xml"/><Relationship Id="rId141" Type="http://schemas.openxmlformats.org/officeDocument/2006/relationships/ctrlProp" Target="../ctrlProps/ctrlProp865.xml"/><Relationship Id="rId146" Type="http://schemas.openxmlformats.org/officeDocument/2006/relationships/ctrlProp" Target="../ctrlProps/ctrlProp870.xml"/><Relationship Id="rId7" Type="http://schemas.openxmlformats.org/officeDocument/2006/relationships/ctrlProp" Target="../ctrlProps/ctrlProp731.xml"/><Relationship Id="rId71" Type="http://schemas.openxmlformats.org/officeDocument/2006/relationships/ctrlProp" Target="../ctrlProps/ctrlProp795.xml"/><Relationship Id="rId92" Type="http://schemas.openxmlformats.org/officeDocument/2006/relationships/ctrlProp" Target="../ctrlProps/ctrlProp816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3.xml"/><Relationship Id="rId24" Type="http://schemas.openxmlformats.org/officeDocument/2006/relationships/ctrlProp" Target="../ctrlProps/ctrlProp748.xml"/><Relationship Id="rId40" Type="http://schemas.openxmlformats.org/officeDocument/2006/relationships/ctrlProp" Target="../ctrlProps/ctrlProp764.xml"/><Relationship Id="rId45" Type="http://schemas.openxmlformats.org/officeDocument/2006/relationships/ctrlProp" Target="../ctrlProps/ctrlProp769.xml"/><Relationship Id="rId66" Type="http://schemas.openxmlformats.org/officeDocument/2006/relationships/ctrlProp" Target="../ctrlProps/ctrlProp790.xml"/><Relationship Id="rId87" Type="http://schemas.openxmlformats.org/officeDocument/2006/relationships/ctrlProp" Target="../ctrlProps/ctrlProp811.xml"/><Relationship Id="rId110" Type="http://schemas.openxmlformats.org/officeDocument/2006/relationships/ctrlProp" Target="../ctrlProps/ctrlProp834.xml"/><Relationship Id="rId115" Type="http://schemas.openxmlformats.org/officeDocument/2006/relationships/ctrlProp" Target="../ctrlProps/ctrlProp839.xml"/><Relationship Id="rId131" Type="http://schemas.openxmlformats.org/officeDocument/2006/relationships/ctrlProp" Target="../ctrlProps/ctrlProp855.xml"/><Relationship Id="rId136" Type="http://schemas.openxmlformats.org/officeDocument/2006/relationships/ctrlProp" Target="../ctrlProps/ctrlProp860.xml"/><Relationship Id="rId61" Type="http://schemas.openxmlformats.org/officeDocument/2006/relationships/ctrlProp" Target="../ctrlProps/ctrlProp785.xml"/><Relationship Id="rId82" Type="http://schemas.openxmlformats.org/officeDocument/2006/relationships/ctrlProp" Target="../ctrlProps/ctrlProp806.xml"/><Relationship Id="rId19" Type="http://schemas.openxmlformats.org/officeDocument/2006/relationships/ctrlProp" Target="../ctrlProps/ctrlProp743.xml"/><Relationship Id="rId14" Type="http://schemas.openxmlformats.org/officeDocument/2006/relationships/ctrlProp" Target="../ctrlProps/ctrlProp738.xml"/><Relationship Id="rId30" Type="http://schemas.openxmlformats.org/officeDocument/2006/relationships/ctrlProp" Target="../ctrlProps/ctrlProp754.xml"/><Relationship Id="rId35" Type="http://schemas.openxmlformats.org/officeDocument/2006/relationships/ctrlProp" Target="../ctrlProps/ctrlProp759.xml"/><Relationship Id="rId56" Type="http://schemas.openxmlformats.org/officeDocument/2006/relationships/ctrlProp" Target="../ctrlProps/ctrlProp780.xml"/><Relationship Id="rId77" Type="http://schemas.openxmlformats.org/officeDocument/2006/relationships/ctrlProp" Target="../ctrlProps/ctrlProp801.xml"/><Relationship Id="rId100" Type="http://schemas.openxmlformats.org/officeDocument/2006/relationships/ctrlProp" Target="../ctrlProps/ctrlProp824.xml"/><Relationship Id="rId105" Type="http://schemas.openxmlformats.org/officeDocument/2006/relationships/ctrlProp" Target="../ctrlProps/ctrlProp829.xml"/><Relationship Id="rId126" Type="http://schemas.openxmlformats.org/officeDocument/2006/relationships/ctrlProp" Target="../ctrlProps/ctrlProp850.xml"/><Relationship Id="rId8" Type="http://schemas.openxmlformats.org/officeDocument/2006/relationships/ctrlProp" Target="../ctrlProps/ctrlProp732.xml"/><Relationship Id="rId51" Type="http://schemas.openxmlformats.org/officeDocument/2006/relationships/ctrlProp" Target="../ctrlProps/ctrlProp775.xml"/><Relationship Id="rId72" Type="http://schemas.openxmlformats.org/officeDocument/2006/relationships/ctrlProp" Target="../ctrlProps/ctrlProp796.xml"/><Relationship Id="rId93" Type="http://schemas.openxmlformats.org/officeDocument/2006/relationships/ctrlProp" Target="../ctrlProps/ctrlProp817.xml"/><Relationship Id="rId98" Type="http://schemas.openxmlformats.org/officeDocument/2006/relationships/ctrlProp" Target="../ctrlProps/ctrlProp822.xml"/><Relationship Id="rId121" Type="http://schemas.openxmlformats.org/officeDocument/2006/relationships/ctrlProp" Target="../ctrlProps/ctrlProp845.xml"/><Relationship Id="rId142" Type="http://schemas.openxmlformats.org/officeDocument/2006/relationships/ctrlProp" Target="../ctrlProps/ctrlProp86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3.xml"/><Relationship Id="rId117" Type="http://schemas.openxmlformats.org/officeDocument/2006/relationships/ctrlProp" Target="../ctrlProps/ctrlProp984.xml"/><Relationship Id="rId21" Type="http://schemas.openxmlformats.org/officeDocument/2006/relationships/ctrlProp" Target="../ctrlProps/ctrlProp888.xml"/><Relationship Id="rId42" Type="http://schemas.openxmlformats.org/officeDocument/2006/relationships/ctrlProp" Target="../ctrlProps/ctrlProp909.xml"/><Relationship Id="rId47" Type="http://schemas.openxmlformats.org/officeDocument/2006/relationships/ctrlProp" Target="../ctrlProps/ctrlProp914.xml"/><Relationship Id="rId63" Type="http://schemas.openxmlformats.org/officeDocument/2006/relationships/ctrlProp" Target="../ctrlProps/ctrlProp930.xml"/><Relationship Id="rId68" Type="http://schemas.openxmlformats.org/officeDocument/2006/relationships/ctrlProp" Target="../ctrlProps/ctrlProp935.xml"/><Relationship Id="rId84" Type="http://schemas.openxmlformats.org/officeDocument/2006/relationships/ctrlProp" Target="../ctrlProps/ctrlProp951.xml"/><Relationship Id="rId89" Type="http://schemas.openxmlformats.org/officeDocument/2006/relationships/ctrlProp" Target="../ctrlProps/ctrlProp956.xml"/><Relationship Id="rId112" Type="http://schemas.openxmlformats.org/officeDocument/2006/relationships/ctrlProp" Target="../ctrlProps/ctrlProp979.xml"/><Relationship Id="rId16" Type="http://schemas.openxmlformats.org/officeDocument/2006/relationships/ctrlProp" Target="../ctrlProps/ctrlProp883.xml"/><Relationship Id="rId107" Type="http://schemas.openxmlformats.org/officeDocument/2006/relationships/ctrlProp" Target="../ctrlProps/ctrlProp974.xml"/><Relationship Id="rId11" Type="http://schemas.openxmlformats.org/officeDocument/2006/relationships/ctrlProp" Target="../ctrlProps/ctrlProp878.xml"/><Relationship Id="rId32" Type="http://schemas.openxmlformats.org/officeDocument/2006/relationships/ctrlProp" Target="../ctrlProps/ctrlProp899.xml"/><Relationship Id="rId37" Type="http://schemas.openxmlformats.org/officeDocument/2006/relationships/ctrlProp" Target="../ctrlProps/ctrlProp904.xml"/><Relationship Id="rId53" Type="http://schemas.openxmlformats.org/officeDocument/2006/relationships/ctrlProp" Target="../ctrlProps/ctrlProp920.xml"/><Relationship Id="rId58" Type="http://schemas.openxmlformats.org/officeDocument/2006/relationships/ctrlProp" Target="../ctrlProps/ctrlProp925.xml"/><Relationship Id="rId74" Type="http://schemas.openxmlformats.org/officeDocument/2006/relationships/ctrlProp" Target="../ctrlProps/ctrlProp941.xml"/><Relationship Id="rId79" Type="http://schemas.openxmlformats.org/officeDocument/2006/relationships/ctrlProp" Target="../ctrlProps/ctrlProp946.xml"/><Relationship Id="rId102" Type="http://schemas.openxmlformats.org/officeDocument/2006/relationships/ctrlProp" Target="../ctrlProps/ctrlProp969.xml"/><Relationship Id="rId123" Type="http://schemas.openxmlformats.org/officeDocument/2006/relationships/ctrlProp" Target="../ctrlProps/ctrlProp990.xml"/><Relationship Id="rId5" Type="http://schemas.openxmlformats.org/officeDocument/2006/relationships/ctrlProp" Target="../ctrlProps/ctrlProp872.xml"/><Relationship Id="rId61" Type="http://schemas.openxmlformats.org/officeDocument/2006/relationships/ctrlProp" Target="../ctrlProps/ctrlProp928.xml"/><Relationship Id="rId82" Type="http://schemas.openxmlformats.org/officeDocument/2006/relationships/ctrlProp" Target="../ctrlProps/ctrlProp949.xml"/><Relationship Id="rId90" Type="http://schemas.openxmlformats.org/officeDocument/2006/relationships/ctrlProp" Target="../ctrlProps/ctrlProp957.xml"/><Relationship Id="rId95" Type="http://schemas.openxmlformats.org/officeDocument/2006/relationships/ctrlProp" Target="../ctrlProps/ctrlProp962.xml"/><Relationship Id="rId19" Type="http://schemas.openxmlformats.org/officeDocument/2006/relationships/ctrlProp" Target="../ctrlProps/ctrlProp886.xml"/><Relationship Id="rId14" Type="http://schemas.openxmlformats.org/officeDocument/2006/relationships/ctrlProp" Target="../ctrlProps/ctrlProp881.xml"/><Relationship Id="rId22" Type="http://schemas.openxmlformats.org/officeDocument/2006/relationships/ctrlProp" Target="../ctrlProps/ctrlProp889.xml"/><Relationship Id="rId27" Type="http://schemas.openxmlformats.org/officeDocument/2006/relationships/ctrlProp" Target="../ctrlProps/ctrlProp894.xml"/><Relationship Id="rId30" Type="http://schemas.openxmlformats.org/officeDocument/2006/relationships/ctrlProp" Target="../ctrlProps/ctrlProp897.xml"/><Relationship Id="rId35" Type="http://schemas.openxmlformats.org/officeDocument/2006/relationships/ctrlProp" Target="../ctrlProps/ctrlProp902.xml"/><Relationship Id="rId43" Type="http://schemas.openxmlformats.org/officeDocument/2006/relationships/ctrlProp" Target="../ctrlProps/ctrlProp910.xml"/><Relationship Id="rId48" Type="http://schemas.openxmlformats.org/officeDocument/2006/relationships/ctrlProp" Target="../ctrlProps/ctrlProp915.xml"/><Relationship Id="rId56" Type="http://schemas.openxmlformats.org/officeDocument/2006/relationships/ctrlProp" Target="../ctrlProps/ctrlProp923.xml"/><Relationship Id="rId64" Type="http://schemas.openxmlformats.org/officeDocument/2006/relationships/ctrlProp" Target="../ctrlProps/ctrlProp931.xml"/><Relationship Id="rId69" Type="http://schemas.openxmlformats.org/officeDocument/2006/relationships/ctrlProp" Target="../ctrlProps/ctrlProp936.xml"/><Relationship Id="rId77" Type="http://schemas.openxmlformats.org/officeDocument/2006/relationships/ctrlProp" Target="../ctrlProps/ctrlProp944.xml"/><Relationship Id="rId100" Type="http://schemas.openxmlformats.org/officeDocument/2006/relationships/ctrlProp" Target="../ctrlProps/ctrlProp967.xml"/><Relationship Id="rId105" Type="http://schemas.openxmlformats.org/officeDocument/2006/relationships/ctrlProp" Target="../ctrlProps/ctrlProp972.xml"/><Relationship Id="rId113" Type="http://schemas.openxmlformats.org/officeDocument/2006/relationships/ctrlProp" Target="../ctrlProps/ctrlProp980.xml"/><Relationship Id="rId118" Type="http://schemas.openxmlformats.org/officeDocument/2006/relationships/ctrlProp" Target="../ctrlProps/ctrlProp985.xml"/><Relationship Id="rId8" Type="http://schemas.openxmlformats.org/officeDocument/2006/relationships/ctrlProp" Target="../ctrlProps/ctrlProp875.xml"/><Relationship Id="rId51" Type="http://schemas.openxmlformats.org/officeDocument/2006/relationships/ctrlProp" Target="../ctrlProps/ctrlProp918.xml"/><Relationship Id="rId72" Type="http://schemas.openxmlformats.org/officeDocument/2006/relationships/ctrlProp" Target="../ctrlProps/ctrlProp939.xml"/><Relationship Id="rId80" Type="http://schemas.openxmlformats.org/officeDocument/2006/relationships/ctrlProp" Target="../ctrlProps/ctrlProp947.xml"/><Relationship Id="rId85" Type="http://schemas.openxmlformats.org/officeDocument/2006/relationships/ctrlProp" Target="../ctrlProps/ctrlProp952.xml"/><Relationship Id="rId93" Type="http://schemas.openxmlformats.org/officeDocument/2006/relationships/ctrlProp" Target="../ctrlProps/ctrlProp960.xml"/><Relationship Id="rId98" Type="http://schemas.openxmlformats.org/officeDocument/2006/relationships/ctrlProp" Target="../ctrlProps/ctrlProp965.xml"/><Relationship Id="rId121" Type="http://schemas.openxmlformats.org/officeDocument/2006/relationships/ctrlProp" Target="../ctrlProps/ctrlProp988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79.xml"/><Relationship Id="rId17" Type="http://schemas.openxmlformats.org/officeDocument/2006/relationships/ctrlProp" Target="../ctrlProps/ctrlProp884.xml"/><Relationship Id="rId25" Type="http://schemas.openxmlformats.org/officeDocument/2006/relationships/ctrlProp" Target="../ctrlProps/ctrlProp892.xml"/><Relationship Id="rId33" Type="http://schemas.openxmlformats.org/officeDocument/2006/relationships/ctrlProp" Target="../ctrlProps/ctrlProp900.xml"/><Relationship Id="rId38" Type="http://schemas.openxmlformats.org/officeDocument/2006/relationships/ctrlProp" Target="../ctrlProps/ctrlProp905.xml"/><Relationship Id="rId46" Type="http://schemas.openxmlformats.org/officeDocument/2006/relationships/ctrlProp" Target="../ctrlProps/ctrlProp913.xml"/><Relationship Id="rId59" Type="http://schemas.openxmlformats.org/officeDocument/2006/relationships/ctrlProp" Target="../ctrlProps/ctrlProp926.xml"/><Relationship Id="rId67" Type="http://schemas.openxmlformats.org/officeDocument/2006/relationships/ctrlProp" Target="../ctrlProps/ctrlProp934.xml"/><Relationship Id="rId103" Type="http://schemas.openxmlformats.org/officeDocument/2006/relationships/ctrlProp" Target="../ctrlProps/ctrlProp970.xml"/><Relationship Id="rId108" Type="http://schemas.openxmlformats.org/officeDocument/2006/relationships/ctrlProp" Target="../ctrlProps/ctrlProp975.xml"/><Relationship Id="rId116" Type="http://schemas.openxmlformats.org/officeDocument/2006/relationships/ctrlProp" Target="../ctrlProps/ctrlProp983.xml"/><Relationship Id="rId124" Type="http://schemas.openxmlformats.org/officeDocument/2006/relationships/ctrlProp" Target="../ctrlProps/ctrlProp991.xml"/><Relationship Id="rId20" Type="http://schemas.openxmlformats.org/officeDocument/2006/relationships/ctrlProp" Target="../ctrlProps/ctrlProp887.xml"/><Relationship Id="rId41" Type="http://schemas.openxmlformats.org/officeDocument/2006/relationships/ctrlProp" Target="../ctrlProps/ctrlProp908.xml"/><Relationship Id="rId54" Type="http://schemas.openxmlformats.org/officeDocument/2006/relationships/ctrlProp" Target="../ctrlProps/ctrlProp921.xml"/><Relationship Id="rId62" Type="http://schemas.openxmlformats.org/officeDocument/2006/relationships/ctrlProp" Target="../ctrlProps/ctrlProp929.xml"/><Relationship Id="rId70" Type="http://schemas.openxmlformats.org/officeDocument/2006/relationships/ctrlProp" Target="../ctrlProps/ctrlProp937.xml"/><Relationship Id="rId75" Type="http://schemas.openxmlformats.org/officeDocument/2006/relationships/ctrlProp" Target="../ctrlProps/ctrlProp942.xml"/><Relationship Id="rId83" Type="http://schemas.openxmlformats.org/officeDocument/2006/relationships/ctrlProp" Target="../ctrlProps/ctrlProp950.xml"/><Relationship Id="rId88" Type="http://schemas.openxmlformats.org/officeDocument/2006/relationships/ctrlProp" Target="../ctrlProps/ctrlProp955.xml"/><Relationship Id="rId91" Type="http://schemas.openxmlformats.org/officeDocument/2006/relationships/ctrlProp" Target="../ctrlProps/ctrlProp958.xml"/><Relationship Id="rId96" Type="http://schemas.openxmlformats.org/officeDocument/2006/relationships/ctrlProp" Target="../ctrlProps/ctrlProp963.xml"/><Relationship Id="rId111" Type="http://schemas.openxmlformats.org/officeDocument/2006/relationships/ctrlProp" Target="../ctrlProps/ctrlProp978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873.xml"/><Relationship Id="rId15" Type="http://schemas.openxmlformats.org/officeDocument/2006/relationships/ctrlProp" Target="../ctrlProps/ctrlProp882.xml"/><Relationship Id="rId23" Type="http://schemas.openxmlformats.org/officeDocument/2006/relationships/ctrlProp" Target="../ctrlProps/ctrlProp890.xml"/><Relationship Id="rId28" Type="http://schemas.openxmlformats.org/officeDocument/2006/relationships/ctrlProp" Target="../ctrlProps/ctrlProp895.xml"/><Relationship Id="rId36" Type="http://schemas.openxmlformats.org/officeDocument/2006/relationships/ctrlProp" Target="../ctrlProps/ctrlProp903.xml"/><Relationship Id="rId49" Type="http://schemas.openxmlformats.org/officeDocument/2006/relationships/ctrlProp" Target="../ctrlProps/ctrlProp916.xml"/><Relationship Id="rId57" Type="http://schemas.openxmlformats.org/officeDocument/2006/relationships/ctrlProp" Target="../ctrlProps/ctrlProp924.xml"/><Relationship Id="rId106" Type="http://schemas.openxmlformats.org/officeDocument/2006/relationships/ctrlProp" Target="../ctrlProps/ctrlProp973.xml"/><Relationship Id="rId114" Type="http://schemas.openxmlformats.org/officeDocument/2006/relationships/ctrlProp" Target="../ctrlProps/ctrlProp981.xml"/><Relationship Id="rId119" Type="http://schemas.openxmlformats.org/officeDocument/2006/relationships/ctrlProp" Target="../ctrlProps/ctrlProp986.xml"/><Relationship Id="rId10" Type="http://schemas.openxmlformats.org/officeDocument/2006/relationships/ctrlProp" Target="../ctrlProps/ctrlProp877.xml"/><Relationship Id="rId31" Type="http://schemas.openxmlformats.org/officeDocument/2006/relationships/ctrlProp" Target="../ctrlProps/ctrlProp898.xml"/><Relationship Id="rId44" Type="http://schemas.openxmlformats.org/officeDocument/2006/relationships/ctrlProp" Target="../ctrlProps/ctrlProp911.xml"/><Relationship Id="rId52" Type="http://schemas.openxmlformats.org/officeDocument/2006/relationships/ctrlProp" Target="../ctrlProps/ctrlProp919.xml"/><Relationship Id="rId60" Type="http://schemas.openxmlformats.org/officeDocument/2006/relationships/ctrlProp" Target="../ctrlProps/ctrlProp927.xml"/><Relationship Id="rId65" Type="http://schemas.openxmlformats.org/officeDocument/2006/relationships/ctrlProp" Target="../ctrlProps/ctrlProp932.xml"/><Relationship Id="rId73" Type="http://schemas.openxmlformats.org/officeDocument/2006/relationships/ctrlProp" Target="../ctrlProps/ctrlProp940.xml"/><Relationship Id="rId78" Type="http://schemas.openxmlformats.org/officeDocument/2006/relationships/ctrlProp" Target="../ctrlProps/ctrlProp945.xml"/><Relationship Id="rId81" Type="http://schemas.openxmlformats.org/officeDocument/2006/relationships/ctrlProp" Target="../ctrlProps/ctrlProp948.xml"/><Relationship Id="rId86" Type="http://schemas.openxmlformats.org/officeDocument/2006/relationships/ctrlProp" Target="../ctrlProps/ctrlProp953.xml"/><Relationship Id="rId94" Type="http://schemas.openxmlformats.org/officeDocument/2006/relationships/ctrlProp" Target="../ctrlProps/ctrlProp961.xml"/><Relationship Id="rId99" Type="http://schemas.openxmlformats.org/officeDocument/2006/relationships/ctrlProp" Target="../ctrlProps/ctrlProp966.xml"/><Relationship Id="rId101" Type="http://schemas.openxmlformats.org/officeDocument/2006/relationships/ctrlProp" Target="../ctrlProps/ctrlProp968.xml"/><Relationship Id="rId122" Type="http://schemas.openxmlformats.org/officeDocument/2006/relationships/ctrlProp" Target="../ctrlProps/ctrlProp989.xml"/><Relationship Id="rId4" Type="http://schemas.openxmlformats.org/officeDocument/2006/relationships/ctrlProp" Target="../ctrlProps/ctrlProp871.xml"/><Relationship Id="rId9" Type="http://schemas.openxmlformats.org/officeDocument/2006/relationships/ctrlProp" Target="../ctrlProps/ctrlProp876.xml"/><Relationship Id="rId13" Type="http://schemas.openxmlformats.org/officeDocument/2006/relationships/ctrlProp" Target="../ctrlProps/ctrlProp880.xml"/><Relationship Id="rId18" Type="http://schemas.openxmlformats.org/officeDocument/2006/relationships/ctrlProp" Target="../ctrlProps/ctrlProp885.xml"/><Relationship Id="rId39" Type="http://schemas.openxmlformats.org/officeDocument/2006/relationships/ctrlProp" Target="../ctrlProps/ctrlProp906.xml"/><Relationship Id="rId109" Type="http://schemas.openxmlformats.org/officeDocument/2006/relationships/ctrlProp" Target="../ctrlProps/ctrlProp976.xml"/><Relationship Id="rId34" Type="http://schemas.openxmlformats.org/officeDocument/2006/relationships/ctrlProp" Target="../ctrlProps/ctrlProp901.xml"/><Relationship Id="rId50" Type="http://schemas.openxmlformats.org/officeDocument/2006/relationships/ctrlProp" Target="../ctrlProps/ctrlProp917.xml"/><Relationship Id="rId55" Type="http://schemas.openxmlformats.org/officeDocument/2006/relationships/ctrlProp" Target="../ctrlProps/ctrlProp922.xml"/><Relationship Id="rId76" Type="http://schemas.openxmlformats.org/officeDocument/2006/relationships/ctrlProp" Target="../ctrlProps/ctrlProp943.xml"/><Relationship Id="rId97" Type="http://schemas.openxmlformats.org/officeDocument/2006/relationships/ctrlProp" Target="../ctrlProps/ctrlProp964.xml"/><Relationship Id="rId104" Type="http://schemas.openxmlformats.org/officeDocument/2006/relationships/ctrlProp" Target="../ctrlProps/ctrlProp971.xml"/><Relationship Id="rId120" Type="http://schemas.openxmlformats.org/officeDocument/2006/relationships/ctrlProp" Target="../ctrlProps/ctrlProp987.xml"/><Relationship Id="rId7" Type="http://schemas.openxmlformats.org/officeDocument/2006/relationships/ctrlProp" Target="../ctrlProps/ctrlProp874.xml"/><Relationship Id="rId71" Type="http://schemas.openxmlformats.org/officeDocument/2006/relationships/ctrlProp" Target="../ctrlProps/ctrlProp938.xml"/><Relationship Id="rId92" Type="http://schemas.openxmlformats.org/officeDocument/2006/relationships/ctrlProp" Target="../ctrlProps/ctrlProp95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6.xml"/><Relationship Id="rId24" Type="http://schemas.openxmlformats.org/officeDocument/2006/relationships/ctrlProp" Target="../ctrlProps/ctrlProp891.xml"/><Relationship Id="rId40" Type="http://schemas.openxmlformats.org/officeDocument/2006/relationships/ctrlProp" Target="../ctrlProps/ctrlProp907.xml"/><Relationship Id="rId45" Type="http://schemas.openxmlformats.org/officeDocument/2006/relationships/ctrlProp" Target="../ctrlProps/ctrlProp912.xml"/><Relationship Id="rId66" Type="http://schemas.openxmlformats.org/officeDocument/2006/relationships/ctrlProp" Target="../ctrlProps/ctrlProp933.xml"/><Relationship Id="rId87" Type="http://schemas.openxmlformats.org/officeDocument/2006/relationships/ctrlProp" Target="../ctrlProps/ctrlProp954.xml"/><Relationship Id="rId110" Type="http://schemas.openxmlformats.org/officeDocument/2006/relationships/ctrlProp" Target="../ctrlProps/ctrlProp977.xml"/><Relationship Id="rId115" Type="http://schemas.openxmlformats.org/officeDocument/2006/relationships/ctrlProp" Target="../ctrlProps/ctrlProp98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5.xml"/><Relationship Id="rId21" Type="http://schemas.openxmlformats.org/officeDocument/2006/relationships/ctrlProp" Target="../ctrlProps/ctrlProp1009.xml"/><Relationship Id="rId42" Type="http://schemas.openxmlformats.org/officeDocument/2006/relationships/ctrlProp" Target="../ctrlProps/ctrlProp1030.xml"/><Relationship Id="rId63" Type="http://schemas.openxmlformats.org/officeDocument/2006/relationships/ctrlProp" Target="../ctrlProps/ctrlProp1051.xml"/><Relationship Id="rId84" Type="http://schemas.openxmlformats.org/officeDocument/2006/relationships/ctrlProp" Target="../ctrlProps/ctrlProp1072.xml"/><Relationship Id="rId138" Type="http://schemas.openxmlformats.org/officeDocument/2006/relationships/ctrlProp" Target="../ctrlProps/ctrlProp1126.xml"/><Relationship Id="rId159" Type="http://schemas.openxmlformats.org/officeDocument/2006/relationships/ctrlProp" Target="../ctrlProps/ctrlProp1147.xml"/><Relationship Id="rId170" Type="http://schemas.openxmlformats.org/officeDocument/2006/relationships/ctrlProp" Target="../ctrlProps/ctrlProp1158.xml"/><Relationship Id="rId191" Type="http://schemas.openxmlformats.org/officeDocument/2006/relationships/ctrlProp" Target="../ctrlProps/ctrlProp1179.xml"/><Relationship Id="rId205" Type="http://schemas.openxmlformats.org/officeDocument/2006/relationships/ctrlProp" Target="../ctrlProps/ctrlProp1193.xml"/><Relationship Id="rId226" Type="http://schemas.openxmlformats.org/officeDocument/2006/relationships/ctrlProp" Target="../ctrlProps/ctrlProp1214.xml"/><Relationship Id="rId247" Type="http://schemas.openxmlformats.org/officeDocument/2006/relationships/ctrlProp" Target="../ctrlProps/ctrlProp1235.xml"/><Relationship Id="rId107" Type="http://schemas.openxmlformats.org/officeDocument/2006/relationships/ctrlProp" Target="../ctrlProps/ctrlProp1095.xml"/><Relationship Id="rId268" Type="http://schemas.openxmlformats.org/officeDocument/2006/relationships/ctrlProp" Target="../ctrlProps/ctrlProp1256.xml"/><Relationship Id="rId11" Type="http://schemas.openxmlformats.org/officeDocument/2006/relationships/ctrlProp" Target="../ctrlProps/ctrlProp999.xml"/><Relationship Id="rId32" Type="http://schemas.openxmlformats.org/officeDocument/2006/relationships/ctrlProp" Target="../ctrlProps/ctrlProp1020.xml"/><Relationship Id="rId53" Type="http://schemas.openxmlformats.org/officeDocument/2006/relationships/ctrlProp" Target="../ctrlProps/ctrlProp1041.xml"/><Relationship Id="rId74" Type="http://schemas.openxmlformats.org/officeDocument/2006/relationships/ctrlProp" Target="../ctrlProps/ctrlProp1062.xml"/><Relationship Id="rId128" Type="http://schemas.openxmlformats.org/officeDocument/2006/relationships/ctrlProp" Target="../ctrlProps/ctrlProp1116.xml"/><Relationship Id="rId149" Type="http://schemas.openxmlformats.org/officeDocument/2006/relationships/ctrlProp" Target="../ctrlProps/ctrlProp1137.xml"/><Relationship Id="rId5" Type="http://schemas.openxmlformats.org/officeDocument/2006/relationships/ctrlProp" Target="../ctrlProps/ctrlProp993.xml"/><Relationship Id="rId95" Type="http://schemas.openxmlformats.org/officeDocument/2006/relationships/ctrlProp" Target="../ctrlProps/ctrlProp1083.xml"/><Relationship Id="rId160" Type="http://schemas.openxmlformats.org/officeDocument/2006/relationships/ctrlProp" Target="../ctrlProps/ctrlProp1148.xml"/><Relationship Id="rId181" Type="http://schemas.openxmlformats.org/officeDocument/2006/relationships/ctrlProp" Target="../ctrlProps/ctrlProp1169.xml"/><Relationship Id="rId216" Type="http://schemas.openxmlformats.org/officeDocument/2006/relationships/ctrlProp" Target="../ctrlProps/ctrlProp1204.xml"/><Relationship Id="rId237" Type="http://schemas.openxmlformats.org/officeDocument/2006/relationships/ctrlProp" Target="../ctrlProps/ctrlProp1225.xml"/><Relationship Id="rId258" Type="http://schemas.openxmlformats.org/officeDocument/2006/relationships/ctrlProp" Target="../ctrlProps/ctrlProp1246.xml"/><Relationship Id="rId279" Type="http://schemas.openxmlformats.org/officeDocument/2006/relationships/ctrlProp" Target="../ctrlProps/ctrlProp1267.xml"/><Relationship Id="rId22" Type="http://schemas.openxmlformats.org/officeDocument/2006/relationships/ctrlProp" Target="../ctrlProps/ctrlProp1010.xml"/><Relationship Id="rId43" Type="http://schemas.openxmlformats.org/officeDocument/2006/relationships/ctrlProp" Target="../ctrlProps/ctrlProp1031.xml"/><Relationship Id="rId64" Type="http://schemas.openxmlformats.org/officeDocument/2006/relationships/ctrlProp" Target="../ctrlProps/ctrlProp1052.xml"/><Relationship Id="rId118" Type="http://schemas.openxmlformats.org/officeDocument/2006/relationships/ctrlProp" Target="../ctrlProps/ctrlProp1106.xml"/><Relationship Id="rId139" Type="http://schemas.openxmlformats.org/officeDocument/2006/relationships/ctrlProp" Target="../ctrlProps/ctrlProp1127.xml"/><Relationship Id="rId85" Type="http://schemas.openxmlformats.org/officeDocument/2006/relationships/ctrlProp" Target="../ctrlProps/ctrlProp1073.xml"/><Relationship Id="rId150" Type="http://schemas.openxmlformats.org/officeDocument/2006/relationships/ctrlProp" Target="../ctrlProps/ctrlProp1138.xml"/><Relationship Id="rId171" Type="http://schemas.openxmlformats.org/officeDocument/2006/relationships/ctrlProp" Target="../ctrlProps/ctrlProp1159.xml"/><Relationship Id="rId192" Type="http://schemas.openxmlformats.org/officeDocument/2006/relationships/ctrlProp" Target="../ctrlProps/ctrlProp1180.xml"/><Relationship Id="rId206" Type="http://schemas.openxmlformats.org/officeDocument/2006/relationships/ctrlProp" Target="../ctrlProps/ctrlProp1194.xml"/><Relationship Id="rId227" Type="http://schemas.openxmlformats.org/officeDocument/2006/relationships/ctrlProp" Target="../ctrlProps/ctrlProp1215.xml"/><Relationship Id="rId248" Type="http://schemas.openxmlformats.org/officeDocument/2006/relationships/ctrlProp" Target="../ctrlProps/ctrlProp1236.xml"/><Relationship Id="rId269" Type="http://schemas.openxmlformats.org/officeDocument/2006/relationships/ctrlProp" Target="../ctrlProps/ctrlProp1257.xml"/><Relationship Id="rId12" Type="http://schemas.openxmlformats.org/officeDocument/2006/relationships/ctrlProp" Target="../ctrlProps/ctrlProp1000.xml"/><Relationship Id="rId33" Type="http://schemas.openxmlformats.org/officeDocument/2006/relationships/ctrlProp" Target="../ctrlProps/ctrlProp1021.xml"/><Relationship Id="rId108" Type="http://schemas.openxmlformats.org/officeDocument/2006/relationships/ctrlProp" Target="../ctrlProps/ctrlProp1096.xml"/><Relationship Id="rId129" Type="http://schemas.openxmlformats.org/officeDocument/2006/relationships/ctrlProp" Target="../ctrlProps/ctrlProp1117.xml"/><Relationship Id="rId280" Type="http://schemas.openxmlformats.org/officeDocument/2006/relationships/ctrlProp" Target="../ctrlProps/ctrlProp1268.xml"/><Relationship Id="rId54" Type="http://schemas.openxmlformats.org/officeDocument/2006/relationships/ctrlProp" Target="../ctrlProps/ctrlProp1042.xml"/><Relationship Id="rId75" Type="http://schemas.openxmlformats.org/officeDocument/2006/relationships/ctrlProp" Target="../ctrlProps/ctrlProp1063.xml"/><Relationship Id="rId96" Type="http://schemas.openxmlformats.org/officeDocument/2006/relationships/ctrlProp" Target="../ctrlProps/ctrlProp1084.xml"/><Relationship Id="rId140" Type="http://schemas.openxmlformats.org/officeDocument/2006/relationships/ctrlProp" Target="../ctrlProps/ctrlProp1128.xml"/><Relationship Id="rId161" Type="http://schemas.openxmlformats.org/officeDocument/2006/relationships/ctrlProp" Target="../ctrlProps/ctrlProp1149.xml"/><Relationship Id="rId182" Type="http://schemas.openxmlformats.org/officeDocument/2006/relationships/ctrlProp" Target="../ctrlProps/ctrlProp1170.xml"/><Relationship Id="rId217" Type="http://schemas.openxmlformats.org/officeDocument/2006/relationships/ctrlProp" Target="../ctrlProps/ctrlProp1205.xml"/><Relationship Id="rId6" Type="http://schemas.openxmlformats.org/officeDocument/2006/relationships/ctrlProp" Target="../ctrlProps/ctrlProp994.xml"/><Relationship Id="rId238" Type="http://schemas.openxmlformats.org/officeDocument/2006/relationships/ctrlProp" Target="../ctrlProps/ctrlProp1226.xml"/><Relationship Id="rId259" Type="http://schemas.openxmlformats.org/officeDocument/2006/relationships/ctrlProp" Target="../ctrlProps/ctrlProp1247.xml"/><Relationship Id="rId23" Type="http://schemas.openxmlformats.org/officeDocument/2006/relationships/ctrlProp" Target="../ctrlProps/ctrlProp1011.xml"/><Relationship Id="rId119" Type="http://schemas.openxmlformats.org/officeDocument/2006/relationships/ctrlProp" Target="../ctrlProps/ctrlProp1107.xml"/><Relationship Id="rId270" Type="http://schemas.openxmlformats.org/officeDocument/2006/relationships/ctrlProp" Target="../ctrlProps/ctrlProp1258.xml"/><Relationship Id="rId44" Type="http://schemas.openxmlformats.org/officeDocument/2006/relationships/ctrlProp" Target="../ctrlProps/ctrlProp1032.xml"/><Relationship Id="rId65" Type="http://schemas.openxmlformats.org/officeDocument/2006/relationships/ctrlProp" Target="../ctrlProps/ctrlProp1053.xml"/><Relationship Id="rId86" Type="http://schemas.openxmlformats.org/officeDocument/2006/relationships/ctrlProp" Target="../ctrlProps/ctrlProp1074.xml"/><Relationship Id="rId130" Type="http://schemas.openxmlformats.org/officeDocument/2006/relationships/ctrlProp" Target="../ctrlProps/ctrlProp1118.xml"/><Relationship Id="rId151" Type="http://schemas.openxmlformats.org/officeDocument/2006/relationships/ctrlProp" Target="../ctrlProps/ctrlProp1139.xml"/><Relationship Id="rId172" Type="http://schemas.openxmlformats.org/officeDocument/2006/relationships/ctrlProp" Target="../ctrlProps/ctrlProp1160.xml"/><Relationship Id="rId193" Type="http://schemas.openxmlformats.org/officeDocument/2006/relationships/ctrlProp" Target="../ctrlProps/ctrlProp1181.xml"/><Relationship Id="rId207" Type="http://schemas.openxmlformats.org/officeDocument/2006/relationships/ctrlProp" Target="../ctrlProps/ctrlProp1195.xml"/><Relationship Id="rId228" Type="http://schemas.openxmlformats.org/officeDocument/2006/relationships/ctrlProp" Target="../ctrlProps/ctrlProp1216.xml"/><Relationship Id="rId249" Type="http://schemas.openxmlformats.org/officeDocument/2006/relationships/ctrlProp" Target="../ctrlProps/ctrlProp1237.xml"/><Relationship Id="rId13" Type="http://schemas.openxmlformats.org/officeDocument/2006/relationships/ctrlProp" Target="../ctrlProps/ctrlProp1001.xml"/><Relationship Id="rId18" Type="http://schemas.openxmlformats.org/officeDocument/2006/relationships/ctrlProp" Target="../ctrlProps/ctrlProp1006.xml"/><Relationship Id="rId39" Type="http://schemas.openxmlformats.org/officeDocument/2006/relationships/ctrlProp" Target="../ctrlProps/ctrlProp1027.xml"/><Relationship Id="rId109" Type="http://schemas.openxmlformats.org/officeDocument/2006/relationships/ctrlProp" Target="../ctrlProps/ctrlProp1097.xml"/><Relationship Id="rId260" Type="http://schemas.openxmlformats.org/officeDocument/2006/relationships/ctrlProp" Target="../ctrlProps/ctrlProp1248.xml"/><Relationship Id="rId265" Type="http://schemas.openxmlformats.org/officeDocument/2006/relationships/ctrlProp" Target="../ctrlProps/ctrlProp1253.xml"/><Relationship Id="rId281" Type="http://schemas.openxmlformats.org/officeDocument/2006/relationships/ctrlProp" Target="../ctrlProps/ctrlProp1269.xml"/><Relationship Id="rId34" Type="http://schemas.openxmlformats.org/officeDocument/2006/relationships/ctrlProp" Target="../ctrlProps/ctrlProp1022.xml"/><Relationship Id="rId50" Type="http://schemas.openxmlformats.org/officeDocument/2006/relationships/ctrlProp" Target="../ctrlProps/ctrlProp1038.xml"/><Relationship Id="rId55" Type="http://schemas.openxmlformats.org/officeDocument/2006/relationships/ctrlProp" Target="../ctrlProps/ctrlProp1043.xml"/><Relationship Id="rId76" Type="http://schemas.openxmlformats.org/officeDocument/2006/relationships/ctrlProp" Target="../ctrlProps/ctrlProp1064.xml"/><Relationship Id="rId97" Type="http://schemas.openxmlformats.org/officeDocument/2006/relationships/ctrlProp" Target="../ctrlProps/ctrlProp1085.xml"/><Relationship Id="rId104" Type="http://schemas.openxmlformats.org/officeDocument/2006/relationships/ctrlProp" Target="../ctrlProps/ctrlProp1092.xml"/><Relationship Id="rId120" Type="http://schemas.openxmlformats.org/officeDocument/2006/relationships/ctrlProp" Target="../ctrlProps/ctrlProp1108.xml"/><Relationship Id="rId125" Type="http://schemas.openxmlformats.org/officeDocument/2006/relationships/ctrlProp" Target="../ctrlProps/ctrlProp1113.xml"/><Relationship Id="rId141" Type="http://schemas.openxmlformats.org/officeDocument/2006/relationships/ctrlProp" Target="../ctrlProps/ctrlProp1129.xml"/><Relationship Id="rId146" Type="http://schemas.openxmlformats.org/officeDocument/2006/relationships/ctrlProp" Target="../ctrlProps/ctrlProp1134.xml"/><Relationship Id="rId167" Type="http://schemas.openxmlformats.org/officeDocument/2006/relationships/ctrlProp" Target="../ctrlProps/ctrlProp1155.xml"/><Relationship Id="rId188" Type="http://schemas.openxmlformats.org/officeDocument/2006/relationships/ctrlProp" Target="../ctrlProps/ctrlProp1176.xml"/><Relationship Id="rId7" Type="http://schemas.openxmlformats.org/officeDocument/2006/relationships/ctrlProp" Target="../ctrlProps/ctrlProp995.xml"/><Relationship Id="rId71" Type="http://schemas.openxmlformats.org/officeDocument/2006/relationships/ctrlProp" Target="../ctrlProps/ctrlProp1059.xml"/><Relationship Id="rId92" Type="http://schemas.openxmlformats.org/officeDocument/2006/relationships/ctrlProp" Target="../ctrlProps/ctrlProp1080.xml"/><Relationship Id="rId162" Type="http://schemas.openxmlformats.org/officeDocument/2006/relationships/ctrlProp" Target="../ctrlProps/ctrlProp1150.xml"/><Relationship Id="rId183" Type="http://schemas.openxmlformats.org/officeDocument/2006/relationships/ctrlProp" Target="../ctrlProps/ctrlProp1171.xml"/><Relationship Id="rId213" Type="http://schemas.openxmlformats.org/officeDocument/2006/relationships/ctrlProp" Target="../ctrlProps/ctrlProp1201.xml"/><Relationship Id="rId218" Type="http://schemas.openxmlformats.org/officeDocument/2006/relationships/ctrlProp" Target="../ctrlProps/ctrlProp1206.xml"/><Relationship Id="rId234" Type="http://schemas.openxmlformats.org/officeDocument/2006/relationships/ctrlProp" Target="../ctrlProps/ctrlProp1222.xml"/><Relationship Id="rId239" Type="http://schemas.openxmlformats.org/officeDocument/2006/relationships/ctrlProp" Target="../ctrlProps/ctrlProp1227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7.xml"/><Relationship Id="rId250" Type="http://schemas.openxmlformats.org/officeDocument/2006/relationships/ctrlProp" Target="../ctrlProps/ctrlProp1238.xml"/><Relationship Id="rId255" Type="http://schemas.openxmlformats.org/officeDocument/2006/relationships/ctrlProp" Target="../ctrlProps/ctrlProp1243.xml"/><Relationship Id="rId271" Type="http://schemas.openxmlformats.org/officeDocument/2006/relationships/ctrlProp" Target="../ctrlProps/ctrlProp1259.xml"/><Relationship Id="rId276" Type="http://schemas.openxmlformats.org/officeDocument/2006/relationships/ctrlProp" Target="../ctrlProps/ctrlProp1264.xml"/><Relationship Id="rId24" Type="http://schemas.openxmlformats.org/officeDocument/2006/relationships/ctrlProp" Target="../ctrlProps/ctrlProp1012.xml"/><Relationship Id="rId40" Type="http://schemas.openxmlformats.org/officeDocument/2006/relationships/ctrlProp" Target="../ctrlProps/ctrlProp1028.xml"/><Relationship Id="rId45" Type="http://schemas.openxmlformats.org/officeDocument/2006/relationships/ctrlProp" Target="../ctrlProps/ctrlProp1033.xml"/><Relationship Id="rId66" Type="http://schemas.openxmlformats.org/officeDocument/2006/relationships/ctrlProp" Target="../ctrlProps/ctrlProp1054.xml"/><Relationship Id="rId87" Type="http://schemas.openxmlformats.org/officeDocument/2006/relationships/ctrlProp" Target="../ctrlProps/ctrlProp1075.xml"/><Relationship Id="rId110" Type="http://schemas.openxmlformats.org/officeDocument/2006/relationships/ctrlProp" Target="../ctrlProps/ctrlProp1098.xml"/><Relationship Id="rId115" Type="http://schemas.openxmlformats.org/officeDocument/2006/relationships/ctrlProp" Target="../ctrlProps/ctrlProp1103.xml"/><Relationship Id="rId131" Type="http://schemas.openxmlformats.org/officeDocument/2006/relationships/ctrlProp" Target="../ctrlProps/ctrlProp1119.xml"/><Relationship Id="rId136" Type="http://schemas.openxmlformats.org/officeDocument/2006/relationships/ctrlProp" Target="../ctrlProps/ctrlProp1124.xml"/><Relationship Id="rId157" Type="http://schemas.openxmlformats.org/officeDocument/2006/relationships/ctrlProp" Target="../ctrlProps/ctrlProp1145.xml"/><Relationship Id="rId178" Type="http://schemas.openxmlformats.org/officeDocument/2006/relationships/ctrlProp" Target="../ctrlProps/ctrlProp1166.xml"/><Relationship Id="rId61" Type="http://schemas.openxmlformats.org/officeDocument/2006/relationships/ctrlProp" Target="../ctrlProps/ctrlProp1049.xml"/><Relationship Id="rId82" Type="http://schemas.openxmlformats.org/officeDocument/2006/relationships/ctrlProp" Target="../ctrlProps/ctrlProp1070.xml"/><Relationship Id="rId152" Type="http://schemas.openxmlformats.org/officeDocument/2006/relationships/ctrlProp" Target="../ctrlProps/ctrlProp1140.xml"/><Relationship Id="rId173" Type="http://schemas.openxmlformats.org/officeDocument/2006/relationships/ctrlProp" Target="../ctrlProps/ctrlProp1161.xml"/><Relationship Id="rId194" Type="http://schemas.openxmlformats.org/officeDocument/2006/relationships/ctrlProp" Target="../ctrlProps/ctrlProp1182.xml"/><Relationship Id="rId199" Type="http://schemas.openxmlformats.org/officeDocument/2006/relationships/ctrlProp" Target="../ctrlProps/ctrlProp1187.xml"/><Relationship Id="rId203" Type="http://schemas.openxmlformats.org/officeDocument/2006/relationships/ctrlProp" Target="../ctrlProps/ctrlProp1191.xml"/><Relationship Id="rId208" Type="http://schemas.openxmlformats.org/officeDocument/2006/relationships/ctrlProp" Target="../ctrlProps/ctrlProp1196.xml"/><Relationship Id="rId229" Type="http://schemas.openxmlformats.org/officeDocument/2006/relationships/ctrlProp" Target="../ctrlProps/ctrlProp1217.xml"/><Relationship Id="rId19" Type="http://schemas.openxmlformats.org/officeDocument/2006/relationships/ctrlProp" Target="../ctrlProps/ctrlProp1007.xml"/><Relationship Id="rId224" Type="http://schemas.openxmlformats.org/officeDocument/2006/relationships/ctrlProp" Target="../ctrlProps/ctrlProp1212.xml"/><Relationship Id="rId240" Type="http://schemas.openxmlformats.org/officeDocument/2006/relationships/ctrlProp" Target="../ctrlProps/ctrlProp1228.xml"/><Relationship Id="rId245" Type="http://schemas.openxmlformats.org/officeDocument/2006/relationships/ctrlProp" Target="../ctrlProps/ctrlProp1233.xml"/><Relationship Id="rId261" Type="http://schemas.openxmlformats.org/officeDocument/2006/relationships/ctrlProp" Target="../ctrlProps/ctrlProp1249.xml"/><Relationship Id="rId266" Type="http://schemas.openxmlformats.org/officeDocument/2006/relationships/ctrlProp" Target="../ctrlProps/ctrlProp1254.xml"/><Relationship Id="rId14" Type="http://schemas.openxmlformats.org/officeDocument/2006/relationships/ctrlProp" Target="../ctrlProps/ctrlProp1002.xml"/><Relationship Id="rId30" Type="http://schemas.openxmlformats.org/officeDocument/2006/relationships/ctrlProp" Target="../ctrlProps/ctrlProp1018.xml"/><Relationship Id="rId35" Type="http://schemas.openxmlformats.org/officeDocument/2006/relationships/ctrlProp" Target="../ctrlProps/ctrlProp1023.xml"/><Relationship Id="rId56" Type="http://schemas.openxmlformats.org/officeDocument/2006/relationships/ctrlProp" Target="../ctrlProps/ctrlProp1044.xml"/><Relationship Id="rId77" Type="http://schemas.openxmlformats.org/officeDocument/2006/relationships/ctrlProp" Target="../ctrlProps/ctrlProp1065.xml"/><Relationship Id="rId100" Type="http://schemas.openxmlformats.org/officeDocument/2006/relationships/ctrlProp" Target="../ctrlProps/ctrlProp1088.xml"/><Relationship Id="rId105" Type="http://schemas.openxmlformats.org/officeDocument/2006/relationships/ctrlProp" Target="../ctrlProps/ctrlProp1093.xml"/><Relationship Id="rId126" Type="http://schemas.openxmlformats.org/officeDocument/2006/relationships/ctrlProp" Target="../ctrlProps/ctrlProp1114.xml"/><Relationship Id="rId147" Type="http://schemas.openxmlformats.org/officeDocument/2006/relationships/ctrlProp" Target="../ctrlProps/ctrlProp1135.xml"/><Relationship Id="rId168" Type="http://schemas.openxmlformats.org/officeDocument/2006/relationships/ctrlProp" Target="../ctrlProps/ctrlProp1156.xml"/><Relationship Id="rId282" Type="http://schemas.openxmlformats.org/officeDocument/2006/relationships/ctrlProp" Target="../ctrlProps/ctrlProp1270.xml"/><Relationship Id="rId8" Type="http://schemas.openxmlformats.org/officeDocument/2006/relationships/ctrlProp" Target="../ctrlProps/ctrlProp996.xml"/><Relationship Id="rId51" Type="http://schemas.openxmlformats.org/officeDocument/2006/relationships/ctrlProp" Target="../ctrlProps/ctrlProp1039.xml"/><Relationship Id="rId72" Type="http://schemas.openxmlformats.org/officeDocument/2006/relationships/ctrlProp" Target="../ctrlProps/ctrlProp1060.xml"/><Relationship Id="rId93" Type="http://schemas.openxmlformats.org/officeDocument/2006/relationships/ctrlProp" Target="../ctrlProps/ctrlProp1081.xml"/><Relationship Id="rId98" Type="http://schemas.openxmlformats.org/officeDocument/2006/relationships/ctrlProp" Target="../ctrlProps/ctrlProp1086.xml"/><Relationship Id="rId121" Type="http://schemas.openxmlformats.org/officeDocument/2006/relationships/ctrlProp" Target="../ctrlProps/ctrlProp1109.xml"/><Relationship Id="rId142" Type="http://schemas.openxmlformats.org/officeDocument/2006/relationships/ctrlProp" Target="../ctrlProps/ctrlProp1130.xml"/><Relationship Id="rId163" Type="http://schemas.openxmlformats.org/officeDocument/2006/relationships/ctrlProp" Target="../ctrlProps/ctrlProp1151.xml"/><Relationship Id="rId184" Type="http://schemas.openxmlformats.org/officeDocument/2006/relationships/ctrlProp" Target="../ctrlProps/ctrlProp1172.xml"/><Relationship Id="rId189" Type="http://schemas.openxmlformats.org/officeDocument/2006/relationships/ctrlProp" Target="../ctrlProps/ctrlProp1177.xml"/><Relationship Id="rId219" Type="http://schemas.openxmlformats.org/officeDocument/2006/relationships/ctrlProp" Target="../ctrlProps/ctrlProp1207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2.xml"/><Relationship Id="rId230" Type="http://schemas.openxmlformats.org/officeDocument/2006/relationships/ctrlProp" Target="../ctrlProps/ctrlProp1218.xml"/><Relationship Id="rId235" Type="http://schemas.openxmlformats.org/officeDocument/2006/relationships/ctrlProp" Target="../ctrlProps/ctrlProp1223.xml"/><Relationship Id="rId251" Type="http://schemas.openxmlformats.org/officeDocument/2006/relationships/ctrlProp" Target="../ctrlProps/ctrlProp1239.xml"/><Relationship Id="rId256" Type="http://schemas.openxmlformats.org/officeDocument/2006/relationships/ctrlProp" Target="../ctrlProps/ctrlProp1244.xml"/><Relationship Id="rId277" Type="http://schemas.openxmlformats.org/officeDocument/2006/relationships/ctrlProp" Target="../ctrlProps/ctrlProp1265.xml"/><Relationship Id="rId25" Type="http://schemas.openxmlformats.org/officeDocument/2006/relationships/ctrlProp" Target="../ctrlProps/ctrlProp1013.xml"/><Relationship Id="rId46" Type="http://schemas.openxmlformats.org/officeDocument/2006/relationships/ctrlProp" Target="../ctrlProps/ctrlProp1034.xml"/><Relationship Id="rId67" Type="http://schemas.openxmlformats.org/officeDocument/2006/relationships/ctrlProp" Target="../ctrlProps/ctrlProp1055.xml"/><Relationship Id="rId116" Type="http://schemas.openxmlformats.org/officeDocument/2006/relationships/ctrlProp" Target="../ctrlProps/ctrlProp1104.xml"/><Relationship Id="rId137" Type="http://schemas.openxmlformats.org/officeDocument/2006/relationships/ctrlProp" Target="../ctrlProps/ctrlProp1125.xml"/><Relationship Id="rId158" Type="http://schemas.openxmlformats.org/officeDocument/2006/relationships/ctrlProp" Target="../ctrlProps/ctrlProp1146.xml"/><Relationship Id="rId272" Type="http://schemas.openxmlformats.org/officeDocument/2006/relationships/ctrlProp" Target="../ctrlProps/ctrlProp1260.xml"/><Relationship Id="rId20" Type="http://schemas.openxmlformats.org/officeDocument/2006/relationships/ctrlProp" Target="../ctrlProps/ctrlProp1008.xml"/><Relationship Id="rId41" Type="http://schemas.openxmlformats.org/officeDocument/2006/relationships/ctrlProp" Target="../ctrlProps/ctrlProp1029.xml"/><Relationship Id="rId62" Type="http://schemas.openxmlformats.org/officeDocument/2006/relationships/ctrlProp" Target="../ctrlProps/ctrlProp1050.xml"/><Relationship Id="rId83" Type="http://schemas.openxmlformats.org/officeDocument/2006/relationships/ctrlProp" Target="../ctrlProps/ctrlProp1071.xml"/><Relationship Id="rId88" Type="http://schemas.openxmlformats.org/officeDocument/2006/relationships/ctrlProp" Target="../ctrlProps/ctrlProp1076.xml"/><Relationship Id="rId111" Type="http://schemas.openxmlformats.org/officeDocument/2006/relationships/ctrlProp" Target="../ctrlProps/ctrlProp1099.xml"/><Relationship Id="rId132" Type="http://schemas.openxmlformats.org/officeDocument/2006/relationships/ctrlProp" Target="../ctrlProps/ctrlProp1120.xml"/><Relationship Id="rId153" Type="http://schemas.openxmlformats.org/officeDocument/2006/relationships/ctrlProp" Target="../ctrlProps/ctrlProp1141.xml"/><Relationship Id="rId174" Type="http://schemas.openxmlformats.org/officeDocument/2006/relationships/ctrlProp" Target="../ctrlProps/ctrlProp1162.xml"/><Relationship Id="rId179" Type="http://schemas.openxmlformats.org/officeDocument/2006/relationships/ctrlProp" Target="../ctrlProps/ctrlProp1167.xml"/><Relationship Id="rId195" Type="http://schemas.openxmlformats.org/officeDocument/2006/relationships/ctrlProp" Target="../ctrlProps/ctrlProp1183.xml"/><Relationship Id="rId209" Type="http://schemas.openxmlformats.org/officeDocument/2006/relationships/ctrlProp" Target="../ctrlProps/ctrlProp1197.xml"/><Relationship Id="rId190" Type="http://schemas.openxmlformats.org/officeDocument/2006/relationships/ctrlProp" Target="../ctrlProps/ctrlProp1178.xml"/><Relationship Id="rId204" Type="http://schemas.openxmlformats.org/officeDocument/2006/relationships/ctrlProp" Target="../ctrlProps/ctrlProp1192.xml"/><Relationship Id="rId220" Type="http://schemas.openxmlformats.org/officeDocument/2006/relationships/ctrlProp" Target="../ctrlProps/ctrlProp1208.xml"/><Relationship Id="rId225" Type="http://schemas.openxmlformats.org/officeDocument/2006/relationships/ctrlProp" Target="../ctrlProps/ctrlProp1213.xml"/><Relationship Id="rId241" Type="http://schemas.openxmlformats.org/officeDocument/2006/relationships/ctrlProp" Target="../ctrlProps/ctrlProp1229.xml"/><Relationship Id="rId246" Type="http://schemas.openxmlformats.org/officeDocument/2006/relationships/ctrlProp" Target="../ctrlProps/ctrlProp1234.xml"/><Relationship Id="rId267" Type="http://schemas.openxmlformats.org/officeDocument/2006/relationships/ctrlProp" Target="../ctrlProps/ctrlProp1255.xml"/><Relationship Id="rId15" Type="http://schemas.openxmlformats.org/officeDocument/2006/relationships/ctrlProp" Target="../ctrlProps/ctrlProp1003.xml"/><Relationship Id="rId36" Type="http://schemas.openxmlformats.org/officeDocument/2006/relationships/ctrlProp" Target="../ctrlProps/ctrlProp1024.xml"/><Relationship Id="rId57" Type="http://schemas.openxmlformats.org/officeDocument/2006/relationships/ctrlProp" Target="../ctrlProps/ctrlProp1045.xml"/><Relationship Id="rId106" Type="http://schemas.openxmlformats.org/officeDocument/2006/relationships/ctrlProp" Target="../ctrlProps/ctrlProp1094.xml"/><Relationship Id="rId127" Type="http://schemas.openxmlformats.org/officeDocument/2006/relationships/ctrlProp" Target="../ctrlProps/ctrlProp1115.xml"/><Relationship Id="rId262" Type="http://schemas.openxmlformats.org/officeDocument/2006/relationships/ctrlProp" Target="../ctrlProps/ctrlProp1250.xml"/><Relationship Id="rId283" Type="http://schemas.openxmlformats.org/officeDocument/2006/relationships/ctrlProp" Target="../ctrlProps/ctrlProp1271.xml"/><Relationship Id="rId10" Type="http://schemas.openxmlformats.org/officeDocument/2006/relationships/ctrlProp" Target="../ctrlProps/ctrlProp998.xml"/><Relationship Id="rId31" Type="http://schemas.openxmlformats.org/officeDocument/2006/relationships/ctrlProp" Target="../ctrlProps/ctrlProp1019.xml"/><Relationship Id="rId52" Type="http://schemas.openxmlformats.org/officeDocument/2006/relationships/ctrlProp" Target="../ctrlProps/ctrlProp1040.xml"/><Relationship Id="rId73" Type="http://schemas.openxmlformats.org/officeDocument/2006/relationships/ctrlProp" Target="../ctrlProps/ctrlProp1061.xml"/><Relationship Id="rId78" Type="http://schemas.openxmlformats.org/officeDocument/2006/relationships/ctrlProp" Target="../ctrlProps/ctrlProp1066.xml"/><Relationship Id="rId94" Type="http://schemas.openxmlformats.org/officeDocument/2006/relationships/ctrlProp" Target="../ctrlProps/ctrlProp1082.xml"/><Relationship Id="rId99" Type="http://schemas.openxmlformats.org/officeDocument/2006/relationships/ctrlProp" Target="../ctrlProps/ctrlProp1087.xml"/><Relationship Id="rId101" Type="http://schemas.openxmlformats.org/officeDocument/2006/relationships/ctrlProp" Target="../ctrlProps/ctrlProp1089.xml"/><Relationship Id="rId122" Type="http://schemas.openxmlformats.org/officeDocument/2006/relationships/ctrlProp" Target="../ctrlProps/ctrlProp1110.xml"/><Relationship Id="rId143" Type="http://schemas.openxmlformats.org/officeDocument/2006/relationships/ctrlProp" Target="../ctrlProps/ctrlProp1131.xml"/><Relationship Id="rId148" Type="http://schemas.openxmlformats.org/officeDocument/2006/relationships/ctrlProp" Target="../ctrlProps/ctrlProp1136.xml"/><Relationship Id="rId164" Type="http://schemas.openxmlformats.org/officeDocument/2006/relationships/ctrlProp" Target="../ctrlProps/ctrlProp1152.xml"/><Relationship Id="rId169" Type="http://schemas.openxmlformats.org/officeDocument/2006/relationships/ctrlProp" Target="../ctrlProps/ctrlProp1157.xml"/><Relationship Id="rId185" Type="http://schemas.openxmlformats.org/officeDocument/2006/relationships/ctrlProp" Target="../ctrlProps/ctrlProp1173.xml"/><Relationship Id="rId4" Type="http://schemas.openxmlformats.org/officeDocument/2006/relationships/ctrlProp" Target="../ctrlProps/ctrlProp992.xml"/><Relationship Id="rId9" Type="http://schemas.openxmlformats.org/officeDocument/2006/relationships/ctrlProp" Target="../ctrlProps/ctrlProp997.xml"/><Relationship Id="rId180" Type="http://schemas.openxmlformats.org/officeDocument/2006/relationships/ctrlProp" Target="../ctrlProps/ctrlProp1168.xml"/><Relationship Id="rId210" Type="http://schemas.openxmlformats.org/officeDocument/2006/relationships/ctrlProp" Target="../ctrlProps/ctrlProp1198.xml"/><Relationship Id="rId215" Type="http://schemas.openxmlformats.org/officeDocument/2006/relationships/ctrlProp" Target="../ctrlProps/ctrlProp1203.xml"/><Relationship Id="rId236" Type="http://schemas.openxmlformats.org/officeDocument/2006/relationships/ctrlProp" Target="../ctrlProps/ctrlProp1224.xml"/><Relationship Id="rId257" Type="http://schemas.openxmlformats.org/officeDocument/2006/relationships/ctrlProp" Target="../ctrlProps/ctrlProp1245.xml"/><Relationship Id="rId278" Type="http://schemas.openxmlformats.org/officeDocument/2006/relationships/ctrlProp" Target="../ctrlProps/ctrlProp1266.xml"/><Relationship Id="rId26" Type="http://schemas.openxmlformats.org/officeDocument/2006/relationships/ctrlProp" Target="../ctrlProps/ctrlProp1014.xml"/><Relationship Id="rId231" Type="http://schemas.openxmlformats.org/officeDocument/2006/relationships/ctrlProp" Target="../ctrlProps/ctrlProp1219.xml"/><Relationship Id="rId252" Type="http://schemas.openxmlformats.org/officeDocument/2006/relationships/ctrlProp" Target="../ctrlProps/ctrlProp1240.xml"/><Relationship Id="rId273" Type="http://schemas.openxmlformats.org/officeDocument/2006/relationships/ctrlProp" Target="../ctrlProps/ctrlProp1261.xml"/><Relationship Id="rId47" Type="http://schemas.openxmlformats.org/officeDocument/2006/relationships/ctrlProp" Target="../ctrlProps/ctrlProp1035.xml"/><Relationship Id="rId68" Type="http://schemas.openxmlformats.org/officeDocument/2006/relationships/ctrlProp" Target="../ctrlProps/ctrlProp1056.xml"/><Relationship Id="rId89" Type="http://schemas.openxmlformats.org/officeDocument/2006/relationships/ctrlProp" Target="../ctrlProps/ctrlProp1077.xml"/><Relationship Id="rId112" Type="http://schemas.openxmlformats.org/officeDocument/2006/relationships/ctrlProp" Target="../ctrlProps/ctrlProp1100.xml"/><Relationship Id="rId133" Type="http://schemas.openxmlformats.org/officeDocument/2006/relationships/ctrlProp" Target="../ctrlProps/ctrlProp1121.xml"/><Relationship Id="rId154" Type="http://schemas.openxmlformats.org/officeDocument/2006/relationships/ctrlProp" Target="../ctrlProps/ctrlProp1142.xml"/><Relationship Id="rId175" Type="http://schemas.openxmlformats.org/officeDocument/2006/relationships/ctrlProp" Target="../ctrlProps/ctrlProp1163.xml"/><Relationship Id="rId196" Type="http://schemas.openxmlformats.org/officeDocument/2006/relationships/ctrlProp" Target="../ctrlProps/ctrlProp1184.xml"/><Relationship Id="rId200" Type="http://schemas.openxmlformats.org/officeDocument/2006/relationships/ctrlProp" Target="../ctrlProps/ctrlProp1188.xml"/><Relationship Id="rId16" Type="http://schemas.openxmlformats.org/officeDocument/2006/relationships/ctrlProp" Target="../ctrlProps/ctrlProp1004.xml"/><Relationship Id="rId221" Type="http://schemas.openxmlformats.org/officeDocument/2006/relationships/ctrlProp" Target="../ctrlProps/ctrlProp1209.xml"/><Relationship Id="rId242" Type="http://schemas.openxmlformats.org/officeDocument/2006/relationships/ctrlProp" Target="../ctrlProps/ctrlProp1230.xml"/><Relationship Id="rId263" Type="http://schemas.openxmlformats.org/officeDocument/2006/relationships/ctrlProp" Target="../ctrlProps/ctrlProp1251.xml"/><Relationship Id="rId37" Type="http://schemas.openxmlformats.org/officeDocument/2006/relationships/ctrlProp" Target="../ctrlProps/ctrlProp1025.xml"/><Relationship Id="rId58" Type="http://schemas.openxmlformats.org/officeDocument/2006/relationships/ctrlProp" Target="../ctrlProps/ctrlProp1046.xml"/><Relationship Id="rId79" Type="http://schemas.openxmlformats.org/officeDocument/2006/relationships/ctrlProp" Target="../ctrlProps/ctrlProp1067.xml"/><Relationship Id="rId102" Type="http://schemas.openxmlformats.org/officeDocument/2006/relationships/ctrlProp" Target="../ctrlProps/ctrlProp1090.xml"/><Relationship Id="rId123" Type="http://schemas.openxmlformats.org/officeDocument/2006/relationships/ctrlProp" Target="../ctrlProps/ctrlProp1111.xml"/><Relationship Id="rId144" Type="http://schemas.openxmlformats.org/officeDocument/2006/relationships/ctrlProp" Target="../ctrlProps/ctrlProp1132.xml"/><Relationship Id="rId90" Type="http://schemas.openxmlformats.org/officeDocument/2006/relationships/ctrlProp" Target="../ctrlProps/ctrlProp1078.xml"/><Relationship Id="rId165" Type="http://schemas.openxmlformats.org/officeDocument/2006/relationships/ctrlProp" Target="../ctrlProps/ctrlProp1153.xml"/><Relationship Id="rId186" Type="http://schemas.openxmlformats.org/officeDocument/2006/relationships/ctrlProp" Target="../ctrlProps/ctrlProp1174.xml"/><Relationship Id="rId211" Type="http://schemas.openxmlformats.org/officeDocument/2006/relationships/ctrlProp" Target="../ctrlProps/ctrlProp1199.xml"/><Relationship Id="rId232" Type="http://schemas.openxmlformats.org/officeDocument/2006/relationships/ctrlProp" Target="../ctrlProps/ctrlProp1220.xml"/><Relationship Id="rId253" Type="http://schemas.openxmlformats.org/officeDocument/2006/relationships/ctrlProp" Target="../ctrlProps/ctrlProp1241.xml"/><Relationship Id="rId274" Type="http://schemas.openxmlformats.org/officeDocument/2006/relationships/ctrlProp" Target="../ctrlProps/ctrlProp1262.xml"/><Relationship Id="rId27" Type="http://schemas.openxmlformats.org/officeDocument/2006/relationships/ctrlProp" Target="../ctrlProps/ctrlProp1015.xml"/><Relationship Id="rId48" Type="http://schemas.openxmlformats.org/officeDocument/2006/relationships/ctrlProp" Target="../ctrlProps/ctrlProp1036.xml"/><Relationship Id="rId69" Type="http://schemas.openxmlformats.org/officeDocument/2006/relationships/ctrlProp" Target="../ctrlProps/ctrlProp1057.xml"/><Relationship Id="rId113" Type="http://schemas.openxmlformats.org/officeDocument/2006/relationships/ctrlProp" Target="../ctrlProps/ctrlProp1101.xml"/><Relationship Id="rId134" Type="http://schemas.openxmlformats.org/officeDocument/2006/relationships/ctrlProp" Target="../ctrlProps/ctrlProp1122.xml"/><Relationship Id="rId80" Type="http://schemas.openxmlformats.org/officeDocument/2006/relationships/ctrlProp" Target="../ctrlProps/ctrlProp1068.xml"/><Relationship Id="rId155" Type="http://schemas.openxmlformats.org/officeDocument/2006/relationships/ctrlProp" Target="../ctrlProps/ctrlProp1143.xml"/><Relationship Id="rId176" Type="http://schemas.openxmlformats.org/officeDocument/2006/relationships/ctrlProp" Target="../ctrlProps/ctrlProp1164.xml"/><Relationship Id="rId197" Type="http://schemas.openxmlformats.org/officeDocument/2006/relationships/ctrlProp" Target="../ctrlProps/ctrlProp1185.xml"/><Relationship Id="rId201" Type="http://schemas.openxmlformats.org/officeDocument/2006/relationships/ctrlProp" Target="../ctrlProps/ctrlProp1189.xml"/><Relationship Id="rId222" Type="http://schemas.openxmlformats.org/officeDocument/2006/relationships/ctrlProp" Target="../ctrlProps/ctrlProp1210.xml"/><Relationship Id="rId243" Type="http://schemas.openxmlformats.org/officeDocument/2006/relationships/ctrlProp" Target="../ctrlProps/ctrlProp1231.xml"/><Relationship Id="rId264" Type="http://schemas.openxmlformats.org/officeDocument/2006/relationships/ctrlProp" Target="../ctrlProps/ctrlProp1252.xml"/><Relationship Id="rId17" Type="http://schemas.openxmlformats.org/officeDocument/2006/relationships/ctrlProp" Target="../ctrlProps/ctrlProp1005.xml"/><Relationship Id="rId38" Type="http://schemas.openxmlformats.org/officeDocument/2006/relationships/ctrlProp" Target="../ctrlProps/ctrlProp1026.xml"/><Relationship Id="rId59" Type="http://schemas.openxmlformats.org/officeDocument/2006/relationships/ctrlProp" Target="../ctrlProps/ctrlProp1047.xml"/><Relationship Id="rId103" Type="http://schemas.openxmlformats.org/officeDocument/2006/relationships/ctrlProp" Target="../ctrlProps/ctrlProp1091.xml"/><Relationship Id="rId124" Type="http://schemas.openxmlformats.org/officeDocument/2006/relationships/ctrlProp" Target="../ctrlProps/ctrlProp1112.xml"/><Relationship Id="rId70" Type="http://schemas.openxmlformats.org/officeDocument/2006/relationships/ctrlProp" Target="../ctrlProps/ctrlProp1058.xml"/><Relationship Id="rId91" Type="http://schemas.openxmlformats.org/officeDocument/2006/relationships/ctrlProp" Target="../ctrlProps/ctrlProp1079.xml"/><Relationship Id="rId145" Type="http://schemas.openxmlformats.org/officeDocument/2006/relationships/ctrlProp" Target="../ctrlProps/ctrlProp1133.xml"/><Relationship Id="rId166" Type="http://schemas.openxmlformats.org/officeDocument/2006/relationships/ctrlProp" Target="../ctrlProps/ctrlProp1154.xml"/><Relationship Id="rId187" Type="http://schemas.openxmlformats.org/officeDocument/2006/relationships/ctrlProp" Target="../ctrlProps/ctrlProp1175.xml"/><Relationship Id="rId1" Type="http://schemas.openxmlformats.org/officeDocument/2006/relationships/printerSettings" Target="../printerSettings/printerSettings52.bin"/><Relationship Id="rId212" Type="http://schemas.openxmlformats.org/officeDocument/2006/relationships/ctrlProp" Target="../ctrlProps/ctrlProp1200.xml"/><Relationship Id="rId233" Type="http://schemas.openxmlformats.org/officeDocument/2006/relationships/ctrlProp" Target="../ctrlProps/ctrlProp1221.xml"/><Relationship Id="rId254" Type="http://schemas.openxmlformats.org/officeDocument/2006/relationships/ctrlProp" Target="../ctrlProps/ctrlProp1242.xml"/><Relationship Id="rId28" Type="http://schemas.openxmlformats.org/officeDocument/2006/relationships/ctrlProp" Target="../ctrlProps/ctrlProp1016.xml"/><Relationship Id="rId49" Type="http://schemas.openxmlformats.org/officeDocument/2006/relationships/ctrlProp" Target="../ctrlProps/ctrlProp1037.xml"/><Relationship Id="rId114" Type="http://schemas.openxmlformats.org/officeDocument/2006/relationships/ctrlProp" Target="../ctrlProps/ctrlProp1102.xml"/><Relationship Id="rId275" Type="http://schemas.openxmlformats.org/officeDocument/2006/relationships/ctrlProp" Target="../ctrlProps/ctrlProp1263.xml"/><Relationship Id="rId60" Type="http://schemas.openxmlformats.org/officeDocument/2006/relationships/ctrlProp" Target="../ctrlProps/ctrlProp1048.xml"/><Relationship Id="rId81" Type="http://schemas.openxmlformats.org/officeDocument/2006/relationships/ctrlProp" Target="../ctrlProps/ctrlProp1069.xml"/><Relationship Id="rId135" Type="http://schemas.openxmlformats.org/officeDocument/2006/relationships/ctrlProp" Target="../ctrlProps/ctrlProp1123.xml"/><Relationship Id="rId156" Type="http://schemas.openxmlformats.org/officeDocument/2006/relationships/ctrlProp" Target="../ctrlProps/ctrlProp1144.xml"/><Relationship Id="rId177" Type="http://schemas.openxmlformats.org/officeDocument/2006/relationships/ctrlProp" Target="../ctrlProps/ctrlProp1165.xml"/><Relationship Id="rId198" Type="http://schemas.openxmlformats.org/officeDocument/2006/relationships/ctrlProp" Target="../ctrlProps/ctrlProp1186.xml"/><Relationship Id="rId202" Type="http://schemas.openxmlformats.org/officeDocument/2006/relationships/ctrlProp" Target="../ctrlProps/ctrlProp1190.xml"/><Relationship Id="rId223" Type="http://schemas.openxmlformats.org/officeDocument/2006/relationships/ctrlProp" Target="../ctrlProps/ctrlProp1211.xml"/><Relationship Id="rId244" Type="http://schemas.openxmlformats.org/officeDocument/2006/relationships/ctrlProp" Target="../ctrlProps/ctrlProp1232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tabColor rgb="FF7030A0"/>
    <outlinePr showOutlineSymbols="0"/>
  </sheetPr>
  <dimension ref="A1:CD92"/>
  <sheetViews>
    <sheetView showGridLines="0" showRowColHeaders="0" showZeros="0" showOutlineSymbols="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10.28515625" style="18" customWidth="1"/>
    <col min="2" max="2" width="3" style="18" bestFit="1" customWidth="1"/>
    <col min="3" max="3" width="27" style="18" customWidth="1"/>
    <col min="4" max="4" width="13.42578125" style="18" customWidth="1"/>
    <col min="5" max="5" width="11.140625" style="18" customWidth="1"/>
    <col min="6" max="6" width="11" style="18" customWidth="1"/>
    <col min="7" max="7" width="16.5703125" style="18" customWidth="1"/>
    <col min="8" max="8" width="20.140625" style="18" customWidth="1"/>
    <col min="9" max="9" width="13.28515625" style="18" customWidth="1"/>
    <col min="10" max="10" width="9.140625" style="18"/>
    <col min="11" max="11" width="12.7109375" style="18" customWidth="1"/>
    <col min="12" max="13" width="9.140625" style="18"/>
    <col min="14" max="15" width="9.42578125" style="18" bestFit="1" customWidth="1"/>
    <col min="16" max="16384" width="9.140625" style="18"/>
  </cols>
  <sheetData>
    <row r="1" spans="1:82" s="251" customFormat="1" ht="7.5" customHeight="1" x14ac:dyDescent="0.2">
      <c r="A1" s="589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2">
      <c r="A2" s="250"/>
      <c r="B2" s="250"/>
      <c r="C2" s="252" t="s">
        <v>624</v>
      </c>
      <c r="D2" s="253">
        <f ca="1">AfspraakDatum</f>
        <v>42703</v>
      </c>
      <c r="E2" s="254"/>
      <c r="F2" s="252" t="s">
        <v>625</v>
      </c>
      <c r="G2" s="250"/>
      <c r="H2" s="255">
        <f>OpnDatum</f>
        <v>42698</v>
      </c>
      <c r="I2" s="252" t="str">
        <f ca="1">"ICU-dag: "&amp;AfspraakDatum-OpnDatum+1</f>
        <v>ICU-dag: 6</v>
      </c>
      <c r="J2" s="258" t="str">
        <f>"Gewicht: "&amp;Gewicht/10&amp;"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2">
      <c r="A3" s="250"/>
      <c r="B3" s="256"/>
      <c r="C3" s="252" t="s">
        <v>54</v>
      </c>
      <c r="D3" s="257" t="str">
        <f>_AchterNaam&amp;", "&amp;_VoorNaam</f>
        <v>Test, Test</v>
      </c>
      <c r="E3" s="257"/>
      <c r="F3" s="252" t="s">
        <v>639</v>
      </c>
      <c r="G3" s="250"/>
      <c r="H3" s="255">
        <f>GebDatum</f>
        <v>42280</v>
      </c>
      <c r="J3" s="258" t="str">
        <f>"Lengte: "&amp;Lengte&amp;"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2">
      <c r="A4" s="259"/>
      <c r="B4" s="259"/>
      <c r="C4" s="252" t="s">
        <v>708</v>
      </c>
      <c r="D4" s="258">
        <f>PatNummer</f>
        <v>123456</v>
      </c>
      <c r="E4" s="254"/>
      <c r="F4" s="252" t="s">
        <v>574</v>
      </c>
      <c r="G4" s="259"/>
      <c r="H4" s="260" t="str">
        <f ca="1">TRUNC((AfspraakDatum-GebDatum)/365,0)&amp;" jaar en "&amp;TRUNC(((AfspraakDatum-GebDatum)-365*TRUNC((AfspraakDatum-GebDatum)/365,0))/30,0)&amp;" maand(-en)"</f>
        <v>1 jaar en 1 maand(-en)</v>
      </c>
      <c r="I4" s="252"/>
      <c r="J4" s="252" t="str">
        <f>"Lichamelijk oppervlak: "&amp;ROUND(POWER(Gewicht/10,0.425)*POWER(((Lengte/100)*100),0.725)*0.007184,2)&amp;"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2">
      <c r="A5" s="259"/>
      <c r="B5" s="259"/>
      <c r="C5" s="268" t="s">
        <v>1004</v>
      </c>
      <c r="D5" s="268" t="str">
        <f>BedNummer</f>
        <v>Unit 2.9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x14ac:dyDescent="0.2">
      <c r="A6" s="594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x14ac:dyDescent="0.2">
      <c r="A7" s="132"/>
      <c r="B7" s="140"/>
      <c r="C7" s="143" t="s">
        <v>685</v>
      </c>
      <c r="D7" s="158" t="s">
        <v>441</v>
      </c>
      <c r="E7" s="143" t="s">
        <v>330</v>
      </c>
      <c r="F7" s="159"/>
      <c r="G7" s="143" t="s">
        <v>96</v>
      </c>
      <c r="H7" s="143" t="s">
        <v>686</v>
      </c>
      <c r="I7" s="143"/>
      <c r="J7" s="143" t="s">
        <v>632</v>
      </c>
      <c r="K7" s="143" t="s">
        <v>664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75" customHeight="1" x14ac:dyDescent="0.2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2">
      <c r="A9" s="132"/>
      <c r="B9" s="140">
        <v>1</v>
      </c>
      <c r="C9" s="265">
        <f>INDEX(tblMedicationContIV,ber_IVmed!$B3,1)</f>
        <v>0</v>
      </c>
      <c r="D9" s="161" t="str">
        <f>INDEX(tblMedicationContIV,ber_IVmed!$B3,15)&amp;" "&amp;INDEX(tblMedicationContIV,ber_IVmed!$B3,4)</f>
        <v xml:space="preserve"> </v>
      </c>
      <c r="E9" s="149" t="str">
        <f>IF(AND(C9&lt;&gt;0,INDEX(tblMedicationContIV,ber_IVmed!$B3,16)&lt;&gt;""),INDEX(tblMedicationContIV,ber_IVmed!$B3,16)&amp;" ml","")</f>
        <v/>
      </c>
      <c r="F9" s="142">
        <f>INDEX(tblOplossing,ber_IVmed!F3,1)</f>
        <v>0</v>
      </c>
      <c r="G9" s="149" t="str">
        <f>IF(C9&lt;&gt;0,ber_IVmed!G3/10&amp;" ml/uur","")</f>
        <v/>
      </c>
      <c r="H9" s="149">
        <f>IF(C9&lt;&gt;0,(ber_IVmed!G3/10)*INDEX(tblMedicationContIV,ber_IVmed!$B3,18),0)</f>
        <v>0</v>
      </c>
      <c r="I9" s="149">
        <f>INDEX(tblMedicationContIV,ber_IVmed!$B3,2)</f>
        <v>0</v>
      </c>
      <c r="J9" s="150" t="str">
        <f>IF(C9&lt;&gt;0,24*ber_IVmed!G3/10&amp;" ml","")</f>
        <v/>
      </c>
      <c r="K9" s="167">
        <f>INDEX(tblMedicationContIV,ber_IVmed!$B3,3)</f>
        <v>0</v>
      </c>
      <c r="L9" s="150"/>
      <c r="M9" s="150"/>
      <c r="N9" s="612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IF(C9&lt;&gt;0,INDEX(tblMedicationContIV,ber_IVmed!$B3,6)*(ber_IVmed!G3/10))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2">
      <c r="A10" s="132"/>
      <c r="B10" s="140">
        <v>2</v>
      </c>
      <c r="C10" s="265">
        <f>INDEX(tblMedicationContIV,ber_IVmed!$B4,1)</f>
        <v>0</v>
      </c>
      <c r="D10" s="161" t="str">
        <f>INDEX(tblMedicationContIV,ber_IVmed!$B4,15)&amp;" "&amp;INDEX(tblMedicationContIV,ber_IVmed!$B4,4)</f>
        <v xml:space="preserve"> </v>
      </c>
      <c r="E10" s="151" t="str">
        <f>IF(AND(C10&lt;&gt;0,INDEX(tblMedicationContIV,ber_IVmed!$B4,16)&lt;&gt;""),INDEX(tblMedicationContIV,ber_IVmed!$B4,16)&amp;" ml","")</f>
        <v/>
      </c>
      <c r="F10" s="142">
        <f>INDEX(tblOplossing,ber_IVmed!F4,1)</f>
        <v>0</v>
      </c>
      <c r="G10" s="151" t="str">
        <f>IF(C10&lt;&gt;0,ber_IVmed!G4/10&amp;" ml/uur","")</f>
        <v/>
      </c>
      <c r="H10" s="149">
        <f>IF(C10&lt;&gt;0,(ber_IVmed!G4/10)*INDEX(tblMedicationContIV,ber_IVmed!$B4,18),0)</f>
        <v>0</v>
      </c>
      <c r="I10" s="149">
        <f>INDEX(tblMedicationContIV,ber_IVmed!$B4,2)</f>
        <v>0</v>
      </c>
      <c r="J10" s="152" t="str">
        <f>IF(C10&lt;&gt;0,24*ber_IVmed!G4/10&amp;" ml","")</f>
        <v/>
      </c>
      <c r="K10" s="168">
        <f>INDEX(tblMedicationContIV,ber_IVmed!$B4,3)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IF(C10&lt;&gt;0,INDEX(tblMedicationContIV,ber_IVmed!$B4,6)*(ber_IVmed!G4/10))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2">
      <c r="A11" s="132"/>
      <c r="B11" s="140">
        <v>3</v>
      </c>
      <c r="C11" s="265">
        <f>INDEX(tblMedicationContIV,ber_IVmed!$B5,1)</f>
        <v>0</v>
      </c>
      <c r="D11" s="161" t="str">
        <f>INDEX(tblMedicationContIV,ber_IVmed!$B5,15)&amp;" "&amp;INDEX(tblMedicationContIV,ber_IVmed!$B5,4)</f>
        <v xml:space="preserve"> </v>
      </c>
      <c r="E11" s="151" t="str">
        <f>IF(AND(C11&lt;&gt;0,INDEX(tblMedicationContIV,ber_IVmed!$B5,16)&lt;&gt;""),INDEX(tblMedicationContIV,ber_IVmed!$B5,16)&amp;" ml","")</f>
        <v/>
      </c>
      <c r="F11" s="142">
        <f>INDEX(tblOplossing,ber_IVmed!F5,1)</f>
        <v>0</v>
      </c>
      <c r="G11" s="151" t="str">
        <f>IF(C11&lt;&gt;0,ber_IVmed!G5/10&amp;" ml/uur","")</f>
        <v/>
      </c>
      <c r="H11" s="149">
        <f>IF(C11&lt;&gt;0,(ber_IVmed!G5/10)*INDEX(tblMedicationContIV,ber_IVmed!$B5,18),0)</f>
        <v>0</v>
      </c>
      <c r="I11" s="149">
        <f>INDEX(tblMedicationContIV,ber_IVmed!$B5,2)</f>
        <v>0</v>
      </c>
      <c r="J11" s="152" t="str">
        <f>IF(C11&lt;&gt;0,24*ber_IVmed!G5/10&amp;" ml","")</f>
        <v/>
      </c>
      <c r="K11" s="168">
        <f>INDEX(tblMedicationContIV,ber_IVmed!$B5,3)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IF(C11&lt;&gt;0,INDEX(tblMedicationContIV,ber_IVmed!$B5,6)*(ber_IVmed!G5/10))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2">
      <c r="A12" s="132"/>
      <c r="B12" s="140">
        <v>4</v>
      </c>
      <c r="C12" s="265">
        <f>INDEX(tblMedicationContIV,ber_IVmed!$B6,1)</f>
        <v>0</v>
      </c>
      <c r="D12" s="161" t="str">
        <f>INDEX(tblMedicationContIV,ber_IVmed!$B6,15)&amp;" "&amp;INDEX(tblMedicationContIV,ber_IVmed!$B6,4)</f>
        <v xml:space="preserve"> </v>
      </c>
      <c r="E12" s="151" t="str">
        <f>IF(AND(C12&lt;&gt;0,INDEX(tblMedicationContIV,ber_IVmed!$B6,16)&lt;&gt;""),INDEX(tblMedicationContIV,ber_IVmed!$B6,16)&amp;" ml","")</f>
        <v/>
      </c>
      <c r="F12" s="142">
        <f>INDEX(tblOplossing,ber_IVmed!F6,1)</f>
        <v>0</v>
      </c>
      <c r="G12" s="151" t="str">
        <f>IF(C12&lt;&gt;0,ber_IVmed!G6/10&amp;" ml/uur","")</f>
        <v/>
      </c>
      <c r="H12" s="149">
        <f>IF(C12&lt;&gt;0,(ber_IVmed!G6/10)*INDEX(tblMedicationContIV,ber_IVmed!$B6,18),0)</f>
        <v>0</v>
      </c>
      <c r="I12" s="149">
        <f>INDEX(tblMedicationContIV,ber_IVmed!$B6,2)</f>
        <v>0</v>
      </c>
      <c r="J12" s="152" t="str">
        <f>IF(C12&lt;&gt;0,24*ber_IVmed!G6/10&amp;" ml","")</f>
        <v/>
      </c>
      <c r="K12" s="168">
        <f>INDEX(tblMedicationContIV,ber_IVmed!$B6,3)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IF(C12&lt;&gt;0,INDEX(tblMedicationContIV,ber_IVmed!$B6,6)*(ber_IVmed!G6/10))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2">
      <c r="A13" s="132"/>
      <c r="B13" s="140">
        <v>5</v>
      </c>
      <c r="C13" s="265">
        <f>INDEX(tblMedicationContIV,ber_IVmed!$B7,1)</f>
        <v>0</v>
      </c>
      <c r="D13" s="161" t="str">
        <f>INDEX(tblMedicationContIV,ber_IVmed!$B7,15)&amp;" "&amp;INDEX(tblMedicationContIV,ber_IVmed!$B7,4)</f>
        <v xml:space="preserve"> </v>
      </c>
      <c r="E13" s="151" t="str">
        <f>IF(AND(C13&lt;&gt;0,INDEX(tblMedicationContIV,ber_IVmed!$B7,16)&lt;&gt;""),INDEX(tblMedicationContIV,ber_IVmed!$B7,16)&amp;" ml","")</f>
        <v/>
      </c>
      <c r="F13" s="142">
        <f>INDEX(tblOplossing,ber_IVmed!F7,1)</f>
        <v>0</v>
      </c>
      <c r="G13" s="151" t="str">
        <f>IF(C13&lt;&gt;0,ber_IVmed!G7/10&amp;" ml/uur","")</f>
        <v/>
      </c>
      <c r="H13" s="149">
        <f>IF(C13&lt;&gt;0,(ber_IVmed!G7/10)*INDEX(tblMedicationContIV,ber_IVmed!$B7,18),0)</f>
        <v>0</v>
      </c>
      <c r="I13" s="149">
        <f>INDEX(tblMedicationContIV,ber_IVmed!$B7,2)</f>
        <v>0</v>
      </c>
      <c r="J13" s="152" t="str">
        <f>IF(C13&lt;&gt;0,24*ber_IVmed!G7/10&amp;" ml","")</f>
        <v/>
      </c>
      <c r="K13" s="168">
        <f>INDEX(tblMedicationContIV,ber_IVmed!$B7,3)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IF(C13&lt;&gt;0,INDEX(tblMedicationContIV,ber_IVmed!$B7,6)*(ber_IVmed!G7/10))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2">
      <c r="A14" s="132"/>
      <c r="B14" s="140">
        <v>6</v>
      </c>
      <c r="C14" s="265">
        <f>INDEX(tblMedicationContIV,ber_IVmed!$B8,1)</f>
        <v>0</v>
      </c>
      <c r="D14" s="161" t="str">
        <f>INDEX(tblMedicationContIV,ber_IVmed!$B8,15)&amp;" "&amp;INDEX(tblMedicationContIV,ber_IVmed!$B8,4)</f>
        <v xml:space="preserve"> </v>
      </c>
      <c r="E14" s="151" t="str">
        <f>IF(AND(C14&lt;&gt;0,INDEX(tblMedicationContIV,ber_IVmed!$B8,16)&lt;&gt;""),INDEX(tblMedicationContIV,ber_IVmed!$B8,16)&amp;" ml","")</f>
        <v/>
      </c>
      <c r="F14" s="142">
        <f>INDEX(tblOplossing,ber_IVmed!F8,1)</f>
        <v>0</v>
      </c>
      <c r="G14" s="151" t="str">
        <f>IF(C14&lt;&gt;0,ber_IVmed!G8/10&amp;" ml/uur","")</f>
        <v/>
      </c>
      <c r="H14" s="149">
        <f>IF(C14&lt;&gt;0,(ber_IVmed!G8/10)*INDEX(tblMedicationContIV,ber_IVmed!$B8,18),0)</f>
        <v>0</v>
      </c>
      <c r="I14" s="149">
        <f>INDEX(tblMedicationContIV,ber_IVmed!$B8,2)</f>
        <v>0</v>
      </c>
      <c r="J14" s="152" t="str">
        <f>IF(C14&lt;&gt;0,24*ber_IVmed!G8/10&amp;" ml","")</f>
        <v/>
      </c>
      <c r="K14" s="168">
        <f>INDEX(tblMedicationContIV,ber_IVmed!$B8,3)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IF(C14&lt;&gt;0,INDEX(tblMedicationContIV,ber_IVmed!$B8,6)*(ber_IVmed!G8/10))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2">
      <c r="A15" s="132"/>
      <c r="B15" s="140">
        <v>7</v>
      </c>
      <c r="C15" s="265">
        <f>INDEX(tblMedicationContIV,ber_IVmed!$B9,1)</f>
        <v>0</v>
      </c>
      <c r="D15" s="161" t="str">
        <f>INDEX(tblMedicationContIV,ber_IVmed!$B9,15)&amp;" "&amp;INDEX(tblMedicationContIV,ber_IVmed!$B9,4)</f>
        <v xml:space="preserve"> </v>
      </c>
      <c r="E15" s="151" t="str">
        <f>IF(AND(C15&lt;&gt;0,INDEX(tblMedicationContIV,ber_IVmed!$B9,16)&lt;&gt;""),INDEX(tblMedicationContIV,ber_IVmed!$B9,16)&amp;" ml","")</f>
        <v/>
      </c>
      <c r="F15" s="142">
        <f>INDEX(tblOplossing,ber_IVmed!F9,1)</f>
        <v>0</v>
      </c>
      <c r="G15" s="151" t="str">
        <f>IF(C15&lt;&gt;0,ber_IVmed!G9/10&amp;" ml/uur","")</f>
        <v/>
      </c>
      <c r="H15" s="149">
        <f>IF(C15&lt;&gt;0,(ber_IVmed!G9/10)*INDEX(tblMedicationContIV,ber_IVmed!$B9,18),0)</f>
        <v>0</v>
      </c>
      <c r="I15" s="149">
        <f>INDEX(tblMedicationContIV,ber_IVmed!$B9,2)</f>
        <v>0</v>
      </c>
      <c r="J15" s="152" t="str">
        <f>IF(C15&lt;&gt;0,24*ber_IVmed!G9/10&amp;" ml","")</f>
        <v/>
      </c>
      <c r="K15" s="168">
        <f>INDEX(tblMedicationContIV,ber_IVmed!$B9,3)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IF(C15&lt;&gt;0,INDEX(tblMedicationContIV,ber_IVmed!$B9,6)*(ber_IVmed!G9/10))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2">
      <c r="A16" s="132"/>
      <c r="B16" s="140">
        <v>8</v>
      </c>
      <c r="C16" s="265">
        <f>INDEX(tblMedicationContIV,ber_IVmed!$B10,1)</f>
        <v>0</v>
      </c>
      <c r="D16" s="161" t="str">
        <f>INDEX(tblMedicationContIV,ber_IVmed!$B10,15)&amp;" "&amp;INDEX(tblMedicationContIV,ber_IVmed!$B10,4)</f>
        <v xml:space="preserve"> </v>
      </c>
      <c r="E16" s="151" t="str">
        <f>IF(AND(C16&lt;&gt;0,INDEX(tblMedicationContIV,ber_IVmed!$B10,16)&lt;&gt;""),INDEX(tblMedicationContIV,ber_IVmed!$B10,16)&amp;" ml","")</f>
        <v/>
      </c>
      <c r="F16" s="142">
        <f>INDEX(tblOplossing,ber_IVmed!F10,1)</f>
        <v>0</v>
      </c>
      <c r="G16" s="151" t="str">
        <f>IF(C16&lt;&gt;0,ber_IVmed!G10/10&amp;" ml/uur","")</f>
        <v/>
      </c>
      <c r="H16" s="149">
        <f>IF(C16&lt;&gt;0,(ber_IVmed!G10/10)*INDEX(tblMedicationContIV,ber_IVmed!$B10,18),0)</f>
        <v>0</v>
      </c>
      <c r="I16" s="149">
        <f>INDEX(tblMedicationContIV,ber_IVmed!$B10,2)</f>
        <v>0</v>
      </c>
      <c r="J16" s="152" t="str">
        <f>IF(C16&lt;&gt;0,24*ber_IVmed!G10/10&amp;" ml","")</f>
        <v/>
      </c>
      <c r="K16" s="168">
        <f>INDEX(tblMedicationContIV,ber_IVmed!$B10,3)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IF(C16&lt;&gt;0,INDEX(tblMedicationContIV,ber_IVmed!$B10,6)*(ber_IVmed!G10/10))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2">
      <c r="A17" s="132"/>
      <c r="B17" s="140">
        <v>9</v>
      </c>
      <c r="C17" s="265">
        <f>INDEX(tblMedicationContIV,ber_IVmed!$B11,1)</f>
        <v>0</v>
      </c>
      <c r="D17" s="161" t="str">
        <f>INDEX(tblMedicationContIV,ber_IVmed!$B11,15)&amp;" "&amp;INDEX(tblMedicationContIV,ber_IVmed!$B11,4)</f>
        <v xml:space="preserve"> </v>
      </c>
      <c r="E17" s="151" t="str">
        <f>IF(AND(C17&lt;&gt;0,INDEX(tblMedicationContIV,ber_IVmed!$B11,16)&lt;&gt;""),INDEX(tblMedicationContIV,ber_IVmed!$B11,16)&amp;" ml","")</f>
        <v/>
      </c>
      <c r="F17" s="142">
        <f>INDEX(tblOplossing,ber_IVmed!F11,1)</f>
        <v>0</v>
      </c>
      <c r="G17" s="151" t="str">
        <f>IF(C17&lt;&gt;0,ber_IVmed!G11/10&amp;" ml/uur","")</f>
        <v/>
      </c>
      <c r="H17" s="149">
        <f>IF(C17&lt;&gt;0,(ber_IVmed!G11/10)*INDEX(tblMedicationContIV,ber_IVmed!$B11,18),0)</f>
        <v>0</v>
      </c>
      <c r="I17" s="149">
        <f>INDEX(tblMedicationContIV,ber_IVmed!$B11,2)</f>
        <v>0</v>
      </c>
      <c r="J17" s="152" t="str">
        <f>IF(C17&lt;&gt;0,24*ber_IVmed!G11/10&amp;" ml","")</f>
        <v/>
      </c>
      <c r="K17" s="168">
        <f>INDEX(tblMedicationContIV,ber_IVmed!$B11,3)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IF(C17&lt;&gt;0,INDEX(tblMedicationContIV,ber_IVmed!$B11,6)*(ber_IVmed!G11/10))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2">
      <c r="A18" s="132"/>
      <c r="B18" s="140">
        <v>10</v>
      </c>
      <c r="C18" s="265">
        <f>INDEX(tblMedicationContIV,ber_IVmed!$B12,1)</f>
        <v>0</v>
      </c>
      <c r="D18" s="161" t="str">
        <f>INDEX(tblMedicationContIV,ber_IVmed!$B12,15)&amp;" "&amp;INDEX(tblMedicationContIV,ber_IVmed!$B12,4)</f>
        <v xml:space="preserve"> </v>
      </c>
      <c r="E18" s="151" t="str">
        <f>IF(AND(C18&lt;&gt;0,INDEX(tblMedicationContIV,ber_IVmed!$B12,16)&lt;&gt;""),INDEX(tblMedicationContIV,ber_IVmed!$B12,16)&amp;" ml","")</f>
        <v/>
      </c>
      <c r="F18" s="142">
        <f>INDEX(tblOplossing,ber_IVmed!F12,1)</f>
        <v>0</v>
      </c>
      <c r="G18" s="151" t="str">
        <f>IF(C18&lt;&gt;0,ber_IVmed!G12/10&amp;" ml/uur","")</f>
        <v/>
      </c>
      <c r="H18" s="149">
        <f>IF(C18&lt;&gt;0,(ber_IVmed!G12/10)*INDEX(tblMedicationContIV,ber_IVmed!$B12,18),0)</f>
        <v>0</v>
      </c>
      <c r="I18" s="149">
        <f>INDEX(tblMedicationContIV,ber_IVmed!$B12,2)</f>
        <v>0</v>
      </c>
      <c r="J18" s="152" t="str">
        <f>IF(C18&lt;&gt;0,24*ber_IVmed!G12/10&amp;" ml","")</f>
        <v/>
      </c>
      <c r="K18" s="168">
        <f>INDEX(tblMedicationContIV,ber_IVmed!$B12,3)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IF(C18&lt;&gt;0,INDEX(tblMedicationContIV,ber_IVmed!$B12,6)*(ber_IVmed!G12/10))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2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2">
      <c r="A20" s="132"/>
      <c r="B20" s="140">
        <v>11</v>
      </c>
      <c r="C20" s="153">
        <f>MedIVKeuze_11</f>
        <v>0</v>
      </c>
      <c r="D20" s="154">
        <f>MedIVSterkte_11</f>
        <v>0</v>
      </c>
      <c r="E20" s="155" t="str">
        <f>IF(C20&lt;&gt;0,ber_IVmed!E13&amp;" ml","")</f>
        <v/>
      </c>
      <c r="F20" s="227">
        <f>INDEX(tblOplossing,ber_IVmed!F13,1)</f>
        <v>0</v>
      </c>
      <c r="G20" s="155">
        <f>IF(C20&lt;&gt;"",IF(ber_IVmed!G13&lt;&gt;0,ber_IVmed!G13/10&amp;" ml/uur",0),"")</f>
        <v>0</v>
      </c>
      <c r="H20" s="155"/>
      <c r="I20" s="155"/>
      <c r="J20" s="156" t="str">
        <f>IF(ber_IVmed!H13&lt;&gt;0,ber_IVmed!H13&amp;"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2">
      <c r="A21" s="132"/>
      <c r="B21" s="140">
        <v>12</v>
      </c>
      <c r="C21" s="157">
        <f>MedIVKeuze_12</f>
        <v>0</v>
      </c>
      <c r="D21" s="157">
        <f>MedIVSterkte_12</f>
        <v>0</v>
      </c>
      <c r="E21" s="151" t="str">
        <f>IF(C21&lt;&gt;0,ber_IVmed!E14&amp;" ml","")</f>
        <v/>
      </c>
      <c r="F21" s="228">
        <f>INDEX(tblOplossing,ber_IVmed!F14,1)</f>
        <v>0</v>
      </c>
      <c r="G21" s="151">
        <f>IF(C21&lt;&gt;"",IF(ber_IVmed!G14&lt;&gt;0,ber_IVmed!G14/10&amp;" ml/uur",0),"")</f>
        <v>0</v>
      </c>
      <c r="H21" s="155"/>
      <c r="I21" s="155"/>
      <c r="J21" s="152" t="str">
        <f>IF(ber_IVmed!H14&lt;&gt;0,ber_IVmed!H14&amp;"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2">
      <c r="A22" s="132"/>
      <c r="B22" s="140">
        <v>13</v>
      </c>
      <c r="C22" s="157">
        <f>MedIVKeuze_13</f>
        <v>0</v>
      </c>
      <c r="D22" s="157">
        <f>MedIVSterkte_13</f>
        <v>0</v>
      </c>
      <c r="E22" s="151" t="str">
        <f>IF(C22&lt;&gt;0,ber_IVmed!E15&amp;" ml","")</f>
        <v/>
      </c>
      <c r="F22" s="228">
        <f>INDEX(tblOplossing,ber_IVmed!F15,1)</f>
        <v>0</v>
      </c>
      <c r="G22" s="151">
        <f>IF(C22&lt;&gt;"",IF(ber_IVmed!G15&lt;&gt;0,ber_IVmed!G15/10&amp;" ml/uur",0),"")</f>
        <v>0</v>
      </c>
      <c r="H22" s="155"/>
      <c r="I22" s="155"/>
      <c r="J22" s="152" t="str">
        <f>IF(ber_IVmed!H15&lt;&gt;0,ber_IVmed!H15&amp;"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2">
      <c r="A23" s="132"/>
      <c r="B23" s="140">
        <v>14</v>
      </c>
      <c r="C23" s="157">
        <f>MedIVKeuze_14</f>
        <v>0</v>
      </c>
      <c r="D23" s="157">
        <f>MedIVSterkte_14</f>
        <v>0</v>
      </c>
      <c r="E23" s="151" t="str">
        <f>IF(C23&lt;&gt;0,ber_IVmed!E16&amp;" ml","")</f>
        <v/>
      </c>
      <c r="F23" s="228">
        <f>INDEX(tblOplossing,ber_IVmed!F16,1)</f>
        <v>0</v>
      </c>
      <c r="G23" s="151">
        <f>IF(C23&lt;&gt;"",IF(ber_IVmed!G16&lt;&gt;0,ber_IVmed!G16/10&amp;" ml/uur",0),"")</f>
        <v>0</v>
      </c>
      <c r="H23" s="155"/>
      <c r="I23" s="155"/>
      <c r="J23" s="152" t="str">
        <f>IF(ber_IVmed!H16&lt;&gt;0,ber_IVmed!H16&amp;"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2">
      <c r="A24" s="132"/>
      <c r="B24" s="140">
        <v>15</v>
      </c>
      <c r="C24" s="157">
        <f>MedIVKeuze_15</f>
        <v>0</v>
      </c>
      <c r="D24" s="157">
        <f>MedIVSterkte_15</f>
        <v>0</v>
      </c>
      <c r="E24" s="151" t="str">
        <f>IF(C24&lt;&gt;0,ber_IVmed!E17&amp;" ml","")</f>
        <v/>
      </c>
      <c r="F24" s="228">
        <f>INDEX(tblOplossing,ber_IVmed!F17,1)</f>
        <v>0</v>
      </c>
      <c r="G24" s="151">
        <f>IF(C24&lt;&gt;"",IF(ber_IVmed!G17&lt;&gt;0,ber_IVmed!G17/10&amp;" ml/uur",0),"")</f>
        <v>0</v>
      </c>
      <c r="H24" s="155"/>
      <c r="I24" s="155"/>
      <c r="J24" s="152" t="str">
        <f>IF(ber_IVmed!H17&lt;&gt;0,ber_IVmed!H17&amp;"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2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x14ac:dyDescent="0.2">
      <c r="A26" s="132"/>
      <c r="B26" s="132"/>
      <c r="C26" s="164" t="str">
        <f>Intake!B34</f>
        <v>Vocht</v>
      </c>
      <c r="D26" s="165" t="str">
        <f>Intake!D34</f>
        <v>0 ml/kg</v>
      </c>
      <c r="E26" s="164" t="str">
        <f ca="1">Intake!E34</f>
        <v>100 ml/kg</v>
      </c>
      <c r="F26" s="164"/>
      <c r="G26" s="164" t="str">
        <f>Intake!H34</f>
        <v>Eiwit</v>
      </c>
      <c r="H26" s="165" t="str">
        <f>Intake!I34</f>
        <v>0  gram/kg</v>
      </c>
      <c r="I26" s="165"/>
      <c r="J26" s="164" t="str">
        <f>Intake!J34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x14ac:dyDescent="0.2">
      <c r="A27" s="132"/>
      <c r="B27" s="132"/>
      <c r="C27" s="164" t="str">
        <f>Intake!B35</f>
        <v>Calorieen</v>
      </c>
      <c r="D27" s="165" t="str">
        <f>Intake!D35</f>
        <v>0 kCal/kg</v>
      </c>
      <c r="E27" s="164" t="str">
        <f ca="1">Intake!E35</f>
        <v>95 kCal/kg</v>
      </c>
      <c r="F27" s="164"/>
      <c r="G27" s="164" t="str">
        <f>Intake!H35</f>
        <v>Vet</v>
      </c>
      <c r="H27" s="165" t="str">
        <f>Intake!I35</f>
        <v>0 gram/kg</v>
      </c>
      <c r="I27" s="165"/>
      <c r="J27" s="164" t="str">
        <f>Intake!J35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x14ac:dyDescent="0.2">
      <c r="A28" s="132"/>
      <c r="B28" s="132"/>
      <c r="C28" s="164" t="str">
        <f>Intake!B36</f>
        <v>Glucose/KH</v>
      </c>
      <c r="D28" s="165" t="str">
        <f>Intake!D36</f>
        <v>0 g/kg</v>
      </c>
      <c r="E28" s="164" t="str">
        <f>Intake!E36</f>
        <v>3,6 g/kg</v>
      </c>
      <c r="F28" s="164"/>
      <c r="G28" s="164" t="str">
        <f>Intake!H36</f>
        <v>Calcium</v>
      </c>
      <c r="H28" s="165" t="str">
        <f>Intake!I36</f>
        <v>0 mmol/kg</v>
      </c>
      <c r="I28" s="165"/>
      <c r="J28" s="164" t="str">
        <f>Intake!J36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x14ac:dyDescent="0.2">
      <c r="A29" s="132"/>
      <c r="B29" s="132"/>
      <c r="C29" s="164" t="str">
        <f>Intake!B37</f>
        <v xml:space="preserve">Natrium </v>
      </c>
      <c r="D29" s="165" t="str">
        <f>Intake!D37</f>
        <v>0 mmol/kg</v>
      </c>
      <c r="E29" s="164" t="str">
        <f>Intake!E37</f>
        <v>2-4 mmol/kg</v>
      </c>
      <c r="F29" s="164"/>
      <c r="G29" s="164" t="str">
        <f>Intake!H37</f>
        <v>Magnesium</v>
      </c>
      <c r="H29" s="165" t="str">
        <f>Intake!I37</f>
        <v>0 mmol/kg</v>
      </c>
      <c r="I29" s="165"/>
      <c r="J29" s="164" t="str">
        <f>Intake!J37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x14ac:dyDescent="0.2">
      <c r="A30" s="132"/>
      <c r="B30" s="132"/>
      <c r="C30" s="164" t="str">
        <f>Intake!B38</f>
        <v>Kalium</v>
      </c>
      <c r="D30" s="165" t="str">
        <f>Intake!D38</f>
        <v>0 mmol/kg</v>
      </c>
      <c r="E30" s="164" t="str">
        <f>Intake!E38</f>
        <v>1-2 mmol/kg</v>
      </c>
      <c r="F30" s="164"/>
      <c r="G30" s="164" t="str">
        <f>Intake!H38</f>
        <v>Fosfaat</v>
      </c>
      <c r="H30" s="165" t="str">
        <f>Intake!I38</f>
        <v>0 mmol/kg</v>
      </c>
      <c r="I30" s="165"/>
      <c r="J30" s="164" t="str">
        <f>Intake!J38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2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2">
      <c r="A32" s="132"/>
      <c r="B32" s="132"/>
      <c r="C32" s="163" t="s">
        <v>597</v>
      </c>
      <c r="D32" s="835">
        <f>ber_Opm!C4</f>
        <v>0</v>
      </c>
      <c r="E32" s="836"/>
      <c r="F32" s="836"/>
      <c r="G32" s="836"/>
      <c r="H32" s="836"/>
      <c r="I32" s="836"/>
      <c r="J32" s="836"/>
      <c r="K32" s="836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2">
      <c r="A33" s="132"/>
      <c r="B33" s="132"/>
      <c r="C33" s="144"/>
      <c r="D33" s="836"/>
      <c r="E33" s="836"/>
      <c r="F33" s="836"/>
      <c r="G33" s="836"/>
      <c r="H33" s="836"/>
      <c r="I33" s="836"/>
      <c r="J33" s="836"/>
      <c r="K33" s="836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2">
      <c r="A34" s="132"/>
      <c r="B34" s="132"/>
      <c r="C34" s="144"/>
      <c r="D34" s="836"/>
      <c r="E34" s="836"/>
      <c r="F34" s="836"/>
      <c r="G34" s="836"/>
      <c r="H34" s="836"/>
      <c r="I34" s="836"/>
      <c r="J34" s="836"/>
      <c r="K34" s="836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2">
      <c r="A35" s="132"/>
      <c r="B35" s="132"/>
      <c r="C35" s="144"/>
      <c r="D35" s="836"/>
      <c r="E35" s="836"/>
      <c r="F35" s="836"/>
      <c r="G35" s="836"/>
      <c r="H35" s="836"/>
      <c r="I35" s="836"/>
      <c r="J35" s="836"/>
      <c r="K35" s="836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2">
      <c r="A36" s="140"/>
      <c r="B36" s="140"/>
      <c r="C36" s="144"/>
      <c r="D36" s="836"/>
      <c r="E36" s="836"/>
      <c r="F36" s="836"/>
      <c r="G36" s="836"/>
      <c r="H36" s="836"/>
      <c r="I36" s="836"/>
      <c r="J36" s="836"/>
      <c r="K36" s="836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2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2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2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2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2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2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2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2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2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2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2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2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2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2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2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2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2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2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2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2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2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2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2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2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2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2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2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2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2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2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2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2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2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2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2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2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2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2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2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2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2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2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2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2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2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2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2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2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2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2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2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2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2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2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8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28575</xdr:colOff>
                    <xdr:row>8</xdr:row>
                    <xdr:rowOff>47625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28575</xdr:colOff>
                    <xdr:row>9</xdr:row>
                    <xdr:rowOff>47625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28575</xdr:colOff>
                    <xdr:row>10</xdr:row>
                    <xdr:rowOff>47625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28575</xdr:colOff>
                    <xdr:row>11</xdr:row>
                    <xdr:rowOff>47625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28575</xdr:colOff>
                    <xdr:row>12</xdr:row>
                    <xdr:rowOff>47625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28575</xdr:colOff>
                    <xdr:row>13</xdr:row>
                    <xdr:rowOff>47625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28575</xdr:colOff>
                    <xdr:row>14</xdr:row>
                    <xdr:rowOff>47625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28575</xdr:colOff>
                    <xdr:row>15</xdr:row>
                    <xdr:rowOff>47625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28575</xdr:colOff>
                    <xdr:row>16</xdr:row>
                    <xdr:rowOff>47625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19050</xdr:colOff>
                    <xdr:row>8</xdr:row>
                    <xdr:rowOff>19050</xdr:rowOff>
                  </from>
                  <to>
                    <xdr:col>5</xdr:col>
                    <xdr:colOff>723900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19050</xdr:colOff>
                    <xdr:row>9</xdr:row>
                    <xdr:rowOff>19050</xdr:rowOff>
                  </from>
                  <to>
                    <xdr:col>5</xdr:col>
                    <xdr:colOff>723900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19050</xdr:colOff>
                    <xdr:row>10</xdr:row>
                    <xdr:rowOff>19050</xdr:rowOff>
                  </from>
                  <to>
                    <xdr:col>5</xdr:col>
                    <xdr:colOff>723900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19050</xdr:colOff>
                    <xdr:row>11</xdr:row>
                    <xdr:rowOff>19050</xdr:rowOff>
                  </from>
                  <to>
                    <xdr:col>5</xdr:col>
                    <xdr:colOff>723900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19050</xdr:colOff>
                    <xdr:row>12</xdr:row>
                    <xdr:rowOff>19050</xdr:rowOff>
                  </from>
                  <to>
                    <xdr:col>5</xdr:col>
                    <xdr:colOff>723900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19050</xdr:colOff>
                    <xdr:row>13</xdr:row>
                    <xdr:rowOff>19050</xdr:rowOff>
                  </from>
                  <to>
                    <xdr:col>5</xdr:col>
                    <xdr:colOff>723900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5</xdr:col>
                    <xdr:colOff>723900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19050</xdr:colOff>
                    <xdr:row>15</xdr:row>
                    <xdr:rowOff>19050</xdr:rowOff>
                  </from>
                  <to>
                    <xdr:col>5</xdr:col>
                    <xdr:colOff>723900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19050</xdr:colOff>
                    <xdr:row>16</xdr:row>
                    <xdr:rowOff>19050</xdr:rowOff>
                  </from>
                  <to>
                    <xdr:col>5</xdr:col>
                    <xdr:colOff>723900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704850</xdr:colOff>
                    <xdr:row>21</xdr:row>
                    <xdr:rowOff>0</xdr:rowOff>
                  </from>
                  <to>
                    <xdr:col>5</xdr:col>
                    <xdr:colOff>666750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704850</xdr:colOff>
                    <xdr:row>22</xdr:row>
                    <xdr:rowOff>0</xdr:rowOff>
                  </from>
                  <to>
                    <xdr:col>5</xdr:col>
                    <xdr:colOff>666750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704850</xdr:colOff>
                    <xdr:row>23</xdr:row>
                    <xdr:rowOff>0</xdr:rowOff>
                  </from>
                  <to>
                    <xdr:col>5</xdr:col>
                    <xdr:colOff>666750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504825</xdr:colOff>
                    <xdr:row>21</xdr:row>
                    <xdr:rowOff>28575</xdr:rowOff>
                  </from>
                  <to>
                    <xdr:col>4</xdr:col>
                    <xdr:colOff>647700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704850</xdr:colOff>
                    <xdr:row>22</xdr:row>
                    <xdr:rowOff>0</xdr:rowOff>
                  </from>
                  <to>
                    <xdr:col>5</xdr:col>
                    <xdr:colOff>666750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504825</xdr:colOff>
                    <xdr:row>22</xdr:row>
                    <xdr:rowOff>28575</xdr:rowOff>
                  </from>
                  <to>
                    <xdr:col>4</xdr:col>
                    <xdr:colOff>647700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704850</xdr:colOff>
                    <xdr:row>23</xdr:row>
                    <xdr:rowOff>0</xdr:rowOff>
                  </from>
                  <to>
                    <xdr:col>5</xdr:col>
                    <xdr:colOff>666750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504825</xdr:colOff>
                    <xdr:row>23</xdr:row>
                    <xdr:rowOff>28575</xdr:rowOff>
                  </from>
                  <to>
                    <xdr:col>4</xdr:col>
                    <xdr:colOff>647700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819150</xdr:colOff>
                    <xdr:row>21</xdr:row>
                    <xdr:rowOff>19050</xdr:rowOff>
                  </from>
                  <to>
                    <xdr:col>6</xdr:col>
                    <xdr:colOff>962025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819150</xdr:colOff>
                    <xdr:row>22</xdr:row>
                    <xdr:rowOff>19050</xdr:rowOff>
                  </from>
                  <to>
                    <xdr:col>6</xdr:col>
                    <xdr:colOff>962025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819150</xdr:colOff>
                    <xdr:row>23</xdr:row>
                    <xdr:rowOff>19050</xdr:rowOff>
                  </from>
                  <to>
                    <xdr:col>6</xdr:col>
                    <xdr:colOff>962025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704850</xdr:colOff>
                    <xdr:row>19</xdr:row>
                    <xdr:rowOff>0</xdr:rowOff>
                  </from>
                  <to>
                    <xdr:col>5</xdr:col>
                    <xdr:colOff>666750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504825</xdr:colOff>
                    <xdr:row>19</xdr:row>
                    <xdr:rowOff>28575</xdr:rowOff>
                  </from>
                  <to>
                    <xdr:col>4</xdr:col>
                    <xdr:colOff>647700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819150</xdr:colOff>
                    <xdr:row>19</xdr:row>
                    <xdr:rowOff>19050</xdr:rowOff>
                  </from>
                  <to>
                    <xdr:col>6</xdr:col>
                    <xdr:colOff>962025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704850</xdr:colOff>
                    <xdr:row>20</xdr:row>
                    <xdr:rowOff>0</xdr:rowOff>
                  </from>
                  <to>
                    <xdr:col>5</xdr:col>
                    <xdr:colOff>666750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504825</xdr:colOff>
                    <xdr:row>20</xdr:row>
                    <xdr:rowOff>28575</xdr:rowOff>
                  </from>
                  <to>
                    <xdr:col>4</xdr:col>
                    <xdr:colOff>647700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819150</xdr:colOff>
                    <xdr:row>20</xdr:row>
                    <xdr:rowOff>19050</xdr:rowOff>
                  </from>
                  <to>
                    <xdr:col>6</xdr:col>
                    <xdr:colOff>962025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28575</xdr:colOff>
                    <xdr:row>17</xdr:row>
                    <xdr:rowOff>47625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19050</xdr:colOff>
                    <xdr:row>17</xdr:row>
                    <xdr:rowOff>19050</xdr:rowOff>
                  </from>
                  <to>
                    <xdr:col>5</xdr:col>
                    <xdr:colOff>723900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1000125</xdr:colOff>
                    <xdr:row>9</xdr:row>
                    <xdr:rowOff>9525</xdr:rowOff>
                  </from>
                  <to>
                    <xdr:col>7</xdr:col>
                    <xdr:colOff>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1000125</xdr:colOff>
                    <xdr:row>10</xdr:row>
                    <xdr:rowOff>9525</xdr:rowOff>
                  </from>
                  <to>
                    <xdr:col>7</xdr:col>
                    <xdr:colOff>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1000125</xdr:colOff>
                    <xdr:row>11</xdr:row>
                    <xdr:rowOff>9525</xdr:rowOff>
                  </from>
                  <to>
                    <xdr:col>7</xdr:col>
                    <xdr:colOff>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1000125</xdr:colOff>
                    <xdr:row>12</xdr:row>
                    <xdr:rowOff>9525</xdr:rowOff>
                  </from>
                  <to>
                    <xdr:col>7</xdr:col>
                    <xdr:colOff>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1000125</xdr:colOff>
                    <xdr:row>13</xdr:row>
                    <xdr:rowOff>9525</xdr:rowOff>
                  </from>
                  <to>
                    <xdr:col>7</xdr:col>
                    <xdr:colOff>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1000125</xdr:colOff>
                    <xdr:row>14</xdr:row>
                    <xdr:rowOff>9525</xdr:rowOff>
                  </from>
                  <to>
                    <xdr:col>7</xdr:col>
                    <xdr:colOff>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1000125</xdr:colOff>
                    <xdr:row>15</xdr:row>
                    <xdr:rowOff>9525</xdr:rowOff>
                  </from>
                  <to>
                    <xdr:col>7</xdr:col>
                    <xdr:colOff>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1000125</xdr:colOff>
                    <xdr:row>16</xdr:row>
                    <xdr:rowOff>9525</xdr:rowOff>
                  </from>
                  <to>
                    <xdr:col>7</xdr:col>
                    <xdr:colOff>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1000125</xdr:colOff>
                    <xdr:row>17</xdr:row>
                    <xdr:rowOff>9525</xdr:rowOff>
                  </from>
                  <to>
                    <xdr:col>7</xdr:col>
                    <xdr:colOff>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800100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609600</xdr:colOff>
                    <xdr:row>9</xdr:row>
                    <xdr:rowOff>9525</xdr:rowOff>
                  </from>
                  <to>
                    <xdr:col>5</xdr:col>
                    <xdr:colOff>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609600</xdr:colOff>
                    <xdr:row>10</xdr:row>
                    <xdr:rowOff>9525</xdr:rowOff>
                  </from>
                  <to>
                    <xdr:col>5</xdr:col>
                    <xdr:colOff>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609600</xdr:colOff>
                    <xdr:row>11</xdr:row>
                    <xdr:rowOff>9525</xdr:rowOff>
                  </from>
                  <to>
                    <xdr:col>5</xdr:col>
                    <xdr:colOff>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609600</xdr:colOff>
                    <xdr:row>12</xdr:row>
                    <xdr:rowOff>9525</xdr:rowOff>
                  </from>
                  <to>
                    <xdr:col>5</xdr:col>
                    <xdr:colOff>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609600</xdr:colOff>
                    <xdr:row>13</xdr:row>
                    <xdr:rowOff>9525</xdr:rowOff>
                  </from>
                  <to>
                    <xdr:col>5</xdr:col>
                    <xdr:colOff>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609600</xdr:colOff>
                    <xdr:row>14</xdr:row>
                    <xdr:rowOff>9525</xdr:rowOff>
                  </from>
                  <to>
                    <xdr:col>5</xdr:col>
                    <xdr:colOff>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609600</xdr:colOff>
                    <xdr:row>15</xdr:row>
                    <xdr:rowOff>9525</xdr:rowOff>
                  </from>
                  <to>
                    <xdr:col>5</xdr:col>
                    <xdr:colOff>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609600</xdr:colOff>
                    <xdr:row>16</xdr:row>
                    <xdr:rowOff>9525</xdr:rowOff>
                  </from>
                  <to>
                    <xdr:col>5</xdr:col>
                    <xdr:colOff>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609600</xdr:colOff>
                    <xdr:row>17</xdr:row>
                    <xdr:rowOff>9525</xdr:rowOff>
                  </from>
                  <to>
                    <xdr:col>5</xdr:col>
                    <xdr:colOff>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790575</xdr:colOff>
                    <xdr:row>11</xdr:row>
                    <xdr:rowOff>28575</xdr:rowOff>
                  </from>
                  <to>
                    <xdr:col>4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790575</xdr:colOff>
                    <xdr:row>12</xdr:row>
                    <xdr:rowOff>28575</xdr:rowOff>
                  </from>
                  <to>
                    <xdr:col>4</xdr:col>
                    <xdr:colOff>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790575</xdr:colOff>
                    <xdr:row>13</xdr:row>
                    <xdr:rowOff>28575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790575</xdr:colOff>
                    <xdr:row>14</xdr:row>
                    <xdr:rowOff>28575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790575</xdr:colOff>
                    <xdr:row>15</xdr:row>
                    <xdr:rowOff>28575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790575</xdr:colOff>
                    <xdr:row>16</xdr:row>
                    <xdr:rowOff>28575</xdr:rowOff>
                  </from>
                  <to>
                    <xdr:col>4</xdr:col>
                    <xdr:colOff>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790575</xdr:colOff>
                    <xdr:row>17</xdr:row>
                    <xdr:rowOff>28575</xdr:rowOff>
                  </from>
                  <to>
                    <xdr:col>4</xdr:col>
                    <xdr:colOff>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609600</xdr:colOff>
                    <xdr:row>8</xdr:row>
                    <xdr:rowOff>9525</xdr:rowOff>
                  </from>
                  <to>
                    <xdr:col>5</xdr:col>
                    <xdr:colOff>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790575</xdr:colOff>
                    <xdr:row>8</xdr:row>
                    <xdr:rowOff>28575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1000125</xdr:colOff>
                    <xdr:row>8</xdr:row>
                    <xdr:rowOff>9525</xdr:rowOff>
                  </from>
                  <to>
                    <xdr:col>7</xdr:col>
                    <xdr:colOff>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790575</xdr:colOff>
                    <xdr:row>9</xdr:row>
                    <xdr:rowOff>28575</xdr:rowOff>
                  </from>
                  <to>
                    <xdr:col>4</xdr:col>
                    <xdr:colOff>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790575</xdr:colOff>
                    <xdr:row>10</xdr:row>
                    <xdr:rowOff>28575</xdr:rowOff>
                  </from>
                  <to>
                    <xdr:col>4</xdr:col>
                    <xdr:colOff>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66675</xdr:colOff>
                    <xdr:row>8</xdr:row>
                    <xdr:rowOff>57150</xdr:rowOff>
                  </from>
                  <to>
                    <xdr:col>1</xdr:col>
                    <xdr:colOff>28575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66675</xdr:colOff>
                    <xdr:row>9</xdr:row>
                    <xdr:rowOff>47625</xdr:rowOff>
                  </from>
                  <to>
                    <xdr:col>1</xdr:col>
                    <xdr:colOff>28575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66675</xdr:colOff>
                    <xdr:row>10</xdr:row>
                    <xdr:rowOff>57150</xdr:rowOff>
                  </from>
                  <to>
                    <xdr:col>1</xdr:col>
                    <xdr:colOff>28575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66675</xdr:colOff>
                    <xdr:row>11</xdr:row>
                    <xdr:rowOff>57150</xdr:rowOff>
                  </from>
                  <to>
                    <xdr:col>1</xdr:col>
                    <xdr:colOff>28575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66675</xdr:colOff>
                    <xdr:row>12</xdr:row>
                    <xdr:rowOff>57150</xdr:rowOff>
                  </from>
                  <to>
                    <xdr:col>1</xdr:col>
                    <xdr:colOff>28575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66675</xdr:colOff>
                    <xdr:row>13</xdr:row>
                    <xdr:rowOff>57150</xdr:rowOff>
                  </from>
                  <to>
                    <xdr:col>1</xdr:col>
                    <xdr:colOff>28575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66675</xdr:colOff>
                    <xdr:row>14</xdr:row>
                    <xdr:rowOff>57150</xdr:rowOff>
                  </from>
                  <to>
                    <xdr:col>1</xdr:col>
                    <xdr:colOff>28575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66675</xdr:colOff>
                    <xdr:row>15</xdr:row>
                    <xdr:rowOff>57150</xdr:rowOff>
                  </from>
                  <to>
                    <xdr:col>1</xdr:col>
                    <xdr:colOff>28575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66675</xdr:colOff>
                    <xdr:row>16</xdr:row>
                    <xdr:rowOff>57150</xdr:rowOff>
                  </from>
                  <to>
                    <xdr:col>1</xdr:col>
                    <xdr:colOff>28575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66675</xdr:colOff>
                    <xdr:row>17</xdr:row>
                    <xdr:rowOff>57150</xdr:rowOff>
                  </from>
                  <to>
                    <xdr:col>1</xdr:col>
                    <xdr:colOff>28575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ABA217F0-E6FE-4538-B727-27A66C400466}">
            <xm:f>IF(C9&lt;&gt;0,IF(H9&gt;=INDEX(tblMedicationContIV,ber_IVmed!$B3,21),TRUE,FALSE),FALSE)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F43BEC40-487F-48BF-A57F-2A457EBC2412}">
            <xm:f>IF(C9&lt;&gt;0,IF(AND(H9&gt;=INDEX(tblMedicationContIV,ber_IVmed!$B3,19),H9&lt;=INDEX(tblMedicationContIV,ber_IVmed!$B3,20)),TRUE,FALSE),TRUE)=FALSE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5" id="{4B1B3E8A-7B22-4721-A48C-90E598A79407}">
            <xm:f>AND(INDEX(tblMedicationContIV,ber_IVmed!$B3,13)&gt;0,INDEX(tblMedicationContIV,ber_IVmed!$B3,13)&lt;&gt;INDEX(tblMedicationContIV,ber_IVmed!$B3,11))</xm:f>
            <x14:dxf>
              <fill>
                <patternFill>
                  <bgColor theme="3" tint="0.59996337778862885"/>
                </patternFill>
              </fill>
            </x14:dxf>
          </x14:cfRule>
          <xm:sqref>D9:D18</xm:sqref>
        </x14:conditionalFormatting>
        <x14:conditionalFormatting xmlns:xm="http://schemas.microsoft.com/office/excel/2006/main">
          <x14:cfRule type="expression" priority="2" id="{7BA1B48B-6DEF-41AD-A943-FA3756C64C5F}">
            <xm:f>AND(INDEX(tblMedicationContIV,ber_IVmed!$B3,14)&gt;0,INDEX(tblMedicationContIV,ber_IVmed!$B3,14)&lt;&gt;INDEX(tblMedicationContIV,ber_IVmed!$B3,12))</xm:f>
            <x14:dxf>
              <fill>
                <patternFill>
                  <bgColor theme="3" tint="0.79998168889431442"/>
                </patternFill>
              </fill>
            </x14:dxf>
          </x14:cfRule>
          <xm:sqref>E9:E18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>
    <tabColor rgb="FF92D050"/>
  </sheetPr>
  <dimension ref="A1:Q18"/>
  <sheetViews>
    <sheetView workbookViewId="0"/>
  </sheetViews>
  <sheetFormatPr defaultColWidth="9.140625" defaultRowHeight="12.75" x14ac:dyDescent="0.2"/>
  <cols>
    <col min="1" max="4" width="7.28515625" customWidth="1"/>
    <col min="5" max="5" width="9" customWidth="1"/>
    <col min="6" max="16" width="7.28515625" customWidth="1"/>
    <col min="17" max="17" width="9.85546875" bestFit="1" customWidth="1"/>
  </cols>
  <sheetData>
    <row r="1" spans="1:17" s="25" customFormat="1" ht="25.5" x14ac:dyDescent="0.2">
      <c r="A1" s="590" t="s">
        <v>970</v>
      </c>
      <c r="B1" s="25" t="s">
        <v>509</v>
      </c>
      <c r="C1" s="25" t="s">
        <v>964</v>
      </c>
      <c r="D1" s="25" t="s">
        <v>441</v>
      </c>
      <c r="E1" s="264" t="s">
        <v>965</v>
      </c>
      <c r="F1" s="264" t="s">
        <v>966</v>
      </c>
      <c r="G1" s="264" t="s">
        <v>96</v>
      </c>
      <c r="H1" s="264" t="s">
        <v>967</v>
      </c>
      <c r="I1" s="264" t="s">
        <v>968</v>
      </c>
      <c r="J1" s="264" t="s">
        <v>969</v>
      </c>
      <c r="K1" s="25" t="s">
        <v>579</v>
      </c>
      <c r="L1" s="25" t="s">
        <v>473</v>
      </c>
      <c r="M1" s="25" t="s">
        <v>474</v>
      </c>
      <c r="N1" s="25" t="s">
        <v>840</v>
      </c>
      <c r="O1" s="25" t="s">
        <v>467</v>
      </c>
      <c r="Q1" s="25" t="s">
        <v>424</v>
      </c>
    </row>
    <row r="2" spans="1:17" x14ac:dyDescent="0.2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2">
      <c r="A3">
        <v>1</v>
      </c>
      <c r="B3">
        <v>1</v>
      </c>
      <c r="C3">
        <v>2</v>
      </c>
      <c r="F3">
        <v>1</v>
      </c>
      <c r="G3">
        <v>1</v>
      </c>
      <c r="H3">
        <f>IF(MedicatieIV!C9&lt;&gt;0,24*G3/10,0)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2">
      <c r="A4">
        <v>2</v>
      </c>
      <c r="B4">
        <v>1</v>
      </c>
      <c r="C4">
        <v>3</v>
      </c>
      <c r="F4">
        <v>1</v>
      </c>
      <c r="H4">
        <f>IF(MedicatieIV!C10&lt;&gt;0,24*G4/10,0)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2247</v>
      </c>
    </row>
    <row r="5" spans="1:17" x14ac:dyDescent="0.2">
      <c r="A5">
        <v>3</v>
      </c>
      <c r="B5">
        <v>1</v>
      </c>
      <c r="C5">
        <v>4</v>
      </c>
      <c r="F5">
        <v>1</v>
      </c>
      <c r="H5">
        <f>IF(MedicatieIV!C11&lt;&gt;0,24*G5/10,0)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580</v>
      </c>
    </row>
    <row r="6" spans="1:17" x14ac:dyDescent="0.2">
      <c r="A6" s="579">
        <v>4</v>
      </c>
      <c r="B6">
        <v>1</v>
      </c>
      <c r="C6">
        <v>5</v>
      </c>
      <c r="F6">
        <v>1</v>
      </c>
      <c r="H6">
        <f>IF(MedicatieIV!C12&lt;&gt;0,24*G6/10,0)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581</v>
      </c>
    </row>
    <row r="7" spans="1:17" x14ac:dyDescent="0.2">
      <c r="A7">
        <v>5</v>
      </c>
      <c r="B7">
        <v>1</v>
      </c>
      <c r="C7">
        <v>6</v>
      </c>
      <c r="F7">
        <v>1</v>
      </c>
      <c r="H7">
        <f>IF(MedicatieIV!C13&lt;&gt;0,24*G7/10,0)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2">
      <c r="A8">
        <v>6</v>
      </c>
      <c r="B8">
        <v>1</v>
      </c>
      <c r="C8">
        <v>7</v>
      </c>
      <c r="F8">
        <v>1</v>
      </c>
      <c r="H8">
        <f>IF(MedicatieIV!C14&lt;&gt;0,24*G8/10,0)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2">
      <c r="A9">
        <v>7</v>
      </c>
      <c r="B9">
        <v>1</v>
      </c>
      <c r="C9">
        <v>8</v>
      </c>
      <c r="F9">
        <v>1</v>
      </c>
      <c r="H9">
        <f>IF(MedicatieIV!C15&lt;&gt;0,24*G9/10,0)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2">
      <c r="A10">
        <v>8</v>
      </c>
      <c r="B10">
        <v>1</v>
      </c>
      <c r="C10">
        <v>9</v>
      </c>
      <c r="F10">
        <v>1</v>
      </c>
      <c r="H10">
        <f>IF(MedicatieIV!C16&lt;&gt;0,24*G10/10,0)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2">
      <c r="A11">
        <v>9</v>
      </c>
      <c r="B11">
        <v>1</v>
      </c>
      <c r="C11">
        <v>10</v>
      </c>
      <c r="F11">
        <v>1</v>
      </c>
      <c r="H11">
        <f>IF(MedicatieIV!C17&lt;&gt;0,24*G11/10,0)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2">
      <c r="A12">
        <v>10</v>
      </c>
      <c r="B12">
        <v>1</v>
      </c>
      <c r="C12">
        <v>11</v>
      </c>
      <c r="F12">
        <v>1</v>
      </c>
      <c r="H12">
        <f>IF(MedicatieIV!C18&lt;&gt;0,24*G12/10,0)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2">
      <c r="A13">
        <v>11</v>
      </c>
      <c r="F13">
        <v>1</v>
      </c>
      <c r="H13">
        <f>IF(MedicatieIV!C20&lt;&gt;"",G13/10*24,0)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2">
      <c r="A14">
        <v>12</v>
      </c>
      <c r="F14">
        <v>1</v>
      </c>
      <c r="H14">
        <f>IF(MedicatieIV!C21&lt;&gt;"",G14/10*24,0)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2">
      <c r="A15">
        <v>13</v>
      </c>
      <c r="F15">
        <v>1</v>
      </c>
      <c r="H15">
        <f>IF(MedicatieIV!C22&lt;&gt;"",G15/10*24,0)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2">
      <c r="A16">
        <v>14</v>
      </c>
      <c r="F16">
        <v>1</v>
      </c>
      <c r="H16">
        <f>IF(MedicatieIV!C23&lt;&gt;"",G16/10*24,0)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2">
      <c r="A17">
        <v>15</v>
      </c>
      <c r="F17">
        <v>1</v>
      </c>
      <c r="H17">
        <f>IF(MedicatieIV!C24&lt;&gt;"",G17/10*24,0)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2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tabColor rgb="FFFFC000"/>
  </sheetPr>
  <dimension ref="A1:W34"/>
  <sheetViews>
    <sheetView workbookViewId="0">
      <pane xSplit="2" ySplit="2" topLeftCell="C3" activePane="bottomRight" state="frozen"/>
      <selection activeCell="A6" sqref="A6"/>
      <selection pane="topRight" activeCell="A6" sqref="A6"/>
      <selection pane="bottomLeft" activeCell="A6" sqref="A6"/>
      <selection pane="bottomRight" activeCell="A33" sqref="A33:XFD33"/>
    </sheetView>
  </sheetViews>
  <sheetFormatPr defaultRowHeight="12.75" x14ac:dyDescent="0.2"/>
  <cols>
    <col min="1" max="1" width="5" style="518" customWidth="1"/>
    <col min="2" max="2" width="23.140625" style="518" customWidth="1"/>
    <col min="3" max="3" width="13.42578125" style="518" customWidth="1"/>
    <col min="4" max="4" width="23.5703125" style="518" customWidth="1"/>
    <col min="5" max="5" width="7.28515625" style="518" customWidth="1"/>
    <col min="6" max="11" width="7.7109375" style="518" customWidth="1"/>
    <col min="12" max="19" width="8.7109375" style="518" customWidth="1"/>
    <col min="20" max="20" width="14.140625" style="518" bestFit="1" customWidth="1"/>
    <col min="21" max="21" width="14.7109375" style="518" bestFit="1" customWidth="1"/>
    <col min="22" max="22" width="17.28515625" style="518" bestFit="1" customWidth="1"/>
    <col min="23" max="23" width="9.85546875" style="518" bestFit="1" customWidth="1"/>
    <col min="24" max="16384" width="9.140625" style="518"/>
  </cols>
  <sheetData>
    <row r="1" spans="1:23" x14ac:dyDescent="0.2">
      <c r="A1" s="585"/>
      <c r="F1" s="518" t="s">
        <v>941</v>
      </c>
      <c r="H1" s="518" t="s">
        <v>942</v>
      </c>
      <c r="J1" s="263" t="s">
        <v>943</v>
      </c>
      <c r="L1" s="518" t="s">
        <v>959</v>
      </c>
      <c r="N1" s="518" t="s">
        <v>960</v>
      </c>
      <c r="P1" s="518" t="s">
        <v>961</v>
      </c>
    </row>
    <row r="2" spans="1:23" x14ac:dyDescent="0.2">
      <c r="B2" s="518" t="s">
        <v>944</v>
      </c>
      <c r="C2" s="518" t="s">
        <v>945</v>
      </c>
      <c r="D2" s="518" t="s">
        <v>946</v>
      </c>
      <c r="E2" s="518" t="s">
        <v>947</v>
      </c>
      <c r="F2" s="518" t="s">
        <v>948</v>
      </c>
      <c r="G2" s="518" t="s">
        <v>949</v>
      </c>
      <c r="H2" s="518" t="s">
        <v>948</v>
      </c>
      <c r="I2" s="518" t="s">
        <v>949</v>
      </c>
      <c r="J2" s="518" t="s">
        <v>948</v>
      </c>
      <c r="K2" s="518" t="s">
        <v>949</v>
      </c>
      <c r="L2" s="518" t="s">
        <v>948</v>
      </c>
      <c r="M2" s="518" t="s">
        <v>949</v>
      </c>
      <c r="N2" s="518" t="s">
        <v>948</v>
      </c>
      <c r="O2" s="518" t="s">
        <v>949</v>
      </c>
      <c r="P2" s="518" t="s">
        <v>948</v>
      </c>
      <c r="Q2" s="518" t="s">
        <v>949</v>
      </c>
      <c r="R2" s="518" t="s">
        <v>957</v>
      </c>
      <c r="S2" s="518" t="s">
        <v>958</v>
      </c>
      <c r="T2" s="518" t="s">
        <v>1001</v>
      </c>
      <c r="U2" s="518" t="s">
        <v>1002</v>
      </c>
      <c r="V2" s="518" t="s">
        <v>2257</v>
      </c>
      <c r="W2" s="518" t="s">
        <v>2274</v>
      </c>
    </row>
    <row r="3" spans="1:23" x14ac:dyDescent="0.2">
      <c r="A3" s="518">
        <v>1</v>
      </c>
      <c r="W3" s="518">
        <v>1</v>
      </c>
    </row>
    <row r="4" spans="1:23" x14ac:dyDescent="0.2">
      <c r="A4" s="518">
        <v>2</v>
      </c>
      <c r="B4" s="518" t="s">
        <v>454</v>
      </c>
      <c r="C4" s="263" t="s">
        <v>892</v>
      </c>
      <c r="D4" s="263" t="str">
        <f>CONCATENATE(T4,"-",U4," ",C4)</f>
        <v>0,05-0,5 mcg/kg/min</v>
      </c>
      <c r="E4" s="263" t="s">
        <v>365</v>
      </c>
      <c r="F4" s="518">
        <v>1</v>
      </c>
      <c r="G4" s="518">
        <v>50</v>
      </c>
      <c r="H4" s="518">
        <v>2</v>
      </c>
      <c r="I4" s="518">
        <v>50</v>
      </c>
      <c r="J4" s="708">
        <v>5</v>
      </c>
      <c r="K4" s="708">
        <v>50</v>
      </c>
      <c r="L4" s="518">
        <f t="shared" ref="L4:L34" si="0">IF(Gewicht/10&lt;6,F4,IF(Gewicht/10&lt;11,H4,J4))</f>
        <v>2</v>
      </c>
      <c r="M4" s="518">
        <f t="shared" ref="M4:M34" si="1">IF(Gewicht/10&lt;6,G4,IF(Gewicht/10&lt;11,I4,K4))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2">
      <c r="A5" s="518">
        <v>3</v>
      </c>
      <c r="B5" s="263" t="s">
        <v>250</v>
      </c>
      <c r="C5" s="263" t="s">
        <v>739</v>
      </c>
      <c r="D5" s="263" t="str">
        <f t="shared" ref="D5:D10" si="4">CONCATENATE(T5,"-",U5," ",C5)</f>
        <v>1-2 gram/kg/dag</v>
      </c>
      <c r="E5" s="263" t="s">
        <v>131</v>
      </c>
      <c r="F5" s="518">
        <v>0.2</v>
      </c>
      <c r="G5" s="518">
        <v>1</v>
      </c>
      <c r="H5" s="518">
        <v>0.2</v>
      </c>
      <c r="I5" s="518">
        <v>1</v>
      </c>
      <c r="J5" s="708">
        <v>0.2</v>
      </c>
      <c r="K5" s="708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 t="shared" ref="O5:O34" si="6">INDEX(tblBerMedContIV,IFERROR(VLOOKUP(A5,tblBerMedContIV,2,FALSE),1),4)</f>
        <v>0</v>
      </c>
      <c r="P5" s="518">
        <f t="shared" ref="P5:P34" si="7">IF(N5&gt;0,N5,L5)</f>
        <v>0.2</v>
      </c>
      <c r="Q5" s="518">
        <f t="shared" ref="Q5:Q34" si="8">IF(O5&gt;0,O5,M5)</f>
        <v>1</v>
      </c>
      <c r="R5" s="518">
        <v>10</v>
      </c>
      <c r="S5" s="518">
        <f>IF(Q5&gt;0,ROUND(24*(R5/10)*(P5/Q5)/(Gewicht/10),3),0)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2">
      <c r="A6" s="585">
        <v>4</v>
      </c>
      <c r="B6" s="263" t="s">
        <v>327</v>
      </c>
      <c r="C6" s="263" t="s">
        <v>893</v>
      </c>
      <c r="D6" s="263" t="str">
        <f t="shared" si="4"/>
        <v>10-50 nanog/kg/min</v>
      </c>
      <c r="E6" s="518" t="s">
        <v>365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si="6"/>
        <v>0</v>
      </c>
      <c r="P6" s="518">
        <f t="shared" si="7"/>
        <v>0</v>
      </c>
      <c r="Q6" s="518">
        <f t="shared" si="8"/>
        <v>0</v>
      </c>
      <c r="R6" s="518">
        <v>10</v>
      </c>
      <c r="S6" s="518">
        <f>IF(Q6&gt;0,ROUND(1000*1000*R6/10*(P6/Q6)/(Gewicht/10)/60,3),0)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2">
      <c r="A7" s="518">
        <v>5</v>
      </c>
      <c r="B7" s="518" t="s">
        <v>908</v>
      </c>
      <c r="C7" s="263" t="s">
        <v>892</v>
      </c>
      <c r="D7" s="263" t="str">
        <f t="shared" si="4"/>
        <v>5-15 mcg/kg/min</v>
      </c>
      <c r="E7" s="263" t="s">
        <v>365</v>
      </c>
      <c r="F7" s="518">
        <v>50</v>
      </c>
      <c r="G7" s="518">
        <v>50</v>
      </c>
      <c r="H7" s="518">
        <v>150</v>
      </c>
      <c r="I7" s="518">
        <v>50</v>
      </c>
      <c r="J7" s="708">
        <v>300</v>
      </c>
      <c r="K7" s="708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6"/>
        <v>0</v>
      </c>
      <c r="P7" s="518">
        <f t="shared" si="7"/>
        <v>150</v>
      </c>
      <c r="Q7" s="518">
        <f t="shared" si="8"/>
        <v>50</v>
      </c>
      <c r="R7" s="518">
        <v>10</v>
      </c>
      <c r="S7" s="518">
        <f>IF(Q7&gt;0,ROUND(1000*R7/10*(P7/Q7)/(Gewicht/10)/60,3),0)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2">
      <c r="A8" s="518">
        <v>6</v>
      </c>
      <c r="B8" s="518" t="s">
        <v>85</v>
      </c>
      <c r="C8" s="263" t="s">
        <v>425</v>
      </c>
      <c r="D8" s="263" t="str">
        <f t="shared" si="4"/>
        <v>0,25-2 mcg/kg/uur</v>
      </c>
      <c r="E8" s="263" t="s">
        <v>365</v>
      </c>
      <c r="F8" s="518">
        <v>0.15</v>
      </c>
      <c r="G8" s="263">
        <v>50</v>
      </c>
      <c r="H8" s="518">
        <v>0.3</v>
      </c>
      <c r="I8" s="518">
        <v>50</v>
      </c>
      <c r="J8" s="708">
        <v>0.6</v>
      </c>
      <c r="K8" s="708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6"/>
        <v>0</v>
      </c>
      <c r="P8" s="518">
        <f t="shared" si="7"/>
        <v>0.3</v>
      </c>
      <c r="Q8" s="518">
        <f t="shared" si="8"/>
        <v>50</v>
      </c>
      <c r="R8" s="518">
        <v>10</v>
      </c>
      <c r="S8" s="518">
        <f>IF(Q8&gt;0,ROUND(1000*R8/10*(P8/Q8)/(Gewicht/10),3),0)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2">
      <c r="A9" s="518">
        <v>7</v>
      </c>
      <c r="B9" s="263" t="s">
        <v>684</v>
      </c>
      <c r="C9" s="263" t="s">
        <v>892</v>
      </c>
      <c r="D9" s="263" t="str">
        <f t="shared" si="4"/>
        <v>1-20 mcg/kg/min</v>
      </c>
      <c r="E9" s="263" t="s">
        <v>365</v>
      </c>
      <c r="F9" s="518">
        <v>80</v>
      </c>
      <c r="G9" s="518">
        <v>50</v>
      </c>
      <c r="H9" s="518">
        <v>200</v>
      </c>
      <c r="I9" s="518">
        <v>50</v>
      </c>
      <c r="J9" s="708">
        <v>400</v>
      </c>
      <c r="K9" s="708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6"/>
        <v>0</v>
      </c>
      <c r="P9" s="518">
        <f t="shared" si="7"/>
        <v>200</v>
      </c>
      <c r="Q9" s="518">
        <f t="shared" si="8"/>
        <v>50</v>
      </c>
      <c r="R9" s="518">
        <v>10</v>
      </c>
      <c r="S9" s="518">
        <f>IF(Q9&gt;0,ROUND(1000*R9/10*(P9/Q9)/(Gewicht/10)/60,3),0)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2">
      <c r="A10" s="518">
        <v>8</v>
      </c>
      <c r="B10" s="518" t="s">
        <v>620</v>
      </c>
      <c r="C10" s="263" t="s">
        <v>892</v>
      </c>
      <c r="D10" s="263" t="str">
        <f t="shared" si="4"/>
        <v>1-20 mcg/kg/min</v>
      </c>
      <c r="E10" s="263" t="s">
        <v>365</v>
      </c>
      <c r="F10" s="518">
        <v>80</v>
      </c>
      <c r="G10" s="518">
        <v>50</v>
      </c>
      <c r="H10" s="518">
        <v>200</v>
      </c>
      <c r="I10" s="518">
        <v>50</v>
      </c>
      <c r="J10" s="708">
        <v>400</v>
      </c>
      <c r="K10" s="708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6"/>
        <v>0</v>
      </c>
      <c r="P10" s="518">
        <f t="shared" si="7"/>
        <v>200</v>
      </c>
      <c r="Q10" s="518">
        <f t="shared" si="8"/>
        <v>50</v>
      </c>
      <c r="R10" s="518">
        <v>10</v>
      </c>
      <c r="S10" s="518">
        <f>IF(Q10&gt;0,ROUND(1000*R10/10*(P10/Q10)/(Gewicht/10)/60,3),0)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2">
      <c r="A11" s="518">
        <v>9</v>
      </c>
      <c r="B11" s="518" t="s">
        <v>977</v>
      </c>
      <c r="C11" s="263" t="s">
        <v>922</v>
      </c>
      <c r="D11" s="263" t="s">
        <v>978</v>
      </c>
      <c r="E11" s="263" t="s">
        <v>366</v>
      </c>
      <c r="F11" s="518">
        <f>IF(Gewicht/10&gt;48,48,Gewicht/10)</f>
        <v>10</v>
      </c>
      <c r="G11" s="518">
        <v>24</v>
      </c>
      <c r="H11" s="518">
        <f>IF(Gewicht/10&gt;48,48,Gewicht/10)</f>
        <v>10</v>
      </c>
      <c r="I11" s="518">
        <v>48</v>
      </c>
      <c r="J11" s="518">
        <f>IF(Gewicht/10&gt;48,48,Gewicht/10)</f>
        <v>10</v>
      </c>
      <c r="K11" s="708">
        <v>48</v>
      </c>
      <c r="L11" s="518">
        <f>IF(Gewicht/10&lt;6,F11,IF(Gewicht/10&lt;11,H11,J11))</f>
        <v>10</v>
      </c>
      <c r="M11" s="518">
        <f>IF(Gewicht/10&lt;6,G11,IF(Gewicht/10&lt;11,I11,K11))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2">
      <c r="A12" s="518">
        <v>10</v>
      </c>
      <c r="B12" s="263" t="s">
        <v>976</v>
      </c>
      <c r="C12" s="263" t="s">
        <v>922</v>
      </c>
      <c r="D12" s="263" t="s">
        <v>978</v>
      </c>
      <c r="E12" s="263" t="s">
        <v>366</v>
      </c>
      <c r="F12" s="518">
        <f>IF(Gewicht/10&gt;48,48,Gewicht/10)</f>
        <v>10</v>
      </c>
      <c r="G12" s="518">
        <v>24</v>
      </c>
      <c r="H12" s="518">
        <f>IF(Gewicht/10&gt;48,48,Gewicht/10)</f>
        <v>10</v>
      </c>
      <c r="I12" s="518">
        <v>48</v>
      </c>
      <c r="J12" s="518">
        <f>IF(Gewicht/10&gt;48,48,Gewicht/10)</f>
        <v>10</v>
      </c>
      <c r="K12" s="708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6"/>
        <v>0</v>
      </c>
      <c r="P12" s="518">
        <f t="shared" si="7"/>
        <v>10</v>
      </c>
      <c r="Q12" s="518">
        <f t="shared" si="8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2">
      <c r="A13" s="518">
        <v>11</v>
      </c>
      <c r="B13" s="263" t="s">
        <v>197</v>
      </c>
      <c r="C13" s="263" t="s">
        <v>893</v>
      </c>
      <c r="D13" s="263" t="str">
        <f>CONCATENATE(T13,"-",U13," ",C13)</f>
        <v>0,5-50 nanog/kg/min</v>
      </c>
      <c r="E13" s="263" t="s">
        <v>365</v>
      </c>
      <c r="F13" s="518">
        <v>0.2</v>
      </c>
      <c r="G13" s="518">
        <v>50</v>
      </c>
      <c r="H13" s="518">
        <v>0.4</v>
      </c>
      <c r="I13" s="518">
        <v>50</v>
      </c>
      <c r="J13" s="708">
        <v>0.8</v>
      </c>
      <c r="K13" s="708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6"/>
        <v>0</v>
      </c>
      <c r="P13" s="518">
        <f t="shared" si="7"/>
        <v>0.4</v>
      </c>
      <c r="Q13" s="518">
        <f t="shared" si="8"/>
        <v>50</v>
      </c>
      <c r="R13" s="518">
        <v>10</v>
      </c>
      <c r="S13" s="518">
        <f>IF(Q13&gt;0,ROUND(1000*1000*R13/10*(P13/Q13)/(Gewicht/10)/60,3),0)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2">
      <c r="A14" s="518">
        <v>12</v>
      </c>
      <c r="B14" s="518" t="s">
        <v>282</v>
      </c>
      <c r="C14" s="263" t="s">
        <v>737</v>
      </c>
      <c r="D14" s="263" t="str">
        <f t="shared" ref="D14:D33" si="9">CONCATENATE(T14,"-",U14," ",C14)</f>
        <v>0,5-1 mg/kg/uur</v>
      </c>
      <c r="E14" s="263" t="s">
        <v>365</v>
      </c>
      <c r="F14" s="518">
        <v>100</v>
      </c>
      <c r="G14" s="263">
        <v>50</v>
      </c>
      <c r="H14" s="518">
        <v>250</v>
      </c>
      <c r="I14" s="518">
        <v>50</v>
      </c>
      <c r="J14" s="708">
        <v>250</v>
      </c>
      <c r="K14" s="708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6"/>
        <v>0</v>
      </c>
      <c r="P14" s="518">
        <f t="shared" si="7"/>
        <v>250</v>
      </c>
      <c r="Q14" s="518">
        <f t="shared" si="8"/>
        <v>50</v>
      </c>
      <c r="R14" s="518">
        <v>10</v>
      </c>
      <c r="S14" s="518">
        <f>IF(Q14&gt;0,ROUND(R14/10*(P14/Q14)/(Gewicht/10),3),0)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2">
      <c r="A15" s="518">
        <v>13</v>
      </c>
      <c r="B15" s="518" t="s">
        <v>950</v>
      </c>
      <c r="C15" s="263" t="s">
        <v>963</v>
      </c>
      <c r="D15" s="263" t="str">
        <f t="shared" si="9"/>
        <v>0,1-1 mg/kg/min</v>
      </c>
      <c r="E15" s="263" t="s">
        <v>365</v>
      </c>
      <c r="F15" s="518">
        <v>500</v>
      </c>
      <c r="G15" s="518">
        <v>50</v>
      </c>
      <c r="H15" s="518">
        <v>500</v>
      </c>
      <c r="I15" s="518">
        <v>50</v>
      </c>
      <c r="J15" s="708">
        <v>500</v>
      </c>
      <c r="K15" s="708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6"/>
        <v>0</v>
      </c>
      <c r="P15" s="518">
        <f t="shared" si="7"/>
        <v>500</v>
      </c>
      <c r="Q15" s="518">
        <f t="shared" si="8"/>
        <v>50</v>
      </c>
      <c r="R15" s="518">
        <v>10</v>
      </c>
      <c r="S15" s="518">
        <f>IF(Q15&gt;0,ROUND(R15/10*(P15/Q15)/(Gewicht/10)/60,3),0)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2">
      <c r="A16" s="518">
        <v>14</v>
      </c>
      <c r="B16" s="518" t="s">
        <v>975</v>
      </c>
      <c r="C16" s="263" t="s">
        <v>425</v>
      </c>
      <c r="D16" s="263" t="str">
        <f t="shared" si="9"/>
        <v>1-5 mcg/kg/uur</v>
      </c>
      <c r="E16" s="263" t="s">
        <v>365</v>
      </c>
      <c r="F16" s="518">
        <v>0.5</v>
      </c>
      <c r="G16" s="518">
        <v>50</v>
      </c>
      <c r="H16" s="518">
        <v>1</v>
      </c>
      <c r="I16" s="518">
        <v>50</v>
      </c>
      <c r="J16" s="708">
        <v>5</v>
      </c>
      <c r="K16" s="708">
        <v>50</v>
      </c>
      <c r="L16" s="518">
        <f>IF(Gewicht/10&lt;6,F16,IF(Gewicht/10&lt;11,H16,J16))</f>
        <v>1</v>
      </c>
      <c r="M16" s="518">
        <f>IF(Gewicht/10&lt;6,G16,IF(Gewicht/10&lt;11,I16,K16))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2">
      <c r="A17" s="518">
        <v>15</v>
      </c>
      <c r="B17" s="518" t="s">
        <v>951</v>
      </c>
      <c r="C17" s="263" t="s">
        <v>892</v>
      </c>
      <c r="D17" s="263" t="str">
        <f t="shared" si="9"/>
        <v>0,05-5 mcg/kg/min</v>
      </c>
      <c r="E17" s="263" t="s">
        <v>365</v>
      </c>
      <c r="F17" s="518">
        <v>0.2</v>
      </c>
      <c r="G17" s="518">
        <v>20</v>
      </c>
      <c r="H17" s="518">
        <v>0.4</v>
      </c>
      <c r="I17" s="518">
        <v>20</v>
      </c>
      <c r="J17" s="708">
        <v>0.8</v>
      </c>
      <c r="K17" s="708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6"/>
        <v>0</v>
      </c>
      <c r="P17" s="518">
        <f t="shared" si="7"/>
        <v>0.4</v>
      </c>
      <c r="Q17" s="518">
        <f t="shared" si="8"/>
        <v>20</v>
      </c>
      <c r="R17" s="518">
        <v>10</v>
      </c>
      <c r="S17" s="518">
        <f>IF(Q17&gt;0,ROUND(1000*R17/10*(P17/Q17)/(Gewicht/10)/60,3),0)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2">
      <c r="A18" s="518">
        <v>16</v>
      </c>
      <c r="B18" s="518" t="s">
        <v>383</v>
      </c>
      <c r="C18" s="263" t="s">
        <v>738</v>
      </c>
      <c r="D18" s="263" t="str">
        <f t="shared" si="9"/>
        <v>1-4 mg/kg/dag</v>
      </c>
      <c r="E18" s="263" t="s">
        <v>365</v>
      </c>
      <c r="F18" s="518">
        <v>10</v>
      </c>
      <c r="G18" s="518">
        <v>50</v>
      </c>
      <c r="H18" s="518">
        <v>20</v>
      </c>
      <c r="I18" s="518">
        <v>50</v>
      </c>
      <c r="J18" s="708">
        <v>40</v>
      </c>
      <c r="K18" s="708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6"/>
        <v>0</v>
      </c>
      <c r="P18" s="518">
        <f t="shared" si="7"/>
        <v>20</v>
      </c>
      <c r="Q18" s="518">
        <f t="shared" si="8"/>
        <v>50</v>
      </c>
      <c r="R18" s="518">
        <v>10</v>
      </c>
      <c r="S18" s="518">
        <f>IF(Q18&gt;0,ROUND(24*R18/10*(P18/Q18)/(Gewicht/10),3),0)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2">
      <c r="A19" s="518">
        <v>17</v>
      </c>
      <c r="B19" s="518" t="s">
        <v>422</v>
      </c>
      <c r="C19" s="263" t="s">
        <v>423</v>
      </c>
      <c r="D19" s="263" t="str">
        <f t="shared" si="9"/>
        <v>10-20 IE/kg/uur</v>
      </c>
      <c r="E19" s="263" t="s">
        <v>952</v>
      </c>
      <c r="F19" s="518">
        <v>5000</v>
      </c>
      <c r="G19" s="518">
        <v>50</v>
      </c>
      <c r="H19" s="518">
        <v>10000</v>
      </c>
      <c r="I19" s="518">
        <v>50</v>
      </c>
      <c r="J19" s="708">
        <v>20000</v>
      </c>
      <c r="K19" s="708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6"/>
        <v>0</v>
      </c>
      <c r="P19" s="518">
        <f t="shared" si="7"/>
        <v>10000</v>
      </c>
      <c r="Q19" s="518">
        <f t="shared" si="8"/>
        <v>50</v>
      </c>
      <c r="R19" s="518">
        <v>10</v>
      </c>
      <c r="S19" s="518">
        <f>IF(Q19&gt;0,ROUND(R19/10*(P19/Q19)/(Gewicht/10),3),0)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2">
      <c r="A20" s="518">
        <v>18</v>
      </c>
      <c r="B20" s="518" t="s">
        <v>953</v>
      </c>
      <c r="C20" s="263" t="s">
        <v>129</v>
      </c>
      <c r="D20" s="263" t="str">
        <f t="shared" si="9"/>
        <v>0,02-0,125 E/kg/uur</v>
      </c>
      <c r="E20" s="263" t="s">
        <v>952</v>
      </c>
      <c r="F20" s="518">
        <v>10</v>
      </c>
      <c r="G20" s="518">
        <v>50</v>
      </c>
      <c r="H20" s="518">
        <v>10</v>
      </c>
      <c r="I20" s="518">
        <v>50</v>
      </c>
      <c r="J20" s="708">
        <v>50</v>
      </c>
      <c r="K20" s="708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6"/>
        <v>0</v>
      </c>
      <c r="P20" s="518">
        <f t="shared" si="7"/>
        <v>10</v>
      </c>
      <c r="Q20" s="518">
        <f t="shared" si="8"/>
        <v>50</v>
      </c>
      <c r="R20" s="518">
        <v>10</v>
      </c>
      <c r="S20" s="518">
        <f>IF(Q20&gt;0,ROUND(R20/10*(P20/Q20)/(Gewicht/10),3),0)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2">
      <c r="A21" s="518">
        <v>19</v>
      </c>
      <c r="B21" s="518" t="s">
        <v>848</v>
      </c>
      <c r="C21" s="263" t="s">
        <v>892</v>
      </c>
      <c r="D21" s="263" t="str">
        <f t="shared" si="9"/>
        <v>0,01-1,5 mcg/kg/min</v>
      </c>
      <c r="E21" s="263" t="s">
        <v>365</v>
      </c>
      <c r="F21" s="518">
        <v>2</v>
      </c>
      <c r="G21" s="518">
        <v>50</v>
      </c>
      <c r="H21" s="518">
        <v>2</v>
      </c>
      <c r="I21" s="518">
        <v>50</v>
      </c>
      <c r="J21" s="708">
        <v>2</v>
      </c>
      <c r="K21" s="708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6"/>
        <v>0</v>
      </c>
      <c r="P21" s="518">
        <f t="shared" si="7"/>
        <v>2</v>
      </c>
      <c r="Q21" s="518">
        <f t="shared" si="8"/>
        <v>50</v>
      </c>
      <c r="R21" s="518">
        <v>10</v>
      </c>
      <c r="S21" s="518">
        <f>IF(Q21&gt;0,ROUND(1000*R21/10*(P21/Q21)/(Gewicht/10)/60,3),0)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2">
      <c r="A22" s="518">
        <v>20</v>
      </c>
      <c r="B22" s="518" t="s">
        <v>954</v>
      </c>
      <c r="C22" s="263" t="s">
        <v>737</v>
      </c>
      <c r="D22" s="263" t="str">
        <f t="shared" si="9"/>
        <v>0,25-3 mg/kg/uur</v>
      </c>
      <c r="E22" s="263" t="s">
        <v>365</v>
      </c>
      <c r="F22" s="518">
        <v>250</v>
      </c>
      <c r="G22" s="518">
        <v>50</v>
      </c>
      <c r="H22" s="518">
        <v>250</v>
      </c>
      <c r="I22" s="518">
        <v>50</v>
      </c>
      <c r="J22" s="708">
        <v>250</v>
      </c>
      <c r="K22" s="708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6"/>
        <v>0</v>
      </c>
      <c r="P22" s="518">
        <f t="shared" si="7"/>
        <v>250</v>
      </c>
      <c r="Q22" s="518">
        <f t="shared" si="8"/>
        <v>50</v>
      </c>
      <c r="R22" s="518">
        <v>10</v>
      </c>
      <c r="S22" s="518">
        <f>IF(Q22&gt;0,ROUND(R22/10*(P22/Q22)/(Gewicht/10),3),0)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2">
      <c r="A23" s="518">
        <v>21</v>
      </c>
      <c r="B23" s="518" t="s">
        <v>955</v>
      </c>
      <c r="C23" s="263" t="s">
        <v>737</v>
      </c>
      <c r="D23" s="263" t="s">
        <v>973</v>
      </c>
      <c r="E23" s="263" t="s">
        <v>365</v>
      </c>
      <c r="F23" s="518">
        <v>500</v>
      </c>
      <c r="G23" s="518">
        <v>50</v>
      </c>
      <c r="H23" s="518">
        <v>1000</v>
      </c>
      <c r="I23" s="518">
        <v>50</v>
      </c>
      <c r="J23" s="708">
        <v>2000</v>
      </c>
      <c r="K23" s="708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6"/>
        <v>0</v>
      </c>
      <c r="P23" s="518">
        <f t="shared" si="7"/>
        <v>1000</v>
      </c>
      <c r="Q23" s="518">
        <f t="shared" si="8"/>
        <v>50</v>
      </c>
      <c r="R23" s="518">
        <v>10</v>
      </c>
      <c r="S23" s="518">
        <f>IF(Q23&gt;0,ROUND(R23/10*(P23/Q23)/(Gewicht/10),3),0)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2">
      <c r="A24" s="518">
        <v>22</v>
      </c>
      <c r="B24" s="518" t="s">
        <v>731</v>
      </c>
      <c r="C24" s="263" t="s">
        <v>737</v>
      </c>
      <c r="D24" s="263" t="str">
        <f t="shared" si="9"/>
        <v>0,05-0,5 mg/kg/uur</v>
      </c>
      <c r="E24" s="263" t="s">
        <v>365</v>
      </c>
      <c r="F24" s="518">
        <v>50</v>
      </c>
      <c r="G24" s="263">
        <v>50</v>
      </c>
      <c r="H24" s="518">
        <v>50</v>
      </c>
      <c r="I24" s="518">
        <v>50</v>
      </c>
      <c r="J24" s="708">
        <v>50</v>
      </c>
      <c r="K24" s="708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6"/>
        <v>0</v>
      </c>
      <c r="P24" s="518">
        <f t="shared" si="7"/>
        <v>50</v>
      </c>
      <c r="Q24" s="518">
        <f t="shared" si="8"/>
        <v>50</v>
      </c>
      <c r="R24" s="518">
        <v>10</v>
      </c>
      <c r="S24" s="518">
        <f>IF(Q24&gt;0,ROUND(R24/10*(P24/Q24)/(Gewicht/10),3),0)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2">
      <c r="A25" s="518">
        <v>23</v>
      </c>
      <c r="B25" s="518" t="s">
        <v>956</v>
      </c>
      <c r="C25" s="263" t="s">
        <v>892</v>
      </c>
      <c r="D25" s="263" t="str">
        <f t="shared" si="9"/>
        <v>0,15-0,5 mcg/kg/min</v>
      </c>
      <c r="E25" s="263" t="s">
        <v>365</v>
      </c>
      <c r="F25" s="518">
        <v>5</v>
      </c>
      <c r="G25" s="518">
        <v>50</v>
      </c>
      <c r="H25" s="518">
        <v>10</v>
      </c>
      <c r="I25" s="518">
        <v>50</v>
      </c>
      <c r="J25" s="708">
        <v>20</v>
      </c>
      <c r="K25" s="708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6"/>
        <v>0</v>
      </c>
      <c r="P25" s="518">
        <f t="shared" si="7"/>
        <v>10</v>
      </c>
      <c r="Q25" s="518">
        <f t="shared" si="8"/>
        <v>50</v>
      </c>
      <c r="R25" s="518">
        <v>10</v>
      </c>
      <c r="S25" s="518">
        <f>IF(Q25&gt;0,ROUND(1000*R25/10*(P25/Q25)/(Gewicht/10)/60,3),0)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2">
      <c r="A26" s="518">
        <v>24</v>
      </c>
      <c r="B26" s="518" t="s">
        <v>249</v>
      </c>
      <c r="C26" s="263" t="s">
        <v>738</v>
      </c>
      <c r="D26" s="263" t="str">
        <f t="shared" si="9"/>
        <v>0,1-0,5 mg/kg/dag</v>
      </c>
      <c r="E26" s="263" t="s">
        <v>365</v>
      </c>
      <c r="F26" s="518">
        <v>2</v>
      </c>
      <c r="G26" s="263">
        <v>50</v>
      </c>
      <c r="H26" s="518">
        <v>5</v>
      </c>
      <c r="I26" s="518">
        <v>50</v>
      </c>
      <c r="J26" s="708">
        <v>10</v>
      </c>
      <c r="K26" s="708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6"/>
        <v>0</v>
      </c>
      <c r="P26" s="518">
        <f>IF(N26&gt;0,N26,L26)</f>
        <v>5</v>
      </c>
      <c r="Q26" s="518">
        <f t="shared" si="8"/>
        <v>50</v>
      </c>
      <c r="R26" s="518">
        <v>10</v>
      </c>
      <c r="S26" s="518">
        <f>IF(Q26&gt;0,ROUND(24*(R26/10)*(P26/Q26)/(Gewicht/10),3),0)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2">
      <c r="A27" s="518">
        <v>25</v>
      </c>
      <c r="B27" s="263" t="s">
        <v>689</v>
      </c>
      <c r="C27" s="263" t="s">
        <v>839</v>
      </c>
      <c r="D27" s="263" t="str">
        <f t="shared" si="9"/>
        <v>2-4 mmol/kg/dag</v>
      </c>
      <c r="E27" s="263" t="s">
        <v>974</v>
      </c>
      <c r="F27" s="518">
        <v>25</v>
      </c>
      <c r="G27" s="263">
        <v>50</v>
      </c>
      <c r="H27" s="518">
        <v>25</v>
      </c>
      <c r="I27" s="518">
        <v>50</v>
      </c>
      <c r="J27" s="708">
        <v>25</v>
      </c>
      <c r="K27" s="708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6"/>
        <v>0</v>
      </c>
      <c r="P27" s="518">
        <f t="shared" si="7"/>
        <v>25</v>
      </c>
      <c r="Q27" s="518">
        <f t="shared" si="8"/>
        <v>50</v>
      </c>
      <c r="R27" s="518">
        <v>10</v>
      </c>
      <c r="S27" s="518">
        <f>IF(Q27&gt;0,ROUND(24*(R27/10)*(P27/Q27)/(Gewicht/10),3),0)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2">
      <c r="A28" s="518">
        <v>26</v>
      </c>
      <c r="B28" s="518" t="s">
        <v>103</v>
      </c>
      <c r="C28" s="263" t="s">
        <v>892</v>
      </c>
      <c r="D28" s="263" t="str">
        <f t="shared" si="9"/>
        <v>0,5-8 mcg/kg/min</v>
      </c>
      <c r="E28" s="263" t="s">
        <v>365</v>
      </c>
      <c r="F28" s="518">
        <v>10</v>
      </c>
      <c r="G28" s="518">
        <v>50</v>
      </c>
      <c r="H28" s="518">
        <v>20</v>
      </c>
      <c r="I28" s="518">
        <v>50</v>
      </c>
      <c r="J28" s="708">
        <v>40</v>
      </c>
      <c r="K28" s="708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6"/>
        <v>0</v>
      </c>
      <c r="P28" s="518">
        <f t="shared" si="7"/>
        <v>20</v>
      </c>
      <c r="Q28" s="518">
        <f t="shared" si="8"/>
        <v>50</v>
      </c>
      <c r="R28" s="518">
        <v>10</v>
      </c>
      <c r="S28" s="518">
        <f>IF(Q28&gt;0,ROUND(1000*R28/10*(P28/Q28)/(Gewicht/10)/60,3),0)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2">
      <c r="A29" s="518">
        <v>27</v>
      </c>
      <c r="B29" s="518" t="s">
        <v>837</v>
      </c>
      <c r="C29" s="263" t="s">
        <v>892</v>
      </c>
      <c r="D29" s="263" t="str">
        <f t="shared" si="9"/>
        <v>0,05-0,5 mcg/kg/min</v>
      </c>
      <c r="E29" s="263" t="s">
        <v>365</v>
      </c>
      <c r="F29" s="518">
        <v>1</v>
      </c>
      <c r="G29" s="518">
        <v>50</v>
      </c>
      <c r="H29" s="518">
        <v>2</v>
      </c>
      <c r="I29" s="518">
        <v>50</v>
      </c>
      <c r="J29" s="708">
        <v>5</v>
      </c>
      <c r="K29" s="708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6"/>
        <v>0</v>
      </c>
      <c r="P29" s="518">
        <f t="shared" si="7"/>
        <v>2</v>
      </c>
      <c r="Q29" s="518">
        <f t="shared" si="8"/>
        <v>50</v>
      </c>
      <c r="R29" s="518">
        <v>10</v>
      </c>
      <c r="S29" s="518">
        <f>IF(Q29&gt;0,ROUND(1000*R29/10*(P29/Q29)/(Gewicht/10)/60,3),0)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2">
      <c r="A30" s="518">
        <v>28</v>
      </c>
      <c r="B30" s="263" t="s">
        <v>657</v>
      </c>
      <c r="C30" s="263" t="s">
        <v>737</v>
      </c>
      <c r="D30" s="263" t="str">
        <f t="shared" si="9"/>
        <v>1-4 mg/kg/uur</v>
      </c>
      <c r="E30" s="263" t="s">
        <v>365</v>
      </c>
      <c r="F30" s="518">
        <v>10</v>
      </c>
      <c r="G30" s="518">
        <v>1</v>
      </c>
      <c r="H30" s="518">
        <v>10</v>
      </c>
      <c r="I30" s="518">
        <v>1</v>
      </c>
      <c r="J30" s="708">
        <v>10</v>
      </c>
      <c r="K30" s="708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6"/>
        <v>0</v>
      </c>
      <c r="P30" s="518">
        <f t="shared" si="7"/>
        <v>10</v>
      </c>
      <c r="Q30" s="518">
        <f t="shared" si="8"/>
        <v>1</v>
      </c>
      <c r="R30" s="518">
        <v>10</v>
      </c>
      <c r="S30" s="518">
        <f>IF(Q30&gt;0,ROUND(R30/10*(P30/Q30)/(Gewicht/10),3),0)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2">
      <c r="A31" s="518">
        <v>29</v>
      </c>
      <c r="B31" s="263" t="s">
        <v>658</v>
      </c>
      <c r="C31" s="263" t="s">
        <v>737</v>
      </c>
      <c r="D31" s="263" t="str">
        <f t="shared" si="9"/>
        <v>1-4 mg/kg/uur</v>
      </c>
      <c r="E31" s="263" t="s">
        <v>365</v>
      </c>
      <c r="F31" s="518">
        <v>20</v>
      </c>
      <c r="G31" s="518">
        <v>1</v>
      </c>
      <c r="H31" s="518">
        <v>20</v>
      </c>
      <c r="I31" s="518">
        <v>1</v>
      </c>
      <c r="J31" s="708">
        <v>20</v>
      </c>
      <c r="K31" s="708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6"/>
        <v>0</v>
      </c>
      <c r="P31" s="518">
        <f t="shared" si="7"/>
        <v>20</v>
      </c>
      <c r="Q31" s="518">
        <f t="shared" si="8"/>
        <v>1</v>
      </c>
      <c r="R31" s="518">
        <v>10</v>
      </c>
      <c r="S31" s="518">
        <f>IF(Q31&gt;0,ROUND(R31/10*(P31/Q31)/(Gewicht/10),3),0)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2">
      <c r="A32" s="518">
        <v>30</v>
      </c>
      <c r="B32" s="518" t="s">
        <v>572</v>
      </c>
      <c r="C32" s="263" t="s">
        <v>737</v>
      </c>
      <c r="D32" s="263" t="str">
        <f t="shared" si="9"/>
        <v>0,6-1,2 mg/kg/uur</v>
      </c>
      <c r="E32" s="263" t="s">
        <v>365</v>
      </c>
      <c r="F32" s="518">
        <v>50</v>
      </c>
      <c r="G32" s="518">
        <v>50</v>
      </c>
      <c r="H32" s="518">
        <v>100</v>
      </c>
      <c r="I32" s="518">
        <v>50</v>
      </c>
      <c r="J32" s="708">
        <v>200</v>
      </c>
      <c r="K32" s="708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6"/>
        <v>0</v>
      </c>
      <c r="P32" s="518">
        <f t="shared" si="7"/>
        <v>100</v>
      </c>
      <c r="Q32" s="518">
        <f t="shared" si="8"/>
        <v>50</v>
      </c>
      <c r="R32" s="518">
        <v>10</v>
      </c>
      <c r="S32" s="518">
        <f>IF(Q32&gt;0,ROUND(R32/10*(P32/Q32)/(Gewicht/10),3),0)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2">
      <c r="A33" s="518">
        <v>31</v>
      </c>
      <c r="B33" s="518" t="s">
        <v>51</v>
      </c>
      <c r="C33" s="263" t="s">
        <v>892</v>
      </c>
      <c r="D33" s="263" t="str">
        <f t="shared" si="9"/>
        <v>0,1-10 mcg/kg/min</v>
      </c>
      <c r="E33" s="263" t="s">
        <v>365</v>
      </c>
      <c r="F33" s="518">
        <v>5</v>
      </c>
      <c r="G33" s="518">
        <v>50</v>
      </c>
      <c r="H33" s="518">
        <v>10</v>
      </c>
      <c r="I33" s="518">
        <v>50</v>
      </c>
      <c r="J33" s="708">
        <v>20</v>
      </c>
      <c r="K33" s="708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6"/>
        <v>0</v>
      </c>
      <c r="P33" s="518">
        <f t="shared" si="7"/>
        <v>10</v>
      </c>
      <c r="Q33" s="518">
        <f t="shared" si="8"/>
        <v>50</v>
      </c>
      <c r="R33" s="518">
        <v>10</v>
      </c>
      <c r="S33" s="518">
        <f>IF(Q33&gt;0,ROUND(1000*R33/10*(P33/Q33)/(Gewicht/10)/60,3),0)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2">
      <c r="A34" s="518">
        <v>32</v>
      </c>
      <c r="B34" s="518" t="s">
        <v>728</v>
      </c>
      <c r="C34" s="263" t="s">
        <v>737</v>
      </c>
      <c r="D34" s="263" t="s">
        <v>919</v>
      </c>
      <c r="E34" s="263" t="s">
        <v>365</v>
      </c>
      <c r="F34" s="518">
        <v>1000</v>
      </c>
      <c r="G34" s="518">
        <v>50</v>
      </c>
      <c r="H34" s="518">
        <v>2000</v>
      </c>
      <c r="I34" s="518">
        <v>50</v>
      </c>
      <c r="J34" s="708">
        <v>4000</v>
      </c>
      <c r="K34" s="708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6"/>
        <v>0</v>
      </c>
      <c r="P34" s="518">
        <f t="shared" si="7"/>
        <v>2000</v>
      </c>
      <c r="Q34" s="518">
        <f t="shared" si="8"/>
        <v>50</v>
      </c>
      <c r="R34" s="518">
        <v>10</v>
      </c>
      <c r="S34" s="518">
        <f>IF(Q34&gt;0,ROUND(R34/10*(P34/Q34)/(Gewicht/10),3),0)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tabColor rgb="FF7030A0"/>
  </sheetPr>
  <dimension ref="A1:BL108"/>
  <sheetViews>
    <sheetView workbookViewId="0">
      <pane ySplit="4" topLeftCell="A20" activePane="bottomLeft" state="frozenSplit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1.7109375" style="2" customWidth="1"/>
    <col min="2" max="2" width="4.42578125" style="2" customWidth="1"/>
    <col min="3" max="3" width="9.42578125" style="2" customWidth="1"/>
    <col min="4" max="4" width="9.140625" style="2"/>
    <col min="5" max="5" width="9.5703125" style="2" customWidth="1"/>
    <col min="6" max="7" width="9.140625" style="2"/>
    <col min="8" max="8" width="10" style="2" bestFit="1" customWidth="1"/>
    <col min="9" max="9" width="9.140625" style="2"/>
    <col min="10" max="10" width="11.42578125" style="2" customWidth="1"/>
    <col min="11" max="11" width="9.140625" style="2" customWidth="1"/>
    <col min="12" max="12" width="8.7109375" style="2" customWidth="1"/>
    <col min="13" max="13" width="9.7109375" style="2" customWidth="1"/>
    <col min="14" max="16384" width="9.140625" style="2"/>
  </cols>
  <sheetData>
    <row r="1" spans="1:64" ht="6.75" customHeight="1" x14ac:dyDescent="0.2">
      <c r="A1" s="591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2">
      <c r="A2" s="108"/>
      <c r="B2" s="108"/>
      <c r="C2" s="109" t="s">
        <v>624</v>
      </c>
      <c r="D2" s="108"/>
      <c r="E2" s="110">
        <f ca="1">AfspraakDatum</f>
        <v>42703</v>
      </c>
      <c r="F2" s="111"/>
      <c r="G2" s="108"/>
      <c r="H2" s="109" t="s">
        <v>625</v>
      </c>
      <c r="I2" s="108"/>
      <c r="J2" s="112">
        <f>OpnDatum</f>
        <v>42698</v>
      </c>
      <c r="K2" s="109" t="str">
        <f ca="1">"ICU-dag: "&amp;AfspraakDatum-OpnDatum+1</f>
        <v>ICU-dag: 6</v>
      </c>
      <c r="L2" s="108"/>
      <c r="M2" s="109"/>
      <c r="N2" s="109" t="s">
        <v>1004</v>
      </c>
      <c r="O2" s="269" t="str">
        <f>BedNummer</f>
        <v>Unit 2.9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2">
      <c r="A3" s="108"/>
      <c r="B3" s="108"/>
      <c r="C3" s="109" t="s">
        <v>54</v>
      </c>
      <c r="D3" s="108"/>
      <c r="E3" s="113" t="str">
        <f>_AchterNaam&amp;", "&amp;_VoorNaam</f>
        <v>Test, Test</v>
      </c>
      <c r="F3" s="113"/>
      <c r="G3" s="108"/>
      <c r="H3" s="109" t="s">
        <v>639</v>
      </c>
      <c r="I3" s="108"/>
      <c r="J3" s="112">
        <f>GebDatum</f>
        <v>42280</v>
      </c>
      <c r="K3" s="114" t="str">
        <f>"Gewicht: "&amp;Gewicht/10&amp;" kg"</f>
        <v>Gewicht: 10 kg</v>
      </c>
      <c r="L3" s="109"/>
      <c r="M3" s="108"/>
      <c r="N3" s="114" t="str">
        <f>"Lengte: "&amp;Lengte&amp;"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2">
      <c r="A4" s="108"/>
      <c r="B4" s="108"/>
      <c r="C4" s="109" t="s">
        <v>708</v>
      </c>
      <c r="D4" s="115"/>
      <c r="E4" s="114">
        <f>PatNummer</f>
        <v>123456</v>
      </c>
      <c r="F4" s="111"/>
      <c r="G4" s="115"/>
      <c r="H4" s="109" t="s">
        <v>574</v>
      </c>
      <c r="I4" s="115"/>
      <c r="J4" s="116" t="str">
        <f ca="1">TRUNC((AfspraakDatum-GebDatum)/365,0)&amp;" jaar en "&amp;TRUNC(((AfspraakDatum-GebDatum)-365*TRUNC((AfspraakDatum-GebDatum)/365,0))/30,0)&amp;" maand(-en)"</f>
        <v>1 jaar en 1 maand(-en)</v>
      </c>
      <c r="K4" s="109"/>
      <c r="L4" s="115"/>
      <c r="M4" s="109" t="str">
        <f>"Lichamelijk oppervlak: "&amp;ROUND(POWER(Gewicht/10,0.424)*POWER(((Lengte/100)*100),0.724)*0.007184,2)&amp;"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2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" customHeight="1" x14ac:dyDescent="0.2">
      <c r="A6" s="602"/>
      <c r="B6" s="119">
        <v>1</v>
      </c>
      <c r="C6" s="120"/>
      <c r="D6" s="837">
        <f>ber_Med_disc!C2</f>
        <v>0</v>
      </c>
      <c r="E6" s="837"/>
      <c r="F6" s="837"/>
      <c r="G6" s="837"/>
      <c r="H6" s="121" t="str">
        <f>IF(INDEX(tblMedDiscTijdenValues,ber_Med_disc!I2,1)=0,"",INDEX(tblMedDiscTijdenValues,ber_Med_disc!I2,1))</f>
        <v/>
      </c>
      <c r="I6" s="122" t="str">
        <f>IF(ber_Med_disc!C2&gt;1,ber_Med_disc!H2,"")</f>
        <v/>
      </c>
      <c r="J6" s="123" t="str">
        <f>IF(ber_Med_disc!C2&gt;1,ber_Med_disc!F2,"")</f>
        <v/>
      </c>
      <c r="K6" s="124">
        <f>ber_Med_disc!L2</f>
        <v>0</v>
      </c>
      <c r="L6" s="117" t="str">
        <f>IF(AND(ber_Med_disc!C2&gt;1,ber_Med_disc!O2&gt;1),ber_Med_disc!N2,"")</f>
        <v/>
      </c>
      <c r="M6" s="117" t="str">
        <f>IF(AND(ber_Med_disc!C2&gt;1,L6&lt;&gt;0,ber_Med_disc!O2&gt;1),"ml","")</f>
        <v/>
      </c>
      <c r="N6" s="117"/>
      <c r="O6" s="117" t="str">
        <f>IF(AND(L6&lt;&gt;"",ber_Med_disc!Q2&gt;0),ber_Med_disc!Q2&amp;"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" customHeight="1" x14ac:dyDescent="0.2">
      <c r="A7" s="118"/>
      <c r="B7" s="125" t="s">
        <v>597</v>
      </c>
      <c r="C7" s="126"/>
      <c r="D7" s="128">
        <f>ber_Opm!C16</f>
        <v>0</v>
      </c>
      <c r="E7" s="128"/>
      <c r="F7" s="128"/>
      <c r="G7" s="128"/>
      <c r="H7" s="127" t="str">
        <f>IF(ber_Med_disc!C2&gt;1,"Dosering/kg/dag: ","")</f>
        <v/>
      </c>
      <c r="I7" s="126"/>
      <c r="J7" s="128" t="str">
        <f>IF(ber_Med_disc!C2&gt;1,ber_Med_disc!M2,"")</f>
        <v/>
      </c>
      <c r="K7" s="126" t="str">
        <f>IF(AND(ber_Med_disc!C2&gt;1),J6&amp;"/kg/dag ","")</f>
        <v/>
      </c>
      <c r="L7" s="126"/>
      <c r="M7" s="126" t="str">
        <f>IF(AND(ber_Med_disc!C2&gt;1,ber_Med_disc!O2&gt;1,ber_Med_disc!N2&gt;0),"Oplossing:","")</f>
        <v/>
      </c>
      <c r="N7" s="126" t="str">
        <f>IF(AND(ber_Med_disc!C2&gt;1,ber_Med_disc!O2&gt;1,ber_Med_disc!N2&gt;0),ROUND(ber_Med_disc!H2/ber_Med_disc!N2,2)&amp;" "&amp;ber_Med_disc!F2&amp;"/ml","")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" customHeight="1" x14ac:dyDescent="0.2">
      <c r="A8" s="117"/>
      <c r="B8" s="119">
        <v>2</v>
      </c>
      <c r="C8" s="120"/>
      <c r="D8" s="837">
        <f>ber_Med_disc!C3</f>
        <v>0</v>
      </c>
      <c r="E8" s="837"/>
      <c r="F8" s="837"/>
      <c r="G8" s="837"/>
      <c r="H8" s="121" t="str">
        <f>IF(INDEX(tblMedDiscTijdenValues,ber_Med_disc!I3,1)=0,"",INDEX(tblMedDiscTijdenValues,ber_Med_disc!I3,1))</f>
        <v/>
      </c>
      <c r="I8" s="122" t="str">
        <f>IF(ber_Med_disc!C3&gt;1,ber_Med_disc!H3,"")</f>
        <v/>
      </c>
      <c r="J8" s="123" t="str">
        <f>IF(ber_Med_disc!C3&gt;1,ber_Med_disc!F3,"")</f>
        <v/>
      </c>
      <c r="K8" s="124">
        <f>ber_Med_disc!L3</f>
        <v>0</v>
      </c>
      <c r="L8" s="117" t="str">
        <f>IF(AND(ber_Med_disc!C3&gt;1,ber_Med_disc!O3&gt;1,H8&lt;&gt;"STOP"),ber_Med_disc!N3,"")</f>
        <v/>
      </c>
      <c r="M8" s="117" t="str">
        <f>IF(AND(ber_Med_disc!C3&gt;1,L8&lt;&gt;0,ber_Med_disc!O3&gt;1,H8&lt;&gt;"STOP"),"ml","")</f>
        <v/>
      </c>
      <c r="N8" s="117"/>
      <c r="O8" s="117" t="str">
        <f>IF(AND(L8&lt;&gt;"",ber_Med_disc!Q3&gt;0,H8&lt;&gt;"STOP"),ber_Med_disc!Q3&amp;"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" customHeight="1" x14ac:dyDescent="0.2">
      <c r="A9" s="117"/>
      <c r="B9" s="125" t="s">
        <v>597</v>
      </c>
      <c r="C9" s="126"/>
      <c r="D9" s="128">
        <f>ber_Opm!C17</f>
        <v>0</v>
      </c>
      <c r="E9" s="128"/>
      <c r="F9" s="128"/>
      <c r="G9" s="128"/>
      <c r="H9" s="127" t="str">
        <f>IF(AND(ber_Med_disc!C3&gt;1,H8&lt;&gt;"STOP"),"Dosering/kg/dag: ","")</f>
        <v/>
      </c>
      <c r="I9" s="126"/>
      <c r="J9" s="128" t="str">
        <f>IF(ber_Med_disc!C3&gt;1,ber_Med_disc!M3,"")</f>
        <v/>
      </c>
      <c r="K9" s="126" t="str">
        <f>IF(AND(ber_Med_disc!C3&gt;1,H8&lt;&gt;"STOP"),J8&amp;"/kg/dag ","")</f>
        <v/>
      </c>
      <c r="L9" s="126"/>
      <c r="M9" s="126" t="str">
        <f>IF(AND(ber_Med_disc!C3&gt;1,ber_Med_disc!O3&gt;1,ber_Med_disc!N3&gt;0,H8&lt;&gt;"STOP"),"Oplossing:","")</f>
        <v/>
      </c>
      <c r="N9" s="126" t="str">
        <f>IF(AND(ber_Med_disc!C3&gt;1,ber_Med_disc!O3&gt;1,ber_Med_disc!N3&gt;0,H8&lt;&gt;"STOP"),ROUND(ber_Med_disc!H3/ber_Med_disc!N3,2)&amp;" "&amp;ber_Med_disc!F3&amp;"/ml","")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" customHeight="1" x14ac:dyDescent="0.2">
      <c r="A10" s="117"/>
      <c r="B10" s="119">
        <v>3</v>
      </c>
      <c r="C10" s="120"/>
      <c r="D10" s="837">
        <f>ber_Med_disc!C4</f>
        <v>0</v>
      </c>
      <c r="E10" s="837"/>
      <c r="F10" s="837"/>
      <c r="G10" s="837"/>
      <c r="H10" s="121" t="str">
        <f>IF(INDEX(tblMedDiscTijdenValues,ber_Med_disc!I4,1)=0,"",INDEX(tblMedDiscTijdenValues,ber_Med_disc!I4,1))</f>
        <v/>
      </c>
      <c r="I10" s="122" t="str">
        <f>IF(ber_Med_disc!C4&gt;1,ber_Med_disc!H4,"")</f>
        <v/>
      </c>
      <c r="J10" s="123" t="str">
        <f>IF(ber_Med_disc!C4&gt;1,ber_Med_disc!F4,"")</f>
        <v/>
      </c>
      <c r="K10" s="124">
        <f>ber_Med_disc!L4</f>
        <v>0</v>
      </c>
      <c r="L10" s="117" t="str">
        <f>IF(AND(ber_Med_disc!C4&gt;1,ber_Med_disc!O4&gt;1,H10&lt;&gt;"STOP"),ber_Med_disc!N4,"")</f>
        <v/>
      </c>
      <c r="M10" s="117" t="str">
        <f>IF(AND(ber_Med_disc!C4&gt;1,L10&lt;&gt;0,ber_Med_disc!O4&gt;1,H10&lt;&gt;"STOP"),"ml","")</f>
        <v/>
      </c>
      <c r="N10" s="117"/>
      <c r="O10" s="117" t="str">
        <f>IF(AND(L10&lt;&gt;"",ber_Med_disc!Q4&gt;0,H10&lt;&gt;"STOP"),ber_Med_disc!Q4&amp;"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" customHeight="1" x14ac:dyDescent="0.2">
      <c r="A11" s="117"/>
      <c r="B11" s="125" t="s">
        <v>597</v>
      </c>
      <c r="C11" s="126"/>
      <c r="D11" s="128">
        <f>ber_Opm!C18</f>
        <v>0</v>
      </c>
      <c r="E11" s="128"/>
      <c r="F11" s="128"/>
      <c r="G11" s="128"/>
      <c r="H11" s="127" t="str">
        <f>IF(AND(ber_Med_disc!C4&gt;1,H10&lt;&gt;"STOP"),"Dosering/kg/dag: ","")</f>
        <v/>
      </c>
      <c r="I11" s="126"/>
      <c r="J11" s="128" t="str">
        <f>IF(ber_Med_disc!C4&gt;1,ber_Med_disc!M4,"")</f>
        <v/>
      </c>
      <c r="K11" s="126" t="str">
        <f>IF(AND(ber_Med_disc!C4&gt;1,H10&lt;&gt;"STOP"),J10&amp;"/kg/dag ","")</f>
        <v/>
      </c>
      <c r="L11" s="126"/>
      <c r="M11" s="126" t="str">
        <f>IF(AND(ber_Med_disc!C4&gt;1,ber_Med_disc!O4&gt;1,ber_Med_disc!N4&gt;0,H10&lt;&gt;"STOP"),"Oplossing:","")</f>
        <v/>
      </c>
      <c r="N11" s="126" t="str">
        <f>IF(AND(ber_Med_disc!C4&gt;1,ber_Med_disc!O4&gt;1,ber_Med_disc!N4&gt;0,H10&lt;&gt;"STOP"),ROUND(ber_Med_disc!H4/ber_Med_disc!N4,2)&amp;" "&amp;ber_Med_disc!F4&amp;"/ml","")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" customHeight="1" x14ac:dyDescent="0.2">
      <c r="A12" s="117"/>
      <c r="B12" s="119">
        <v>4</v>
      </c>
      <c r="C12" s="120"/>
      <c r="D12" s="837">
        <f>ber_Med_disc!C5</f>
        <v>0</v>
      </c>
      <c r="E12" s="837"/>
      <c r="F12" s="837"/>
      <c r="G12" s="837"/>
      <c r="H12" s="121" t="str">
        <f>IF(INDEX(tblMedDiscTijdenValues,ber_Med_disc!I5,1)=0,"",INDEX(tblMedDiscTijdenValues,ber_Med_disc!I5,1))</f>
        <v/>
      </c>
      <c r="I12" s="122" t="str">
        <f>IF(ber_Med_disc!C5&gt;1,ber_Med_disc!H5,"")</f>
        <v/>
      </c>
      <c r="J12" s="123" t="str">
        <f>IF(ber_Med_disc!C5&gt;1,ber_Med_disc!F5,"")</f>
        <v/>
      </c>
      <c r="K12" s="124">
        <f>ber_Med_disc!L5</f>
        <v>0</v>
      </c>
      <c r="L12" s="117" t="str">
        <f>IF(AND(ber_Med_disc!C5&gt;1,ber_Med_disc!O5&gt;1,H12&lt;&gt;"STOP"),ber_Med_disc!N5,"")</f>
        <v/>
      </c>
      <c r="M12" s="117" t="str">
        <f>IF(AND(ber_Med_disc!C5&gt;1,L12&lt;&gt;0,ber_Med_disc!O5&gt;1,H12&lt;&gt;"STOP"),"ml","")</f>
        <v/>
      </c>
      <c r="N12" s="117"/>
      <c r="O12" s="117" t="str">
        <f>IF(AND(L12&lt;&gt;"",ber_Med_disc!Q5&gt;0,H12&lt;&gt;"STOP"),ber_Med_disc!Q5&amp;"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" customHeight="1" x14ac:dyDescent="0.2">
      <c r="A13" s="117"/>
      <c r="B13" s="125" t="s">
        <v>597</v>
      </c>
      <c r="C13" s="126"/>
      <c r="D13" s="128">
        <f>ber_Opm!C19</f>
        <v>0</v>
      </c>
      <c r="E13" s="128"/>
      <c r="F13" s="128"/>
      <c r="G13" s="128"/>
      <c r="H13" s="127" t="str">
        <f>IF(AND(ber_Med_disc!C5&gt;1,H12&lt;&gt;"STOP"),"Dosering/kg/dag: ","")</f>
        <v/>
      </c>
      <c r="I13" s="126"/>
      <c r="J13" s="128" t="str">
        <f>IF(ber_Med_disc!C5&gt;1,ber_Med_disc!M5,"")</f>
        <v/>
      </c>
      <c r="K13" s="126" t="str">
        <f>IF(AND(ber_Med_disc!C5&gt;1,H12&lt;&gt;"STOP"),J12&amp;"/kg/dag ","")</f>
        <v/>
      </c>
      <c r="L13" s="126"/>
      <c r="M13" s="126" t="str">
        <f>IF(AND(ber_Med_disc!C5&gt;1,ber_Med_disc!O5&gt;1,ber_Med_disc!N5&gt;0,H12&lt;&gt;"STOP"),"Oplossing:","")</f>
        <v/>
      </c>
      <c r="N13" s="126" t="str">
        <f>IF(AND(ber_Med_disc!C5&gt;1,ber_Med_disc!O5&gt;1,ber_Med_disc!N5&gt;0,H12&lt;&gt;"STOP"),ROUND(ber_Med_disc!H5/ber_Med_disc!N5,2)&amp;" "&amp;ber_Med_disc!F5&amp;"/ml","")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" customHeight="1" x14ac:dyDescent="0.2">
      <c r="A14" s="117"/>
      <c r="B14" s="119">
        <v>5</v>
      </c>
      <c r="C14" s="120"/>
      <c r="D14" s="837">
        <f>ber_Med_disc!C6</f>
        <v>0</v>
      </c>
      <c r="E14" s="837"/>
      <c r="F14" s="837"/>
      <c r="G14" s="837"/>
      <c r="H14" s="121" t="str">
        <f>IF(INDEX(tblMedDiscTijdenValues,ber_Med_disc!I6,1)=0,"",INDEX(tblMedDiscTijdenValues,ber_Med_disc!I6,1))</f>
        <v/>
      </c>
      <c r="I14" s="122" t="str">
        <f>IF(ber_Med_disc!C6&gt;1,ber_Med_disc!H6,"")</f>
        <v/>
      </c>
      <c r="J14" s="123" t="str">
        <f>IF(ber_Med_disc!C6&gt;1,ber_Med_disc!F6,"")</f>
        <v/>
      </c>
      <c r="K14" s="124">
        <f>ber_Med_disc!L6</f>
        <v>0</v>
      </c>
      <c r="L14" s="117" t="str">
        <f>IF(AND(ber_Med_disc!C6&gt;1,ber_Med_disc!O6&gt;1,H14&lt;&gt;"STOP"),ber_Med_disc!N6,"")</f>
        <v/>
      </c>
      <c r="M14" s="117" t="str">
        <f>IF(AND(ber_Med_disc!C6&gt;1,L14&lt;&gt;0,ber_Med_disc!O6&gt;1,H14&lt;&gt;"STOP"),"ml","")</f>
        <v/>
      </c>
      <c r="N14" s="117"/>
      <c r="O14" s="117" t="str">
        <f>IF(AND(L14&lt;&gt;"",ber_Med_disc!Q6&gt;0,H14&lt;&gt;"STOP"),ber_Med_disc!Q6&amp;"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" customHeight="1" x14ac:dyDescent="0.2">
      <c r="A15" s="117"/>
      <c r="B15" s="125" t="s">
        <v>597</v>
      </c>
      <c r="C15" s="126"/>
      <c r="D15" s="128">
        <f>ber_Opm!C20</f>
        <v>0</v>
      </c>
      <c r="E15" s="128"/>
      <c r="F15" s="128"/>
      <c r="G15" s="128"/>
      <c r="H15" s="127" t="str">
        <f>IF(AND(ber_Med_disc!C6&gt;1,H14&lt;&gt;"STOP"),"Dosering/kg/dag: ","")</f>
        <v/>
      </c>
      <c r="I15" s="126"/>
      <c r="J15" s="128" t="str">
        <f>IF(ber_Med_disc!C6&gt;1,ber_Med_disc!M6,"")</f>
        <v/>
      </c>
      <c r="K15" s="126" t="str">
        <f>IF(AND(ber_Med_disc!C6&gt;1,H14&lt;&gt;"STOP"),J14&amp;"/kg/dag ","")</f>
        <v/>
      </c>
      <c r="L15" s="126"/>
      <c r="M15" s="126" t="str">
        <f>IF(AND(ber_Med_disc!C6&gt;1,ber_Med_disc!O6&gt;1,ber_Med_disc!N6&gt;0,H14&lt;&gt;"STOP"),"Oplossing:","")</f>
        <v/>
      </c>
      <c r="N15" s="126" t="str">
        <f>IF(AND(ber_Med_disc!C6&gt;1,ber_Med_disc!O6&gt;1,ber_Med_disc!N6&gt;0,H14&lt;&gt;"STOP"),ROUND(ber_Med_disc!H6/ber_Med_disc!N6,2)&amp;" "&amp;ber_Med_disc!F6&amp;"/ml","")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" customHeight="1" x14ac:dyDescent="0.2">
      <c r="A16" s="117"/>
      <c r="B16" s="119">
        <v>6</v>
      </c>
      <c r="C16" s="120"/>
      <c r="D16" s="837">
        <f>ber_Med_disc!C7</f>
        <v>0</v>
      </c>
      <c r="E16" s="837"/>
      <c r="F16" s="837"/>
      <c r="G16" s="837"/>
      <c r="H16" s="121" t="str">
        <f>IF(INDEX(tblMedDiscTijdenValues,ber_Med_disc!I7,1)=0,"",INDEX(tblMedDiscTijdenValues,ber_Med_disc!I7,1))</f>
        <v/>
      </c>
      <c r="I16" s="122" t="str">
        <f>IF(ber_Med_disc!C7&gt;1,ber_Med_disc!H7,"")</f>
        <v/>
      </c>
      <c r="J16" s="123" t="str">
        <f>IF(ber_Med_disc!C7&gt;1,ber_Med_disc!F7,"")</f>
        <v/>
      </c>
      <c r="K16" s="124">
        <f>ber_Med_disc!L7</f>
        <v>0</v>
      </c>
      <c r="L16" s="117" t="str">
        <f>IF(AND(ber_Med_disc!C7&gt;1,ber_Med_disc!O7&gt;1,H16&lt;&gt;"STOP"),ber_Med_disc!N7,"")</f>
        <v/>
      </c>
      <c r="M16" s="117" t="str">
        <f>IF(AND(ber_Med_disc!C7&gt;1,L16&lt;&gt;0,ber_Med_disc!O7&gt;1,H16&lt;&gt;"STOP"),"ml","")</f>
        <v/>
      </c>
      <c r="N16" s="117"/>
      <c r="O16" s="117" t="str">
        <f>IF(AND(L16&lt;&gt;"",ber_Med_disc!Q7&gt;0,H16&lt;&gt;"STOP"),ber_Med_disc!Q7&amp;"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" customHeight="1" x14ac:dyDescent="0.2">
      <c r="A17" s="117"/>
      <c r="B17" s="125" t="s">
        <v>597</v>
      </c>
      <c r="C17" s="126"/>
      <c r="D17" s="128">
        <f>ber_Opm!C21</f>
        <v>0</v>
      </c>
      <c r="E17" s="128"/>
      <c r="F17" s="128"/>
      <c r="G17" s="128"/>
      <c r="H17" s="127" t="str">
        <f>IF(AND(ber_Med_disc!C7&gt;1,H16&lt;&gt;"STOP"),"Dosering/kg/dag: ","")</f>
        <v/>
      </c>
      <c r="I17" s="126"/>
      <c r="J17" s="128" t="str">
        <f>IF(ber_Med_disc!C7&gt;1,ber_Med_disc!M7,"")</f>
        <v/>
      </c>
      <c r="K17" s="126" t="str">
        <f>IF(AND(ber_Med_disc!C7&gt;1,H16&lt;&gt;"STOP"),J16&amp;"/kg/dag ","")</f>
        <v/>
      </c>
      <c r="L17" s="126"/>
      <c r="M17" s="126" t="str">
        <f>IF(AND(ber_Med_disc!C7&gt;1,ber_Med_disc!O7&gt;1,ber_Med_disc!N7&gt;0,H16&lt;&gt;"STOP"),"Oplossing:","")</f>
        <v/>
      </c>
      <c r="N17" s="126" t="str">
        <f>IF(AND(ber_Med_disc!C7&gt;1,ber_Med_disc!O7&gt;1,ber_Med_disc!N7&gt;0,H16&lt;&gt;"STOP"),ROUND(ber_Med_disc!H7/ber_Med_disc!N7,2)&amp;" "&amp;ber_Med_disc!F7&amp;"/ml","")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" customHeight="1" x14ac:dyDescent="0.2">
      <c r="A18" s="117"/>
      <c r="B18" s="119">
        <v>7</v>
      </c>
      <c r="C18" s="120"/>
      <c r="D18" s="837">
        <f>ber_Med_disc!C8</f>
        <v>0</v>
      </c>
      <c r="E18" s="837"/>
      <c r="F18" s="837"/>
      <c r="G18" s="837"/>
      <c r="H18" s="121" t="str">
        <f>IF(INDEX(tblMedDiscTijdenValues,ber_Med_disc!I8,1)=0,"",INDEX(tblMedDiscTijdenValues,ber_Med_disc!I8,1))</f>
        <v/>
      </c>
      <c r="I18" s="122" t="str">
        <f>IF(ber_Med_disc!C8&gt;1,ber_Med_disc!H8,"")</f>
        <v/>
      </c>
      <c r="J18" s="123" t="str">
        <f>IF(ber_Med_disc!C8&gt;1,ber_Med_disc!F8,"")</f>
        <v/>
      </c>
      <c r="K18" s="124">
        <f>ber_Med_disc!L8</f>
        <v>0</v>
      </c>
      <c r="L18" s="117" t="str">
        <f>IF(AND(ber_Med_disc!C8&gt;1,ber_Med_disc!O8&gt;1,H18&lt;&gt;"STOP"),ber_Med_disc!N8,"")</f>
        <v/>
      </c>
      <c r="M18" s="117" t="str">
        <f>IF(AND(ber_Med_disc!C8&gt;1,L18&lt;&gt;0,ber_Med_disc!O8&gt;1,H18&lt;&gt;"STOP"),"ml","")</f>
        <v/>
      </c>
      <c r="N18" s="117"/>
      <c r="O18" s="117" t="str">
        <f>IF(AND(L18&lt;&gt;"",ber_Med_disc!Q8&gt;0,H18&lt;&gt;"STOP"),ber_Med_disc!Q8&amp;"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" customHeight="1" x14ac:dyDescent="0.2">
      <c r="A19" s="117"/>
      <c r="B19" s="125" t="s">
        <v>597</v>
      </c>
      <c r="C19" s="126"/>
      <c r="D19" s="128">
        <f>ber_Opm!C22</f>
        <v>0</v>
      </c>
      <c r="E19" s="128"/>
      <c r="F19" s="128"/>
      <c r="G19" s="128"/>
      <c r="H19" s="127" t="str">
        <f>IF(AND(ber_Med_disc!C8&gt;1,H18&lt;&gt;"STOP"),"Dosering/kg/dag: ","")</f>
        <v/>
      </c>
      <c r="I19" s="126"/>
      <c r="J19" s="128" t="str">
        <f>IF(ber_Med_disc!C8&gt;1,ber_Med_disc!M8,"")</f>
        <v/>
      </c>
      <c r="K19" s="126" t="str">
        <f>IF(AND(ber_Med_disc!C8&gt;1,H18&lt;&gt;"STOP"),J18&amp;"/kg/dag ","")</f>
        <v/>
      </c>
      <c r="L19" s="126"/>
      <c r="M19" s="126" t="str">
        <f>IF(AND(ber_Med_disc!C8&gt;1,ber_Med_disc!O8&gt;1,ber_Med_disc!N8&gt;0,H18&lt;&gt;"STOP"),"Oplossing:","")</f>
        <v/>
      </c>
      <c r="N19" s="126" t="str">
        <f>IF(AND(ber_Med_disc!C8&gt;1,ber_Med_disc!O8&gt;1,ber_Med_disc!N8&gt;0,H18&lt;&gt;"STOP"),ROUND(ber_Med_disc!H8/ber_Med_disc!N8,2)&amp;" "&amp;ber_Med_disc!F8&amp;"/ml","")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" customHeight="1" x14ac:dyDescent="0.2">
      <c r="A20" s="117"/>
      <c r="B20" s="119">
        <v>8</v>
      </c>
      <c r="C20" s="120"/>
      <c r="D20" s="837">
        <f>ber_Med_disc!C9</f>
        <v>0</v>
      </c>
      <c r="E20" s="837"/>
      <c r="F20" s="837"/>
      <c r="G20" s="837"/>
      <c r="H20" s="121" t="str">
        <f>IF(INDEX(tblMedDiscTijdenValues,ber_Med_disc!I9,1)=0,"",INDEX(tblMedDiscTijdenValues,ber_Med_disc!I9,1))</f>
        <v/>
      </c>
      <c r="I20" s="122" t="str">
        <f>IF(ber_Med_disc!C9&gt;1,ber_Med_disc!H9,"")</f>
        <v/>
      </c>
      <c r="J20" s="123" t="str">
        <f>IF(ber_Med_disc!C9&gt;1,ber_Med_disc!F9,"")</f>
        <v/>
      </c>
      <c r="K20" s="124">
        <f>ber_Med_disc!L9</f>
        <v>0</v>
      </c>
      <c r="L20" s="117" t="str">
        <f>IF(AND(ber_Med_disc!C9&gt;1,ber_Med_disc!O9&gt;1,H20&lt;&gt;"STOP"),ber_Med_disc!N9,"")</f>
        <v/>
      </c>
      <c r="M20" s="117" t="str">
        <f>IF(AND(ber_Med_disc!C9&gt;1,L20&lt;&gt;0,ber_Med_disc!O9&gt;1,H20&lt;&gt;"STOP"),"ml","")</f>
        <v/>
      </c>
      <c r="N20" s="117"/>
      <c r="O20" s="117" t="str">
        <f>IF(AND(L20&lt;&gt;"",ber_Med_disc!Q9&gt;0,H20&lt;&gt;"STOP"),ber_Med_disc!Q9&amp;"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" customHeight="1" x14ac:dyDescent="0.2">
      <c r="A21" s="117"/>
      <c r="B21" s="125" t="s">
        <v>597</v>
      </c>
      <c r="C21" s="126"/>
      <c r="D21" s="128">
        <f>ber_Opm!C23</f>
        <v>0</v>
      </c>
      <c r="E21" s="128"/>
      <c r="F21" s="128"/>
      <c r="G21" s="128"/>
      <c r="H21" s="127" t="str">
        <f>IF(AND(ber_Med_disc!C9&gt;1,H20&lt;&gt;"STOP"),"Dosering/kg/dag: ","")</f>
        <v/>
      </c>
      <c r="I21" s="126"/>
      <c r="J21" s="128" t="str">
        <f>IF(ber_Med_disc!C9&gt;1,ber_Med_disc!M9,"")</f>
        <v/>
      </c>
      <c r="K21" s="126" t="str">
        <f>IF(AND(ber_Med_disc!C9&gt;1,H20&lt;&gt;"STOP"),J20&amp;"/kg/dag ","")</f>
        <v/>
      </c>
      <c r="L21" s="126"/>
      <c r="M21" s="126" t="str">
        <f>IF(AND(ber_Med_disc!C9&gt;1,ber_Med_disc!O9&gt;1,ber_Med_disc!N9&gt;0,H20&lt;&gt;"STOP"),"Oplossing:","")</f>
        <v/>
      </c>
      <c r="N21" s="126" t="str">
        <f>IF(AND(ber_Med_disc!C9&gt;1,ber_Med_disc!O9&gt;1,ber_Med_disc!N9&gt;0,H20&lt;&gt;"STOP"),ROUND(ber_Med_disc!H9/ber_Med_disc!N9,2)&amp;" "&amp;ber_Med_disc!F9&amp;"/ml","")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" customHeight="1" x14ac:dyDescent="0.2">
      <c r="A22" s="117"/>
      <c r="B22" s="119">
        <v>9</v>
      </c>
      <c r="C22" s="120"/>
      <c r="D22" s="837">
        <f>ber_Med_disc!C10</f>
        <v>0</v>
      </c>
      <c r="E22" s="837"/>
      <c r="F22" s="837"/>
      <c r="G22" s="837"/>
      <c r="H22" s="121" t="str">
        <f>IF(INDEX(tblMedDiscTijdenValues,ber_Med_disc!I10,1)=0,"",INDEX(tblMedDiscTijdenValues,ber_Med_disc!I10,1))</f>
        <v/>
      </c>
      <c r="I22" s="122" t="str">
        <f>IF(ber_Med_disc!C10&gt;1,ber_Med_disc!H10,"")</f>
        <v/>
      </c>
      <c r="J22" s="123" t="str">
        <f>IF(ber_Med_disc!C10&gt;1,ber_Med_disc!F10,"")</f>
        <v/>
      </c>
      <c r="K22" s="124">
        <f>ber_Med_disc!L10</f>
        <v>0</v>
      </c>
      <c r="L22" s="117" t="str">
        <f>IF(AND(ber_Med_disc!C10&gt;1,ber_Med_disc!O10&gt;1,H22&lt;&gt;"STOP"),ber_Med_disc!N10,"")</f>
        <v/>
      </c>
      <c r="M22" s="117" t="str">
        <f>IF(AND(ber_Med_disc!C10&gt;1,L22&lt;&gt;0,ber_Med_disc!O10&gt;1,H22&lt;&gt;"STOP"),"ml","")</f>
        <v/>
      </c>
      <c r="N22" s="117"/>
      <c r="O22" s="117" t="str">
        <f>IF(AND(L22&lt;&gt;"",ber_Med_disc!Q10&gt;0,H22&lt;&gt;"STOP"),ber_Med_disc!Q10&amp;"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" customHeight="1" x14ac:dyDescent="0.2">
      <c r="A23" s="117"/>
      <c r="B23" s="125" t="s">
        <v>597</v>
      </c>
      <c r="C23" s="126"/>
      <c r="D23" s="128">
        <f>ber_Opm!C23</f>
        <v>0</v>
      </c>
      <c r="E23" s="128"/>
      <c r="F23" s="128"/>
      <c r="G23" s="128"/>
      <c r="H23" s="127" t="str">
        <f>IF(AND(ber_Med_disc!C10&gt;1,H22&lt;&gt;"STOP"),"Dosering/kg/dag: ","")</f>
        <v/>
      </c>
      <c r="I23" s="126"/>
      <c r="J23" s="128" t="str">
        <f>IF(ber_Med_disc!C10&gt;1,ber_Med_disc!M10,"")</f>
        <v/>
      </c>
      <c r="K23" s="126" t="str">
        <f>IF(AND(ber_Med_disc!C10&gt;1,H22&lt;&gt;"STOP"),J22&amp;"/kg/dag ","")</f>
        <v/>
      </c>
      <c r="L23" s="126"/>
      <c r="M23" s="126" t="str">
        <f>IF(AND(ber_Med_disc!C10&gt;1,ber_Med_disc!O10&gt;1,ber_Med_disc!N10&gt;0,H22&lt;&gt;"STOP"),"Oplossing:","")</f>
        <v/>
      </c>
      <c r="N23" s="126" t="str">
        <f>IF(AND(ber_Med_disc!C10&gt;1,ber_Med_disc!O10&gt;1,ber_Med_disc!N10&gt;0,H22&lt;&gt;"STOP"),ROUND(ber_Med_disc!H10/ber_Med_disc!N10,2)&amp;" "&amp;ber_Med_disc!F10&amp;"/ml","")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" customHeight="1" x14ac:dyDescent="0.2">
      <c r="A24" s="117"/>
      <c r="B24" s="119">
        <v>10</v>
      </c>
      <c r="C24" s="120"/>
      <c r="D24" s="837">
        <f>ber_Med_disc!C11</f>
        <v>0</v>
      </c>
      <c r="E24" s="837"/>
      <c r="F24" s="837"/>
      <c r="G24" s="837"/>
      <c r="H24" s="121" t="str">
        <f>IF(INDEX(tblMedDiscTijdenValues,ber_Med_disc!I11,1)=0,"",INDEX(tblMedDiscTijdenValues,ber_Med_disc!I11,1))</f>
        <v/>
      </c>
      <c r="I24" s="122" t="str">
        <f>IF(ber_Med_disc!C11&gt;1,ber_Med_disc!H11,"")</f>
        <v/>
      </c>
      <c r="J24" s="123" t="str">
        <f>IF(ber_Med_disc!C11&gt;1,ber_Med_disc!F11,"")</f>
        <v/>
      </c>
      <c r="K24" s="124">
        <f>ber_Med_disc!L11</f>
        <v>0</v>
      </c>
      <c r="L24" s="117" t="str">
        <f>IF(AND(ber_Med_disc!C11&gt;1,ber_Med_disc!O11&gt;1,H23&lt;&gt;"STOP"),ber_Med_disc!N11,"")</f>
        <v/>
      </c>
      <c r="M24" s="117" t="str">
        <f>IF(AND(ber_Med_disc!C11&gt;1,L23&lt;&gt;0,ber_Med_disc!O11&gt;1,H23&lt;&gt;"STOP"),"ml","")</f>
        <v/>
      </c>
      <c r="N24" s="117"/>
      <c r="O24" s="117" t="str">
        <f>IF(AND(L23&lt;&gt;"",ber_Med_disc!Q11&gt;0,H23&lt;&gt;"STOP"),ber_Med_disc!Q11&amp;"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" customHeight="1" x14ac:dyDescent="0.2">
      <c r="A25" s="117"/>
      <c r="B25" s="125" t="s">
        <v>597</v>
      </c>
      <c r="C25" s="126"/>
      <c r="D25" s="128">
        <f>ber_Opm!C24</f>
        <v>0</v>
      </c>
      <c r="E25" s="128"/>
      <c r="F25" s="128"/>
      <c r="G25" s="128"/>
      <c r="H25" s="127" t="str">
        <f>IF(AND(ber_Med_disc!C11&gt;1,H23&lt;&gt;"STOP"),"Dosering/kg/dag: ","")</f>
        <v/>
      </c>
      <c r="I25" s="126"/>
      <c r="J25" s="128" t="str">
        <f>IF(ber_Med_disc!C11&gt;1,ber_Med_disc!M11,"")</f>
        <v/>
      </c>
      <c r="K25" s="126" t="str">
        <f>IF(AND(ber_Med_disc!C11&gt;1,H23&lt;&gt;"STOP"),J23&amp;"/kg/dag ","")</f>
        <v/>
      </c>
      <c r="L25" s="126"/>
      <c r="M25" s="126" t="str">
        <f>IF(AND(ber_Med_disc!C11&gt;1,ber_Med_disc!O11&gt;1,ber_Med_disc!N11&gt;0,H23&lt;&gt;"STOP"),"Oplossing:","")</f>
        <v/>
      </c>
      <c r="N25" s="126" t="str">
        <f>IF(AND(ber_Med_disc!C11&gt;1,ber_Med_disc!O11&gt;1,ber_Med_disc!N11&gt;0,H23&lt;&gt;"STOP"),ROUND(ber_Med_disc!H11/ber_Med_disc!N11,2)&amp;" "&amp;ber_Med_disc!F11&amp;"/ml","")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" customHeight="1" x14ac:dyDescent="0.2">
      <c r="A26" s="117"/>
      <c r="B26" s="119">
        <v>11</v>
      </c>
      <c r="C26" s="120"/>
      <c r="D26" s="837">
        <f>ber_Med_disc!C12</f>
        <v>0</v>
      </c>
      <c r="E26" s="837"/>
      <c r="F26" s="837"/>
      <c r="G26" s="837"/>
      <c r="H26" s="121" t="str">
        <f>IF(INDEX(tblMedDiscTijdenValues,ber_Med_disc!I12,1)=0,"",INDEX(tblMedDiscTijdenValues,ber_Med_disc!I12,1))</f>
        <v/>
      </c>
      <c r="I26" s="122" t="str">
        <f>IF(ber_Med_disc!C12&gt;1,ber_Med_disc!H12,"")</f>
        <v/>
      </c>
      <c r="J26" s="123" t="str">
        <f>IF(ber_Med_disc!C12&gt;1,ber_Med_disc!F12,"")</f>
        <v/>
      </c>
      <c r="K26" s="124">
        <f>ber_Med_disc!L12</f>
        <v>0</v>
      </c>
      <c r="L26" s="117" t="str">
        <f>IF(AND(ber_Med_disc!C12&gt;1,ber_Med_disc!O12&gt;1,H26&lt;&gt;"STOP"),ber_Med_disc!N12,"")</f>
        <v/>
      </c>
      <c r="M26" s="117" t="str">
        <f>IF(AND(ber_Med_disc!C12&gt;1,L26&lt;&gt;0,ber_Med_disc!O12&gt;1,H26&lt;&gt;"STOP"),"ml","")</f>
        <v/>
      </c>
      <c r="N26" s="117"/>
      <c r="O26" s="117" t="str">
        <f>IF(AND(L26&lt;&gt;"",ber_Med_disc!Q12&gt;0,H26&lt;&gt;"STOP"),ber_Med_disc!Q12&amp;"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" customHeight="1" x14ac:dyDescent="0.2">
      <c r="A27" s="117"/>
      <c r="B27" s="125" t="s">
        <v>597</v>
      </c>
      <c r="C27" s="126"/>
      <c r="D27" s="128">
        <f>ber_Opm!C26</f>
        <v>0</v>
      </c>
      <c r="E27" s="128"/>
      <c r="F27" s="128"/>
      <c r="G27" s="128"/>
      <c r="H27" s="127" t="str">
        <f>IF(AND(ber_Med_disc!C12&gt;1,H26&lt;&gt;"STOP"),"Dosering/kg/dag: ","")</f>
        <v/>
      </c>
      <c r="I27" s="126"/>
      <c r="J27" s="128" t="str">
        <f>IF(ber_Med_disc!C12&gt;1,ber_Med_disc!M12,"")</f>
        <v/>
      </c>
      <c r="K27" s="126" t="str">
        <f>IF(AND(ber_Med_disc!C12&gt;1,H26&lt;&gt;"STOP"),J26&amp;"/kg/dag ","")</f>
        <v/>
      </c>
      <c r="L27" s="126"/>
      <c r="M27" s="126" t="str">
        <f>IF(AND(ber_Med_disc!C12&gt;1,ber_Med_disc!O12&gt;1,ber_Med_disc!N12&gt;0,H26&lt;&gt;"STOP"),"Oplossing:","")</f>
        <v/>
      </c>
      <c r="N27" s="126" t="str">
        <f>IF(AND(ber_Med_disc!C12&gt;1,ber_Med_disc!O12&gt;1,ber_Med_disc!N12&gt;0,H26&lt;&gt;"STOP"),ROUND(ber_Med_disc!H12/ber_Med_disc!N12,2)&amp;" "&amp;ber_Med_disc!F12&amp;"/ml","")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" customHeight="1" x14ac:dyDescent="0.2">
      <c r="A28" s="117"/>
      <c r="B28" s="119">
        <v>12</v>
      </c>
      <c r="C28" s="120"/>
      <c r="D28" s="837">
        <f>ber_Med_disc!C13</f>
        <v>0</v>
      </c>
      <c r="E28" s="837"/>
      <c r="F28" s="837"/>
      <c r="G28" s="837"/>
      <c r="H28" s="121" t="str">
        <f>IF(INDEX(tblMedDiscTijdenValues,ber_Med_disc!I13,1)=0,"",INDEX(tblMedDiscTijdenValues,ber_Med_disc!I13,1))</f>
        <v/>
      </c>
      <c r="I28" s="122" t="str">
        <f>IF(ber_Med_disc!C13&gt;1,ber_Med_disc!H13,"")</f>
        <v/>
      </c>
      <c r="J28" s="123" t="str">
        <f>IF(ber_Med_disc!C13&gt;1,ber_Med_disc!F13,"")</f>
        <v/>
      </c>
      <c r="K28" s="124">
        <f>ber_Med_disc!L13</f>
        <v>0</v>
      </c>
      <c r="L28" s="117" t="str">
        <f>IF(AND(ber_Med_disc!C13&gt;1,ber_Med_disc!O13&gt;1,H28&lt;&gt;"STOP"),ber_Med_disc!N13,"")</f>
        <v/>
      </c>
      <c r="M28" s="117" t="str">
        <f>IF(AND(ber_Med_disc!C13&gt;1,L28&lt;&gt;0,ber_Med_disc!O13&gt;1,H28&lt;&gt;"STOP"),"ml","")</f>
        <v/>
      </c>
      <c r="N28" s="117"/>
      <c r="O28" s="117" t="str">
        <f>IF(AND(L28&lt;&gt;"",ber_Med_disc!Q13&gt;0,H28&lt;&gt;"STOP"),ber_Med_disc!Q13&amp;"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" customHeight="1" x14ac:dyDescent="0.2">
      <c r="A29" s="117"/>
      <c r="B29" s="125" t="s">
        <v>597</v>
      </c>
      <c r="C29" s="126"/>
      <c r="D29" s="128">
        <f>ber_Opm!C27</f>
        <v>0</v>
      </c>
      <c r="E29" s="128"/>
      <c r="F29" s="128"/>
      <c r="G29" s="128"/>
      <c r="H29" s="127" t="str">
        <f>IF(AND(ber_Med_disc!C13&gt;1,H28&lt;&gt;"STOP"),"Dosering/kg/dag: ","")</f>
        <v/>
      </c>
      <c r="I29" s="126"/>
      <c r="J29" s="128" t="str">
        <f>IF(ber_Med_disc!C13&gt;1,ber_Med_disc!M13,"")</f>
        <v/>
      </c>
      <c r="K29" s="126" t="str">
        <f>IF(AND(ber_Med_disc!C13&gt;1,H28&lt;&gt;"STOP"),J28&amp;"/kg/dag ","")</f>
        <v/>
      </c>
      <c r="L29" s="126"/>
      <c r="M29" s="126" t="str">
        <f>IF(AND(ber_Med_disc!C13&gt;1,ber_Med_disc!O13&gt;1,ber_Med_disc!N13&gt;0,H28&lt;&gt;"STOP"),"Oplossing:","")</f>
        <v/>
      </c>
      <c r="N29" s="126" t="str">
        <f>IF(AND(ber_Med_disc!C13&gt;1,ber_Med_disc!O13&gt;1,ber_Med_disc!N13&gt;0,H28&lt;&gt;"STOP"),ROUND(ber_Med_disc!H13/ber_Med_disc!N13,2)&amp;" "&amp;ber_Med_disc!F13&amp;"/ml","")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" customHeight="1" x14ac:dyDescent="0.2">
      <c r="A30" s="117"/>
      <c r="B30" s="119">
        <v>13</v>
      </c>
      <c r="C30" s="120"/>
      <c r="D30" s="837">
        <f>ber_Med_disc!C14</f>
        <v>0</v>
      </c>
      <c r="E30" s="837"/>
      <c r="F30" s="837"/>
      <c r="G30" s="837"/>
      <c r="H30" s="121" t="str">
        <f>IF(INDEX(tblMedDiscTijdenValues,ber_Med_disc!I14,1)=0,"",INDEX(tblMedDiscTijdenValues,ber_Med_disc!I14,1))</f>
        <v/>
      </c>
      <c r="I30" s="122" t="str">
        <f>IF(ber_Med_disc!C14&gt;1,ber_Med_disc!H14,"")</f>
        <v/>
      </c>
      <c r="J30" s="123" t="str">
        <f>IF(ber_Med_disc!C14&gt;1,ber_Med_disc!F14,"")</f>
        <v/>
      </c>
      <c r="K30" s="124">
        <f>ber_Med_disc!L14</f>
        <v>0</v>
      </c>
      <c r="L30" s="117" t="str">
        <f>IF(AND(ber_Med_disc!C14&gt;1,ber_Med_disc!O14&gt;1,H30&lt;&gt;"STOP"),ber_Med_disc!N14,"")</f>
        <v/>
      </c>
      <c r="M30" s="117" t="str">
        <f>IF(AND(ber_Med_disc!C14&gt;1,L30&lt;&gt;0,ber_Med_disc!O14&gt;1,H30&lt;&gt;"STOP"),"ml","")</f>
        <v/>
      </c>
      <c r="N30" s="117"/>
      <c r="O30" s="117" t="str">
        <f>IF(AND(L30&lt;&gt;"",ber_Med_disc!Q14&gt;0,H30&lt;&gt;"STOP"),ber_Med_disc!Q14&amp;"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" customHeight="1" x14ac:dyDescent="0.2">
      <c r="A31" s="117"/>
      <c r="B31" s="125" t="s">
        <v>597</v>
      </c>
      <c r="C31" s="126"/>
      <c r="D31" s="128">
        <f>ber_Opm!C28</f>
        <v>0</v>
      </c>
      <c r="E31" s="128"/>
      <c r="F31" s="128"/>
      <c r="G31" s="128"/>
      <c r="H31" s="127" t="str">
        <f>IF(AND(ber_Med_disc!C14&gt;1,H30&lt;&gt;"STOP"),"Dosering/kg/dag: ","")</f>
        <v/>
      </c>
      <c r="I31" s="126"/>
      <c r="J31" s="128" t="str">
        <f>IF(ber_Med_disc!C14&gt;1,ber_Med_disc!M14,"")</f>
        <v/>
      </c>
      <c r="K31" s="126" t="str">
        <f>IF(AND(ber_Med_disc!C14&gt;1,H30&lt;&gt;"STOP"),J30&amp;"/kg/dag ","")</f>
        <v/>
      </c>
      <c r="L31" s="126"/>
      <c r="M31" s="126" t="str">
        <f>IF(AND(ber_Med_disc!C14&gt;1,ber_Med_disc!O14&gt;1,ber_Med_disc!N14&gt;0,H30&lt;&gt;"STOP"),"Oplossing:","")</f>
        <v/>
      </c>
      <c r="N31" s="126" t="str">
        <f>IF(AND(ber_Med_disc!C14&gt;1,ber_Med_disc!O14&gt;1,ber_Med_disc!N14&gt;0,H30&lt;&gt;"STOP"),ROUND(ber_Med_disc!H14/ber_Med_disc!N14,2)&amp;" "&amp;ber_Med_disc!F14&amp;"/ml","")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" customHeight="1" x14ac:dyDescent="0.2">
      <c r="A32" s="117"/>
      <c r="B32" s="119">
        <v>14</v>
      </c>
      <c r="C32" s="120"/>
      <c r="D32" s="837">
        <f>ber_Med_disc!C15</f>
        <v>0</v>
      </c>
      <c r="E32" s="837"/>
      <c r="F32" s="837"/>
      <c r="G32" s="837"/>
      <c r="H32" s="121" t="str">
        <f>IF(INDEX(tblMedDiscTijdenValues,ber_Med_disc!I15,1)=0,"",INDEX(tblMedDiscTijdenValues,ber_Med_disc!I15,1))</f>
        <v/>
      </c>
      <c r="I32" s="122" t="str">
        <f>IF(ber_Med_disc!C15&gt;1,ber_Med_disc!H15,"")</f>
        <v/>
      </c>
      <c r="J32" s="123" t="str">
        <f>IF(ber_Med_disc!C15&gt;1,ber_Med_disc!F15,"")</f>
        <v/>
      </c>
      <c r="K32" s="124">
        <f>ber_Med_disc!L15</f>
        <v>0</v>
      </c>
      <c r="L32" s="117" t="str">
        <f>IF(AND(ber_Med_disc!C15&gt;1,ber_Med_disc!O15&gt;1,H32&lt;&gt;"STOP"),ber_Med_disc!N15,"")</f>
        <v/>
      </c>
      <c r="M32" s="117" t="str">
        <f>IF(AND(ber_Med_disc!C15&gt;1,L32&lt;&gt;0,ber_Med_disc!O15&gt;1,H32&lt;&gt;"STOP"),"ml","")</f>
        <v/>
      </c>
      <c r="N32" s="117"/>
      <c r="O32" s="117" t="str">
        <f>IF(AND(L32&lt;&gt;"",ber_Med_disc!Q15&gt;0,H32&lt;&gt;"STOP"),ber_Med_disc!Q15&amp;"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" customHeight="1" x14ac:dyDescent="0.2">
      <c r="A33" s="117"/>
      <c r="B33" s="125" t="s">
        <v>597</v>
      </c>
      <c r="C33" s="126"/>
      <c r="D33" s="128">
        <f>ber_Opm!C29</f>
        <v>0</v>
      </c>
      <c r="E33" s="128"/>
      <c r="F33" s="128"/>
      <c r="G33" s="128"/>
      <c r="H33" s="127" t="str">
        <f>IF(AND(ber_Med_disc!C15&gt;1,H32&lt;&gt;"STOP"),"Dosering/kg/dag: ","")</f>
        <v/>
      </c>
      <c r="I33" s="126"/>
      <c r="J33" s="128" t="str">
        <f>IF(ber_Med_disc!C15&gt;1,ber_Med_disc!M15,"")</f>
        <v/>
      </c>
      <c r="K33" s="126" t="str">
        <f>IF(AND(ber_Med_disc!C15&gt;1,H32&lt;&gt;"STOP"),J32&amp;"/kg/dag ","")</f>
        <v/>
      </c>
      <c r="L33" s="126"/>
      <c r="M33" s="126" t="str">
        <f>IF(AND(ber_Med_disc!C15&gt;1,ber_Med_disc!O15&gt;1,ber_Med_disc!N15&gt;0,H32&lt;&gt;"STOP"),"Oplossing:","")</f>
        <v/>
      </c>
      <c r="N33" s="126" t="str">
        <f>IF(AND(ber_Med_disc!C15&gt;1,ber_Med_disc!O15&gt;1,ber_Med_disc!N15&gt;0,H32&lt;&gt;"STOP"),ROUND(ber_Med_disc!H15/ber_Med_disc!N15,2)&amp;" "&amp;ber_Med_disc!F15&amp;"/ml","")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" customHeight="1" x14ac:dyDescent="0.2">
      <c r="A34" s="117"/>
      <c r="B34" s="119">
        <v>15</v>
      </c>
      <c r="C34" s="120"/>
      <c r="D34" s="837">
        <f>ber_Med_disc!C16</f>
        <v>0</v>
      </c>
      <c r="E34" s="837"/>
      <c r="F34" s="837"/>
      <c r="G34" s="837"/>
      <c r="H34" s="121" t="str">
        <f>IF(INDEX(tblMedDiscTijdenValues,ber_Med_disc!I16,1)=0,"",INDEX(tblMedDiscTijdenValues,ber_Med_disc!I16,1))</f>
        <v/>
      </c>
      <c r="I34" s="122" t="str">
        <f>IF(ber_Med_disc!C16&gt;1,ber_Med_disc!H16,"")</f>
        <v/>
      </c>
      <c r="J34" s="123" t="str">
        <f>IF(ber_Med_disc!C16&gt;1,ber_Med_disc!F16,"")</f>
        <v/>
      </c>
      <c r="K34" s="124">
        <f>ber_Med_disc!L16</f>
        <v>0</v>
      </c>
      <c r="L34" s="117" t="str">
        <f>IF(AND(ber_Med_disc!C16&gt;1,ber_Med_disc!O16&gt;1,H34&lt;&gt;"STOP"),ber_Med_disc!N16,"")</f>
        <v/>
      </c>
      <c r="M34" s="117" t="str">
        <f>IF(AND(ber_Med_disc!C16&gt;1,L34&lt;&gt;0,ber_Med_disc!O16&gt;1,H34&lt;&gt;"STOP"),"ml","")</f>
        <v/>
      </c>
      <c r="N34" s="117"/>
      <c r="O34" s="117" t="str">
        <f>IF(AND(L34&lt;&gt;"",ber_Med_disc!Q16&gt;0,H34&lt;&gt;"STOP"),ber_Med_disc!Q16&amp;"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" customHeight="1" x14ac:dyDescent="0.2">
      <c r="A35" s="117"/>
      <c r="B35" s="125" t="s">
        <v>597</v>
      </c>
      <c r="C35" s="126"/>
      <c r="D35" s="128">
        <f>ber_Opm!C30</f>
        <v>0</v>
      </c>
      <c r="E35" s="128"/>
      <c r="F35" s="128"/>
      <c r="G35" s="128"/>
      <c r="H35" s="127" t="str">
        <f>IF(AND(ber_Med_disc!C16&gt;1,H34&lt;&gt;"STOP"),"Dosering/kg/dag: ","")</f>
        <v/>
      </c>
      <c r="I35" s="126"/>
      <c r="J35" s="128" t="str">
        <f>IF(ber_Med_disc!C16&gt;1,ber_Med_disc!M16,"")</f>
        <v/>
      </c>
      <c r="K35" s="126" t="str">
        <f>IF(AND(ber_Med_disc!C16&gt;1,H34&lt;&gt;"STOP"),J34&amp;"/kg/dag ","")</f>
        <v/>
      </c>
      <c r="L35" s="126"/>
      <c r="M35" s="126" t="str">
        <f>IF(AND(ber_Med_disc!C16&gt;1,ber_Med_disc!O16&gt;1,ber_Med_disc!N16&gt;0,H34&lt;&gt;"STOP"),"Oplossing:","")</f>
        <v/>
      </c>
      <c r="N35" s="126" t="str">
        <f>IF(AND(ber_Med_disc!C16&gt;1,ber_Med_disc!O16&gt;1,ber_Med_disc!N16&gt;0,H34&lt;&gt;"STOP"),ROUND(ber_Med_disc!H16/ber_Med_disc!N16,2)&amp;" "&amp;ber_Med_disc!F16&amp;"/ml","")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" customHeight="1" x14ac:dyDescent="0.2">
      <c r="A36" s="117"/>
      <c r="B36" s="119">
        <v>16</v>
      </c>
      <c r="C36" s="120"/>
      <c r="D36" s="837">
        <f>ber_Med_disc!C17</f>
        <v>0</v>
      </c>
      <c r="E36" s="837"/>
      <c r="F36" s="837"/>
      <c r="G36" s="837"/>
      <c r="H36" s="121" t="str">
        <f>IF(INDEX(tblMedDiscTijdenValues,ber_Med_disc!I17,1)=0,"",INDEX(tblMedDiscTijdenValues,ber_Med_disc!I17,1))</f>
        <v/>
      </c>
      <c r="I36" s="122" t="str">
        <f>IF(ber_Med_disc!C17&gt;1,ber_Med_disc!H17,"")</f>
        <v/>
      </c>
      <c r="J36" s="123" t="str">
        <f>IF(ber_Med_disc!C17&gt;1,ber_Med_disc!F17,"")</f>
        <v/>
      </c>
      <c r="K36" s="124">
        <f>ber_Med_disc!L17</f>
        <v>0</v>
      </c>
      <c r="L36" s="117" t="str">
        <f>IF(AND(ber_Med_disc!C17&gt;1,ber_Med_disc!O17&gt;1),ber_Med_disc!N17,"")</f>
        <v/>
      </c>
      <c r="M36" s="117" t="str">
        <f>IF(AND(ber_Med_disc!C17&gt;1,L36&lt;&gt;0,ber_Med_disc!O17&gt;1),"ml","")</f>
        <v/>
      </c>
      <c r="N36" s="117"/>
      <c r="O36" s="117" t="str">
        <f>IF(AND(L36&lt;&gt;"",ber_Med_disc!Q17&gt;0),ber_Med_disc!Q17&amp;"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" customHeight="1" x14ac:dyDescent="0.2">
      <c r="A37" s="117"/>
      <c r="B37" s="125" t="s">
        <v>597</v>
      </c>
      <c r="C37" s="126"/>
      <c r="D37" s="128">
        <f>ber_Opm!C31</f>
        <v>0</v>
      </c>
      <c r="E37" s="128"/>
      <c r="F37" s="128"/>
      <c r="G37" s="128"/>
      <c r="H37" s="127" t="str">
        <f>IF(ber_Med_disc!C17&gt;1,"Dosering/kg/dag: ","")</f>
        <v/>
      </c>
      <c r="I37" s="126"/>
      <c r="J37" s="128" t="str">
        <f>IF(ber_Med_disc!C17&gt;1,ber_Med_disc!M17,"")</f>
        <v/>
      </c>
      <c r="K37" s="126" t="str">
        <f>IF(AND(ber_Med_disc!C17&gt;1,H36&lt;&gt;"STOP"),J36&amp;"/kg/dag ","")</f>
        <v/>
      </c>
      <c r="L37" s="126"/>
      <c r="M37" s="126" t="str">
        <f>IF(AND(ber_Med_disc!C17&gt;1,ber_Med_disc!O17&gt;1,ber_Med_disc!N17&gt;0),"Oplossing:","")</f>
        <v/>
      </c>
      <c r="N37" s="126" t="str">
        <f>IF(AND(ber_Med_disc!C17&gt;1,ber_Med_disc!O17&gt;1,ber_Med_disc!N17&gt;0),ROUND(ber_Med_disc!H17/ber_Med_disc!N17,2)&amp;" "&amp;ber_Med_disc!F17&amp;"/ml","")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" customHeight="1" x14ac:dyDescent="0.2">
      <c r="A38" s="117"/>
      <c r="B38" s="119">
        <v>17</v>
      </c>
      <c r="C38" s="120"/>
      <c r="D38" s="837">
        <f>ber_Med_disc!C18</f>
        <v>0</v>
      </c>
      <c r="E38" s="837"/>
      <c r="F38" s="837"/>
      <c r="G38" s="837"/>
      <c r="H38" s="121" t="str">
        <f>IF(INDEX(tblMedDiscTijdenValues,ber_Med_disc!I18,1)=0,"",INDEX(tblMedDiscTijdenValues,ber_Med_disc!I18,1))</f>
        <v/>
      </c>
      <c r="I38" s="122" t="str">
        <f>IF(ber_Med_disc!C18&gt;1,ber_Med_disc!H18,"")</f>
        <v/>
      </c>
      <c r="J38" s="123" t="str">
        <f>IF(ber_Med_disc!C18&gt;1,ber_Med_disc!F18,"")</f>
        <v/>
      </c>
      <c r="K38" s="124">
        <f>ber_Med_disc!L18</f>
        <v>0</v>
      </c>
      <c r="L38" s="117" t="str">
        <f>IF(AND(ber_Med_disc!C18&gt;1,ber_Med_disc!O18&gt;1),ber_Med_disc!N18,"")</f>
        <v/>
      </c>
      <c r="M38" s="117" t="str">
        <f>IF(AND(ber_Med_disc!C18&gt;1,L38&lt;&gt;0,ber_Med_disc!O18&gt;1),"ml","")</f>
        <v/>
      </c>
      <c r="N38" s="117"/>
      <c r="O38" s="117" t="str">
        <f>IF(AND(L38&lt;&gt;"",ber_Med_disc!Q18&gt;0),ber_Med_disc!Q18&amp;"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" customHeight="1" x14ac:dyDescent="0.2">
      <c r="A39" s="117"/>
      <c r="B39" s="125" t="s">
        <v>597</v>
      </c>
      <c r="C39" s="126"/>
      <c r="D39" s="128">
        <f>ber_Opm!C32</f>
        <v>0</v>
      </c>
      <c r="E39" s="128"/>
      <c r="F39" s="128"/>
      <c r="G39" s="128"/>
      <c r="H39" s="127" t="str">
        <f>IF(ber_Med_disc!C18&gt;1,"Dosering/kg/dag: ","")</f>
        <v/>
      </c>
      <c r="I39" s="126"/>
      <c r="J39" s="128" t="str">
        <f>IF(ber_Med_disc!C18&gt;1,ber_Med_disc!M18,"")</f>
        <v/>
      </c>
      <c r="K39" s="126" t="str">
        <f>IF(AND(ber_Med_disc!C18&gt;1),J38&amp;"/kg/dag ","")</f>
        <v/>
      </c>
      <c r="L39" s="126"/>
      <c r="M39" s="126" t="str">
        <f>IF(AND(ber_Med_disc!C18&gt;1,ber_Med_disc!O18&gt;1,ber_Med_disc!N18&gt;0),"Oplossing:","")</f>
        <v/>
      </c>
      <c r="N39" s="126" t="str">
        <f>IF(AND(ber_Med_disc!C18&gt;1,ber_Med_disc!O18&gt;1,ber_Med_disc!N18&gt;0),ROUND(ber_Med_disc!H18/ber_Med_disc!N18,2)&amp;" "&amp;ber_Med_disc!F18&amp;"/ml","")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" customHeight="1" x14ac:dyDescent="0.2">
      <c r="A40" s="117"/>
      <c r="B40" s="119">
        <v>18</v>
      </c>
      <c r="C40" s="120"/>
      <c r="D40" s="837">
        <f>ber_Med_disc!C19</f>
        <v>0</v>
      </c>
      <c r="E40" s="837"/>
      <c r="F40" s="837"/>
      <c r="G40" s="837"/>
      <c r="H40" s="121" t="str">
        <f>IF(INDEX(tblMedDiscTijdenValues,ber_Med_disc!I19,1)=0,"",INDEX(tblMedDiscTijdenValues,ber_Med_disc!I19,1))</f>
        <v/>
      </c>
      <c r="I40" s="122" t="str">
        <f>IF(ber_Med_disc!C19&gt;1,ber_Med_disc!H19,"")</f>
        <v/>
      </c>
      <c r="J40" s="123" t="str">
        <f>IF(ber_Med_disc!C19&gt;1,ber_Med_disc!F19,"")</f>
        <v/>
      </c>
      <c r="K40" s="124">
        <f>ber_Med_disc!L19</f>
        <v>0</v>
      </c>
      <c r="L40" s="117" t="str">
        <f>IF(AND(ber_Med_disc!C19&gt;1,ber_Med_disc!O19&gt;1),ber_Med_disc!N19,"")</f>
        <v/>
      </c>
      <c r="M40" s="117" t="str">
        <f>IF(AND(ber_Med_disc!C19&gt;1,L40&lt;&gt;0,ber_Med_disc!O19&gt;1),"ml","")</f>
        <v/>
      </c>
      <c r="N40" s="117"/>
      <c r="O40" s="117" t="str">
        <f>IF(AND(L40&lt;&gt;"",ber_Med_disc!Q19&gt;0),ber_Med_disc!Q19&amp;"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" customHeight="1" x14ac:dyDescent="0.2">
      <c r="A41" s="117"/>
      <c r="B41" s="125" t="s">
        <v>597</v>
      </c>
      <c r="C41" s="126"/>
      <c r="D41" s="128">
        <f>ber_Opm!C33</f>
        <v>0</v>
      </c>
      <c r="E41" s="128"/>
      <c r="F41" s="128"/>
      <c r="G41" s="128"/>
      <c r="H41" s="127" t="str">
        <f>IF(ber_Med_disc!C19&gt;1,"Dosering/kg/dag: ","")</f>
        <v/>
      </c>
      <c r="I41" s="126"/>
      <c r="J41" s="128" t="str">
        <f>IF(ber_Med_disc!C19&gt;1,ber_Med_disc!M19,"")</f>
        <v/>
      </c>
      <c r="K41" s="126" t="str">
        <f>IF(AND(ber_Med_disc!C19&gt;1),J40&amp;"/kg/dag ","")</f>
        <v/>
      </c>
      <c r="L41" s="126"/>
      <c r="M41" s="126" t="str">
        <f>IF(AND(ber_Med_disc!C19&gt;1,ber_Med_disc!O19&gt;1,ber_Med_disc!N19&gt;0),"Oplossing:","")</f>
        <v/>
      </c>
      <c r="N41" s="126" t="str">
        <f>IF(AND(ber_Med_disc!C19&gt;1,ber_Med_disc!O19&gt;1,ber_Med_disc!N19&gt;0),ROUND(ber_Med_disc!H19/ber_Med_disc!N19,2)&amp;" "&amp;ber_Med_disc!F19&amp;"/ml","")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" customHeight="1" x14ac:dyDescent="0.2">
      <c r="A42" s="117"/>
      <c r="B42" s="119">
        <v>19</v>
      </c>
      <c r="C42" s="120"/>
      <c r="D42" s="837">
        <f>ber_Med_disc!C20</f>
        <v>0</v>
      </c>
      <c r="E42" s="837"/>
      <c r="F42" s="837"/>
      <c r="G42" s="837"/>
      <c r="H42" s="121" t="str">
        <f>IF(INDEX(tblMedDiscTijdenValues,ber_Med_disc!I20,1)=0,"",INDEX(tblMedDiscTijdenValues,ber_Med_disc!I20,1))</f>
        <v/>
      </c>
      <c r="I42" s="122" t="str">
        <f>IF(ber_Med_disc!C20&gt;1,ber_Med_disc!H20,"")</f>
        <v/>
      </c>
      <c r="J42" s="123" t="str">
        <f>IF(ber_Med_disc!C20&gt;1,ber_Med_disc!F20,"")</f>
        <v/>
      </c>
      <c r="K42" s="124">
        <f>ber_Med_disc!L20</f>
        <v>0</v>
      </c>
      <c r="L42" s="117" t="str">
        <f>IF(AND(ber_Med_disc!C20&gt;1,ber_Med_disc!O20&gt;1),ber_Med_disc!N20,"")</f>
        <v/>
      </c>
      <c r="M42" s="117" t="str">
        <f>IF(AND(ber_Med_disc!C20&gt;1,L42&lt;&gt;0,ber_Med_disc!O20&gt;1),"ml","")</f>
        <v/>
      </c>
      <c r="N42" s="117"/>
      <c r="O42" s="117" t="str">
        <f>IF(AND(L42&lt;&gt;"",ber_Med_disc!Q20&gt;0),ber_Med_disc!Q20&amp;"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" customHeight="1" x14ac:dyDescent="0.2">
      <c r="A43" s="117"/>
      <c r="B43" s="125" t="s">
        <v>597</v>
      </c>
      <c r="C43" s="126"/>
      <c r="D43" s="128">
        <f>ber_Opm!C34</f>
        <v>0</v>
      </c>
      <c r="E43" s="128"/>
      <c r="F43" s="128"/>
      <c r="G43" s="128"/>
      <c r="H43" s="127" t="str">
        <f>IF(ber_Med_disc!C20&gt;1,"Dosering/kg/dag: ","")</f>
        <v/>
      </c>
      <c r="I43" s="126"/>
      <c r="J43" s="128" t="str">
        <f>IF(ber_Med_disc!C20&gt;1,ber_Med_disc!M20,"")</f>
        <v/>
      </c>
      <c r="K43" s="126" t="str">
        <f>IF(AND(ber_Med_disc!C20&gt;1),J42&amp;"/kg/dag ","")</f>
        <v/>
      </c>
      <c r="L43" s="126"/>
      <c r="M43" s="126" t="str">
        <f>IF(AND(ber_Med_disc!C20&gt;1,ber_Med_disc!O20&gt;1,ber_Med_disc!N20&gt;0),"Oplossing:","")</f>
        <v/>
      </c>
      <c r="N43" s="126" t="str">
        <f>IF(AND(ber_Med_disc!C20&gt;1,ber_Med_disc!O20&gt;1,ber_Med_disc!N20&gt;0),ROUND(ber_Med_disc!H20/ber_Med_disc!N20,2)&amp;" "&amp;ber_Med_disc!F20&amp;"/ml","")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" customHeight="1" x14ac:dyDescent="0.2">
      <c r="A44" s="117"/>
      <c r="B44" s="119">
        <v>20</v>
      </c>
      <c r="C44" s="130"/>
      <c r="D44" s="837">
        <f>ber_Med_disc!C21</f>
        <v>0</v>
      </c>
      <c r="E44" s="837"/>
      <c r="F44" s="837"/>
      <c r="G44" s="837"/>
      <c r="H44" s="121" t="str">
        <f>IF(INDEX(tblMedDiscTijdenValues,ber_Med_disc!I21,1)=0,"",INDEX(tblMedDiscTijdenValues,ber_Med_disc!I21,1))</f>
        <v/>
      </c>
      <c r="I44" s="122" t="str">
        <f>IF(ber_Med_disc!C21&gt;1,ber_Med_disc!H21,"")</f>
        <v/>
      </c>
      <c r="J44" s="123" t="str">
        <f>IF(ber_Med_disc!C21&gt;1,ber_Med_disc!F21,"")</f>
        <v/>
      </c>
      <c r="K44" s="124">
        <f>ber_Med_disc!L21</f>
        <v>0</v>
      </c>
      <c r="L44" s="117" t="str">
        <f>IF(AND(ber_Med_disc!C21&gt;1,ber_Med_disc!O21&gt;1),ber_Med_disc!N21,"")</f>
        <v/>
      </c>
      <c r="M44" s="117" t="str">
        <f>IF(AND(ber_Med_disc!C21&gt;1,L44&lt;&gt;0,ber_Med_disc!O21&gt;1),"ml","")</f>
        <v/>
      </c>
      <c r="N44" s="117"/>
      <c r="O44" s="117" t="str">
        <f>IF(AND(L44&lt;&gt;"",ber_Med_disc!Q21&gt;0),ber_Med_disc!Q21&amp;"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" customHeight="1" x14ac:dyDescent="0.2">
      <c r="A45" s="117"/>
      <c r="B45" s="125" t="s">
        <v>597</v>
      </c>
      <c r="C45" s="126"/>
      <c r="D45" s="128">
        <f>ber_Opm!C35</f>
        <v>0</v>
      </c>
      <c r="E45" s="128"/>
      <c r="F45" s="128"/>
      <c r="G45" s="128"/>
      <c r="H45" s="127" t="str">
        <f>IF(ber_Med_disc!C21&gt;1,"Dosering/kg/dag: ","")</f>
        <v/>
      </c>
      <c r="I45" s="126"/>
      <c r="J45" s="128" t="str">
        <f>IF(ber_Med_disc!C21&gt;1,ber_Med_disc!M21,"")</f>
        <v/>
      </c>
      <c r="K45" s="126" t="str">
        <f>IF(AND(ber_Med_disc!C21&gt;1),J44&amp;"/kg/dag ","")</f>
        <v/>
      </c>
      <c r="L45" s="126"/>
      <c r="M45" s="126" t="str">
        <f>IF(AND(ber_Med_disc!C21&gt;1,ber_Med_disc!O21&gt;1,ber_Med_disc!N21&gt;0),"Oplossing:","")</f>
        <v/>
      </c>
      <c r="N45" s="126" t="str">
        <f>IF(AND(ber_Med_disc!C21&gt;1,ber_Med_disc!O21&gt;1,ber_Med_disc!N21&gt;0),ROUND(ber_Med_disc!H21/ber_Med_disc!N21,2)&amp;" "&amp;ber_Med_disc!F21&amp;"/ml","")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" customHeight="1" x14ac:dyDescent="0.2">
      <c r="A46" s="117"/>
      <c r="B46" s="119">
        <v>21</v>
      </c>
      <c r="C46" s="130"/>
      <c r="D46" s="837">
        <f>ber_Med_disc!C22</f>
        <v>0</v>
      </c>
      <c r="E46" s="837"/>
      <c r="F46" s="837"/>
      <c r="G46" s="837"/>
      <c r="H46" s="121" t="str">
        <f>IF(INDEX(tblMedDiscTijdenValues,ber_Med_disc!I22,1)=0,"",INDEX(tblMedDiscTijdenValues,ber_Med_disc!I22,1))</f>
        <v/>
      </c>
      <c r="I46" s="122" t="str">
        <f>IF(ber_Med_disc!C22&gt;1,ber_Med_disc!H22,"")</f>
        <v/>
      </c>
      <c r="J46" s="123" t="str">
        <f>IF(ber_Med_disc!C22&gt;1,ber_Med_disc!F22,"")</f>
        <v/>
      </c>
      <c r="K46" s="124">
        <f>ber_Med_disc!L22</f>
        <v>0</v>
      </c>
      <c r="L46" s="117" t="str">
        <f>IF(AND(ber_Med_disc!C22&gt;1,ber_Med_disc!O22&gt;1),ber_Med_disc!N22,"")</f>
        <v/>
      </c>
      <c r="M46" s="117" t="str">
        <f>IF(AND(ber_Med_disc!C22&gt;1,L46&lt;&gt;0,ber_Med_disc!O22&gt;1),"ml","")</f>
        <v/>
      </c>
      <c r="N46" s="117"/>
      <c r="O46" s="117" t="str">
        <f>IF(AND(L46&lt;&gt;"",ber_Med_disc!Q22&gt;0),ber_Med_disc!Q22&amp;"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" customHeight="1" x14ac:dyDescent="0.2">
      <c r="A47" s="117"/>
      <c r="B47" s="125" t="s">
        <v>597</v>
      </c>
      <c r="C47" s="126"/>
      <c r="D47" s="128">
        <f>ber_Opm!C37</f>
        <v>0</v>
      </c>
      <c r="E47" s="128"/>
      <c r="F47" s="128"/>
      <c r="G47" s="128"/>
      <c r="H47" s="127" t="str">
        <f>IF(ber_Med_disc!C22&gt;1,"Dosering/kg/dag: ","")</f>
        <v/>
      </c>
      <c r="I47" s="126"/>
      <c r="J47" s="128" t="str">
        <f>IF(ber_Med_disc!C22&gt;1,ber_Med_disc!M22,"")</f>
        <v/>
      </c>
      <c r="K47" s="126" t="str">
        <f>IF(AND(ber_Med_disc!C22&gt;1),J46&amp;"/kg/dag ","")</f>
        <v/>
      </c>
      <c r="L47" s="126"/>
      <c r="M47" s="126" t="str">
        <f>IF(AND(ber_Med_disc!C22&gt;1,ber_Med_disc!O22&gt;1,ber_Med_disc!N22&gt;0),"Oplossing:","")</f>
        <v/>
      </c>
      <c r="N47" s="126" t="str">
        <f>IF(AND(ber_Med_disc!C22&gt;1,ber_Med_disc!O22&gt;1,ber_Med_disc!N22&gt;0),ROUND(ber_Med_disc!H22/ber_Med_disc!N22,2)&amp;" "&amp;ber_Med_disc!F22&amp;"/ml","")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" customHeight="1" x14ac:dyDescent="0.2">
      <c r="A48" s="117"/>
      <c r="B48" s="119">
        <v>22</v>
      </c>
      <c r="C48" s="130"/>
      <c r="D48" s="837">
        <f>ber_Med_disc!C23</f>
        <v>0</v>
      </c>
      <c r="E48" s="837"/>
      <c r="F48" s="837"/>
      <c r="G48" s="837"/>
      <c r="H48" s="121" t="str">
        <f>IF(INDEX(tblMedDiscTijdenValues,ber_Med_disc!I23,1)=0,"",INDEX(tblMedDiscTijdenValues,ber_Med_disc!I23,1))</f>
        <v/>
      </c>
      <c r="I48" s="122" t="str">
        <f>IF(ber_Med_disc!C23&gt;1,ber_Med_disc!H23,"")</f>
        <v/>
      </c>
      <c r="J48" s="123" t="str">
        <f>IF(ber_Med_disc!C23&gt;1,ber_Med_disc!F23,"")</f>
        <v/>
      </c>
      <c r="K48" s="124">
        <f>ber_Med_disc!L23</f>
        <v>0</v>
      </c>
      <c r="L48" s="117" t="str">
        <f>IF(AND(ber_Med_disc!C23&gt;1,ber_Med_disc!O23&gt;1),ber_Med_disc!N23,"")</f>
        <v/>
      </c>
      <c r="M48" s="117" t="str">
        <f>IF(AND(ber_Med_disc!C23&gt;1,L48&lt;&gt;0,ber_Med_disc!O23&gt;1),"ml","")</f>
        <v/>
      </c>
      <c r="N48" s="117"/>
      <c r="O48" s="117" t="str">
        <f>IF(AND(L48&lt;&gt;"",ber_Med_disc!Q23&gt;0),ber_Med_disc!Q23&amp;"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" customHeight="1" x14ac:dyDescent="0.2">
      <c r="A49" s="117"/>
      <c r="B49" s="125" t="s">
        <v>597</v>
      </c>
      <c r="C49" s="126"/>
      <c r="D49" s="128">
        <f>ber_Opm!C38</f>
        <v>0</v>
      </c>
      <c r="E49" s="128"/>
      <c r="F49" s="128"/>
      <c r="G49" s="128"/>
      <c r="H49" s="127" t="str">
        <f>IF(ber_Med_disc!C23&gt;1,"Dosering/kg/dag: ","")</f>
        <v/>
      </c>
      <c r="I49" s="126"/>
      <c r="J49" s="128" t="str">
        <f>IF(ber_Med_disc!C23&gt;1,ber_Med_disc!M23,"")</f>
        <v/>
      </c>
      <c r="K49" s="126" t="str">
        <f>IF(AND(ber_Med_disc!C23&gt;1),J48&amp;"/kg/dag ","")</f>
        <v/>
      </c>
      <c r="L49" s="126"/>
      <c r="M49" s="126" t="str">
        <f>IF(AND(ber_Med_disc!C23&gt;1,ber_Med_disc!O23&gt;1,ber_Med_disc!N23&gt;0),"Oplossing:","")</f>
        <v/>
      </c>
      <c r="N49" s="126" t="str">
        <f>IF(AND(ber_Med_disc!C23&gt;1,ber_Med_disc!O23&gt;1,ber_Med_disc!N23&gt;0),ROUND(ber_Med_disc!H23/ber_Med_disc!N23,2)&amp;" "&amp;ber_Med_disc!F23&amp;"/ml","")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" customHeight="1" x14ac:dyDescent="0.2">
      <c r="A50" s="117"/>
      <c r="B50" s="119">
        <v>23</v>
      </c>
      <c r="C50" s="130"/>
      <c r="D50" s="837">
        <f>ber_Med_disc!C24</f>
        <v>0</v>
      </c>
      <c r="E50" s="837"/>
      <c r="F50" s="837"/>
      <c r="G50" s="837"/>
      <c r="H50" s="121" t="str">
        <f>IF(INDEX(tblMedDiscTijdenValues,ber_Med_disc!I24,1)=0,"",INDEX(tblMedDiscTijdenValues,ber_Med_disc!I24,1))</f>
        <v/>
      </c>
      <c r="I50" s="122" t="str">
        <f>IF(ber_Med_disc!C24&gt;1,ber_Med_disc!H24,"")</f>
        <v/>
      </c>
      <c r="J50" s="123" t="str">
        <f>IF(ber_Med_disc!C24&gt;1,ber_Med_disc!F24,"")</f>
        <v/>
      </c>
      <c r="K50" s="124">
        <f>ber_Med_disc!L24</f>
        <v>0</v>
      </c>
      <c r="L50" s="117" t="str">
        <f>IF(AND(ber_Med_disc!C24&gt;1,ber_Med_disc!O24&gt;1),ber_Med_disc!N24,"")</f>
        <v/>
      </c>
      <c r="M50" s="117" t="str">
        <f>IF(AND(ber_Med_disc!C24&gt;1,L50&lt;&gt;0,ber_Med_disc!O24&gt;1),"ml","")</f>
        <v/>
      </c>
      <c r="N50" s="117"/>
      <c r="O50" s="117" t="str">
        <f>IF(AND(L50&lt;&gt;"",ber_Med_disc!Q24&gt;0),ber_Med_disc!Q24&amp;"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" customHeight="1" x14ac:dyDescent="0.2">
      <c r="A51" s="117"/>
      <c r="B51" s="125" t="s">
        <v>597</v>
      </c>
      <c r="C51" s="126"/>
      <c r="D51" s="128">
        <f>ber_Opm!C39</f>
        <v>0</v>
      </c>
      <c r="E51" s="128"/>
      <c r="F51" s="128"/>
      <c r="G51" s="128"/>
      <c r="H51" s="127" t="str">
        <f>IF(ber_Med_disc!C24&gt;1,"Dosering/kg/dag: ","")</f>
        <v/>
      </c>
      <c r="I51" s="126"/>
      <c r="J51" s="128" t="str">
        <f>IF(ber_Med_disc!C24&gt;1,ber_Med_disc!M24,"")</f>
        <v/>
      </c>
      <c r="K51" s="126" t="str">
        <f>IF(AND(ber_Med_disc!C24&gt;1),J50&amp;"/kg/dag ","")</f>
        <v/>
      </c>
      <c r="L51" s="126"/>
      <c r="M51" s="126" t="str">
        <f>IF(AND(ber_Med_disc!C24&gt;1,ber_Med_disc!O24&gt;1,ber_Med_disc!N24&gt;0),"Oplossing:","")</f>
        <v/>
      </c>
      <c r="N51" s="126" t="str">
        <f>IF(AND(ber_Med_disc!C24&gt;1,ber_Med_disc!O24&gt;1,ber_Med_disc!N24&gt;0),ROUND(ber_Med_disc!H24/ber_Med_disc!N24,2)&amp;" "&amp;ber_Med_disc!F24&amp;"/ml","")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" customHeight="1" x14ac:dyDescent="0.2">
      <c r="A52" s="117"/>
      <c r="B52" s="119">
        <v>24</v>
      </c>
      <c r="C52" s="130"/>
      <c r="D52" s="837">
        <f>ber_Med_disc!C25</f>
        <v>0</v>
      </c>
      <c r="E52" s="837"/>
      <c r="F52" s="837"/>
      <c r="G52" s="837"/>
      <c r="H52" s="121" t="str">
        <f>IF(INDEX(tblMedDiscTijdenValues,ber_Med_disc!I25,1)=0,"",INDEX(tblMedDiscTijdenValues,ber_Med_disc!I25,1))</f>
        <v/>
      </c>
      <c r="I52" s="122" t="str">
        <f>IF(ber_Med_disc!C25&gt;1,ber_Med_disc!H25,"")</f>
        <v/>
      </c>
      <c r="J52" s="123" t="str">
        <f>IF(ber_Med_disc!C25&gt;1,ber_Med_disc!F25,"")</f>
        <v/>
      </c>
      <c r="K52" s="124">
        <f>ber_Med_disc!L25</f>
        <v>0</v>
      </c>
      <c r="L52" s="117" t="str">
        <f>IF(AND(ber_Med_disc!C25&gt;1,ber_Med_disc!O25&gt;1),ber_Med_disc!N25,"")</f>
        <v/>
      </c>
      <c r="M52" s="117" t="str">
        <f>IF(AND(ber_Med_disc!C25&gt;1,L52&lt;&gt;0,ber_Med_disc!O25&gt;1),"ml","")</f>
        <v/>
      </c>
      <c r="N52" s="117"/>
      <c r="O52" s="117" t="str">
        <f>IF(AND(L52&lt;&gt;"",ber_Med_disc!Q25&gt;0),ber_Med_disc!Q25&amp;"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" customHeight="1" x14ac:dyDescent="0.2">
      <c r="A53" s="117"/>
      <c r="B53" s="125" t="s">
        <v>597</v>
      </c>
      <c r="C53" s="126"/>
      <c r="D53" s="128">
        <f>ber_Opm!C40</f>
        <v>0</v>
      </c>
      <c r="E53" s="128"/>
      <c r="F53" s="128"/>
      <c r="G53" s="128"/>
      <c r="H53" s="127" t="str">
        <f>IF(ber_Med_disc!C25&gt;1,"Dosering/kg/dag: ","")</f>
        <v/>
      </c>
      <c r="I53" s="126"/>
      <c r="J53" s="128" t="str">
        <f>IF(ber_Med_disc!C25&gt;1,ber_Med_disc!M25,"")</f>
        <v/>
      </c>
      <c r="K53" s="126" t="str">
        <f>IF(AND(ber_Med_disc!C25&gt;1),J52&amp;"/kg/dag ","")</f>
        <v/>
      </c>
      <c r="L53" s="126"/>
      <c r="M53" s="126" t="str">
        <f>IF(AND(ber_Med_disc!C25&gt;1,ber_Med_disc!O25&gt;1,ber_Med_disc!N25&gt;0),"Oplossing:","")</f>
        <v/>
      </c>
      <c r="N53" s="126" t="str">
        <f>IF(AND(ber_Med_disc!C25&gt;1,ber_Med_disc!O25&gt;1,ber_Med_disc!N25&gt;0),ROUND(ber_Med_disc!H25/ber_Med_disc!N25,2)&amp;" "&amp;ber_Med_disc!F25&amp;"/ml","")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" customHeight="1" x14ac:dyDescent="0.2">
      <c r="A54" s="117"/>
      <c r="B54" s="119">
        <v>25</v>
      </c>
      <c r="C54" s="130"/>
      <c r="D54" s="837">
        <f>ber_Med_disc!C26</f>
        <v>0</v>
      </c>
      <c r="E54" s="837"/>
      <c r="F54" s="837"/>
      <c r="G54" s="837"/>
      <c r="H54" s="121" t="str">
        <f>IF(INDEX(tblMedDiscTijdenValues,ber_Med_disc!I26,1)=0,"",INDEX(tblMedDiscTijdenValues,ber_Med_disc!I26,1))</f>
        <v/>
      </c>
      <c r="I54" s="122" t="str">
        <f>IF(ber_Med_disc!C26&gt;1,ber_Med_disc!H26,"")</f>
        <v/>
      </c>
      <c r="J54" s="123" t="str">
        <f>IF(ber_Med_disc!C26&gt;1,ber_Med_disc!F26,"")</f>
        <v/>
      </c>
      <c r="K54" s="124">
        <f>ber_Med_disc!L26</f>
        <v>0</v>
      </c>
      <c r="L54" s="117" t="str">
        <f>IF(AND(ber_Med_disc!C26&gt;1,ber_Med_disc!O26&gt;1),ber_Med_disc!N26,"")</f>
        <v/>
      </c>
      <c r="M54" s="117" t="str">
        <f>IF(AND(ber_Med_disc!C26&gt;1,L54&lt;&gt;0,ber_Med_disc!O26&gt;1),"ml","")</f>
        <v/>
      </c>
      <c r="N54" s="117"/>
      <c r="O54" s="117" t="str">
        <f>IF(AND(L54&lt;&gt;"",ber_Med_disc!Q26&gt;0),ber_Med_disc!Q26&amp;"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" customHeight="1" x14ac:dyDescent="0.2">
      <c r="A55" s="117"/>
      <c r="B55" s="125" t="s">
        <v>597</v>
      </c>
      <c r="C55" s="126"/>
      <c r="D55" s="128">
        <f>ber_Opm!C41</f>
        <v>0</v>
      </c>
      <c r="E55" s="128"/>
      <c r="F55" s="128"/>
      <c r="G55" s="128"/>
      <c r="H55" s="127" t="str">
        <f>IF(ber_Med_disc!C26&gt;1,"Dosering/kg/dag: ","")</f>
        <v/>
      </c>
      <c r="I55" s="126"/>
      <c r="J55" s="128" t="str">
        <f>IF(ber_Med_disc!C26&gt;1,ber_Med_disc!M26,"")</f>
        <v/>
      </c>
      <c r="K55" s="126" t="str">
        <f>IF(AND(ber_Med_disc!C26&gt;1),J54&amp;"/kg/dag ","")</f>
        <v/>
      </c>
      <c r="L55" s="126"/>
      <c r="M55" s="126" t="str">
        <f>IF(AND(ber_Med_disc!C26&gt;1,ber_Med_disc!O26&gt;1,ber_Med_disc!N26&gt;0),"Oplossing:","")</f>
        <v/>
      </c>
      <c r="N55" s="126" t="str">
        <f>IF(AND(ber_Med_disc!C26&gt;1,ber_Med_disc!O26&gt;1,ber_Med_disc!N26&gt;0),ROUND(ber_Med_disc!H26/ber_Med_disc!N26,2)&amp;" "&amp;ber_Med_disc!F26&amp;"/ml","")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" customHeight="1" x14ac:dyDescent="0.2">
      <c r="A56" s="117"/>
      <c r="B56" s="119">
        <v>26</v>
      </c>
      <c r="C56" s="130"/>
      <c r="D56" s="837">
        <f>ber_Med_disc!C27</f>
        <v>0</v>
      </c>
      <c r="E56" s="837"/>
      <c r="F56" s="837"/>
      <c r="G56" s="837"/>
      <c r="H56" s="121" t="str">
        <f>IF(INDEX(tblMedDiscTijdenValues,ber_Med_disc!I27,1)=0,"",INDEX(tblMedDiscTijdenValues,ber_Med_disc!I27,1))</f>
        <v/>
      </c>
      <c r="I56" s="122" t="str">
        <f>IF(ber_Med_disc!C27&gt;1,ber_Med_disc!H27,"")</f>
        <v/>
      </c>
      <c r="J56" s="123" t="str">
        <f>IF(ber_Med_disc!C27&gt;1,ber_Med_disc!F27,"")</f>
        <v/>
      </c>
      <c r="K56" s="124">
        <f>ber_Med_disc!L27</f>
        <v>0</v>
      </c>
      <c r="L56" s="117" t="str">
        <f>IF(AND(ber_Med_disc!C27&gt;1,ber_Med_disc!O27&gt;1),ber_Med_disc!N27,"")</f>
        <v/>
      </c>
      <c r="M56" s="117" t="str">
        <f>IF(AND(ber_Med_disc!C27&gt;1,L56&lt;&gt;0,ber_Med_disc!O27&gt;1),"ml","")</f>
        <v/>
      </c>
      <c r="N56" s="117"/>
      <c r="O56" s="117" t="str">
        <f>IF(AND(L56&lt;&gt;"",ber_Med_disc!Q27&gt;0),ber_Med_disc!Q27&amp;"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" customHeight="1" x14ac:dyDescent="0.2">
      <c r="A57" s="117"/>
      <c r="B57" s="125" t="s">
        <v>597</v>
      </c>
      <c r="C57" s="126"/>
      <c r="D57" s="128">
        <f>ber_Opm!C42</f>
        <v>0</v>
      </c>
      <c r="E57" s="128"/>
      <c r="F57" s="128"/>
      <c r="G57" s="128"/>
      <c r="H57" s="127" t="str">
        <f>IF(ber_Med_disc!C27&gt;1,"Dosering/kg/dag: ","")</f>
        <v/>
      </c>
      <c r="I57" s="126"/>
      <c r="J57" s="128" t="str">
        <f>IF(ber_Med_disc!C27&gt;1,ber_Med_disc!M27,"")</f>
        <v/>
      </c>
      <c r="K57" s="126" t="str">
        <f>IF(AND(ber_Med_disc!C27&gt;1),J56&amp;"/kg/dag ","")</f>
        <v/>
      </c>
      <c r="L57" s="126"/>
      <c r="M57" s="126" t="str">
        <f>IF(AND(ber_Med_disc!C27&gt;1,ber_Med_disc!O27&gt;1,ber_Med_disc!N27&gt;0),"Oplossing:","")</f>
        <v/>
      </c>
      <c r="N57" s="126" t="str">
        <f>IF(AND(ber_Med_disc!C27&gt;1,ber_Med_disc!O27&gt;1,ber_Med_disc!N27&gt;0),ROUND(ber_Med_disc!H27/ber_Med_disc!N27,2)&amp;" "&amp;ber_Med_disc!F27&amp;"/ml","")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" customHeight="1" x14ac:dyDescent="0.2">
      <c r="A58" s="117"/>
      <c r="B58" s="119">
        <v>27</v>
      </c>
      <c r="C58" s="130"/>
      <c r="D58" s="837">
        <f>ber_Med_disc!C28</f>
        <v>0</v>
      </c>
      <c r="E58" s="837"/>
      <c r="F58" s="837"/>
      <c r="G58" s="837"/>
      <c r="H58" s="121" t="str">
        <f>IF(INDEX(tblMedDiscTijdenValues,ber_Med_disc!I28,1)=0,"",INDEX(tblMedDiscTijdenValues,ber_Med_disc!I28,1))</f>
        <v/>
      </c>
      <c r="I58" s="122" t="str">
        <f>IF(ber_Med_disc!C28&gt;1,ber_Med_disc!H28,"")</f>
        <v/>
      </c>
      <c r="J58" s="123" t="str">
        <f>IF(ber_Med_disc!C28&gt;1,ber_Med_disc!F28,"")</f>
        <v/>
      </c>
      <c r="K58" s="124">
        <f>ber_Med_disc!L28</f>
        <v>0</v>
      </c>
      <c r="L58" s="117" t="str">
        <f>IF(AND(ber_Med_disc!C28&gt;1,ber_Med_disc!O28&gt;1),ber_Med_disc!N28,"")</f>
        <v/>
      </c>
      <c r="M58" s="117" t="str">
        <f>IF(AND(ber_Med_disc!C28&gt;1,L58&lt;&gt;0,ber_Med_disc!O28&gt;1),"ml","")</f>
        <v/>
      </c>
      <c r="N58" s="117"/>
      <c r="O58" s="117" t="str">
        <f>IF(AND(L58&lt;&gt;"",ber_Med_disc!Q28&gt;0),ber_Med_disc!Q28&amp;"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" customHeight="1" x14ac:dyDescent="0.2">
      <c r="A59" s="117"/>
      <c r="B59" s="125" t="s">
        <v>597</v>
      </c>
      <c r="C59" s="126"/>
      <c r="D59" s="128">
        <f>ber_Opm!C43</f>
        <v>0</v>
      </c>
      <c r="E59" s="128"/>
      <c r="F59" s="128"/>
      <c r="G59" s="128"/>
      <c r="H59" s="127" t="str">
        <f>IF(ber_Med_disc!C28&gt;1,"Dosering/kg/dag: ","")</f>
        <v/>
      </c>
      <c r="I59" s="126"/>
      <c r="J59" s="128" t="str">
        <f>IF(ber_Med_disc!C28&gt;1,ber_Med_disc!M28,"")</f>
        <v/>
      </c>
      <c r="K59" s="126" t="str">
        <f>IF(AND(ber_Med_disc!C28&gt;1),J58&amp;"/kg/dag ","")</f>
        <v/>
      </c>
      <c r="L59" s="126"/>
      <c r="M59" s="126" t="str">
        <f>IF(AND(ber_Med_disc!C28&gt;1,ber_Med_disc!O28&gt;1,ber_Med_disc!N28&gt;0),"Oplossing:","")</f>
        <v/>
      </c>
      <c r="N59" s="126" t="str">
        <f>IF(AND(ber_Med_disc!C28&gt;1,ber_Med_disc!O28&gt;1,ber_Med_disc!N28&gt;0),ROUND(ber_Med_disc!H28/ber_Med_disc!N28,2)&amp;" "&amp;ber_Med_disc!F28&amp;"/ml","")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" customHeight="1" x14ac:dyDescent="0.2">
      <c r="A60" s="117"/>
      <c r="B60" s="119">
        <v>28</v>
      </c>
      <c r="C60" s="130"/>
      <c r="D60" s="837">
        <f>ber_Med_disc!C29</f>
        <v>0</v>
      </c>
      <c r="E60" s="837"/>
      <c r="F60" s="837"/>
      <c r="G60" s="837"/>
      <c r="H60" s="121" t="str">
        <f>IF(INDEX(tblMedDiscTijdenValues,ber_Med_disc!I29,1)=0,"",INDEX(tblMedDiscTijdenValues,ber_Med_disc!I29,1))</f>
        <v/>
      </c>
      <c r="I60" s="122" t="str">
        <f>IF(ber_Med_disc!C29&gt;1,ber_Med_disc!H29,"")</f>
        <v/>
      </c>
      <c r="J60" s="123" t="str">
        <f>IF(ber_Med_disc!C29&gt;1,ber_Med_disc!F29,"")</f>
        <v/>
      </c>
      <c r="K60" s="124">
        <f>ber_Med_disc!L29</f>
        <v>0</v>
      </c>
      <c r="L60" s="117" t="str">
        <f>IF(AND(ber_Med_disc!C29&gt;1,ber_Med_disc!O29&gt;1),ber_Med_disc!N29,"")</f>
        <v/>
      </c>
      <c r="M60" s="117" t="str">
        <f>IF(AND(ber_Med_disc!C29&gt;1,L60&lt;&gt;0,ber_Med_disc!O29&gt;1),"ml","")</f>
        <v/>
      </c>
      <c r="N60" s="117"/>
      <c r="O60" s="117" t="str">
        <f>IF(AND(L60&lt;&gt;"",ber_Med_disc!Q29&gt;0),ber_Med_disc!Q29&amp;"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" customHeight="1" x14ac:dyDescent="0.2">
      <c r="A61" s="117"/>
      <c r="B61" s="125" t="s">
        <v>597</v>
      </c>
      <c r="C61" s="126"/>
      <c r="D61" s="128">
        <f>ber_Opm!C44</f>
        <v>0</v>
      </c>
      <c r="E61" s="128"/>
      <c r="F61" s="128"/>
      <c r="G61" s="128"/>
      <c r="H61" s="127" t="str">
        <f>IF(ber_Med_disc!C29&gt;1,"Dosering/kg/dag: ","")</f>
        <v/>
      </c>
      <c r="I61" s="126"/>
      <c r="J61" s="128" t="str">
        <f>IF(ber_Med_disc!C29&gt;1,ber_Med_disc!M29,"")</f>
        <v/>
      </c>
      <c r="K61" s="126" t="str">
        <f>IF(AND(ber_Med_disc!C29&gt;1),J60&amp;"/kg/dag ","")</f>
        <v/>
      </c>
      <c r="L61" s="126"/>
      <c r="M61" s="126" t="str">
        <f>IF(AND(ber_Med_disc!C29&gt;1,ber_Med_disc!O29&gt;1,ber_Med_disc!N29&gt;0),"Oplossing:","")</f>
        <v/>
      </c>
      <c r="N61" s="126" t="str">
        <f>IF(AND(ber_Med_disc!C29&gt;1,ber_Med_disc!O29&gt;1,ber_Med_disc!N29&gt;0),ROUND(ber_Med_disc!H29/ber_Med_disc!N29,2)&amp;" "&amp;ber_Med_disc!F29&amp;"/ml","")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" customHeight="1" x14ac:dyDescent="0.2">
      <c r="A62" s="117"/>
      <c r="B62" s="119">
        <v>29</v>
      </c>
      <c r="C62" s="130"/>
      <c r="D62" s="837">
        <f>ber_Med_disc!C30</f>
        <v>0</v>
      </c>
      <c r="E62" s="837"/>
      <c r="F62" s="837"/>
      <c r="G62" s="837"/>
      <c r="H62" s="121" t="str">
        <f>IF(INDEX(tblMedDiscTijdenValues,ber_Med_disc!I30,1)=0,"",INDEX(tblMedDiscTijdenValues,ber_Med_disc!I30,1))</f>
        <v/>
      </c>
      <c r="I62" s="122" t="str">
        <f>IF(ber_Med_disc!C30&gt;1,ber_Med_disc!H30,"")</f>
        <v/>
      </c>
      <c r="J62" s="123" t="str">
        <f>IF(ber_Med_disc!C30&gt;1,ber_Med_disc!F30,"")</f>
        <v/>
      </c>
      <c r="K62" s="124">
        <f>ber_Med_disc!L30</f>
        <v>0</v>
      </c>
      <c r="L62" s="117" t="str">
        <f>IF(AND(ber_Med_disc!C30&gt;1,ber_Med_disc!O30&gt;1),ber_Med_disc!N30,"")</f>
        <v/>
      </c>
      <c r="M62" s="117" t="str">
        <f>IF(AND(ber_Med_disc!C30&gt;1,L62&lt;&gt;0,ber_Med_disc!O30&gt;1),"ml","")</f>
        <v/>
      </c>
      <c r="N62" s="117"/>
      <c r="O62" s="117" t="str">
        <f>IF(AND(L62&lt;&gt;"",ber_Med_disc!Q30&gt;0),ber_Med_disc!Q30&amp;"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" customHeight="1" x14ac:dyDescent="0.2">
      <c r="A63" s="117"/>
      <c r="B63" s="125" t="s">
        <v>597</v>
      </c>
      <c r="C63" s="126"/>
      <c r="D63" s="128">
        <f>ber_Opm!C45</f>
        <v>0</v>
      </c>
      <c r="E63" s="128"/>
      <c r="F63" s="128"/>
      <c r="G63" s="128"/>
      <c r="H63" s="127" t="str">
        <f>IF(ber_Med_disc!C30&gt;1,"Dosering/kg/dag: ","")</f>
        <v/>
      </c>
      <c r="I63" s="126"/>
      <c r="J63" s="128" t="str">
        <f>IF(ber_Med_disc!C30&gt;1,ber_Med_disc!M30,"")</f>
        <v/>
      </c>
      <c r="K63" s="126" t="str">
        <f>IF(AND(ber_Med_disc!C30&gt;1),J62&amp;"/kg/dag ","")</f>
        <v/>
      </c>
      <c r="L63" s="126"/>
      <c r="M63" s="126" t="str">
        <f>IF(AND(ber_Med_disc!C30&gt;1,ber_Med_disc!O30&gt;1,ber_Med_disc!N30&gt;0),"Oplossing:","")</f>
        <v/>
      </c>
      <c r="N63" s="126" t="str">
        <f>IF(AND(ber_Med_disc!C30&gt;1,ber_Med_disc!O30&gt;1,ber_Med_disc!N30&gt;0),ROUND(ber_Med_disc!H30/ber_Med_disc!N30,2)&amp;" "&amp;ber_Med_disc!F30&amp;"/ml","")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" customHeight="1" x14ac:dyDescent="0.2">
      <c r="A64" s="117"/>
      <c r="B64" s="119">
        <v>30</v>
      </c>
      <c r="C64" s="130"/>
      <c r="D64" s="837">
        <f>ber_Med_disc!C31</f>
        <v>0</v>
      </c>
      <c r="E64" s="837"/>
      <c r="F64" s="837"/>
      <c r="G64" s="837"/>
      <c r="H64" s="121" t="str">
        <f>IF(INDEX(tblMedDiscTijdenValues,ber_Med_disc!I31,1)=0,"",INDEX(tblMedDiscTijdenValues,ber_Med_disc!I31,1))</f>
        <v/>
      </c>
      <c r="I64" s="122" t="str">
        <f>IF(ber_Med_disc!C31&gt;1,ber_Med_disc!H31,"")</f>
        <v/>
      </c>
      <c r="J64" s="123" t="str">
        <f>IF(ber_Med_disc!C31&gt;1,ber_Med_disc!F31,"")</f>
        <v/>
      </c>
      <c r="K64" s="124">
        <f>ber_Med_disc!L31</f>
        <v>0</v>
      </c>
      <c r="L64" s="117" t="str">
        <f>IF(AND(ber_Med_disc!C31&gt;1,ber_Med_disc!O31&gt;1),ber_Med_disc!N31,"")</f>
        <v/>
      </c>
      <c r="M64" s="117" t="str">
        <f>IF(AND(ber_Med_disc!C31&gt;1,L64&lt;&gt;0,ber_Med_disc!O31&gt;1),"ml","")</f>
        <v/>
      </c>
      <c r="N64" s="117"/>
      <c r="O64" s="117" t="str">
        <f>IF(AND(L64&lt;&gt;"",ber_Med_disc!Q31&gt;0),ber_Med_disc!Q31&amp;"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" customHeight="1" x14ac:dyDescent="0.2">
      <c r="A65" s="117"/>
      <c r="B65" s="125" t="s">
        <v>597</v>
      </c>
      <c r="C65" s="126"/>
      <c r="D65" s="128">
        <f>ber_Opm!C46</f>
        <v>0</v>
      </c>
      <c r="E65" s="128"/>
      <c r="F65" s="128"/>
      <c r="G65" s="128"/>
      <c r="H65" s="127" t="str">
        <f>IF(ber_Med_disc!C31&gt;1,"Dosering/kg/dag: ","")</f>
        <v/>
      </c>
      <c r="I65" s="126"/>
      <c r="J65" s="128" t="str">
        <f>IF(ber_Med_disc!C31&gt;1,ber_Med_disc!M31,"")</f>
        <v/>
      </c>
      <c r="K65" s="126" t="str">
        <f>IF(AND(ber_Med_disc!C31&gt;1),J64&amp;"/kg/dag ","")</f>
        <v/>
      </c>
      <c r="L65" s="126"/>
      <c r="M65" s="126" t="str">
        <f>IF(AND(ber_Med_disc!C31&gt;1,ber_Med_disc!O31&gt;1,ber_Med_disc!N31&gt;0),"Oplossing:","")</f>
        <v/>
      </c>
      <c r="N65" s="126" t="str">
        <f>IF(AND(ber_Med_disc!C31&gt;1,ber_Med_disc!O31&gt;1,ber_Med_disc!N31&gt;0),ROUND(ber_Med_disc!H31/ber_Med_disc!N31,2)&amp;" "&amp;ber_Med_disc!F31&amp;"/ml","")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2"/>
    <row r="67" spans="1:22" s="246" customFormat="1" x14ac:dyDescent="0.2"/>
    <row r="68" spans="1:22" s="246" customFormat="1" x14ac:dyDescent="0.2"/>
    <row r="69" spans="1:22" s="246" customFormat="1" x14ac:dyDescent="0.2"/>
    <row r="70" spans="1:22" s="246" customFormat="1" x14ac:dyDescent="0.2"/>
    <row r="71" spans="1:22" s="246" customFormat="1" x14ac:dyDescent="0.2"/>
    <row r="72" spans="1:22" s="246" customFormat="1" x14ac:dyDescent="0.2"/>
    <row r="73" spans="1:22" s="246" customFormat="1" x14ac:dyDescent="0.2"/>
    <row r="74" spans="1:22" s="246" customFormat="1" x14ac:dyDescent="0.2"/>
    <row r="75" spans="1:22" s="246" customFormat="1" x14ac:dyDescent="0.2"/>
    <row r="76" spans="1:22" s="246" customFormat="1" x14ac:dyDescent="0.2"/>
    <row r="77" spans="1:22" s="246" customFormat="1" x14ac:dyDescent="0.2"/>
    <row r="78" spans="1:22" s="246" customFormat="1" x14ac:dyDescent="0.2"/>
    <row r="79" spans="1:22" s="246" customFormat="1" x14ac:dyDescent="0.2"/>
    <row r="80" spans="1:22" s="246" customFormat="1" x14ac:dyDescent="0.2"/>
    <row r="81" s="246" customFormat="1" x14ac:dyDescent="0.2"/>
    <row r="82" s="246" customFormat="1" x14ac:dyDescent="0.2"/>
    <row r="83" s="246" customFormat="1" x14ac:dyDescent="0.2"/>
    <row r="84" s="246" customFormat="1" x14ac:dyDescent="0.2"/>
    <row r="85" s="246" customFormat="1" x14ac:dyDescent="0.2"/>
    <row r="86" s="246" customFormat="1" x14ac:dyDescent="0.2"/>
    <row r="87" s="246" customFormat="1" x14ac:dyDescent="0.2"/>
    <row r="88" s="246" customFormat="1" x14ac:dyDescent="0.2"/>
    <row r="89" s="246" customFormat="1" x14ac:dyDescent="0.2"/>
    <row r="90" s="246" customFormat="1" x14ac:dyDescent="0.2"/>
    <row r="91" s="246" customFormat="1" x14ac:dyDescent="0.2"/>
    <row r="92" s="246" customFormat="1" x14ac:dyDescent="0.2"/>
    <row r="93" s="246" customFormat="1" x14ac:dyDescent="0.2"/>
    <row r="94" s="246" customFormat="1" x14ac:dyDescent="0.2"/>
    <row r="95" s="246" customFormat="1" x14ac:dyDescent="0.2"/>
    <row r="96" s="246" customFormat="1" x14ac:dyDescent="0.2"/>
    <row r="97" s="246" customFormat="1" x14ac:dyDescent="0.2"/>
    <row r="98" s="246" customFormat="1" x14ac:dyDescent="0.2"/>
    <row r="99" s="246" customFormat="1" x14ac:dyDescent="0.2"/>
    <row r="100" s="246" customFormat="1" x14ac:dyDescent="0.2"/>
    <row r="101" s="246" customFormat="1" x14ac:dyDescent="0.2"/>
    <row r="102" s="246" customFormat="1" x14ac:dyDescent="0.2"/>
    <row r="103" s="246" customFormat="1" x14ac:dyDescent="0.2"/>
    <row r="104" s="246" customFormat="1" x14ac:dyDescent="0.2"/>
    <row r="105" s="246" customFormat="1" x14ac:dyDescent="0.2"/>
    <row r="106" s="246" customFormat="1" x14ac:dyDescent="0.2"/>
    <row r="107" s="246" customFormat="1" x14ac:dyDescent="0.2"/>
    <row r="108" s="246" customFormat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447675</xdr:colOff>
                    <xdr:row>5</xdr:row>
                    <xdr:rowOff>28575</xdr:rowOff>
                  </from>
                  <to>
                    <xdr:col>7</xdr:col>
                    <xdr:colOff>581025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9525</xdr:rowOff>
                  </from>
                  <to>
                    <xdr:col>9</xdr:col>
                    <xdr:colOff>133350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504825</xdr:colOff>
                    <xdr:row>5</xdr:row>
                    <xdr:rowOff>28575</xdr:rowOff>
                  </from>
                  <to>
                    <xdr:col>13</xdr:col>
                    <xdr:colOff>533400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333375</xdr:colOff>
                    <xdr:row>5</xdr:row>
                    <xdr:rowOff>38100</xdr:rowOff>
                  </from>
                  <to>
                    <xdr:col>12</xdr:col>
                    <xdr:colOff>466725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9525</xdr:rowOff>
                  </from>
                  <to>
                    <xdr:col>9</xdr:col>
                    <xdr:colOff>133350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504825</xdr:colOff>
                    <xdr:row>7</xdr:row>
                    <xdr:rowOff>28575</xdr:rowOff>
                  </from>
                  <to>
                    <xdr:col>13</xdr:col>
                    <xdr:colOff>533400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333375</xdr:colOff>
                    <xdr:row>7</xdr:row>
                    <xdr:rowOff>38100</xdr:rowOff>
                  </from>
                  <to>
                    <xdr:col>12</xdr:col>
                    <xdr:colOff>466725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447675</xdr:colOff>
                    <xdr:row>9</xdr:row>
                    <xdr:rowOff>28575</xdr:rowOff>
                  </from>
                  <to>
                    <xdr:col>7</xdr:col>
                    <xdr:colOff>581025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9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504825</xdr:colOff>
                    <xdr:row>9</xdr:row>
                    <xdr:rowOff>28575</xdr:rowOff>
                  </from>
                  <to>
                    <xdr:col>13</xdr:col>
                    <xdr:colOff>533400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333375</xdr:colOff>
                    <xdr:row>9</xdr:row>
                    <xdr:rowOff>38100</xdr:rowOff>
                  </from>
                  <to>
                    <xdr:col>12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447675</xdr:colOff>
                    <xdr:row>11</xdr:row>
                    <xdr:rowOff>28575</xdr:rowOff>
                  </from>
                  <to>
                    <xdr:col>7</xdr:col>
                    <xdr:colOff>581025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9525</xdr:rowOff>
                  </from>
                  <to>
                    <xdr:col>9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504825</xdr:colOff>
                    <xdr:row>11</xdr:row>
                    <xdr:rowOff>28575</xdr:rowOff>
                  </from>
                  <to>
                    <xdr:col>13</xdr:col>
                    <xdr:colOff>533400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333375</xdr:colOff>
                    <xdr:row>11</xdr:row>
                    <xdr:rowOff>38100</xdr:rowOff>
                  </from>
                  <to>
                    <xdr:col>12</xdr:col>
                    <xdr:colOff>466725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447675</xdr:colOff>
                    <xdr:row>13</xdr:row>
                    <xdr:rowOff>28575</xdr:rowOff>
                  </from>
                  <to>
                    <xdr:col>7</xdr:col>
                    <xdr:colOff>581025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9525</xdr:rowOff>
                  </from>
                  <to>
                    <xdr:col>9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504825</xdr:colOff>
                    <xdr:row>13</xdr:row>
                    <xdr:rowOff>28575</xdr:rowOff>
                  </from>
                  <to>
                    <xdr:col>13</xdr:col>
                    <xdr:colOff>533400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333375</xdr:colOff>
                    <xdr:row>13</xdr:row>
                    <xdr:rowOff>38100</xdr:rowOff>
                  </from>
                  <to>
                    <xdr:col>12</xdr:col>
                    <xdr:colOff>466725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447675</xdr:colOff>
                    <xdr:row>15</xdr:row>
                    <xdr:rowOff>28575</xdr:rowOff>
                  </from>
                  <to>
                    <xdr:col>7</xdr:col>
                    <xdr:colOff>581025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9525</xdr:rowOff>
                  </from>
                  <to>
                    <xdr:col>9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504825</xdr:colOff>
                    <xdr:row>15</xdr:row>
                    <xdr:rowOff>28575</xdr:rowOff>
                  </from>
                  <to>
                    <xdr:col>13</xdr:col>
                    <xdr:colOff>533400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333375</xdr:colOff>
                    <xdr:row>15</xdr:row>
                    <xdr:rowOff>38100</xdr:rowOff>
                  </from>
                  <to>
                    <xdr:col>12</xdr:col>
                    <xdr:colOff>466725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447675</xdr:colOff>
                    <xdr:row>17</xdr:row>
                    <xdr:rowOff>28575</xdr:rowOff>
                  </from>
                  <to>
                    <xdr:col>7</xdr:col>
                    <xdr:colOff>581025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9525</xdr:rowOff>
                  </from>
                  <to>
                    <xdr:col>9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504825</xdr:colOff>
                    <xdr:row>17</xdr:row>
                    <xdr:rowOff>28575</xdr:rowOff>
                  </from>
                  <to>
                    <xdr:col>13</xdr:col>
                    <xdr:colOff>533400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333375</xdr:colOff>
                    <xdr:row>17</xdr:row>
                    <xdr:rowOff>38100</xdr:rowOff>
                  </from>
                  <to>
                    <xdr:col>12</xdr:col>
                    <xdr:colOff>466725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447675</xdr:colOff>
                    <xdr:row>19</xdr:row>
                    <xdr:rowOff>28575</xdr:rowOff>
                  </from>
                  <to>
                    <xdr:col>7</xdr:col>
                    <xdr:colOff>581025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9525</xdr:rowOff>
                  </from>
                  <to>
                    <xdr:col>9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504825</xdr:colOff>
                    <xdr:row>19</xdr:row>
                    <xdr:rowOff>28575</xdr:rowOff>
                  </from>
                  <to>
                    <xdr:col>13</xdr:col>
                    <xdr:colOff>533400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333375</xdr:colOff>
                    <xdr:row>19</xdr:row>
                    <xdr:rowOff>38100</xdr:rowOff>
                  </from>
                  <to>
                    <xdr:col>12</xdr:col>
                    <xdr:colOff>466725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447675</xdr:colOff>
                    <xdr:row>21</xdr:row>
                    <xdr:rowOff>28575</xdr:rowOff>
                  </from>
                  <to>
                    <xdr:col>7</xdr:col>
                    <xdr:colOff>581025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9525</xdr:rowOff>
                  </from>
                  <to>
                    <xdr:col>9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504825</xdr:colOff>
                    <xdr:row>21</xdr:row>
                    <xdr:rowOff>28575</xdr:rowOff>
                  </from>
                  <to>
                    <xdr:col>13</xdr:col>
                    <xdr:colOff>533400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333375</xdr:colOff>
                    <xdr:row>21</xdr:row>
                    <xdr:rowOff>38100</xdr:rowOff>
                  </from>
                  <to>
                    <xdr:col>12</xdr:col>
                    <xdr:colOff>466725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447675</xdr:colOff>
                    <xdr:row>23</xdr:row>
                    <xdr:rowOff>28575</xdr:rowOff>
                  </from>
                  <to>
                    <xdr:col>7</xdr:col>
                    <xdr:colOff>581025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9525</xdr:rowOff>
                  </from>
                  <to>
                    <xdr:col>9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504825</xdr:colOff>
                    <xdr:row>23</xdr:row>
                    <xdr:rowOff>28575</xdr:rowOff>
                  </from>
                  <to>
                    <xdr:col>13</xdr:col>
                    <xdr:colOff>533400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333375</xdr:colOff>
                    <xdr:row>23</xdr:row>
                    <xdr:rowOff>38100</xdr:rowOff>
                  </from>
                  <to>
                    <xdr:col>12</xdr:col>
                    <xdr:colOff>466725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447675</xdr:colOff>
                    <xdr:row>25</xdr:row>
                    <xdr:rowOff>28575</xdr:rowOff>
                  </from>
                  <to>
                    <xdr:col>7</xdr:col>
                    <xdr:colOff>581025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9525</xdr:rowOff>
                  </from>
                  <to>
                    <xdr:col>9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504825</xdr:colOff>
                    <xdr:row>25</xdr:row>
                    <xdr:rowOff>28575</xdr:rowOff>
                  </from>
                  <to>
                    <xdr:col>13</xdr:col>
                    <xdr:colOff>533400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333375</xdr:colOff>
                    <xdr:row>25</xdr:row>
                    <xdr:rowOff>38100</xdr:rowOff>
                  </from>
                  <to>
                    <xdr:col>12</xdr:col>
                    <xdr:colOff>466725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447675</xdr:colOff>
                    <xdr:row>27</xdr:row>
                    <xdr:rowOff>28575</xdr:rowOff>
                  </from>
                  <to>
                    <xdr:col>7</xdr:col>
                    <xdr:colOff>581025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9525</xdr:rowOff>
                  </from>
                  <to>
                    <xdr:col>9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504825</xdr:colOff>
                    <xdr:row>27</xdr:row>
                    <xdr:rowOff>28575</xdr:rowOff>
                  </from>
                  <to>
                    <xdr:col>13</xdr:col>
                    <xdr:colOff>533400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333375</xdr:colOff>
                    <xdr:row>27</xdr:row>
                    <xdr:rowOff>38100</xdr:rowOff>
                  </from>
                  <to>
                    <xdr:col>12</xdr:col>
                    <xdr:colOff>466725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447675</xdr:colOff>
                    <xdr:row>29</xdr:row>
                    <xdr:rowOff>28575</xdr:rowOff>
                  </from>
                  <to>
                    <xdr:col>7</xdr:col>
                    <xdr:colOff>581025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9525</xdr:rowOff>
                  </from>
                  <to>
                    <xdr:col>9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504825</xdr:colOff>
                    <xdr:row>29</xdr:row>
                    <xdr:rowOff>28575</xdr:rowOff>
                  </from>
                  <to>
                    <xdr:col>13</xdr:col>
                    <xdr:colOff>533400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333375</xdr:colOff>
                    <xdr:row>29</xdr:row>
                    <xdr:rowOff>38100</xdr:rowOff>
                  </from>
                  <to>
                    <xdr:col>12</xdr:col>
                    <xdr:colOff>466725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447675</xdr:colOff>
                    <xdr:row>31</xdr:row>
                    <xdr:rowOff>28575</xdr:rowOff>
                  </from>
                  <to>
                    <xdr:col>7</xdr:col>
                    <xdr:colOff>581025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9525</xdr:rowOff>
                  </from>
                  <to>
                    <xdr:col>9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504825</xdr:colOff>
                    <xdr:row>31</xdr:row>
                    <xdr:rowOff>28575</xdr:rowOff>
                  </from>
                  <to>
                    <xdr:col>13</xdr:col>
                    <xdr:colOff>533400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333375</xdr:colOff>
                    <xdr:row>31</xdr:row>
                    <xdr:rowOff>38100</xdr:rowOff>
                  </from>
                  <to>
                    <xdr:col>12</xdr:col>
                    <xdr:colOff>466725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447675</xdr:colOff>
                    <xdr:row>33</xdr:row>
                    <xdr:rowOff>28575</xdr:rowOff>
                  </from>
                  <to>
                    <xdr:col>7</xdr:col>
                    <xdr:colOff>581025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9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504825</xdr:colOff>
                    <xdr:row>33</xdr:row>
                    <xdr:rowOff>28575</xdr:rowOff>
                  </from>
                  <to>
                    <xdr:col>13</xdr:col>
                    <xdr:colOff>533400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333375</xdr:colOff>
                    <xdr:row>33</xdr:row>
                    <xdr:rowOff>38100</xdr:rowOff>
                  </from>
                  <to>
                    <xdr:col>12</xdr:col>
                    <xdr:colOff>466725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447675</xdr:colOff>
                    <xdr:row>35</xdr:row>
                    <xdr:rowOff>28575</xdr:rowOff>
                  </from>
                  <to>
                    <xdr:col>7</xdr:col>
                    <xdr:colOff>581025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9525</xdr:rowOff>
                  </from>
                  <to>
                    <xdr:col>9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504825</xdr:colOff>
                    <xdr:row>35</xdr:row>
                    <xdr:rowOff>28575</xdr:rowOff>
                  </from>
                  <to>
                    <xdr:col>13</xdr:col>
                    <xdr:colOff>533400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333375</xdr:colOff>
                    <xdr:row>35</xdr:row>
                    <xdr:rowOff>38100</xdr:rowOff>
                  </from>
                  <to>
                    <xdr:col>12</xdr:col>
                    <xdr:colOff>466725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447675</xdr:colOff>
                    <xdr:row>37</xdr:row>
                    <xdr:rowOff>28575</xdr:rowOff>
                  </from>
                  <to>
                    <xdr:col>7</xdr:col>
                    <xdr:colOff>581025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9525</xdr:rowOff>
                  </from>
                  <to>
                    <xdr:col>9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504825</xdr:colOff>
                    <xdr:row>37</xdr:row>
                    <xdr:rowOff>28575</xdr:rowOff>
                  </from>
                  <to>
                    <xdr:col>13</xdr:col>
                    <xdr:colOff>533400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333375</xdr:colOff>
                    <xdr:row>37</xdr:row>
                    <xdr:rowOff>38100</xdr:rowOff>
                  </from>
                  <to>
                    <xdr:col>12</xdr:col>
                    <xdr:colOff>466725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7</xdr:col>
                    <xdr:colOff>581025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9525</xdr:rowOff>
                  </from>
                  <to>
                    <xdr:col>9</xdr:col>
                    <xdr:colOff>133350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504825</xdr:colOff>
                    <xdr:row>39</xdr:row>
                    <xdr:rowOff>28575</xdr:rowOff>
                  </from>
                  <to>
                    <xdr:col>13</xdr:col>
                    <xdr:colOff>533400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333375</xdr:colOff>
                    <xdr:row>39</xdr:row>
                    <xdr:rowOff>38100</xdr:rowOff>
                  </from>
                  <to>
                    <xdr:col>12</xdr:col>
                    <xdr:colOff>466725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447675</xdr:colOff>
                    <xdr:row>41</xdr:row>
                    <xdr:rowOff>28575</xdr:rowOff>
                  </from>
                  <to>
                    <xdr:col>7</xdr:col>
                    <xdr:colOff>581025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9525</xdr:rowOff>
                  </from>
                  <to>
                    <xdr:col>9</xdr:col>
                    <xdr:colOff>133350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504825</xdr:colOff>
                    <xdr:row>41</xdr:row>
                    <xdr:rowOff>28575</xdr:rowOff>
                  </from>
                  <to>
                    <xdr:col>13</xdr:col>
                    <xdr:colOff>533400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333375</xdr:colOff>
                    <xdr:row>41</xdr:row>
                    <xdr:rowOff>38100</xdr:rowOff>
                  </from>
                  <to>
                    <xdr:col>12</xdr:col>
                    <xdr:colOff>466725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447675</xdr:colOff>
                    <xdr:row>43</xdr:row>
                    <xdr:rowOff>28575</xdr:rowOff>
                  </from>
                  <to>
                    <xdr:col>7</xdr:col>
                    <xdr:colOff>581025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9525</xdr:rowOff>
                  </from>
                  <to>
                    <xdr:col>9</xdr:col>
                    <xdr:colOff>133350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504825</xdr:colOff>
                    <xdr:row>43</xdr:row>
                    <xdr:rowOff>28575</xdr:rowOff>
                  </from>
                  <to>
                    <xdr:col>13</xdr:col>
                    <xdr:colOff>533400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333375</xdr:colOff>
                    <xdr:row>43</xdr:row>
                    <xdr:rowOff>38100</xdr:rowOff>
                  </from>
                  <to>
                    <xdr:col>12</xdr:col>
                    <xdr:colOff>466725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447675</xdr:colOff>
                    <xdr:row>7</xdr:row>
                    <xdr:rowOff>28575</xdr:rowOff>
                  </from>
                  <to>
                    <xdr:col>7</xdr:col>
                    <xdr:colOff>581025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47625</xdr:colOff>
                    <xdr:row>5</xdr:row>
                    <xdr:rowOff>38100</xdr:rowOff>
                  </from>
                  <to>
                    <xdr:col>15</xdr:col>
                    <xdr:colOff>180975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47625</xdr:colOff>
                    <xdr:row>7</xdr:row>
                    <xdr:rowOff>38100</xdr:rowOff>
                  </from>
                  <to>
                    <xdr:col>15</xdr:col>
                    <xdr:colOff>180975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47625</xdr:colOff>
                    <xdr:row>9</xdr:row>
                    <xdr:rowOff>38100</xdr:rowOff>
                  </from>
                  <to>
                    <xdr:col>15</xdr:col>
                    <xdr:colOff>180975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47625</xdr:colOff>
                    <xdr:row>11</xdr:row>
                    <xdr:rowOff>38100</xdr:rowOff>
                  </from>
                  <to>
                    <xdr:col>15</xdr:col>
                    <xdr:colOff>180975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47625</xdr:colOff>
                    <xdr:row>13</xdr:row>
                    <xdr:rowOff>38100</xdr:rowOff>
                  </from>
                  <to>
                    <xdr:col>15</xdr:col>
                    <xdr:colOff>180975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47625</xdr:colOff>
                    <xdr:row>15</xdr:row>
                    <xdr:rowOff>38100</xdr:rowOff>
                  </from>
                  <to>
                    <xdr:col>15</xdr:col>
                    <xdr:colOff>180975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47625</xdr:colOff>
                    <xdr:row>17</xdr:row>
                    <xdr:rowOff>38100</xdr:rowOff>
                  </from>
                  <to>
                    <xdr:col>15</xdr:col>
                    <xdr:colOff>180975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47625</xdr:colOff>
                    <xdr:row>19</xdr:row>
                    <xdr:rowOff>38100</xdr:rowOff>
                  </from>
                  <to>
                    <xdr:col>15</xdr:col>
                    <xdr:colOff>180975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47625</xdr:colOff>
                    <xdr:row>21</xdr:row>
                    <xdr:rowOff>38100</xdr:rowOff>
                  </from>
                  <to>
                    <xdr:col>15</xdr:col>
                    <xdr:colOff>180975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47625</xdr:colOff>
                    <xdr:row>23</xdr:row>
                    <xdr:rowOff>38100</xdr:rowOff>
                  </from>
                  <to>
                    <xdr:col>15</xdr:col>
                    <xdr:colOff>180975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47625</xdr:colOff>
                    <xdr:row>25</xdr:row>
                    <xdr:rowOff>38100</xdr:rowOff>
                  </from>
                  <to>
                    <xdr:col>15</xdr:col>
                    <xdr:colOff>180975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47625</xdr:colOff>
                    <xdr:row>27</xdr:row>
                    <xdr:rowOff>38100</xdr:rowOff>
                  </from>
                  <to>
                    <xdr:col>15</xdr:col>
                    <xdr:colOff>180975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47625</xdr:colOff>
                    <xdr:row>29</xdr:row>
                    <xdr:rowOff>38100</xdr:rowOff>
                  </from>
                  <to>
                    <xdr:col>15</xdr:col>
                    <xdr:colOff>180975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47625</xdr:colOff>
                    <xdr:row>31</xdr:row>
                    <xdr:rowOff>38100</xdr:rowOff>
                  </from>
                  <to>
                    <xdr:col>15</xdr:col>
                    <xdr:colOff>180975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47625</xdr:colOff>
                    <xdr:row>33</xdr:row>
                    <xdr:rowOff>38100</xdr:rowOff>
                  </from>
                  <to>
                    <xdr:col>15</xdr:col>
                    <xdr:colOff>180975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47625</xdr:colOff>
                    <xdr:row>35</xdr:row>
                    <xdr:rowOff>38100</xdr:rowOff>
                  </from>
                  <to>
                    <xdr:col>15</xdr:col>
                    <xdr:colOff>180975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47625</xdr:colOff>
                    <xdr:row>37</xdr:row>
                    <xdr:rowOff>38100</xdr:rowOff>
                  </from>
                  <to>
                    <xdr:col>15</xdr:col>
                    <xdr:colOff>180975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47625</xdr:colOff>
                    <xdr:row>39</xdr:row>
                    <xdr:rowOff>38100</xdr:rowOff>
                  </from>
                  <to>
                    <xdr:col>15</xdr:col>
                    <xdr:colOff>180975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47625</xdr:colOff>
                    <xdr:row>41</xdr:row>
                    <xdr:rowOff>38100</xdr:rowOff>
                  </from>
                  <to>
                    <xdr:col>15</xdr:col>
                    <xdr:colOff>180975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47625</xdr:colOff>
                    <xdr:row>43</xdr:row>
                    <xdr:rowOff>38100</xdr:rowOff>
                  </from>
                  <to>
                    <xdr:col>15</xdr:col>
                    <xdr:colOff>180975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504825</xdr:colOff>
                    <xdr:row>9</xdr:row>
                    <xdr:rowOff>28575</xdr:rowOff>
                  </from>
                  <to>
                    <xdr:col>13</xdr:col>
                    <xdr:colOff>533400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352425</xdr:colOff>
                    <xdr:row>2</xdr:row>
                    <xdr:rowOff>28575</xdr:rowOff>
                  </from>
                  <to>
                    <xdr:col>14</xdr:col>
                    <xdr:colOff>514350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504825</xdr:colOff>
                    <xdr:row>45</xdr:row>
                    <xdr:rowOff>0</xdr:rowOff>
                  </from>
                  <to>
                    <xdr:col>13</xdr:col>
                    <xdr:colOff>533400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447675</xdr:colOff>
                    <xdr:row>45</xdr:row>
                    <xdr:rowOff>28575</xdr:rowOff>
                  </from>
                  <to>
                    <xdr:col>7</xdr:col>
                    <xdr:colOff>581025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9525</xdr:rowOff>
                  </from>
                  <to>
                    <xdr:col>9</xdr:col>
                    <xdr:colOff>133350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333375</xdr:colOff>
                    <xdr:row>45</xdr:row>
                    <xdr:rowOff>38100</xdr:rowOff>
                  </from>
                  <to>
                    <xdr:col>12</xdr:col>
                    <xdr:colOff>466725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47625</xdr:colOff>
                    <xdr:row>45</xdr:row>
                    <xdr:rowOff>38100</xdr:rowOff>
                  </from>
                  <to>
                    <xdr:col>15</xdr:col>
                    <xdr:colOff>180975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504825</xdr:colOff>
                    <xdr:row>47</xdr:row>
                    <xdr:rowOff>0</xdr:rowOff>
                  </from>
                  <to>
                    <xdr:col>13</xdr:col>
                    <xdr:colOff>533400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447675</xdr:colOff>
                    <xdr:row>47</xdr:row>
                    <xdr:rowOff>28575</xdr:rowOff>
                  </from>
                  <to>
                    <xdr:col>7</xdr:col>
                    <xdr:colOff>581025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9525</xdr:rowOff>
                  </from>
                  <to>
                    <xdr:col>9</xdr:col>
                    <xdr:colOff>133350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333375</xdr:colOff>
                    <xdr:row>47</xdr:row>
                    <xdr:rowOff>38100</xdr:rowOff>
                  </from>
                  <to>
                    <xdr:col>12</xdr:col>
                    <xdr:colOff>466725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47625</xdr:colOff>
                    <xdr:row>47</xdr:row>
                    <xdr:rowOff>38100</xdr:rowOff>
                  </from>
                  <to>
                    <xdr:col>15</xdr:col>
                    <xdr:colOff>180975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504825</xdr:colOff>
                    <xdr:row>49</xdr:row>
                    <xdr:rowOff>0</xdr:rowOff>
                  </from>
                  <to>
                    <xdr:col>13</xdr:col>
                    <xdr:colOff>533400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447675</xdr:colOff>
                    <xdr:row>49</xdr:row>
                    <xdr:rowOff>28575</xdr:rowOff>
                  </from>
                  <to>
                    <xdr:col>7</xdr:col>
                    <xdr:colOff>581025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9525</xdr:rowOff>
                  </from>
                  <to>
                    <xdr:col>9</xdr:col>
                    <xdr:colOff>133350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333375</xdr:colOff>
                    <xdr:row>49</xdr:row>
                    <xdr:rowOff>38100</xdr:rowOff>
                  </from>
                  <to>
                    <xdr:col>12</xdr:col>
                    <xdr:colOff>466725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47625</xdr:colOff>
                    <xdr:row>49</xdr:row>
                    <xdr:rowOff>38100</xdr:rowOff>
                  </from>
                  <to>
                    <xdr:col>15</xdr:col>
                    <xdr:colOff>180975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504825</xdr:colOff>
                    <xdr:row>51</xdr:row>
                    <xdr:rowOff>0</xdr:rowOff>
                  </from>
                  <to>
                    <xdr:col>13</xdr:col>
                    <xdr:colOff>533400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447675</xdr:colOff>
                    <xdr:row>51</xdr:row>
                    <xdr:rowOff>28575</xdr:rowOff>
                  </from>
                  <to>
                    <xdr:col>7</xdr:col>
                    <xdr:colOff>581025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9525</xdr:rowOff>
                  </from>
                  <to>
                    <xdr:col>9</xdr:col>
                    <xdr:colOff>133350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333375</xdr:colOff>
                    <xdr:row>51</xdr:row>
                    <xdr:rowOff>38100</xdr:rowOff>
                  </from>
                  <to>
                    <xdr:col>12</xdr:col>
                    <xdr:colOff>466725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47625</xdr:colOff>
                    <xdr:row>51</xdr:row>
                    <xdr:rowOff>38100</xdr:rowOff>
                  </from>
                  <to>
                    <xdr:col>15</xdr:col>
                    <xdr:colOff>180975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504825</xdr:colOff>
                    <xdr:row>53</xdr:row>
                    <xdr:rowOff>0</xdr:rowOff>
                  </from>
                  <to>
                    <xdr:col>13</xdr:col>
                    <xdr:colOff>533400</xdr:colOff>
                    <xdr:row>53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447675</xdr:colOff>
                    <xdr:row>53</xdr:row>
                    <xdr:rowOff>28575</xdr:rowOff>
                  </from>
                  <to>
                    <xdr:col>7</xdr:col>
                    <xdr:colOff>581025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9525</xdr:rowOff>
                  </from>
                  <to>
                    <xdr:col>9</xdr:col>
                    <xdr:colOff>133350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333375</xdr:colOff>
                    <xdr:row>53</xdr:row>
                    <xdr:rowOff>38100</xdr:rowOff>
                  </from>
                  <to>
                    <xdr:col>12</xdr:col>
                    <xdr:colOff>466725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47625</xdr:colOff>
                    <xdr:row>53</xdr:row>
                    <xdr:rowOff>38100</xdr:rowOff>
                  </from>
                  <to>
                    <xdr:col>15</xdr:col>
                    <xdr:colOff>180975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504825</xdr:colOff>
                    <xdr:row>55</xdr:row>
                    <xdr:rowOff>0</xdr:rowOff>
                  </from>
                  <to>
                    <xdr:col>13</xdr:col>
                    <xdr:colOff>533400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447675</xdr:colOff>
                    <xdr:row>55</xdr:row>
                    <xdr:rowOff>28575</xdr:rowOff>
                  </from>
                  <to>
                    <xdr:col>7</xdr:col>
                    <xdr:colOff>581025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9525</xdr:rowOff>
                  </from>
                  <to>
                    <xdr:col>9</xdr:col>
                    <xdr:colOff>133350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333375</xdr:colOff>
                    <xdr:row>55</xdr:row>
                    <xdr:rowOff>38100</xdr:rowOff>
                  </from>
                  <to>
                    <xdr:col>12</xdr:col>
                    <xdr:colOff>466725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47625</xdr:colOff>
                    <xdr:row>55</xdr:row>
                    <xdr:rowOff>38100</xdr:rowOff>
                  </from>
                  <to>
                    <xdr:col>15</xdr:col>
                    <xdr:colOff>180975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504825</xdr:colOff>
                    <xdr:row>57</xdr:row>
                    <xdr:rowOff>0</xdr:rowOff>
                  </from>
                  <to>
                    <xdr:col>13</xdr:col>
                    <xdr:colOff>533400</xdr:colOff>
                    <xdr:row>57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447675</xdr:colOff>
                    <xdr:row>57</xdr:row>
                    <xdr:rowOff>28575</xdr:rowOff>
                  </from>
                  <to>
                    <xdr:col>7</xdr:col>
                    <xdr:colOff>581025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9525</xdr:rowOff>
                  </from>
                  <to>
                    <xdr:col>9</xdr:col>
                    <xdr:colOff>133350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333375</xdr:colOff>
                    <xdr:row>57</xdr:row>
                    <xdr:rowOff>38100</xdr:rowOff>
                  </from>
                  <to>
                    <xdr:col>12</xdr:col>
                    <xdr:colOff>466725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47625</xdr:colOff>
                    <xdr:row>57</xdr:row>
                    <xdr:rowOff>38100</xdr:rowOff>
                  </from>
                  <to>
                    <xdr:col>15</xdr:col>
                    <xdr:colOff>180975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504825</xdr:colOff>
                    <xdr:row>59</xdr:row>
                    <xdr:rowOff>0</xdr:rowOff>
                  </from>
                  <to>
                    <xdr:col>13</xdr:col>
                    <xdr:colOff>533400</xdr:colOff>
                    <xdr:row>59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447675</xdr:colOff>
                    <xdr:row>59</xdr:row>
                    <xdr:rowOff>28575</xdr:rowOff>
                  </from>
                  <to>
                    <xdr:col>7</xdr:col>
                    <xdr:colOff>581025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9525</xdr:rowOff>
                  </from>
                  <to>
                    <xdr:col>9</xdr:col>
                    <xdr:colOff>133350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333375</xdr:colOff>
                    <xdr:row>59</xdr:row>
                    <xdr:rowOff>38100</xdr:rowOff>
                  </from>
                  <to>
                    <xdr:col>12</xdr:col>
                    <xdr:colOff>466725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47625</xdr:colOff>
                    <xdr:row>59</xdr:row>
                    <xdr:rowOff>38100</xdr:rowOff>
                  </from>
                  <to>
                    <xdr:col>15</xdr:col>
                    <xdr:colOff>180975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504825</xdr:colOff>
                    <xdr:row>61</xdr:row>
                    <xdr:rowOff>0</xdr:rowOff>
                  </from>
                  <to>
                    <xdr:col>13</xdr:col>
                    <xdr:colOff>533400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447675</xdr:colOff>
                    <xdr:row>61</xdr:row>
                    <xdr:rowOff>28575</xdr:rowOff>
                  </from>
                  <to>
                    <xdr:col>7</xdr:col>
                    <xdr:colOff>581025</xdr:colOff>
                    <xdr:row>61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9525</xdr:rowOff>
                  </from>
                  <to>
                    <xdr:col>9</xdr:col>
                    <xdr:colOff>133350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333375</xdr:colOff>
                    <xdr:row>61</xdr:row>
                    <xdr:rowOff>38100</xdr:rowOff>
                  </from>
                  <to>
                    <xdr:col>12</xdr:col>
                    <xdr:colOff>466725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47625</xdr:colOff>
                    <xdr:row>61</xdr:row>
                    <xdr:rowOff>38100</xdr:rowOff>
                  </from>
                  <to>
                    <xdr:col>15</xdr:col>
                    <xdr:colOff>180975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504825</xdr:colOff>
                    <xdr:row>63</xdr:row>
                    <xdr:rowOff>0</xdr:rowOff>
                  </from>
                  <to>
                    <xdr:col>13</xdr:col>
                    <xdr:colOff>533400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447675</xdr:colOff>
                    <xdr:row>63</xdr:row>
                    <xdr:rowOff>28575</xdr:rowOff>
                  </from>
                  <to>
                    <xdr:col>7</xdr:col>
                    <xdr:colOff>581025</xdr:colOff>
                    <xdr:row>63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9525</xdr:rowOff>
                  </from>
                  <to>
                    <xdr:col>9</xdr:col>
                    <xdr:colOff>133350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333375</xdr:colOff>
                    <xdr:row>63</xdr:row>
                    <xdr:rowOff>38100</xdr:rowOff>
                  </from>
                  <to>
                    <xdr:col>12</xdr:col>
                    <xdr:colOff>466725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47625</xdr:colOff>
                    <xdr:row>63</xdr:row>
                    <xdr:rowOff>38100</xdr:rowOff>
                  </from>
                  <to>
                    <xdr:col>15</xdr:col>
                    <xdr:colOff>180975</xdr:colOff>
                    <xdr:row>63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>
    <tabColor rgb="FF92D050"/>
  </sheetPr>
  <dimension ref="A1:AE41"/>
  <sheetViews>
    <sheetView topLeftCell="B1" zoomScaleNormal="100" workbookViewId="0">
      <selection activeCell="C2" sqref="C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27.28515625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20.7109375" customWidth="1"/>
  </cols>
  <sheetData>
    <row r="1" spans="1:31" x14ac:dyDescent="0.2">
      <c r="A1" s="579"/>
      <c r="B1" t="s">
        <v>894</v>
      </c>
      <c r="C1" t="s">
        <v>685</v>
      </c>
      <c r="D1" s="248" t="s">
        <v>940</v>
      </c>
      <c r="E1" t="s">
        <v>363</v>
      </c>
      <c r="F1" t="s">
        <v>364</v>
      </c>
      <c r="G1" t="s">
        <v>283</v>
      </c>
      <c r="H1" t="s">
        <v>686</v>
      </c>
      <c r="I1" t="s">
        <v>768</v>
      </c>
      <c r="J1" t="s">
        <v>445</v>
      </c>
      <c r="K1" t="s">
        <v>284</v>
      </c>
      <c r="L1" t="s">
        <v>285</v>
      </c>
      <c r="M1" t="s">
        <v>212</v>
      </c>
      <c r="N1" t="s">
        <v>755</v>
      </c>
      <c r="O1" t="s">
        <v>756</v>
      </c>
      <c r="P1" t="s">
        <v>757</v>
      </c>
      <c r="Q1" t="s">
        <v>769</v>
      </c>
      <c r="R1" t="s">
        <v>473</v>
      </c>
      <c r="S1" t="s">
        <v>765</v>
      </c>
      <c r="T1" t="s">
        <v>766</v>
      </c>
      <c r="U1" t="s">
        <v>102</v>
      </c>
      <c r="V1" t="s">
        <v>733</v>
      </c>
      <c r="W1" t="s">
        <v>924</v>
      </c>
      <c r="X1" t="s">
        <v>686</v>
      </c>
      <c r="Y1" t="s">
        <v>925</v>
      </c>
      <c r="Z1" t="s">
        <v>330</v>
      </c>
      <c r="AA1" t="s">
        <v>769</v>
      </c>
      <c r="AB1" t="s">
        <v>926</v>
      </c>
      <c r="AC1" t="s">
        <v>907</v>
      </c>
    </row>
    <row r="2" spans="1:31" x14ac:dyDescent="0.2">
      <c r="A2">
        <v>1</v>
      </c>
      <c r="B2">
        <v>1500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K2*10/Gewicht</f>
        <v>0</v>
      </c>
    </row>
    <row r="3" spans="1:31" x14ac:dyDescent="0.2">
      <c r="A3">
        <v>2</v>
      </c>
      <c r="B3">
        <v>1500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9"/>
        <v>0</v>
      </c>
    </row>
    <row r="4" spans="1:31" x14ac:dyDescent="0.2">
      <c r="A4">
        <v>3</v>
      </c>
      <c r="B4">
        <v>1500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9"/>
        <v>0</v>
      </c>
    </row>
    <row r="5" spans="1:31" x14ac:dyDescent="0.2">
      <c r="A5">
        <v>4</v>
      </c>
      <c r="B5">
        <v>1500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9"/>
        <v>0</v>
      </c>
    </row>
    <row r="6" spans="1:31" x14ac:dyDescent="0.2">
      <c r="A6" s="579">
        <v>5</v>
      </c>
      <c r="B6">
        <v>1500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9"/>
        <v>0</v>
      </c>
    </row>
    <row r="7" spans="1:31" x14ac:dyDescent="0.2">
      <c r="A7">
        <v>6</v>
      </c>
      <c r="B7">
        <v>1500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9"/>
        <v>0</v>
      </c>
    </row>
    <row r="8" spans="1:31" x14ac:dyDescent="0.2">
      <c r="A8">
        <v>7</v>
      </c>
      <c r="B8">
        <v>1500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9"/>
        <v>0</v>
      </c>
    </row>
    <row r="9" spans="1:31" x14ac:dyDescent="0.2">
      <c r="A9">
        <v>8</v>
      </c>
      <c r="B9">
        <v>1500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9"/>
        <v>0</v>
      </c>
    </row>
    <row r="10" spans="1:31" x14ac:dyDescent="0.2">
      <c r="A10">
        <v>9</v>
      </c>
      <c r="B10">
        <v>1500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9"/>
        <v>0</v>
      </c>
    </row>
    <row r="11" spans="1:31" x14ac:dyDescent="0.2">
      <c r="A11">
        <v>10</v>
      </c>
      <c r="B11">
        <v>1500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9"/>
        <v>0</v>
      </c>
    </row>
    <row r="12" spans="1:31" x14ac:dyDescent="0.2">
      <c r="A12">
        <v>11</v>
      </c>
      <c r="B12">
        <v>1500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9"/>
        <v>0</v>
      </c>
    </row>
    <row r="13" spans="1:31" x14ac:dyDescent="0.2">
      <c r="A13">
        <v>12</v>
      </c>
      <c r="B13">
        <v>1500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9"/>
        <v>0</v>
      </c>
    </row>
    <row r="14" spans="1:31" x14ac:dyDescent="0.2">
      <c r="A14">
        <v>13</v>
      </c>
      <c r="B14">
        <v>1500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9"/>
        <v>0</v>
      </c>
    </row>
    <row r="15" spans="1:31" x14ac:dyDescent="0.2">
      <c r="A15">
        <v>14</v>
      </c>
      <c r="B15">
        <v>1500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9"/>
        <v>0</v>
      </c>
    </row>
    <row r="16" spans="1:31" x14ac:dyDescent="0.2">
      <c r="A16">
        <v>15</v>
      </c>
      <c r="B16">
        <v>1500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9"/>
        <v>0</v>
      </c>
    </row>
    <row r="17" spans="1:31" x14ac:dyDescent="0.2">
      <c r="A17">
        <v>16</v>
      </c>
      <c r="B17">
        <v>1500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9"/>
        <v>0</v>
      </c>
    </row>
    <row r="18" spans="1:31" x14ac:dyDescent="0.2">
      <c r="A18">
        <v>17</v>
      </c>
      <c r="B18">
        <v>1500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9"/>
        <v>0</v>
      </c>
    </row>
    <row r="19" spans="1:31" x14ac:dyDescent="0.2">
      <c r="A19">
        <v>18</v>
      </c>
      <c r="B19">
        <v>1500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9"/>
        <v>0</v>
      </c>
    </row>
    <row r="20" spans="1:31" x14ac:dyDescent="0.2">
      <c r="A20">
        <v>19</v>
      </c>
      <c r="B20">
        <v>1500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9"/>
        <v>0</v>
      </c>
    </row>
    <row r="21" spans="1:31" x14ac:dyDescent="0.2">
      <c r="A21">
        <v>20</v>
      </c>
      <c r="B21">
        <v>1500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9"/>
        <v>0</v>
      </c>
    </row>
    <row r="22" spans="1:31" x14ac:dyDescent="0.2">
      <c r="A22" s="517">
        <v>21</v>
      </c>
      <c r="B22" s="517">
        <v>1500</v>
      </c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IF(ROUND(10*K22/Gewicht,1) = 0,ROUND(10*K22/Gewicht,2),ROUND(10*K22/Gewicht,1)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"&amp;IF(Q22=0,"","("&amp;ROUND(ber_Med_disc!H22/ber_Med_disc!N22,2)&amp;" "&amp;ber_Med_disc!F22&amp;"/ml)"))</f>
        <v/>
      </c>
      <c r="AA22" s="517" t="str">
        <f t="shared" ref="AA22:AA31" si="27">IF(OR(Q22=0,Z22=""),"","in "&amp;Q22&amp;" min")</f>
        <v/>
      </c>
      <c r="AB22" s="517" t="str">
        <f>IF(ber_Opm!C36=0,"",ber_Opm!C36)</f>
        <v/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K22*10/Gewicht</f>
        <v>0</v>
      </c>
    </row>
    <row r="23" spans="1:31" x14ac:dyDescent="0.2">
      <c r="A23" s="517">
        <v>22</v>
      </c>
      <c r="B23" s="517">
        <v>1500</v>
      </c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"&amp;IF(Q23=0,"","("&amp;ROUND(ber_Med_disc!H23/ber_Med_disc!N23,2)&amp;" "&amp;ber_Med_disc!F23&amp;"/ml)"))</f>
        <v/>
      </c>
      <c r="AA23" s="517" t="str">
        <f t="shared" si="27"/>
        <v/>
      </c>
      <c r="AB23" s="517" t="str">
        <f>IF(ber_Opm!C37=0,"",ber_Opm!C37)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2">
      <c r="A24" s="517">
        <v>23</v>
      </c>
      <c r="B24" s="517">
        <v>1500</v>
      </c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"&amp;IF(Q24=0,"","("&amp;ROUND(ber_Med_disc!H24/ber_Med_disc!N24,2)&amp;" "&amp;ber_Med_disc!F24&amp;"/ml)"))</f>
        <v/>
      </c>
      <c r="AA24" s="517" t="str">
        <f t="shared" si="27"/>
        <v/>
      </c>
      <c r="AB24" s="517" t="str">
        <f>IF(ber_Opm!C38=0,"",ber_Opm!C38)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2">
      <c r="A25" s="517">
        <v>24</v>
      </c>
      <c r="B25" s="517">
        <v>1500</v>
      </c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"&amp;IF(Q25=0,"","("&amp;ROUND(ber_Med_disc!H25/ber_Med_disc!N25,2)&amp;" "&amp;ber_Med_disc!F25&amp;"/ml)"))</f>
        <v/>
      </c>
      <c r="AA25" s="517" t="str">
        <f t="shared" si="27"/>
        <v/>
      </c>
      <c r="AB25" s="517" t="str">
        <f>IF(ber_Opm!C39=0,"",ber_Opm!C39)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2">
      <c r="A26" s="517">
        <v>25</v>
      </c>
      <c r="B26" s="517">
        <v>1500</v>
      </c>
      <c r="C26" s="517"/>
      <c r="D26" s="517" t="s">
        <v>2443</v>
      </c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>
        <v>0</v>
      </c>
      <c r="O26" s="517">
        <v>0</v>
      </c>
      <c r="P26" s="517">
        <f t="shared" si="19"/>
        <v>0</v>
      </c>
      <c r="Q26" s="517">
        <v>0</v>
      </c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>
        <v>0</v>
      </c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"&amp;IF(Q26=0,"","("&amp;ROUND(ber_Med_disc!H26/ber_Med_disc!N26,2)&amp;" "&amp;ber_Med_disc!F26&amp;"/ml)"))</f>
        <v/>
      </c>
      <c r="AA26" s="517" t="str">
        <f t="shared" si="27"/>
        <v/>
      </c>
      <c r="AB26" s="517" t="str">
        <f>IF(ber_Opm!C40=0,"",ber_Opm!C40)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2">
      <c r="A27" s="517">
        <v>26</v>
      </c>
      <c r="B27" s="517">
        <v>1500</v>
      </c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"&amp;IF(Q27=0,"","("&amp;ROUND(ber_Med_disc!H27/ber_Med_disc!N27,2)&amp;" "&amp;ber_Med_disc!F27&amp;"/ml)"))</f>
        <v/>
      </c>
      <c r="AA27" s="517" t="str">
        <f t="shared" si="27"/>
        <v/>
      </c>
      <c r="AB27" s="517" t="str">
        <f>IF(ber_Opm!C41=0,"",ber_Opm!C41)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2">
      <c r="A28" s="517">
        <v>27</v>
      </c>
      <c r="B28" s="517">
        <v>1500</v>
      </c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"&amp;IF(Q28=0,"","("&amp;ROUND(ber_Med_disc!H28/ber_Med_disc!N28,2)&amp;" "&amp;ber_Med_disc!F28&amp;"/ml)"))</f>
        <v/>
      </c>
      <c r="AA28" s="517" t="str">
        <f t="shared" si="27"/>
        <v/>
      </c>
      <c r="AB28" s="517" t="str">
        <f>IF(ber_Opm!C42=0,"",ber_Opm!C42)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2">
      <c r="A29" s="517">
        <v>28</v>
      </c>
      <c r="B29" s="517">
        <v>1500</v>
      </c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"&amp;IF(Q29=0,"","("&amp;ROUND(ber_Med_disc!H29/ber_Med_disc!N29,2)&amp;" "&amp;ber_Med_disc!F29&amp;"/ml)"))</f>
        <v/>
      </c>
      <c r="AA29" s="517" t="str">
        <f t="shared" si="27"/>
        <v/>
      </c>
      <c r="AB29" s="517" t="str">
        <f>IF(ber_Opm!C43=0,"",ber_Opm!C43)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2">
      <c r="A30" s="517">
        <v>29</v>
      </c>
      <c r="B30" s="517">
        <v>1500</v>
      </c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"&amp;IF(Q30=0,"","("&amp;ROUND(ber_Med_disc!H30/ber_Med_disc!N30,2)&amp;" "&amp;ber_Med_disc!F30&amp;"/ml)"))</f>
        <v/>
      </c>
      <c r="AA30" s="517" t="str">
        <f t="shared" si="27"/>
        <v/>
      </c>
      <c r="AB30" s="517" t="str">
        <f>IF(ber_Opm!C44=0,"",ber_Opm!C44)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2">
      <c r="A31" s="517">
        <v>30</v>
      </c>
      <c r="B31" s="517">
        <v>1500</v>
      </c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"&amp;IF(Q31=0,"","("&amp;ROUND(ber_Med_disc!H31/ber_Med_disc!N31,2)&amp;" "&amp;ber_Med_disc!F31&amp;"/ml)"))</f>
        <v/>
      </c>
      <c r="AA31" s="517" t="str">
        <f t="shared" si="27"/>
        <v/>
      </c>
      <c r="AB31" s="517" t="str">
        <f>IF(ber_Opm!C45=0,"",ber_Opm!C45)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40" spans="4:4" x14ac:dyDescent="0.2">
      <c r="D40" s="518"/>
    </row>
    <row r="41" spans="4:4" x14ac:dyDescent="0.2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Disc">
    <tabColor rgb="FFFFC000"/>
  </sheetPr>
  <dimension ref="A1:E14"/>
  <sheetViews>
    <sheetView workbookViewId="0">
      <selection activeCell="C5" sqref="C5"/>
    </sheetView>
  </sheetViews>
  <sheetFormatPr defaultRowHeight="12.75" x14ac:dyDescent="0.2"/>
  <cols>
    <col min="1" max="5" width="21.140625" customWidth="1"/>
  </cols>
  <sheetData>
    <row r="1" spans="1:5" s="3" customFormat="1" x14ac:dyDescent="0.2">
      <c r="A1" s="3" t="s">
        <v>1954</v>
      </c>
      <c r="B1" s="3" t="s">
        <v>1955</v>
      </c>
      <c r="C1" s="689" t="s">
        <v>1956</v>
      </c>
      <c r="D1" s="689" t="s">
        <v>1957</v>
      </c>
      <c r="E1" s="3" t="s">
        <v>1958</v>
      </c>
    </row>
    <row r="2" spans="1:5" x14ac:dyDescent="0.2">
      <c r="A2" s="517"/>
      <c r="B2" s="517"/>
      <c r="C2" s="517"/>
      <c r="D2" s="517"/>
      <c r="E2" s="517"/>
    </row>
    <row r="3" spans="1:5" x14ac:dyDescent="0.2">
      <c r="A3" s="517" t="s">
        <v>195</v>
      </c>
      <c r="B3" s="517" t="s">
        <v>2247</v>
      </c>
      <c r="C3" s="517">
        <v>0</v>
      </c>
      <c r="D3" s="517" t="s">
        <v>921</v>
      </c>
      <c r="E3" s="517" t="s">
        <v>373</v>
      </c>
    </row>
    <row r="4" spans="1:5" x14ac:dyDescent="0.2">
      <c r="A4" s="517" t="s">
        <v>194</v>
      </c>
      <c r="B4" s="517" t="s">
        <v>580</v>
      </c>
      <c r="C4" s="517">
        <v>1</v>
      </c>
      <c r="D4" s="517" t="s">
        <v>767</v>
      </c>
      <c r="E4" s="517" t="s">
        <v>365</v>
      </c>
    </row>
    <row r="5" spans="1:5" x14ac:dyDescent="0.2">
      <c r="A5" s="517" t="s">
        <v>83</v>
      </c>
      <c r="B5" s="517" t="s">
        <v>581</v>
      </c>
      <c r="C5" s="517">
        <v>0</v>
      </c>
      <c r="D5" s="518" t="s">
        <v>1777</v>
      </c>
      <c r="E5" s="517" t="s">
        <v>62</v>
      </c>
    </row>
    <row r="6" spans="1:5" x14ac:dyDescent="0.2">
      <c r="A6" s="517" t="s">
        <v>627</v>
      </c>
      <c r="B6" s="517"/>
      <c r="C6" s="517">
        <v>1</v>
      </c>
      <c r="D6" s="517" t="s">
        <v>854</v>
      </c>
      <c r="E6" s="517" t="s">
        <v>130</v>
      </c>
    </row>
    <row r="7" spans="1:5" x14ac:dyDescent="0.2">
      <c r="A7" s="517" t="s">
        <v>84</v>
      </c>
      <c r="B7" s="517"/>
      <c r="C7" s="517">
        <v>2</v>
      </c>
      <c r="D7" s="517" t="s">
        <v>855</v>
      </c>
      <c r="E7" s="517" t="s">
        <v>366</v>
      </c>
    </row>
    <row r="8" spans="1:5" x14ac:dyDescent="0.2">
      <c r="A8" s="517" t="s">
        <v>442</v>
      </c>
      <c r="B8" s="517"/>
      <c r="C8" s="517">
        <v>3</v>
      </c>
      <c r="D8" s="517" t="s">
        <v>856</v>
      </c>
      <c r="E8" s="517"/>
    </row>
    <row r="9" spans="1:5" x14ac:dyDescent="0.2">
      <c r="A9" s="517" t="s">
        <v>752</v>
      </c>
      <c r="B9" s="517"/>
      <c r="C9" s="517">
        <v>4</v>
      </c>
      <c r="D9" s="517" t="s">
        <v>857</v>
      </c>
      <c r="E9" s="517"/>
    </row>
    <row r="10" spans="1:5" x14ac:dyDescent="0.2">
      <c r="A10" s="517" t="s">
        <v>753</v>
      </c>
      <c r="B10" s="517"/>
      <c r="C10" s="517">
        <v>5</v>
      </c>
      <c r="D10" s="517" t="s">
        <v>920</v>
      </c>
      <c r="E10" s="517"/>
    </row>
    <row r="11" spans="1:5" x14ac:dyDescent="0.2">
      <c r="A11" s="517" t="s">
        <v>754</v>
      </c>
      <c r="B11" s="517"/>
      <c r="C11" s="517">
        <v>6</v>
      </c>
      <c r="D11" s="517" t="s">
        <v>394</v>
      </c>
      <c r="E11" s="517"/>
    </row>
    <row r="12" spans="1:5" x14ac:dyDescent="0.2">
      <c r="A12" s="517" t="s">
        <v>95</v>
      </c>
      <c r="B12" s="517"/>
      <c r="C12" s="517">
        <v>8</v>
      </c>
      <c r="D12" s="517" t="s">
        <v>395</v>
      </c>
      <c r="E12" s="517"/>
    </row>
    <row r="13" spans="1:5" x14ac:dyDescent="0.2">
      <c r="A13" s="517" t="s">
        <v>326</v>
      </c>
      <c r="B13" s="517"/>
      <c r="C13" s="517">
        <v>12</v>
      </c>
      <c r="D13" s="517" t="s">
        <v>396</v>
      </c>
      <c r="E13" s="517"/>
    </row>
    <row r="14" spans="1:5" x14ac:dyDescent="0.2">
      <c r="A14" s="517"/>
      <c r="B14" s="517"/>
      <c r="C14" s="517">
        <v>24</v>
      </c>
      <c r="D14" s="517" t="s">
        <v>50</v>
      </c>
      <c r="E14" s="51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5.5703125" style="23" customWidth="1"/>
    <col min="2" max="2" width="16.5703125" style="23" customWidth="1"/>
    <col min="3" max="3" width="17.28515625" style="23" customWidth="1"/>
    <col min="4" max="4" width="17.5703125" style="23" customWidth="1"/>
    <col min="5" max="5" width="18.5703125" style="23" customWidth="1"/>
    <col min="6" max="6" width="18.28515625" style="23" customWidth="1"/>
    <col min="7" max="7" width="14.7109375" style="23" customWidth="1"/>
    <col min="8" max="8" width="9.140625" style="23"/>
    <col min="9" max="9" width="9.42578125" style="23" bestFit="1" customWidth="1"/>
    <col min="10" max="10" width="9.28515625" style="23" bestFit="1" customWidth="1"/>
    <col min="11" max="16384" width="9.140625" style="23"/>
  </cols>
  <sheetData>
    <row r="1" spans="1:12" s="133" customFormat="1" x14ac:dyDescent="0.2">
      <c r="A1" s="592"/>
    </row>
    <row r="2" spans="1:12" s="133" customFormat="1" ht="17.25" customHeight="1" x14ac:dyDescent="0.2">
      <c r="B2" s="134" t="s">
        <v>624</v>
      </c>
      <c r="C2" s="135">
        <f ca="1">AfspraakDatum</f>
        <v>42703</v>
      </c>
      <c r="D2" s="136"/>
      <c r="E2" s="134" t="s">
        <v>625</v>
      </c>
      <c r="F2" s="137">
        <f>OpnDatum</f>
        <v>42698</v>
      </c>
      <c r="G2" s="134" t="str">
        <f ca="1">"ICU-dag: "&amp;AfspraakDatum-OpnDatum+1</f>
        <v>ICU-dag: 6</v>
      </c>
      <c r="H2" s="134"/>
      <c r="I2" s="270" t="s">
        <v>1004</v>
      </c>
      <c r="J2" s="139" t="str">
        <f>BedNummer</f>
        <v>Unit 2.9</v>
      </c>
    </row>
    <row r="3" spans="1:12" s="133" customFormat="1" ht="17.25" customHeight="1" x14ac:dyDescent="0.2">
      <c r="B3" s="134" t="s">
        <v>54</v>
      </c>
      <c r="C3" s="138" t="str">
        <f>_AchterNaam&amp;", "&amp;_VoorNaam</f>
        <v>Test, Test</v>
      </c>
      <c r="D3" s="138"/>
      <c r="E3" s="134" t="s">
        <v>639</v>
      </c>
      <c r="F3" s="137">
        <f>GebDatum</f>
        <v>42280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2" s="133" customFormat="1" ht="17.25" customHeight="1" x14ac:dyDescent="0.2">
      <c r="A4" s="163"/>
      <c r="B4" s="134" t="s">
        <v>708</v>
      </c>
      <c r="C4" s="139">
        <f>PatNummer</f>
        <v>123456</v>
      </c>
      <c r="D4" s="136"/>
      <c r="E4" s="134" t="s">
        <v>574</v>
      </c>
      <c r="F4" s="141" t="str">
        <f ca="1">TRUNC((AfspraakDatum-GebDatum)/365,0)&amp;" jaar en "&amp;TRUNC(((AfspraakDatum-GebDatum)-365*TRUNC((AfspraakDatum-GebDatum)/365,0))/30,0)&amp;" maand(-en)"</f>
        <v>1 jaar en 1 maand(-en)</v>
      </c>
      <c r="G4" s="134"/>
      <c r="H4" s="134" t="str">
        <f>"Lichamelijk oppervlak: "&amp;ROUND(POWER(Gewicht/10,0.425)*POWER(((Lengte/100)*100),0.725)*0.007184,2)&amp;" m2"</f>
        <v>Lichamelijk oppervlak: 0,46 m2</v>
      </c>
      <c r="I4" s="134"/>
      <c r="J4" s="134"/>
    </row>
    <row r="5" spans="1:12" ht="12.75" customHeight="1" x14ac:dyDescent="0.2"/>
    <row r="6" spans="1:12" ht="17.25" customHeight="1" x14ac:dyDescent="0.2">
      <c r="A6" s="587"/>
      <c r="B6" s="200" t="s">
        <v>47</v>
      </c>
      <c r="H6" s="630"/>
      <c r="I6" s="630"/>
      <c r="J6" s="630"/>
      <c r="K6" s="629"/>
      <c r="L6" s="629"/>
    </row>
    <row r="7" spans="1:12" ht="9" customHeight="1" x14ac:dyDescent="0.2">
      <c r="H7" s="630"/>
      <c r="I7" s="630" t="s">
        <v>253</v>
      </c>
      <c r="J7" s="630" t="s">
        <v>691</v>
      </c>
      <c r="K7" s="629"/>
      <c r="L7" s="629"/>
    </row>
    <row r="8" spans="1:12" ht="17.25" customHeight="1" x14ac:dyDescent="0.2">
      <c r="A8" s="23">
        <v>1</v>
      </c>
      <c r="C8" s="195"/>
      <c r="E8" s="24"/>
      <c r="F8" s="196" t="str">
        <f>IF(INDEX(tblInfusenBer,ber_Infusen!B2,2)&lt;&gt;0,INDEX(tblInfusenBer,ber_Infusen!B2,2)&amp;" ml","")</f>
        <v/>
      </c>
      <c r="H8" s="630"/>
      <c r="I8" s="630" t="b">
        <f>IF(INDEX(tblInfusenBer,ber_Infusen!B2,2)&lt;&gt;0,INDEX(tblInfusenBer,ber_Infusen!B2,3))</f>
        <v>0</v>
      </c>
      <c r="J8" s="630">
        <f>IF(INDEX(tblInfusenBer,ber_Infusen!B2,2)&lt;&gt;0,INDEX(tblInfusenBer,ber_Infusen!B2,2),0)</f>
        <v>0</v>
      </c>
      <c r="K8" s="629"/>
      <c r="L8" s="629"/>
    </row>
    <row r="9" spans="1:12" ht="17.25" customHeight="1" x14ac:dyDescent="0.2">
      <c r="A9" s="23">
        <v>2</v>
      </c>
      <c r="E9" s="24"/>
      <c r="F9" s="196" t="str">
        <f>IF(INDEX(tblInfusenBer,ber_Infusen!B3,2)&lt;&gt;0,INDEX(tblInfusenBer,ber_Infusen!B3,2)&amp;" ml","")</f>
        <v/>
      </c>
      <c r="H9" s="630"/>
      <c r="I9" s="630" t="b">
        <f>IF(INDEX(tblInfusenBer,ber_Infusen!B3,2)&lt;&gt;0,INDEX(tblInfusenBer,ber_Infusen!B3,3))</f>
        <v>0</v>
      </c>
      <c r="J9" s="630">
        <f>IF(INDEX(tblInfusenBer,ber_Infusen!B3,2)&lt;&gt;0,INDEX(tblInfusenBer,ber_Infusen!B3,2),0)</f>
        <v>0</v>
      </c>
      <c r="K9" s="629"/>
      <c r="L9" s="629"/>
    </row>
    <row r="10" spans="1:12" ht="17.25" customHeight="1" x14ac:dyDescent="0.2">
      <c r="A10" s="23">
        <v>3</v>
      </c>
      <c r="E10" s="24"/>
      <c r="F10" s="196" t="str">
        <f>IF(INDEX(tblInfusenBer,ber_Infusen!B4,2)&lt;&gt;0,INDEX(tblInfusenBer,ber_Infusen!B4,2)&amp;" ml","")</f>
        <v/>
      </c>
      <c r="H10" s="630"/>
      <c r="I10" s="630" t="b">
        <f>IF(INDEX(tblInfusenBer,ber_Infusen!B4,2)&lt;&gt;0,INDEX(tblInfusenBer,ber_Infusen!B4,3))</f>
        <v>0</v>
      </c>
      <c r="J10" s="630">
        <f>IF(INDEX(tblInfusenBer,ber_Infusen!B4,2)&lt;&gt;0,INDEX(tblInfusenBer,ber_Infusen!B4,2),0)</f>
        <v>0</v>
      </c>
      <c r="K10" s="629"/>
      <c r="L10" s="629"/>
    </row>
    <row r="11" spans="1:12" ht="17.25" customHeight="1" x14ac:dyDescent="0.2">
      <c r="A11" s="23">
        <v>4</v>
      </c>
      <c r="E11" s="24"/>
      <c r="F11" s="196" t="str">
        <f>IF(INDEX(tblInfusenBer,ber_Infusen!B5,2)&lt;&gt;0,INDEX(tblInfusenBer,ber_Infusen!B5,2)&amp;" ml","")</f>
        <v/>
      </c>
      <c r="H11" s="630"/>
      <c r="I11" s="630" t="b">
        <f>IF(INDEX(tblInfusenBer,ber_Infusen!B5,2)&lt;&gt;0,INDEX(tblInfusenBer,ber_Infusen!B5,3))</f>
        <v>0</v>
      </c>
      <c r="J11" s="630">
        <f>IF(INDEX(tblInfusenBer,ber_Infusen!B5,2)&lt;&gt;0,INDEX(tblInfusenBer,ber_Infusen!B5,2),0)</f>
        <v>0</v>
      </c>
      <c r="K11" s="629"/>
      <c r="L11" s="629"/>
    </row>
    <row r="12" spans="1:12" ht="17.25" customHeight="1" x14ac:dyDescent="0.2">
      <c r="A12" s="23">
        <v>5</v>
      </c>
      <c r="E12" s="24"/>
      <c r="F12" s="196" t="str">
        <f>IF(INDEX(tblInfusenBer,ber_Infusen!B6,2)&lt;&gt;0,INDEX(tblInfusenBer,ber_Infusen!B6,2)&amp;" ml","")</f>
        <v/>
      </c>
      <c r="H12" s="630"/>
      <c r="I12" s="630" t="b">
        <f>IF(INDEX(tblInfusenBer,ber_Infusen!B6,2)&lt;&gt;0,INDEX(tblInfusenBer,ber_Infusen!B6,3))</f>
        <v>0</v>
      </c>
      <c r="J12" s="630">
        <f>IF(INDEX(tblInfusenBer,ber_Infusen!B6,2)&lt;&gt;0,INDEX(tblInfusenBer,ber_Infusen!B6,2),0)</f>
        <v>0</v>
      </c>
      <c r="K12" s="629"/>
      <c r="L12" s="629"/>
    </row>
    <row r="13" spans="1:12" ht="17.25" customHeight="1" x14ac:dyDescent="0.2">
      <c r="A13" s="23">
        <v>6</v>
      </c>
      <c r="E13" s="24"/>
      <c r="F13" s="196" t="str">
        <f>IF(INDEX(tblInfusenBer,ber_Infusen!B7,2)&lt;&gt;0,INDEX(tblInfusenBer,ber_Infusen!B7,2)&amp;" ml","")</f>
        <v/>
      </c>
      <c r="H13" s="630"/>
      <c r="I13" s="630" t="b">
        <f>IF(INDEX(tblInfusenBer,ber_Infusen!B7,2)&lt;&gt;0,INDEX(tblInfusenBer,ber_Infusen!B7,3))</f>
        <v>0</v>
      </c>
      <c r="J13" s="630">
        <f>IF(INDEX(tblInfusenBer,ber_Infusen!B7,2)&lt;&gt;0,INDEX(tblInfusenBer,ber_Infusen!B7,2),0)</f>
        <v>0</v>
      </c>
      <c r="K13" s="629"/>
      <c r="L13" s="629"/>
    </row>
    <row r="14" spans="1:12" ht="17.25" customHeight="1" x14ac:dyDescent="0.2">
      <c r="H14" s="630"/>
      <c r="I14" s="630"/>
      <c r="J14" s="630"/>
      <c r="K14" s="629"/>
      <c r="L14" s="629"/>
    </row>
    <row r="15" spans="1:12" ht="17.25" customHeight="1" x14ac:dyDescent="0.2">
      <c r="B15" s="163" t="s">
        <v>597</v>
      </c>
      <c r="C15" s="661">
        <f>ber_Opm!C3</f>
        <v>0</v>
      </c>
      <c r="D15" s="657"/>
      <c r="E15" s="657"/>
      <c r="F15" s="657"/>
      <c r="G15" s="657"/>
      <c r="H15" s="659"/>
      <c r="I15" s="659">
        <f>SUM(I8:I14)</f>
        <v>0</v>
      </c>
      <c r="J15" s="659">
        <f>SUM(J8:J14)</f>
        <v>0</v>
      </c>
      <c r="K15" s="629"/>
      <c r="L15" s="629"/>
    </row>
    <row r="16" spans="1:12" ht="17.25" customHeight="1" x14ac:dyDescent="0.2">
      <c r="B16" s="24"/>
      <c r="C16" s="24"/>
      <c r="D16" s="24"/>
      <c r="E16" s="24"/>
      <c r="F16" s="24"/>
      <c r="G16" s="24"/>
      <c r="H16" s="658"/>
      <c r="I16" s="658"/>
      <c r="J16" s="658"/>
      <c r="K16" s="629"/>
      <c r="L16" s="629"/>
    </row>
    <row r="17" spans="2:10" ht="20.100000000000001" customHeight="1" x14ac:dyDescent="0.2">
      <c r="B17" s="144"/>
      <c r="C17" s="198"/>
      <c r="D17" s="198"/>
      <c r="E17" s="198"/>
      <c r="F17" s="198"/>
      <c r="G17" s="198"/>
      <c r="H17" s="660"/>
      <c r="I17" s="660"/>
      <c r="J17" s="198"/>
    </row>
    <row r="18" spans="2:10" ht="20.100000000000001" customHeight="1" x14ac:dyDescent="0.2">
      <c r="B18" s="200" t="s">
        <v>27</v>
      </c>
      <c r="H18" s="198"/>
      <c r="I18" s="198"/>
      <c r="J18" s="198"/>
    </row>
    <row r="19" spans="2:10" ht="20.100000000000001" customHeight="1" x14ac:dyDescent="0.2"/>
    <row r="20" spans="2:10" ht="20.100000000000001" customHeight="1" x14ac:dyDescent="0.2">
      <c r="B20" s="133" t="s">
        <v>550</v>
      </c>
      <c r="E20" s="133" t="s">
        <v>107</v>
      </c>
    </row>
    <row r="21" spans="2:10" ht="20.100000000000001" customHeight="1" x14ac:dyDescent="0.2"/>
    <row r="22" spans="2:10" x14ac:dyDescent="0.2">
      <c r="B22" s="133" t="s">
        <v>603</v>
      </c>
      <c r="C22" s="199" t="str">
        <f>IF(ber_Infusen!D1&gt;1,ber_Infusen!G1&amp;" /min","")</f>
        <v xml:space="preserve"> /min</v>
      </c>
    </row>
    <row r="23" spans="2:10" ht="17.25" customHeight="1" x14ac:dyDescent="0.2">
      <c r="C23" s="199"/>
    </row>
    <row r="24" spans="2:10" ht="17.25" customHeight="1" x14ac:dyDescent="0.2">
      <c r="B24" s="133" t="s">
        <v>108</v>
      </c>
      <c r="C24" s="199" t="str">
        <f>IF(ber_Infusen!D1&gt;1,(ber_Infusen!G2/10)&amp;" V","")</f>
        <v>0 V</v>
      </c>
    </row>
    <row r="25" spans="2:10" ht="17.25" customHeight="1" x14ac:dyDescent="0.2">
      <c r="B25" s="133" t="s">
        <v>109</v>
      </c>
      <c r="C25" s="199" t="str">
        <f>IF(ber_Infusen!D1&gt;1,(ber_Infusen!G3/10)&amp;" V","")</f>
        <v>0 V</v>
      </c>
    </row>
    <row r="26" spans="2:10" ht="17.25" customHeight="1" x14ac:dyDescent="0.2">
      <c r="C26" s="199"/>
    </row>
    <row r="27" spans="2:10" ht="17.25" customHeight="1" x14ac:dyDescent="0.2">
      <c r="B27" s="133" t="s">
        <v>110</v>
      </c>
      <c r="C27" s="199" t="str">
        <f>IF(ber_Infusen!D1&gt;1,ber_Infusen!G4&amp;" msec","")</f>
        <v xml:space="preserve"> msec</v>
      </c>
    </row>
    <row r="28" spans="2:10" ht="17.25" customHeight="1" x14ac:dyDescent="0.2">
      <c r="C28" s="199"/>
    </row>
    <row r="29" spans="2:10" ht="17.25" customHeight="1" x14ac:dyDescent="0.2">
      <c r="B29" s="133" t="s">
        <v>111</v>
      </c>
      <c r="C29" s="199" t="str">
        <f>IF(ber_Infusen!D1&gt;1,ber_Infusen!G5/10&amp;" mV","")</f>
        <v>0 mV</v>
      </c>
    </row>
    <row r="30" spans="2:10" ht="17.25" customHeight="1" x14ac:dyDescent="0.2">
      <c r="B30" s="133" t="s">
        <v>112</v>
      </c>
      <c r="C30" s="199" t="str">
        <f>IF(ber_Infusen!D1&gt;1,(ber_Infusen!G6/10)&amp;" mV","")</f>
        <v>0 mV</v>
      </c>
    </row>
    <row r="31" spans="2:10" ht="17.25" customHeight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4</xdr:col>
                    <xdr:colOff>904875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4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4</xdr:col>
                    <xdr:colOff>904875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4</xdr:col>
                    <xdr:colOff>904875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4</xdr:col>
                    <xdr:colOff>904875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9525</xdr:colOff>
                    <xdr:row>12</xdr:row>
                    <xdr:rowOff>19050</xdr:rowOff>
                  </from>
                  <to>
                    <xdr:col>4</xdr:col>
                    <xdr:colOff>904875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571500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3</xdr:col>
                    <xdr:colOff>476250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9525</xdr:colOff>
                    <xdr:row>19</xdr:row>
                    <xdr:rowOff>19050</xdr:rowOff>
                  </from>
                  <to>
                    <xdr:col>6</xdr:col>
                    <xdr:colOff>409575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990600</xdr:colOff>
                    <xdr:row>21</xdr:row>
                    <xdr:rowOff>28575</xdr:rowOff>
                  </from>
                  <to>
                    <xdr:col>3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990600</xdr:colOff>
                    <xdr:row>23</xdr:row>
                    <xdr:rowOff>28575</xdr:rowOff>
                  </from>
                  <to>
                    <xdr:col>3</xdr:col>
                    <xdr:colOff>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990600</xdr:colOff>
                    <xdr:row>24</xdr:row>
                    <xdr:rowOff>28575</xdr:rowOff>
                  </from>
                  <to>
                    <xdr:col>3</xdr:col>
                    <xdr:colOff>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990600</xdr:colOff>
                    <xdr:row>26</xdr:row>
                    <xdr:rowOff>28575</xdr:rowOff>
                  </from>
                  <to>
                    <xdr:col>3</xdr:col>
                    <xdr:colOff>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990600</xdr:colOff>
                    <xdr:row>28</xdr:row>
                    <xdr:rowOff>28575</xdr:rowOff>
                  </from>
                  <to>
                    <xdr:col>3</xdr:col>
                    <xdr:colOff>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990600</xdr:colOff>
                    <xdr:row>29</xdr:row>
                    <xdr:rowOff>28575</xdr:rowOff>
                  </from>
                  <to>
                    <xdr:col>3</xdr:col>
                    <xdr:colOff>0</xdr:colOff>
                    <xdr:row>29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>
    <tabColor rgb="FF92D050"/>
  </sheetPr>
  <dimension ref="A1:H33"/>
  <sheetViews>
    <sheetView workbookViewId="0">
      <selection activeCell="H1" sqref="H1"/>
    </sheetView>
  </sheetViews>
  <sheetFormatPr defaultRowHeight="12.75" x14ac:dyDescent="0.2"/>
  <cols>
    <col min="1" max="2" width="15.42578125" customWidth="1"/>
  </cols>
  <sheetData>
    <row r="1" spans="1:8" x14ac:dyDescent="0.2">
      <c r="A1" s="3" t="s">
        <v>1961</v>
      </c>
      <c r="B1" s="3" t="s">
        <v>1962</v>
      </c>
      <c r="D1" s="3" t="s">
        <v>549</v>
      </c>
      <c r="E1" s="3" t="s">
        <v>113</v>
      </c>
      <c r="F1" s="3" t="s">
        <v>445</v>
      </c>
      <c r="H1">
        <v>70</v>
      </c>
    </row>
    <row r="2" spans="1:8" x14ac:dyDescent="0.2">
      <c r="A2" s="9">
        <v>1</v>
      </c>
      <c r="B2" s="9">
        <v>1</v>
      </c>
      <c r="F2" s="3" t="s">
        <v>545</v>
      </c>
      <c r="H2">
        <v>10</v>
      </c>
    </row>
    <row r="3" spans="1:8" x14ac:dyDescent="0.2">
      <c r="A3" s="9">
        <v>2</v>
      </c>
      <c r="B3" s="9">
        <v>1</v>
      </c>
      <c r="F3" s="3" t="s">
        <v>546</v>
      </c>
      <c r="H3">
        <v>10</v>
      </c>
    </row>
    <row r="4" spans="1:8" x14ac:dyDescent="0.2">
      <c r="A4" s="9">
        <v>3</v>
      </c>
      <c r="B4" s="9">
        <v>1</v>
      </c>
      <c r="F4" s="3" t="s">
        <v>547</v>
      </c>
      <c r="H4">
        <v>170</v>
      </c>
    </row>
    <row r="5" spans="1:8" x14ac:dyDescent="0.2">
      <c r="A5" s="9">
        <v>4</v>
      </c>
      <c r="B5" s="9">
        <v>1</v>
      </c>
      <c r="C5" s="628"/>
      <c r="F5" s="3" t="s">
        <v>548</v>
      </c>
      <c r="H5">
        <v>20</v>
      </c>
    </row>
    <row r="6" spans="1:8" x14ac:dyDescent="0.2">
      <c r="A6" s="9">
        <v>5</v>
      </c>
      <c r="B6" s="9">
        <v>1</v>
      </c>
      <c r="C6" s="628"/>
      <c r="F6" s="3" t="s">
        <v>617</v>
      </c>
      <c r="H6">
        <v>20</v>
      </c>
    </row>
    <row r="7" spans="1:8" x14ac:dyDescent="0.2">
      <c r="A7" s="9">
        <v>6</v>
      </c>
      <c r="B7" s="9">
        <v>1</v>
      </c>
      <c r="C7" s="628"/>
    </row>
    <row r="8" spans="1:8" x14ac:dyDescent="0.2">
      <c r="A8" s="628"/>
      <c r="B8" s="628"/>
      <c r="C8" s="628"/>
      <c r="E8" t="b">
        <v>1</v>
      </c>
    </row>
    <row r="9" spans="1:8" x14ac:dyDescent="0.2">
      <c r="A9" s="628"/>
      <c r="B9" s="628"/>
      <c r="C9" s="628"/>
    </row>
    <row r="10" spans="1:8" x14ac:dyDescent="0.2">
      <c r="A10" s="628"/>
      <c r="B10" s="628"/>
      <c r="C10" s="628"/>
    </row>
    <row r="11" spans="1:8" x14ac:dyDescent="0.2">
      <c r="A11" s="628"/>
      <c r="B11" s="628"/>
      <c r="C11" s="628"/>
    </row>
    <row r="12" spans="1:8" x14ac:dyDescent="0.2">
      <c r="A12" s="628"/>
      <c r="B12" s="628"/>
      <c r="C12" s="628"/>
    </row>
    <row r="13" spans="1:8" x14ac:dyDescent="0.2">
      <c r="A13" s="628"/>
      <c r="B13" s="628"/>
      <c r="C13" s="628"/>
    </row>
    <row r="14" spans="1:8" x14ac:dyDescent="0.2">
      <c r="A14" s="628"/>
      <c r="B14" s="628"/>
      <c r="C14" s="628"/>
    </row>
    <row r="15" spans="1:8" x14ac:dyDescent="0.2">
      <c r="A15" s="628"/>
      <c r="B15" s="628"/>
      <c r="C15" s="628"/>
    </row>
    <row r="16" spans="1:8" x14ac:dyDescent="0.2">
      <c r="A16" s="628"/>
      <c r="B16" s="628"/>
      <c r="C16" s="628"/>
    </row>
    <row r="17" spans="1:3" x14ac:dyDescent="0.2">
      <c r="A17" s="628"/>
      <c r="B17" s="628"/>
      <c r="C17" s="628"/>
    </row>
    <row r="18" spans="1:3" x14ac:dyDescent="0.2">
      <c r="A18" s="628"/>
      <c r="B18" s="628"/>
      <c r="C18" s="628"/>
    </row>
    <row r="19" spans="1:3" x14ac:dyDescent="0.2">
      <c r="A19" s="628"/>
      <c r="B19" s="628"/>
      <c r="C19" s="628"/>
    </row>
    <row r="20" spans="1:3" x14ac:dyDescent="0.2">
      <c r="A20" s="628"/>
      <c r="B20" s="628"/>
      <c r="C20" s="628"/>
    </row>
    <row r="21" spans="1:3" x14ac:dyDescent="0.2">
      <c r="A21" s="628"/>
      <c r="B21" s="628"/>
      <c r="C21" s="628"/>
    </row>
    <row r="22" spans="1:3" x14ac:dyDescent="0.2">
      <c r="A22" s="628"/>
      <c r="B22" s="628"/>
      <c r="C22" s="628"/>
    </row>
    <row r="23" spans="1:3" x14ac:dyDescent="0.2">
      <c r="A23" s="628"/>
      <c r="B23" s="628"/>
      <c r="C23" s="628"/>
    </row>
    <row r="24" spans="1:3" x14ac:dyDescent="0.2">
      <c r="A24" s="628"/>
      <c r="B24" s="628"/>
      <c r="C24" s="628"/>
    </row>
    <row r="25" spans="1:3" x14ac:dyDescent="0.2">
      <c r="A25" s="628"/>
      <c r="B25" s="628"/>
      <c r="C25" s="628"/>
    </row>
    <row r="26" spans="1:3" x14ac:dyDescent="0.2">
      <c r="A26" s="628"/>
      <c r="B26" s="628"/>
      <c r="C26" s="628"/>
    </row>
    <row r="27" spans="1:3" x14ac:dyDescent="0.2">
      <c r="A27" s="628"/>
      <c r="B27" s="628"/>
      <c r="C27" s="628"/>
    </row>
    <row r="28" spans="1:3" x14ac:dyDescent="0.2">
      <c r="A28" s="628"/>
      <c r="B28" s="628"/>
      <c r="C28" s="628"/>
    </row>
    <row r="29" spans="1:3" x14ac:dyDescent="0.2">
      <c r="A29" s="628"/>
      <c r="B29" s="628"/>
      <c r="C29" s="628"/>
    </row>
    <row r="30" spans="1:3" x14ac:dyDescent="0.2">
      <c r="A30" s="628"/>
      <c r="B30" s="628"/>
      <c r="C30" s="628"/>
    </row>
    <row r="31" spans="1:3" x14ac:dyDescent="0.2">
      <c r="A31" s="628"/>
      <c r="B31" s="628"/>
      <c r="C31" s="628"/>
    </row>
    <row r="32" spans="1:3" x14ac:dyDescent="0.2">
      <c r="A32" s="628"/>
      <c r="B32" s="628"/>
      <c r="C32" s="628"/>
    </row>
    <row r="33" spans="1:3" x14ac:dyDescent="0.2">
      <c r="A33" s="628"/>
      <c r="B33" s="628"/>
      <c r="C33" s="628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Infusen">
    <tabColor rgb="FFFFC000"/>
  </sheetPr>
  <dimension ref="A1:F34"/>
  <sheetViews>
    <sheetView workbookViewId="0">
      <selection activeCell="F2" sqref="F2:F5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3" customFormat="1" x14ac:dyDescent="0.2">
      <c r="A1" s="3" t="s">
        <v>1959</v>
      </c>
      <c r="B1" s="3" t="s">
        <v>575</v>
      </c>
      <c r="C1" s="3" t="s">
        <v>1960</v>
      </c>
      <c r="E1" s="3" t="s">
        <v>1963</v>
      </c>
      <c r="F1" s="3" t="s">
        <v>1964</v>
      </c>
    </row>
    <row r="2" spans="1:6" x14ac:dyDescent="0.2">
      <c r="A2" s="593"/>
      <c r="B2" s="517"/>
      <c r="C2" s="517"/>
      <c r="E2" s="517"/>
      <c r="F2" s="517"/>
    </row>
    <row r="3" spans="1:6" x14ac:dyDescent="0.2">
      <c r="A3" s="9" t="s">
        <v>346</v>
      </c>
      <c r="B3" s="517"/>
      <c r="C3" s="517"/>
      <c r="E3" s="517" t="s">
        <v>746</v>
      </c>
      <c r="F3" s="517" t="s">
        <v>542</v>
      </c>
    </row>
    <row r="4" spans="1:6" x14ac:dyDescent="0.2">
      <c r="A4" s="626" t="s">
        <v>2248</v>
      </c>
      <c r="B4" s="627">
        <v>48</v>
      </c>
      <c r="C4" s="627">
        <v>7.44</v>
      </c>
      <c r="E4" s="517" t="s">
        <v>540</v>
      </c>
      <c r="F4" s="517" t="s">
        <v>543</v>
      </c>
    </row>
    <row r="5" spans="1:6" x14ac:dyDescent="0.2">
      <c r="A5" s="626" t="s">
        <v>2249</v>
      </c>
      <c r="B5" s="627">
        <v>72</v>
      </c>
      <c r="C5" s="627">
        <v>11.16</v>
      </c>
      <c r="E5" s="517" t="s">
        <v>541</v>
      </c>
      <c r="F5" s="517" t="s">
        <v>544</v>
      </c>
    </row>
    <row r="6" spans="1:6" x14ac:dyDescent="0.2">
      <c r="A6" s="626" t="s">
        <v>1754</v>
      </c>
      <c r="B6" s="628"/>
      <c r="C6" s="628"/>
    </row>
    <row r="7" spans="1:6" x14ac:dyDescent="0.2">
      <c r="A7" s="626" t="s">
        <v>2250</v>
      </c>
      <c r="B7" s="627">
        <v>48</v>
      </c>
      <c r="C7" s="627">
        <v>7.44</v>
      </c>
    </row>
    <row r="8" spans="1:6" x14ac:dyDescent="0.2">
      <c r="A8" s="626" t="s">
        <v>2251</v>
      </c>
      <c r="B8" s="627">
        <v>72</v>
      </c>
      <c r="C8" s="627">
        <v>11.16</v>
      </c>
    </row>
    <row r="9" spans="1:6" x14ac:dyDescent="0.2">
      <c r="A9" s="626" t="s">
        <v>185</v>
      </c>
      <c r="B9" s="628"/>
      <c r="C9" s="628"/>
    </row>
    <row r="10" spans="1:6" x14ac:dyDescent="0.2">
      <c r="A10" s="626" t="s">
        <v>867</v>
      </c>
      <c r="B10" s="628"/>
      <c r="C10" s="628"/>
    </row>
    <row r="11" spans="1:6" x14ac:dyDescent="0.2">
      <c r="A11" s="626" t="s">
        <v>868</v>
      </c>
      <c r="B11" s="628"/>
      <c r="C11" s="628"/>
    </row>
    <row r="12" spans="1:6" x14ac:dyDescent="0.2">
      <c r="A12" s="626" t="s">
        <v>698</v>
      </c>
      <c r="B12" s="628"/>
      <c r="C12" s="628"/>
    </row>
    <row r="13" spans="1:6" x14ac:dyDescent="0.2">
      <c r="A13" s="626" t="s">
        <v>699</v>
      </c>
      <c r="B13" s="628"/>
      <c r="C13" s="628"/>
    </row>
    <row r="14" spans="1:6" x14ac:dyDescent="0.2">
      <c r="A14" s="626" t="s">
        <v>252</v>
      </c>
      <c r="B14" s="628"/>
      <c r="C14" s="628"/>
    </row>
    <row r="15" spans="1:6" x14ac:dyDescent="0.2">
      <c r="A15" s="626" t="s">
        <v>2252</v>
      </c>
      <c r="B15" s="627">
        <v>48</v>
      </c>
      <c r="C15" s="627">
        <v>7.44</v>
      </c>
    </row>
    <row r="16" spans="1:6" x14ac:dyDescent="0.2">
      <c r="A16" s="626" t="s">
        <v>2253</v>
      </c>
      <c r="B16" s="627">
        <v>72</v>
      </c>
      <c r="C16" s="627">
        <v>11.16</v>
      </c>
    </row>
    <row r="17" spans="1:1" x14ac:dyDescent="0.2">
      <c r="A17" s="626" t="s">
        <v>419</v>
      </c>
    </row>
    <row r="18" spans="1:1" x14ac:dyDescent="0.2">
      <c r="A18" s="626" t="s">
        <v>867</v>
      </c>
    </row>
    <row r="19" spans="1:1" x14ac:dyDescent="0.2">
      <c r="A19" s="626" t="s">
        <v>868</v>
      </c>
    </row>
    <row r="20" spans="1:1" x14ac:dyDescent="0.2">
      <c r="A20" s="626" t="s">
        <v>700</v>
      </c>
    </row>
    <row r="21" spans="1:1" x14ac:dyDescent="0.2">
      <c r="A21" s="626" t="s">
        <v>647</v>
      </c>
    </row>
    <row r="22" spans="1:1" x14ac:dyDescent="0.2">
      <c r="A22" s="626" t="s">
        <v>345</v>
      </c>
    </row>
    <row r="23" spans="1:1" x14ac:dyDescent="0.2">
      <c r="A23" s="626" t="s">
        <v>648</v>
      </c>
    </row>
    <row r="24" spans="1:1" x14ac:dyDescent="0.2">
      <c r="A24" s="626" t="s">
        <v>626</v>
      </c>
    </row>
    <row r="25" spans="1:1" x14ac:dyDescent="0.2">
      <c r="A25" s="626" t="s">
        <v>2254</v>
      </c>
    </row>
    <row r="26" spans="1:1" x14ac:dyDescent="0.2">
      <c r="A26" s="626" t="s">
        <v>799</v>
      </c>
    </row>
    <row r="27" spans="1:1" x14ac:dyDescent="0.2">
      <c r="A27" s="626" t="s">
        <v>797</v>
      </c>
    </row>
    <row r="28" spans="1:1" x14ac:dyDescent="0.2">
      <c r="A28" s="626" t="s">
        <v>798</v>
      </c>
    </row>
    <row r="29" spans="1:1" x14ac:dyDescent="0.2">
      <c r="A29" s="626" t="s">
        <v>2255</v>
      </c>
    </row>
    <row r="30" spans="1:1" x14ac:dyDescent="0.2">
      <c r="A30" s="626" t="s">
        <v>2256</v>
      </c>
    </row>
    <row r="31" spans="1:1" x14ac:dyDescent="0.2">
      <c r="A31" s="626" t="s">
        <v>898</v>
      </c>
    </row>
    <row r="32" spans="1:1" x14ac:dyDescent="0.2">
      <c r="A32" s="626" t="s">
        <v>899</v>
      </c>
    </row>
    <row r="33" spans="1:3" x14ac:dyDescent="0.2">
      <c r="A33" s="626" t="s">
        <v>2445</v>
      </c>
      <c r="B33" s="627"/>
      <c r="C33" s="627"/>
    </row>
    <row r="34" spans="1:3" x14ac:dyDescent="0.2">
      <c r="A34" s="626" t="s">
        <v>2422</v>
      </c>
      <c r="B34" s="627">
        <v>48</v>
      </c>
      <c r="C34" s="627">
        <v>7.44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2.28515625" style="24" customWidth="1"/>
    <col min="2" max="2" width="3.140625" style="23" customWidth="1"/>
    <col min="3" max="3" width="14.28515625" style="23" customWidth="1"/>
    <col min="4" max="4" width="14.42578125" style="23" customWidth="1"/>
    <col min="5" max="5" width="12.140625" style="23" customWidth="1"/>
    <col min="6" max="6" width="26.42578125" style="23" customWidth="1"/>
    <col min="7" max="7" width="13.85546875" style="23" customWidth="1"/>
    <col min="8" max="8" width="15.28515625" style="23" customWidth="1"/>
    <col min="9" max="9" width="15.140625" style="23" customWidth="1"/>
    <col min="10" max="12" width="9.140625" style="23"/>
    <col min="13" max="13" width="10.42578125" style="23" customWidth="1"/>
    <col min="14" max="15" width="9.140625" style="23"/>
    <col min="16" max="16" width="10.7109375" style="23" bestFit="1" customWidth="1"/>
    <col min="17" max="18" width="9.140625" style="23"/>
    <col min="19" max="19" width="10.7109375" style="23" bestFit="1" customWidth="1"/>
    <col min="20" max="16384" width="9.140625" style="23"/>
  </cols>
  <sheetData>
    <row r="1" spans="1:22" s="133" customFormat="1" x14ac:dyDescent="0.2">
      <c r="A1" s="594"/>
    </row>
    <row r="2" spans="1:22" s="133" customFormat="1" x14ac:dyDescent="0.2">
      <c r="A2" s="163"/>
      <c r="B2" s="134" t="s">
        <v>624</v>
      </c>
      <c r="D2" s="135">
        <f ca="1">AfspraakDatum</f>
        <v>42703</v>
      </c>
      <c r="E2" s="136"/>
      <c r="F2" s="134" t="s">
        <v>625</v>
      </c>
      <c r="G2" s="137">
        <f>OpnDatum</f>
        <v>42698</v>
      </c>
      <c r="H2" s="134" t="str">
        <f ca="1">"ICU-dag: "&amp;AfspraakDatum-OpnDatum+1</f>
        <v>ICU-dag: 6</v>
      </c>
      <c r="I2" s="139" t="str">
        <f>"Gewicht: "&amp;Gewicht/10&amp;" kg"</f>
        <v>Gewicht: 10 kg</v>
      </c>
      <c r="J2" s="134"/>
    </row>
    <row r="3" spans="1:22" s="133" customFormat="1" x14ac:dyDescent="0.2">
      <c r="A3" s="163"/>
      <c r="B3" s="134" t="s">
        <v>54</v>
      </c>
      <c r="D3" s="138" t="str">
        <f>_AchterNaam&amp;", "&amp;_VoorNaam</f>
        <v>Test, Test</v>
      </c>
      <c r="E3" s="138"/>
      <c r="F3" s="134" t="s">
        <v>639</v>
      </c>
      <c r="G3" s="137">
        <f>GebDatum</f>
        <v>42280</v>
      </c>
      <c r="H3" s="139"/>
      <c r="I3" s="139" t="str">
        <f>"Lengte: "&amp;Lengte&amp;" cm"</f>
        <v>Lengte: 80 cm</v>
      </c>
      <c r="J3" s="134"/>
      <c r="L3" s="514"/>
      <c r="M3" s="513"/>
    </row>
    <row r="4" spans="1:22" s="133" customFormat="1" x14ac:dyDescent="0.2">
      <c r="A4" s="163"/>
      <c r="B4" s="134" t="s">
        <v>708</v>
      </c>
      <c r="D4" s="139">
        <f>PatNummer</f>
        <v>123456</v>
      </c>
      <c r="E4" s="136"/>
      <c r="F4" s="134" t="s">
        <v>574</v>
      </c>
      <c r="G4" s="141" t="str">
        <f ca="1">TRUNC((AfspraakDatum-GebDatum)/365,0)&amp;" jaar en "&amp;TRUNC(((AfspraakDatum-GebDatum)-365*TRUNC((AfspraakDatum-GebDatum)/365,0))/30,0)&amp;" maand(-en)"</f>
        <v>1 jaar en 1 maand(-en)</v>
      </c>
      <c r="H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22" s="133" customFormat="1" x14ac:dyDescent="0.2">
      <c r="A5" s="163"/>
      <c r="B5" s="270" t="s">
        <v>1004</v>
      </c>
      <c r="D5" s="270" t="str">
        <f>BedNummer</f>
        <v>Unit 2.9</v>
      </c>
      <c r="E5" s="136"/>
      <c r="F5" s="134"/>
      <c r="G5" s="141"/>
      <c r="H5" s="134"/>
    </row>
    <row r="6" spans="1:22" x14ac:dyDescent="0.2">
      <c r="A6" s="603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2">
      <c r="C7" s="200" t="s">
        <v>354</v>
      </c>
      <c r="I7" s="24"/>
      <c r="J7" s="24"/>
      <c r="K7" s="24"/>
      <c r="L7" s="213" t="s">
        <v>375</v>
      </c>
      <c r="N7" s="194"/>
    </row>
    <row r="8" spans="1:22" ht="19.5" customHeight="1" x14ac:dyDescent="0.2">
      <c r="B8" s="24"/>
      <c r="C8" s="213" t="s">
        <v>583</v>
      </c>
      <c r="D8" s="24"/>
      <c r="E8" s="24"/>
      <c r="F8" s="24"/>
      <c r="G8" s="24"/>
      <c r="H8" s="24"/>
      <c r="I8" s="24"/>
      <c r="J8" s="24"/>
      <c r="K8" s="24"/>
      <c r="L8" s="23" t="s">
        <v>236</v>
      </c>
      <c r="O8" s="24"/>
    </row>
    <row r="9" spans="1:22" ht="19.5" customHeight="1" x14ac:dyDescent="0.2">
      <c r="B9" s="196"/>
      <c r="C9" s="202" t="str">
        <f>IF(ber_PO!M2&lt;&gt;0,ber_PO!J2&amp;" dd","")</f>
        <v/>
      </c>
      <c r="D9" s="203" t="str">
        <f>IF(ber_PO!M2&lt;&gt;0,ber_PO!L2&amp;" ml","")</f>
        <v/>
      </c>
      <c r="E9" s="196"/>
      <c r="F9" s="196"/>
      <c r="G9" s="196" t="str">
        <f>IF(C9="24 dd","continue drip","")</f>
        <v/>
      </c>
      <c r="H9" s="196" t="str">
        <f>IF(ber_PO!N2&gt;1,ber_PO!M2&amp;" ml per dag","")</f>
        <v/>
      </c>
      <c r="I9" s="196"/>
      <c r="J9" s="24"/>
      <c r="L9" s="133"/>
      <c r="M9" s="191" t="s">
        <v>376</v>
      </c>
      <c r="N9" s="224">
        <f>ber_PO!H2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" customHeight="1" x14ac:dyDescent="0.2">
      <c r="B10" s="196"/>
      <c r="C10" s="213" t="s">
        <v>1748</v>
      </c>
      <c r="D10" s="203"/>
      <c r="E10" s="196"/>
      <c r="F10" s="196"/>
      <c r="G10" s="196"/>
      <c r="H10" s="196"/>
      <c r="I10" s="196"/>
      <c r="J10" s="24"/>
      <c r="L10" s="133"/>
      <c r="M10" s="191" t="s">
        <v>466</v>
      </c>
      <c r="N10" s="224">
        <f>ber_PO!H3</f>
        <v>0</v>
      </c>
      <c r="O10" s="26" t="s">
        <v>62</v>
      </c>
      <c r="P10" s="26"/>
      <c r="Q10" s="26"/>
      <c r="R10" s="26"/>
      <c r="S10" s="26"/>
      <c r="T10" s="26"/>
      <c r="U10" s="26"/>
      <c r="V10" s="26"/>
    </row>
    <row r="11" spans="1:22" ht="19.5" customHeight="1" x14ac:dyDescent="0.2">
      <c r="B11" s="196"/>
      <c r="C11" s="202" t="str">
        <f>IF(ber_PO!N3&gt;1,ber_PO!J3&amp;" dd","")</f>
        <v/>
      </c>
      <c r="D11" s="203" t="str">
        <f>IF(ber_PO!N3&gt;1,ber_PO!L3&amp;" gram","")</f>
        <v/>
      </c>
      <c r="E11" s="196"/>
      <c r="F11" s="196"/>
      <c r="G11" s="196"/>
      <c r="H11" s="196" t="str">
        <f>IF(ber_PO!N3&gt;1,ber_PO!M3&amp;" gram/dag","")</f>
        <v/>
      </c>
      <c r="I11" s="197" t="str">
        <f>IF(AND(ber_PO!M3&lt;&gt;0,ber_PO!M2&lt;&gt;0),"= "&amp;ROUND(ber_PO!M3*100/ber_PO!M2,1)&amp;"% extra","")</f>
        <v/>
      </c>
      <c r="J11" s="24"/>
      <c r="L11" s="133"/>
      <c r="M11" s="191" t="s">
        <v>377</v>
      </c>
      <c r="N11" s="224">
        <f>ber_PO!H4</f>
        <v>0</v>
      </c>
      <c r="O11" s="26" t="s">
        <v>62</v>
      </c>
      <c r="P11" s="26"/>
      <c r="Q11" s="26"/>
      <c r="R11" s="26"/>
      <c r="S11" s="26"/>
      <c r="T11" s="26"/>
      <c r="U11" s="26"/>
      <c r="V11" s="26"/>
    </row>
    <row r="12" spans="1:22" ht="19.5" customHeight="1" x14ac:dyDescent="0.2">
      <c r="B12" s="196"/>
      <c r="C12" s="202" t="str">
        <f>IF(ber_PO!N4&gt;1,ber_PO!J4&amp;" dd","")</f>
        <v/>
      </c>
      <c r="D12" s="203" t="str">
        <f>IF(ber_PO!N4&gt;1,ber_PO!L4&amp;" gram","")</f>
        <v/>
      </c>
      <c r="E12" s="196"/>
      <c r="F12" s="196"/>
      <c r="G12" s="196"/>
      <c r="H12" s="196" t="str">
        <f>IF(ber_PO!N4&gt;1,ber_PO!M4&amp;" gram per dag","")</f>
        <v/>
      </c>
      <c r="I12" s="197" t="str">
        <f>IF(AND(ber_PO!M4&lt;&gt;0,ber_PO!M3&lt;&gt;0),"= "&amp;ROUND(ber_PO!M4*100/ber_PO!M2,1)&amp;"% extra","")</f>
        <v/>
      </c>
      <c r="J12" s="24"/>
      <c r="L12" s="133"/>
      <c r="M12" s="217" t="s">
        <v>467</v>
      </c>
      <c r="N12" s="224">
        <f>ber_PO!H5</f>
        <v>0</v>
      </c>
      <c r="O12" s="26" t="s">
        <v>62</v>
      </c>
      <c r="P12" s="26"/>
      <c r="Q12" s="26"/>
      <c r="R12" s="26"/>
      <c r="S12" s="26"/>
      <c r="T12" s="26"/>
      <c r="U12" s="26"/>
      <c r="V12" s="26"/>
    </row>
    <row r="13" spans="1:22" ht="19.5" customHeight="1" x14ac:dyDescent="0.2">
      <c r="B13" s="196"/>
      <c r="C13" s="202" t="str">
        <f>IF(ber_PO!N5&gt;1,ber_PO!J5&amp;" dd","")</f>
        <v/>
      </c>
      <c r="D13" s="203" t="str">
        <f>IF(ber_PO!N5&gt;1,ber_PO!L5&amp;" gram","")</f>
        <v/>
      </c>
      <c r="E13" s="196"/>
      <c r="F13" s="196"/>
      <c r="G13" s="196"/>
      <c r="H13" s="196" t="str">
        <f>IF(ber_PO!N5&gt;1,ber_PO!M5&amp;" gram per dag","")</f>
        <v/>
      </c>
      <c r="I13" s="197" t="str">
        <f>IF(AND(ber_PO!M5&lt;&gt;0,ber_PO!M4&lt;&gt;0),"= "&amp;ROUND(ber_PO!M5*100/ber_PO!M2,1)&amp;"% extra","")</f>
        <v/>
      </c>
      <c r="J13" s="24"/>
      <c r="L13" s="133"/>
      <c r="M13" s="217" t="s">
        <v>378</v>
      </c>
      <c r="N13" s="224">
        <f>ber_PO!H6</f>
        <v>0</v>
      </c>
      <c r="O13" s="26" t="s">
        <v>365</v>
      </c>
      <c r="P13" s="26"/>
      <c r="Q13" s="26"/>
      <c r="R13" s="26"/>
      <c r="S13" s="26"/>
      <c r="T13" s="26"/>
      <c r="U13" s="26"/>
      <c r="V13" s="26"/>
    </row>
    <row r="14" spans="1:22" ht="19.5" customHeight="1" x14ac:dyDescent="0.2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578</v>
      </c>
      <c r="N14" s="224">
        <f>ber_PO!H7</f>
        <v>0</v>
      </c>
      <c r="O14" s="26" t="s">
        <v>365</v>
      </c>
      <c r="P14" s="26"/>
      <c r="Q14" s="26"/>
      <c r="R14" s="26"/>
      <c r="S14" s="26"/>
      <c r="T14" s="26"/>
      <c r="U14" s="26"/>
      <c r="V14" s="26"/>
    </row>
    <row r="15" spans="1:22" ht="19.5" customHeight="1" x14ac:dyDescent="0.2">
      <c r="B15" s="222"/>
      <c r="C15" s="192" t="s">
        <v>597</v>
      </c>
      <c r="D15" s="223">
        <f>ber_Opm!C15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468</v>
      </c>
      <c r="N15" s="224">
        <f>ber_PO!H8</f>
        <v>0</v>
      </c>
      <c r="O15" s="26" t="s">
        <v>365</v>
      </c>
      <c r="P15" s="26"/>
      <c r="Q15" s="26"/>
      <c r="R15" s="26"/>
      <c r="S15" s="26"/>
      <c r="T15" s="26"/>
      <c r="U15" s="26"/>
      <c r="V15" s="26"/>
    </row>
    <row r="16" spans="1:22" ht="21.75" customHeight="1" x14ac:dyDescent="0.2">
      <c r="B16" s="24"/>
      <c r="C16" s="213" t="s">
        <v>584</v>
      </c>
      <c r="H16" s="201"/>
      <c r="J16" s="26"/>
      <c r="K16" s="26"/>
      <c r="L16" s="218"/>
      <c r="M16" s="219" t="s">
        <v>379</v>
      </c>
      <c r="N16" s="224">
        <f>ber_PO!H9</f>
        <v>0</v>
      </c>
      <c r="O16" s="26" t="s">
        <v>365</v>
      </c>
      <c r="P16" s="26"/>
      <c r="Q16" s="26"/>
      <c r="R16" s="26"/>
      <c r="S16" s="26"/>
      <c r="T16" s="26"/>
      <c r="U16" s="26"/>
      <c r="V16" s="26"/>
    </row>
    <row r="17" spans="2:22" ht="23.25" customHeight="1" x14ac:dyDescent="0.2">
      <c r="B17" s="163"/>
      <c r="C17" s="226" t="s">
        <v>696</v>
      </c>
      <c r="D17" s="194" t="str">
        <f>IF(ber_TPN!F3&lt;&gt;0,IF(ber_TPN!F3/24&gt;=10,ROUND(ber_TPN!F3/24,1),ROUND(ber_TPN!F3/24,1))&amp;" ml/uur","")</f>
        <v/>
      </c>
      <c r="E17" s="71" t="str">
        <f>IF(D17&lt;&gt;"",ber_TPN!F3&amp;" ml per dag","")</f>
        <v/>
      </c>
      <c r="F17" s="24"/>
      <c r="G17" s="196"/>
      <c r="H17" s="226" t="s">
        <v>697</v>
      </c>
      <c r="I17" s="194" t="str">
        <f>IF(ber_TPN!D19&lt;&gt;0,ber_TPN!E19&amp;" ml/uur","")</f>
        <v/>
      </c>
      <c r="J17" s="71" t="str">
        <f>IF(I17&lt;&gt;"",ber_TPN!F19&amp;" ml per dag","")</f>
        <v/>
      </c>
      <c r="K17" s="24"/>
      <c r="L17" s="163"/>
      <c r="M17" s="217" t="s">
        <v>644</v>
      </c>
      <c r="N17" s="224">
        <f>ber_PO!H10</f>
        <v>0</v>
      </c>
      <c r="O17" s="26" t="s">
        <v>365</v>
      </c>
      <c r="P17" s="26"/>
      <c r="T17" s="26"/>
      <c r="U17" s="26"/>
      <c r="V17" s="26"/>
    </row>
    <row r="18" spans="2:22" ht="23.25" customHeight="1" x14ac:dyDescent="0.2">
      <c r="B18" s="163"/>
      <c r="C18" s="226"/>
      <c r="D18" s="24"/>
      <c r="E18" s="194" t="str">
        <f>IF(AND(ber_TPN!E4&lt;&gt;0,ber_TPN!E4&lt;&gt;"",ber_TPN!B4&lt;&gt;1,ber_TPN!F4&lt;&gt;0),ber_TPN!F4&amp;" ml","")</f>
        <v/>
      </c>
      <c r="F18" s="193" t="str">
        <f>IF(AND(Gewicht/10&gt;=16,TPN=2),"Peditrace","")</f>
        <v/>
      </c>
      <c r="G18" s="206" t="str">
        <f>IF(AND(Gewicht/10&gt;=16,ber_TPN!F5&gt;0),ber_TPN!F5&amp;"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25" customHeight="1" x14ac:dyDescent="0.2">
      <c r="B19" s="163"/>
      <c r="C19" s="163"/>
      <c r="D19" s="24"/>
      <c r="E19" s="194" t="str">
        <f>IF(ber_TPN!F6&lt;&gt;0,ROUND(ber_TPN!F6,1)&amp;" ml","")</f>
        <v/>
      </c>
      <c r="F19" s="838" t="str">
        <f>IF(AND(Gewicht/10&gt;50,TPN=2),"in 100 ml glucose 10%, "&amp;ROUND((ber_TPN!F5+ber_TPN!F17)/24,1)&amp;" ml/uur","")</f>
        <v/>
      </c>
      <c r="G19" s="838"/>
      <c r="H19" s="163"/>
      <c r="I19" s="24"/>
      <c r="J19" s="194" t="str">
        <f>IF(ber_TPN!F20&lt;&gt;0,ROUND(ber_TPN!F20,1)&amp;" ml","")</f>
        <v/>
      </c>
      <c r="K19" s="207"/>
      <c r="P19" s="26"/>
      <c r="T19" s="26"/>
      <c r="U19" s="26"/>
      <c r="V19" s="26"/>
    </row>
    <row r="20" spans="2:22" ht="19.5" customHeight="1" x14ac:dyDescent="0.2">
      <c r="B20" s="163"/>
      <c r="C20" s="163" t="s">
        <v>689</v>
      </c>
      <c r="D20" s="24"/>
      <c r="E20" s="194" t="str">
        <f>IF(ber_TPN!C7,ber_TPN!F7&amp;" ml","")</f>
        <v/>
      </c>
      <c r="F20" s="24"/>
      <c r="G20" s="24"/>
      <c r="H20" s="216" t="s">
        <v>689</v>
      </c>
      <c r="I20" s="24"/>
      <c r="J20" s="194" t="str">
        <f>IF(ber_TPN!C21,ber_TPN!F21&amp;" ml","")</f>
        <v/>
      </c>
      <c r="K20" s="207"/>
      <c r="L20" s="24"/>
      <c r="P20" s="26"/>
      <c r="T20" s="26"/>
      <c r="U20" s="26"/>
      <c r="V20" s="26"/>
    </row>
    <row r="21" spans="2:22" ht="19.5" customHeight="1" x14ac:dyDescent="0.2">
      <c r="B21" s="163"/>
      <c r="C21" s="163" t="s">
        <v>470</v>
      </c>
      <c r="D21" s="24"/>
      <c r="E21" s="194" t="str">
        <f>IF(ber_TPN!C8,ber_TPN!F8&amp;" ml","")</f>
        <v/>
      </c>
      <c r="F21" s="24"/>
      <c r="G21" s="24"/>
      <c r="H21" s="216" t="s">
        <v>470</v>
      </c>
      <c r="I21" s="24"/>
      <c r="J21" s="194" t="str">
        <f>IF(ber_TPN!C22,ber_TPN!F22&amp;" ml","")</f>
        <v/>
      </c>
      <c r="K21" s="207"/>
      <c r="L21" s="24"/>
      <c r="P21" s="26"/>
      <c r="T21" s="26"/>
      <c r="U21" s="26"/>
      <c r="V21" s="26"/>
    </row>
    <row r="22" spans="2:22" ht="19.5" customHeight="1" x14ac:dyDescent="0.2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" customHeight="1" x14ac:dyDescent="0.2">
      <c r="B23" s="163"/>
      <c r="C23" s="163" t="s">
        <v>690</v>
      </c>
      <c r="D23" s="24"/>
      <c r="E23" s="194" t="str">
        <f>IF(ber_TPN!C9,ber_TPN!D9&amp;" ml","")</f>
        <v/>
      </c>
      <c r="F23" s="24"/>
      <c r="G23" s="194" t="str">
        <f>IF(AND(Gewicht/10&lt;=50,SSTglucose&lt;11,TPN=2),"in "&amp;ber_TPN!F17&amp;" ml glucose 10% ="&amp;ROUND((ber_TPN!F17+ber_TPN!F10+ber_TPN!F9)/24,1)&amp;"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" customHeight="1" x14ac:dyDescent="0.2">
      <c r="B24" s="163"/>
      <c r="C24" s="163" t="s">
        <v>645</v>
      </c>
      <c r="E24" s="194" t="str">
        <f>IF(ber_TPN!C10,ber_TPN!D10&amp;"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9" customHeight="1" x14ac:dyDescent="0.2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" customHeight="1" x14ac:dyDescent="0.2">
      <c r="B26" s="214"/>
      <c r="C26" s="214" t="s">
        <v>643</v>
      </c>
      <c r="D26" s="196"/>
      <c r="E26" s="204" t="str">
        <f>IF(ber_TPN!C11,ber_TPN!F11&amp;" ml","")</f>
        <v/>
      </c>
      <c r="F26" s="196"/>
      <c r="G26" s="196" t="str">
        <f>IF(ber_TPN!F11&gt;0,ROUND(ber_TPN!F11*1.5/(Gewicht/10),2)&amp;" mmol/kg","")</f>
        <v/>
      </c>
      <c r="H26" s="19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25" customHeight="1" x14ac:dyDescent="0.2">
      <c r="B27" s="24"/>
      <c r="C27" s="194" t="s">
        <v>433</v>
      </c>
      <c r="D27" s="194" t="str">
        <f>IF(ber_TPN!D12&lt;&gt;0,ber_TPN!E12&amp;" ml/uur","")</f>
        <v/>
      </c>
      <c r="E27" s="194"/>
      <c r="F27" s="24"/>
      <c r="G27" s="24"/>
      <c r="H27" s="24" t="str">
        <f>IF(ber_TPN!F12&lt;&gt;0,ber_TPN!F12&amp;"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" customHeight="1" x14ac:dyDescent="0.2">
      <c r="B28" s="215"/>
      <c r="C28" s="215" t="s">
        <v>434</v>
      </c>
      <c r="D28" s="206"/>
      <c r="E28" s="205" t="str">
        <f>IF(ber_TPN!F13&lt;&gt;0,ROUND(ber_TPN!F13,0)&amp;"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2">
      <c r="B29" s="163"/>
      <c r="C29" s="163" t="s">
        <v>435</v>
      </c>
      <c r="D29" s="24"/>
      <c r="E29" s="194" t="str">
        <f>IF(ber_TPN!C14,ber_TPN!F14&amp;"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" customHeight="1" x14ac:dyDescent="0.2">
      <c r="B30" s="214"/>
      <c r="C30" s="214" t="s">
        <v>436</v>
      </c>
      <c r="D30" s="196"/>
      <c r="E30" s="204" t="str">
        <f>IF(ber_TPN!C15,ber_TPN!F15&amp;"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9.5" customHeight="1" x14ac:dyDescent="0.2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" customHeight="1" x14ac:dyDescent="0.2">
      <c r="B32" s="222"/>
      <c r="C32" s="192" t="s">
        <v>597</v>
      </c>
      <c r="D32" s="223">
        <f>ber_Opm!C9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2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x14ac:dyDescent="0.2">
      <c r="B34" s="220" t="s">
        <v>575</v>
      </c>
      <c r="C34" s="220"/>
      <c r="D34" s="221" t="str">
        <f>ROUND(ber_totalen!C2,0)&amp;" ml/kg"</f>
        <v>0 ml/kg</v>
      </c>
      <c r="E34" s="220" t="str">
        <f ca="1">ROUND(ber_normaal!$A$18,0)&amp;" ml/kg"</f>
        <v>100 ml/kg</v>
      </c>
      <c r="F34" s="220" t="str">
        <f>"= "&amp;ROUND(ber_totalen!C2*Gewicht/10,0)&amp;" ml/dag"</f>
        <v>= 0 ml/dag</v>
      </c>
      <c r="G34" s="220"/>
      <c r="H34" s="220" t="s">
        <v>466</v>
      </c>
      <c r="I34" s="221" t="str">
        <f>ROUND(ber_totalen!$C$9,1)&amp;"  gram/kg"</f>
        <v>0  gram/kg</v>
      </c>
      <c r="J34" s="220" t="str">
        <f>IF(Gewicht/10&lt;30,"2-2,5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x14ac:dyDescent="0.2">
      <c r="B35" s="220" t="s">
        <v>576</v>
      </c>
      <c r="C35" s="220"/>
      <c r="D35" s="221" t="str">
        <f>ROUND(ber_totalen!E44,0)&amp;" kCal/kg"</f>
        <v>0 kCal/kg</v>
      </c>
      <c r="E35" s="220" t="str">
        <f ca="1">ber_normaal!$A$21&amp;" kCal/kg"</f>
        <v>95 kCal/kg</v>
      </c>
      <c r="F35" s="220"/>
      <c r="G35" s="220"/>
      <c r="H35" s="220" t="s">
        <v>467</v>
      </c>
      <c r="I35" s="221" t="str">
        <f>ROUND(ber_totalen!$C$13,1)&amp;" gram/kg"</f>
        <v>0 gram/kg</v>
      </c>
      <c r="J35" s="220" t="str">
        <f>IF(Gewicht/10&lt;30,"4 g/kg","2 g/kg")</f>
        <v>4 g/kg</v>
      </c>
      <c r="K35" s="220"/>
      <c r="L35" s="229"/>
      <c r="M35" s="230"/>
      <c r="N35" s="230"/>
      <c r="O35" s="230"/>
      <c r="P35" s="230"/>
    </row>
    <row r="36" spans="2:22" x14ac:dyDescent="0.2">
      <c r="B36" s="220" t="s">
        <v>507</v>
      </c>
      <c r="C36" s="220"/>
      <c r="D36" s="221" t="str">
        <f>ROUND(ber_totalen!C5,1)&amp;" g/kg"</f>
        <v>0 g/kg</v>
      </c>
      <c r="E36" s="220" t="s">
        <v>727</v>
      </c>
      <c r="F36" s="220" t="str">
        <f>"= "&amp;ROUND(ber_totalen!C5/1.4,1)&amp;" mg/kg/min"</f>
        <v>= 0 mg/kg/min</v>
      </c>
      <c r="G36" s="220"/>
      <c r="H36" s="220" t="s">
        <v>468</v>
      </c>
      <c r="I36" s="221" t="str">
        <f>ROUND(ber_totalen!$C$27,1)&amp;" mmol/kg"</f>
        <v>0 mmol/kg</v>
      </c>
      <c r="J36" s="220" t="s">
        <v>906</v>
      </c>
      <c r="K36" s="220"/>
      <c r="L36" s="229"/>
      <c r="M36" s="230"/>
      <c r="N36" s="230"/>
      <c r="O36" s="230"/>
      <c r="P36" s="230"/>
    </row>
    <row r="37" spans="2:22" x14ac:dyDescent="0.2">
      <c r="B37" s="220" t="s">
        <v>577</v>
      </c>
      <c r="C37" s="220"/>
      <c r="D37" s="221" t="str">
        <f>ROUND(ber_totalen!C17,1)&amp;" mmol/kg"</f>
        <v>0 mmol/kg</v>
      </c>
      <c r="E37" s="220" t="s">
        <v>721</v>
      </c>
      <c r="F37" s="220"/>
      <c r="G37" s="220"/>
      <c r="H37" s="220" t="s">
        <v>644</v>
      </c>
      <c r="I37" s="221" t="str">
        <f>ROUND(ber_totalen!$C$33,1)&amp;" mmol/kg"</f>
        <v>0 mmol/kg</v>
      </c>
      <c r="J37" s="220" t="s">
        <v>726</v>
      </c>
      <c r="K37" s="220"/>
      <c r="L37" s="229"/>
      <c r="M37" s="230"/>
      <c r="N37" s="230"/>
      <c r="O37" s="230"/>
      <c r="P37" s="230"/>
    </row>
    <row r="38" spans="2:22" x14ac:dyDescent="0.2">
      <c r="B38" s="220" t="s">
        <v>578</v>
      </c>
      <c r="C38" s="220"/>
      <c r="D38" s="221" t="str">
        <f>ROUND(ber_totalen!C23,1)&amp;" mmol/kg"</f>
        <v>0 mmol/kg</v>
      </c>
      <c r="E38" s="220" t="s">
        <v>720</v>
      </c>
      <c r="F38" s="220"/>
      <c r="G38" s="220"/>
      <c r="H38" s="220" t="s">
        <v>469</v>
      </c>
      <c r="I38" s="221" t="str">
        <f>ROUND(ber_totalen!$C$30,1)&amp;" mmol/kg"</f>
        <v>0 mmol/kg</v>
      </c>
      <c r="J38" s="220" t="s">
        <v>725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8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733425</xdr:colOff>
                    <xdr:row>8</xdr:row>
                    <xdr:rowOff>76200</xdr:rowOff>
                  </from>
                  <to>
                    <xdr:col>2</xdr:col>
                    <xdr:colOff>857250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695325</xdr:colOff>
                    <xdr:row>8</xdr:row>
                    <xdr:rowOff>66675</xdr:rowOff>
                  </from>
                  <to>
                    <xdr:col>3</xdr:col>
                    <xdr:colOff>819150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28575</xdr:rowOff>
                  </from>
                  <to>
                    <xdr:col>5</xdr:col>
                    <xdr:colOff>1714500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771525</xdr:colOff>
                    <xdr:row>16</xdr:row>
                    <xdr:rowOff>66675</xdr:rowOff>
                  </from>
                  <to>
                    <xdr:col>3</xdr:col>
                    <xdr:colOff>933450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5</xdr:col>
                    <xdr:colOff>228600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66675</xdr:colOff>
                    <xdr:row>20</xdr:row>
                    <xdr:rowOff>28575</xdr:rowOff>
                  </from>
                  <to>
                    <xdr:col>5</xdr:col>
                    <xdr:colOff>228600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66675</xdr:colOff>
                    <xdr:row>22</xdr:row>
                    <xdr:rowOff>28575</xdr:rowOff>
                  </from>
                  <to>
                    <xdr:col>5</xdr:col>
                    <xdr:colOff>228600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28575</xdr:colOff>
                    <xdr:row>19</xdr:row>
                    <xdr:rowOff>47625</xdr:rowOff>
                  </from>
                  <to>
                    <xdr:col>2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28575</xdr:colOff>
                    <xdr:row>20</xdr:row>
                    <xdr:rowOff>47625</xdr:rowOff>
                  </from>
                  <to>
                    <xdr:col>2</xdr:col>
                    <xdr:colOff>123825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28575</xdr:colOff>
                    <xdr:row>22</xdr:row>
                    <xdr:rowOff>47625</xdr:rowOff>
                  </from>
                  <to>
                    <xdr:col>2</xdr:col>
                    <xdr:colOff>123825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933450</xdr:colOff>
                    <xdr:row>26</xdr:row>
                    <xdr:rowOff>76200</xdr:rowOff>
                  </from>
                  <to>
                    <xdr:col>4</xdr:col>
                    <xdr:colOff>133350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28575</xdr:colOff>
                    <xdr:row>28</xdr:row>
                    <xdr:rowOff>47625</xdr:rowOff>
                  </from>
                  <to>
                    <xdr:col>2</xdr:col>
                    <xdr:colOff>123825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28575</xdr:colOff>
                    <xdr:row>29</xdr:row>
                    <xdr:rowOff>47625</xdr:rowOff>
                  </from>
                  <to>
                    <xdr:col>2</xdr:col>
                    <xdr:colOff>123825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66675</xdr:colOff>
                    <xdr:row>28</xdr:row>
                    <xdr:rowOff>28575</xdr:rowOff>
                  </from>
                  <to>
                    <xdr:col>5</xdr:col>
                    <xdr:colOff>228600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66675</xdr:colOff>
                    <xdr:row>29</xdr:row>
                    <xdr:rowOff>28575</xdr:rowOff>
                  </from>
                  <to>
                    <xdr:col>5</xdr:col>
                    <xdr:colOff>228600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5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28575</xdr:colOff>
                    <xdr:row>23</xdr:row>
                    <xdr:rowOff>47625</xdr:rowOff>
                  </from>
                  <to>
                    <xdr:col>2</xdr:col>
                    <xdr:colOff>123825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19050</xdr:colOff>
                    <xdr:row>25</xdr:row>
                    <xdr:rowOff>95250</xdr:rowOff>
                  </from>
                  <to>
                    <xdr:col>2</xdr:col>
                    <xdr:colOff>114300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66675</xdr:colOff>
                    <xdr:row>23</xdr:row>
                    <xdr:rowOff>28575</xdr:rowOff>
                  </from>
                  <to>
                    <xdr:col>5</xdr:col>
                    <xdr:colOff>228600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66675</xdr:colOff>
                    <xdr:row>25</xdr:row>
                    <xdr:rowOff>123825</xdr:rowOff>
                  </from>
                  <to>
                    <xdr:col>5</xdr:col>
                    <xdr:colOff>228600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85725</xdr:colOff>
                    <xdr:row>17</xdr:row>
                    <xdr:rowOff>66675</xdr:rowOff>
                  </from>
                  <to>
                    <xdr:col>3</xdr:col>
                    <xdr:colOff>438150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76200</xdr:colOff>
                    <xdr:row>18</xdr:row>
                    <xdr:rowOff>66675</xdr:rowOff>
                  </from>
                  <to>
                    <xdr:col>3</xdr:col>
                    <xdr:colOff>428625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57150</xdr:colOff>
                    <xdr:row>17</xdr:row>
                    <xdr:rowOff>76200</xdr:rowOff>
                  </from>
                  <to>
                    <xdr:col>5</xdr:col>
                    <xdr:colOff>219075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733425</xdr:colOff>
                    <xdr:row>10</xdr:row>
                    <xdr:rowOff>76200</xdr:rowOff>
                  </from>
                  <to>
                    <xdr:col>2</xdr:col>
                    <xdr:colOff>857250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676275</xdr:colOff>
                    <xdr:row>10</xdr:row>
                    <xdr:rowOff>66675</xdr:rowOff>
                  </from>
                  <to>
                    <xdr:col>3</xdr:col>
                    <xdr:colOff>800100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28575</xdr:rowOff>
                  </from>
                  <to>
                    <xdr:col>5</xdr:col>
                    <xdr:colOff>1714500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495300</xdr:colOff>
                    <xdr:row>17</xdr:row>
                    <xdr:rowOff>76200</xdr:rowOff>
                  </from>
                  <to>
                    <xdr:col>6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733425</xdr:colOff>
                    <xdr:row>11</xdr:row>
                    <xdr:rowOff>76200</xdr:rowOff>
                  </from>
                  <to>
                    <xdr:col>2</xdr:col>
                    <xdr:colOff>857250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676275</xdr:colOff>
                    <xdr:row>11</xdr:row>
                    <xdr:rowOff>66675</xdr:rowOff>
                  </from>
                  <to>
                    <xdr:col>3</xdr:col>
                    <xdr:colOff>800100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28575</xdr:rowOff>
                  </from>
                  <to>
                    <xdr:col>5</xdr:col>
                    <xdr:colOff>1714500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733425</xdr:colOff>
                    <xdr:row>12</xdr:row>
                    <xdr:rowOff>76200</xdr:rowOff>
                  </from>
                  <to>
                    <xdr:col>2</xdr:col>
                    <xdr:colOff>857250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676275</xdr:colOff>
                    <xdr:row>12</xdr:row>
                    <xdr:rowOff>66675</xdr:rowOff>
                  </from>
                  <to>
                    <xdr:col>3</xdr:col>
                    <xdr:colOff>800100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12</xdr:row>
                    <xdr:rowOff>28575</xdr:rowOff>
                  </from>
                  <to>
                    <xdr:col>5</xdr:col>
                    <xdr:colOff>1714500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771525</xdr:colOff>
                    <xdr:row>16</xdr:row>
                    <xdr:rowOff>66675</xdr:rowOff>
                  </from>
                  <to>
                    <xdr:col>8</xdr:col>
                    <xdr:colOff>933450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285750</xdr:colOff>
                    <xdr:row>19</xdr:row>
                    <xdr:rowOff>38100</xdr:rowOff>
                  </from>
                  <to>
                    <xdr:col>10</xdr:col>
                    <xdr:colOff>447675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295275</xdr:colOff>
                    <xdr:row>20</xdr:row>
                    <xdr:rowOff>28575</xdr:rowOff>
                  </from>
                  <to>
                    <xdr:col>10</xdr:col>
                    <xdr:colOff>457200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28575</xdr:colOff>
                    <xdr:row>19</xdr:row>
                    <xdr:rowOff>47625</xdr:rowOff>
                  </from>
                  <to>
                    <xdr:col>7</xdr:col>
                    <xdr:colOff>333375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28575</xdr:colOff>
                    <xdr:row>20</xdr:row>
                    <xdr:rowOff>47625</xdr:rowOff>
                  </from>
                  <to>
                    <xdr:col>7</xdr:col>
                    <xdr:colOff>333375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76200</xdr:colOff>
                    <xdr:row>18</xdr:row>
                    <xdr:rowOff>66675</xdr:rowOff>
                  </from>
                  <to>
                    <xdr:col>8</xdr:col>
                    <xdr:colOff>571500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76200</xdr:colOff>
                    <xdr:row>1</xdr:row>
                    <xdr:rowOff>142875</xdr:rowOff>
                  </from>
                  <to>
                    <xdr:col>9</xdr:col>
                    <xdr:colOff>209550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28575</xdr:colOff>
                    <xdr:row>29</xdr:row>
                    <xdr:rowOff>47625</xdr:rowOff>
                  </from>
                  <to>
                    <xdr:col>2</xdr:col>
                    <xdr:colOff>123825</xdr:colOff>
                    <xdr:row>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>
    <tabColor rgb="FF92D050"/>
  </sheetPr>
  <dimension ref="A1:F21"/>
  <sheetViews>
    <sheetView workbookViewId="0"/>
  </sheetViews>
  <sheetFormatPr defaultRowHeight="12.75" x14ac:dyDescent="0.2"/>
  <sheetData>
    <row r="1" spans="1:2" x14ac:dyDescent="0.2">
      <c r="A1" s="5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5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722</v>
      </c>
      <c r="E17" t="s">
        <v>723</v>
      </c>
      <c r="F17" s="20">
        <f ca="1">TODAY()-GebDatum+1</f>
        <v>424</v>
      </c>
    </row>
    <row r="18" spans="1:6" x14ac:dyDescent="0.2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724</v>
      </c>
      <c r="F18">
        <f>Gewicht/10</f>
        <v>10</v>
      </c>
    </row>
    <row r="20" spans="1:6" x14ac:dyDescent="0.2">
      <c r="A20" t="s">
        <v>242</v>
      </c>
    </row>
    <row r="21" spans="1:6" x14ac:dyDescent="0.2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>
    <tabColor rgb="FF92D050"/>
  </sheetPr>
  <dimension ref="A1:O13"/>
  <sheetViews>
    <sheetView workbookViewId="0"/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</cols>
  <sheetData>
    <row r="1" spans="1:15" x14ac:dyDescent="0.2">
      <c r="A1" s="579"/>
      <c r="C1" s="248" t="s">
        <v>583</v>
      </c>
      <c r="D1" s="248" t="s">
        <v>991</v>
      </c>
      <c r="E1" s="248" t="s">
        <v>992</v>
      </c>
      <c r="F1" s="248" t="s">
        <v>993</v>
      </c>
      <c r="G1" s="248" t="s">
        <v>994</v>
      </c>
      <c r="H1" s="248" t="s">
        <v>995</v>
      </c>
      <c r="I1" s="248"/>
      <c r="J1" t="s">
        <v>244</v>
      </c>
      <c r="K1" t="s">
        <v>192</v>
      </c>
      <c r="M1" t="s">
        <v>582</v>
      </c>
      <c r="N1" t="s">
        <v>509</v>
      </c>
      <c r="O1" s="248" t="s">
        <v>1000</v>
      </c>
    </row>
    <row r="2" spans="1:15" x14ac:dyDescent="0.2">
      <c r="A2" s="26">
        <v>1</v>
      </c>
      <c r="B2" s="26" t="s">
        <v>480</v>
      </c>
      <c r="C2" s="26">
        <f>IF(ber_PO!$M$2&lt;&gt;0,INDEX(tblPerOs,KeuzePO_1,A2+1)*ber_PO!$M$2,0)</f>
        <v>0</v>
      </c>
      <c r="D2" s="26">
        <f>IF(ber_PO!$M$3&lt;&gt;0,INDEX(tblPoeder,ber_PO!$N$3,$A2+1)*ber_PO!$M$3,0)</f>
        <v>0</v>
      </c>
      <c r="E2" s="26">
        <f>IF(ber_PO!$M$4&lt;&gt;0,INDEX(tblPoeder,ber_PO!$N$4,$A2+1)*ber_PO!$M$4,0)</f>
        <v>0</v>
      </c>
      <c r="F2" s="26">
        <f>IF(ber_PO!$M$5&lt;&gt;0,INDEX(tblPoeder,ber_PO!$N$5,$A2+1)*ber_PO!$M$5,0)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2">
      <c r="A3" s="26">
        <v>2</v>
      </c>
      <c r="B3" s="26" t="s">
        <v>431</v>
      </c>
      <c r="C3" s="26">
        <f>IF(ber_PO!$M$2&lt;&gt;0,INDEX(tblPerOs,KeuzePO_1,A3+1)*ber_PO!$M$2,0)</f>
        <v>0</v>
      </c>
      <c r="D3" s="26">
        <f>IF(ber_PO!$M$3&lt;&gt;0,INDEX(tblPoeder,ber_PO!$N$3,$A3+1)*ber_PO!$M$3,0)</f>
        <v>0</v>
      </c>
      <c r="E3" s="26">
        <f>IF(ber_PO!$M$4&lt;&gt;0,INDEX(tblPoeder,ber_PO!$N$4,$A3+1)*ber_PO!$M$4,0)</f>
        <v>0</v>
      </c>
      <c r="F3" s="26">
        <f>IF(ber_PO!$M$5&lt;&gt;0,INDEX(tblPoeder,ber_PO!$N$5,$A3+1)*ber_PO!$M$5,0)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2">
      <c r="A4" s="26">
        <v>3</v>
      </c>
      <c r="B4" s="26" t="s">
        <v>481</v>
      </c>
      <c r="C4" s="26">
        <f>IF(ber_PO!$M$2&lt;&gt;0,INDEX(tblPerOs,KeuzePO_1,A4+1)*ber_PO!$M$2,0)</f>
        <v>0</v>
      </c>
      <c r="D4" s="26">
        <f>IF(ber_PO!$M$3&lt;&gt;0,INDEX(tblPoeder,ber_PO!$N$3,$A4+1)*ber_PO!$M$3,0)</f>
        <v>0</v>
      </c>
      <c r="E4" s="26">
        <f>IF(ber_PO!$M$4&lt;&gt;0,INDEX(tblPoeder,ber_PO!$N$4,$A4+1)*ber_PO!$M$4,0)</f>
        <v>0</v>
      </c>
      <c r="F4" s="26">
        <f>IF(ber_PO!$M$5&lt;&gt;0,INDEX(tblPoeder,ber_PO!$N$5,$A4+1)*ber_PO!$M$5,0)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2">
      <c r="A5" s="26">
        <v>4</v>
      </c>
      <c r="B5" s="26" t="s">
        <v>432</v>
      </c>
      <c r="C5" s="26">
        <f>IF(ber_PO!$M$2&lt;&gt;0,INDEX(tblPerOs,KeuzePO_1,A5+1)*ber_PO!$M$2,0)</f>
        <v>0</v>
      </c>
      <c r="D5" s="26">
        <f>IF(ber_PO!$M$3&lt;&gt;0,INDEX(tblPoeder,ber_PO!$N$3,$A5+1)*ber_PO!$M$3,0)</f>
        <v>0</v>
      </c>
      <c r="E5" s="26">
        <f>IF(ber_PO!$M$4&lt;&gt;0,INDEX(tblPoeder,ber_PO!$N$4,$A5+1)*ber_PO!$M$4,0)</f>
        <v>0</v>
      </c>
      <c r="F5" s="26">
        <f>IF(ber_PO!$M$5&lt;&gt;0,INDEX(tblPoeder,ber_PO!$N$5,$A5+1)*ber_PO!$M$5,0)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2">
      <c r="A6" s="26">
        <v>5</v>
      </c>
      <c r="B6" s="26" t="s">
        <v>473</v>
      </c>
      <c r="C6" s="26">
        <f>IF(ber_PO!$M$2&lt;&gt;0,INDEX(tblPerOs,KeuzePO_1,A6+1)*ber_PO!$M$2,0)</f>
        <v>0</v>
      </c>
      <c r="D6" s="26">
        <f>IF(ber_PO!$M$3&lt;&gt;0,INDEX(tblPoeder,ber_PO!$N$3,$A6+1)*ber_PO!$M$3,0)</f>
        <v>0</v>
      </c>
      <c r="E6" s="26">
        <f>IF(ber_PO!$M$4&lt;&gt;0,INDEX(tblPoeder,ber_PO!$N$4,$A6+1)*ber_PO!$M$4,0)</f>
        <v>0</v>
      </c>
      <c r="F6" s="26">
        <f>IF(ber_PO!$M$5&lt;&gt;0,INDEX(tblPoeder,ber_PO!$N$5,$A6+1)*ber_PO!$M$5,0)</f>
        <v>0</v>
      </c>
      <c r="G6" s="26">
        <f t="shared" si="0"/>
        <v>0</v>
      </c>
      <c r="I6" s="266"/>
    </row>
    <row r="7" spans="1:15" x14ac:dyDescent="0.2">
      <c r="A7" s="26">
        <v>6</v>
      </c>
      <c r="B7" s="26" t="s">
        <v>474</v>
      </c>
      <c r="C7" s="26">
        <f>IF(ber_PO!$M$2&lt;&gt;0,INDEX(tblPerOs,KeuzePO_1,A7+1)*ber_PO!$M$2,0)</f>
        <v>0</v>
      </c>
      <c r="D7" s="26">
        <f>IF(ber_PO!$M$3&lt;&gt;0,INDEX(tblPoeder,ber_PO!$N$3,$A7+1)*ber_PO!$M$3,0)</f>
        <v>0</v>
      </c>
      <c r="E7" s="26">
        <f>IF(ber_PO!$M$4&lt;&gt;0,INDEX(tblPoeder,ber_PO!$N$4,$A7+1)*ber_PO!$M$4,0)</f>
        <v>0</v>
      </c>
      <c r="F7" s="26">
        <f>IF(ber_PO!$M$5&lt;&gt;0,INDEX(tblPoeder,ber_PO!$N$5,$A7+1)*ber_PO!$M$5,0)</f>
        <v>0</v>
      </c>
      <c r="G7" s="26">
        <f t="shared" si="0"/>
        <v>0</v>
      </c>
      <c r="I7" s="266"/>
    </row>
    <row r="8" spans="1:15" x14ac:dyDescent="0.2">
      <c r="A8" s="26">
        <v>7</v>
      </c>
      <c r="B8" s="26" t="s">
        <v>475</v>
      </c>
      <c r="C8" s="26">
        <f>IF(ber_PO!$M$2&lt;&gt;0,INDEX(tblPerOs,KeuzePO_1,A8+1)*ber_PO!$M$2,0)</f>
        <v>0</v>
      </c>
      <c r="D8" s="26">
        <f>IF(ber_PO!$M$3&lt;&gt;0,INDEX(tblPoeder,ber_PO!$N$3,$A8+1)*ber_PO!$M$3,0)</f>
        <v>0</v>
      </c>
      <c r="E8" s="26">
        <f>IF(ber_PO!$M$4&lt;&gt;0,INDEX(tblPoeder,ber_PO!$N$4,$A8+1)*ber_PO!$M$4,0)</f>
        <v>0</v>
      </c>
      <c r="F8" s="26">
        <f>IF(ber_PO!$M$5&lt;&gt;0,INDEX(tblPoeder,ber_PO!$N$5,$A8+1)*ber_PO!$M$5,0)</f>
        <v>0</v>
      </c>
      <c r="G8" s="26">
        <f t="shared" si="0"/>
        <v>0</v>
      </c>
      <c r="I8" s="26"/>
    </row>
    <row r="9" spans="1:15" x14ac:dyDescent="0.2">
      <c r="A9" s="26">
        <v>8</v>
      </c>
      <c r="B9" s="26" t="s">
        <v>482</v>
      </c>
      <c r="C9" s="26">
        <f>IF(ber_PO!$M$2&lt;&gt;0,INDEX(tblPerOs,KeuzePO_1,A9+1)*ber_PO!$M$2,0)</f>
        <v>0</v>
      </c>
      <c r="D9" s="26">
        <f>IF(ber_PO!$M$3&lt;&gt;0,INDEX(tblPoeder,ber_PO!$N$3,$A9+1)*ber_PO!$M$3,0)</f>
        <v>0</v>
      </c>
      <c r="E9" s="26">
        <f>IF(ber_PO!$M$4&lt;&gt;0,INDEX(tblPoeder,ber_PO!$N$4,$A9+1)*ber_PO!$M$4,0)</f>
        <v>0</v>
      </c>
      <c r="F9" s="26">
        <f>IF(ber_PO!$M$5&lt;&gt;0,INDEX(tblPoeder,ber_PO!$N$5,$A9+1)*ber_PO!$M$5,0)</f>
        <v>0</v>
      </c>
      <c r="G9" s="26">
        <f t="shared" si="0"/>
        <v>0</v>
      </c>
      <c r="I9" s="26"/>
    </row>
    <row r="10" spans="1:15" x14ac:dyDescent="0.2">
      <c r="A10" s="26">
        <v>9</v>
      </c>
      <c r="B10" s="26" t="s">
        <v>476</v>
      </c>
      <c r="C10" s="26">
        <f>IF(ber_PO!$M$2&lt;&gt;0,INDEX(tblPerOs,KeuzePO_1,A10+1)*ber_PO!$M$2,0)</f>
        <v>0</v>
      </c>
      <c r="D10" s="26">
        <f>IF(ber_PO!$M$3&lt;&gt;0,INDEX(tblPoeder,ber_PO!$N$3,$A10+1)*ber_PO!$M$3,0)</f>
        <v>0</v>
      </c>
      <c r="E10" s="26">
        <f>IF(ber_PO!$M$4&lt;&gt;0,INDEX(tblPoeder,ber_PO!$N$4,$A10+1)*ber_PO!$M$4,0)</f>
        <v>0</v>
      </c>
      <c r="F10" s="26">
        <f>IF(ber_PO!$M$5&lt;&gt;0,INDEX(tblPoeder,ber_PO!$N$5,$A10+1)*ber_PO!$M$5,0)</f>
        <v>0</v>
      </c>
      <c r="G10" s="26">
        <f t="shared" si="0"/>
        <v>0</v>
      </c>
      <c r="I10" s="26"/>
    </row>
    <row r="11" spans="1:15" x14ac:dyDescent="0.2">
      <c r="A11" s="266">
        <v>10</v>
      </c>
      <c r="B11" s="266" t="s">
        <v>1685</v>
      </c>
      <c r="C11" s="26">
        <f>IF(ber_PO!$M$2&lt;&gt;0,INDEX(tblPerOs,KeuzePO_1,A11+1)*ber_PO!$M$2,0)</f>
        <v>0</v>
      </c>
      <c r="D11" s="26">
        <f>IF(ber_PO!$M$3&lt;&gt;0,INDEX(tblPoeder,ber_PO!$N$3,$A11+1)*ber_PO!$M$3,0)</f>
        <v>0</v>
      </c>
      <c r="E11" s="26">
        <f>IF(ber_PO!$M$4&lt;&gt;0,INDEX(tblPoeder,ber_PO!$N$4,$A11+1)*ber_PO!$M$4,0)</f>
        <v>0</v>
      </c>
      <c r="F11" s="26">
        <f>IF(ber_PO!$M$5&lt;&gt;0,INDEX(tblPoeder,ber_PO!$N$5,$A11+1)*ber_PO!$M$5,0)</f>
        <v>0</v>
      </c>
      <c r="G11" s="26">
        <f t="shared" si="0"/>
        <v>0</v>
      </c>
    </row>
    <row r="12" spans="1:15" x14ac:dyDescent="0.2">
      <c r="A12" s="266">
        <v>11</v>
      </c>
      <c r="B12" s="266" t="s">
        <v>1686</v>
      </c>
      <c r="C12" s="26">
        <f>IF(ber_PO!$M$2&lt;&gt;0,INDEX(tblPerOs,KeuzePO_1,A12+1)*ber_PO!$M$2,0)</f>
        <v>0</v>
      </c>
      <c r="D12" s="26">
        <f>IF(ber_PO!$M$3&lt;&gt;0,INDEX(tblPoeder,ber_PO!$N$3,$A12+1)*ber_PO!$M$3,0)</f>
        <v>0</v>
      </c>
      <c r="E12" s="26">
        <f>IF(ber_PO!$M$4&lt;&gt;0,INDEX(tblPoeder,ber_PO!$N$4,$A12+1)*ber_PO!$M$4,0)</f>
        <v>0</v>
      </c>
      <c r="F12" s="26">
        <f>IF(ber_PO!$M$5&lt;&gt;0,INDEX(tblPoeder,ber_PO!$N$5,$A12+1)*ber_PO!$M$5,0)</f>
        <v>0</v>
      </c>
      <c r="G12" s="26">
        <f t="shared" si="0"/>
        <v>0</v>
      </c>
    </row>
    <row r="13" spans="1:15" x14ac:dyDescent="0.2">
      <c r="A13" s="266">
        <v>12</v>
      </c>
      <c r="B13" s="266" t="s">
        <v>1090</v>
      </c>
      <c r="C13" s="26">
        <f>IF(ber_PO!$M$2&lt;&gt;0,INDEX(tblPerOs,KeuzePO_1,A13+1)*ber_PO!$M$2,0)</f>
        <v>0</v>
      </c>
      <c r="D13" s="26">
        <f>IF(ber_PO!$M$3&lt;&gt;0,INDEX(tblPoeder,ber_PO!$N$3,$A13+1)*ber_PO!$M$3,0)</f>
        <v>0</v>
      </c>
      <c r="E13" s="26">
        <f>IF(ber_PO!$M$4&lt;&gt;0,INDEX(tblPoeder,ber_PO!$N$4,$A13+1)*ber_PO!$M$4,0)</f>
        <v>0</v>
      </c>
      <c r="F13" s="26">
        <f>IF(ber_PO!$M$5&lt;&gt;0,INDEX(tblPoeder,ber_PO!$N$5,$A13+1)*ber_PO!$M$5,0)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>
    <tabColor rgb="FF92D050"/>
  </sheetPr>
  <dimension ref="A1:E44"/>
  <sheetViews>
    <sheetView workbookViewId="0"/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579"/>
      <c r="B1" t="s">
        <v>355</v>
      </c>
      <c r="C1" t="s">
        <v>427</v>
      </c>
      <c r="D1" t="s">
        <v>576</v>
      </c>
      <c r="E1" t="s">
        <v>427</v>
      </c>
    </row>
    <row r="2" spans="1:5" x14ac:dyDescent="0.2">
      <c r="A2" s="10" t="s">
        <v>691</v>
      </c>
      <c r="B2" s="11">
        <f>SUM(B3:B4)</f>
        <v>0</v>
      </c>
      <c r="C2" s="11">
        <f>10*B2/Gewicht</f>
        <v>0</v>
      </c>
      <c r="D2" s="11"/>
      <c r="E2" s="12"/>
    </row>
    <row r="3" spans="1:5" x14ac:dyDescent="0.2">
      <c r="A3" s="5" t="s">
        <v>439</v>
      </c>
      <c r="B3">
        <f>ber_PO!M2</f>
        <v>0</v>
      </c>
    </row>
    <row r="4" spans="1:5" x14ac:dyDescent="0.2">
      <c r="A4" s="5" t="s">
        <v>437</v>
      </c>
      <c r="B4">
        <f>(ber_IVmed!H18+ber_TPN!F24+Infusen!J15+ber_Med_disc!O23)</f>
        <v>0</v>
      </c>
    </row>
    <row r="5" spans="1:5" x14ac:dyDescent="0.2">
      <c r="A5" s="10" t="s">
        <v>426</v>
      </c>
      <c r="B5" s="11">
        <f>SUM(B6:B8)</f>
        <v>0</v>
      </c>
      <c r="C5" s="11">
        <f>B5/(Gewicht/10)</f>
        <v>0</v>
      </c>
      <c r="D5" s="11">
        <f>SUM(D7:D7)</f>
        <v>0</v>
      </c>
      <c r="E5" s="12">
        <f>D5/(Gewicht/10)</f>
        <v>0</v>
      </c>
    </row>
    <row r="6" spans="1:5" x14ac:dyDescent="0.2">
      <c r="A6" s="605" t="s">
        <v>439</v>
      </c>
      <c r="B6">
        <f>ber_PO!G4</f>
        <v>0</v>
      </c>
      <c r="C6" s="8" t="s">
        <v>444</v>
      </c>
      <c r="D6" s="8" t="s">
        <v>444</v>
      </c>
    </row>
    <row r="7" spans="1:5" x14ac:dyDescent="0.2">
      <c r="A7" s="5" t="s">
        <v>443</v>
      </c>
      <c r="B7">
        <f>ber_Med_disc!S23+ber_IVmed!I18+ber_IVmed!J18</f>
        <v>0</v>
      </c>
      <c r="D7">
        <f>B7*4</f>
        <v>0</v>
      </c>
    </row>
    <row r="8" spans="1:5" x14ac:dyDescent="0.2">
      <c r="A8" s="5" t="s">
        <v>479</v>
      </c>
      <c r="B8">
        <f>ber_TPN!G24</f>
        <v>0</v>
      </c>
      <c r="C8" s="8" t="s">
        <v>444</v>
      </c>
      <c r="D8" s="8" t="s">
        <v>444</v>
      </c>
    </row>
    <row r="9" spans="1:5" x14ac:dyDescent="0.2">
      <c r="A9" s="10" t="s">
        <v>431</v>
      </c>
      <c r="B9" s="11">
        <f>SUM(B10:B12)</f>
        <v>0</v>
      </c>
      <c r="C9" s="11">
        <f>B9/(Gewicht/10)</f>
        <v>0</v>
      </c>
      <c r="D9" s="11">
        <f>SUM(D10:D11)</f>
        <v>0</v>
      </c>
      <c r="E9" s="12">
        <f>D9/(Gewicht/10)</f>
        <v>0</v>
      </c>
    </row>
    <row r="10" spans="1:5" x14ac:dyDescent="0.2">
      <c r="A10" s="5" t="s">
        <v>439</v>
      </c>
      <c r="B10">
        <f>ber_PO!G3</f>
        <v>0</v>
      </c>
      <c r="C10" s="8" t="s">
        <v>444</v>
      </c>
      <c r="D10" s="8" t="s">
        <v>444</v>
      </c>
    </row>
    <row r="11" spans="1:5" x14ac:dyDescent="0.2">
      <c r="A11" s="5" t="s">
        <v>437</v>
      </c>
      <c r="B11">
        <f>ber_TPN!H24</f>
        <v>0</v>
      </c>
      <c r="C11" s="8" t="s">
        <v>444</v>
      </c>
      <c r="D11" s="8" t="s">
        <v>444</v>
      </c>
    </row>
    <row r="12" spans="1:5" x14ac:dyDescent="0.2">
      <c r="A12" s="5" t="s">
        <v>105</v>
      </c>
      <c r="B12">
        <f>ber_IVmed!N18</f>
        <v>0</v>
      </c>
      <c r="C12" s="8"/>
      <c r="D12" s="8"/>
    </row>
    <row r="13" spans="1:5" x14ac:dyDescent="0.2">
      <c r="A13" s="10" t="s">
        <v>432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D13/(Gewicht/10)</f>
        <v>0</v>
      </c>
    </row>
    <row r="14" spans="1:5" x14ac:dyDescent="0.2">
      <c r="A14" s="5" t="s">
        <v>439</v>
      </c>
      <c r="B14">
        <f>ber_PO!G5</f>
        <v>0</v>
      </c>
      <c r="C14">
        <f>B14/(Gewicht/10)</f>
        <v>0</v>
      </c>
      <c r="D14" s="8" t="s">
        <v>444</v>
      </c>
    </row>
    <row r="15" spans="1:5" x14ac:dyDescent="0.2">
      <c r="A15" s="5" t="s">
        <v>437</v>
      </c>
      <c r="B15">
        <f>ber_TPN!O24</f>
        <v>0</v>
      </c>
      <c r="C15">
        <f>B15/(Gewicht/10)</f>
        <v>0</v>
      </c>
      <c r="D15" s="8" t="s">
        <v>444</v>
      </c>
    </row>
    <row r="16" spans="1:5" x14ac:dyDescent="0.2">
      <c r="A16" s="5" t="s">
        <v>438</v>
      </c>
      <c r="B16">
        <f>ber_IVmed!O18</f>
        <v>0</v>
      </c>
      <c r="D16">
        <f>B16*9</f>
        <v>0</v>
      </c>
    </row>
    <row r="17" spans="1:5" x14ac:dyDescent="0.2">
      <c r="A17" s="10" t="s">
        <v>692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2">
      <c r="A18" s="5" t="s">
        <v>439</v>
      </c>
      <c r="B18">
        <f>ber_PO!G6</f>
        <v>0</v>
      </c>
      <c r="C18">
        <f>B18/(Gewicht/10)</f>
        <v>0</v>
      </c>
    </row>
    <row r="19" spans="1:5" x14ac:dyDescent="0.2">
      <c r="A19" s="5" t="s">
        <v>510</v>
      </c>
      <c r="B19">
        <f>Infusen!I15</f>
        <v>0</v>
      </c>
      <c r="C19">
        <f>B19/(Gewicht/10)</f>
        <v>0</v>
      </c>
    </row>
    <row r="20" spans="1:5" x14ac:dyDescent="0.2">
      <c r="A20" s="5" t="s">
        <v>443</v>
      </c>
      <c r="B20">
        <f>ber_Med_disc!Q23</f>
        <v>0</v>
      </c>
      <c r="C20">
        <f>B20/(Gewicht/10)</f>
        <v>0</v>
      </c>
    </row>
    <row r="21" spans="1:5" x14ac:dyDescent="0.2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2">
      <c r="A22" s="4" t="s">
        <v>479</v>
      </c>
      <c r="B22">
        <f>ber_TPN!I24</f>
        <v>0</v>
      </c>
      <c r="C22">
        <f>B22/(Gewicht/10)</f>
        <v>0</v>
      </c>
    </row>
    <row r="23" spans="1:5" x14ac:dyDescent="0.2">
      <c r="A23" s="10" t="s">
        <v>693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2">
      <c r="A24" s="5" t="s">
        <v>439</v>
      </c>
      <c r="B24">
        <f>ber_PO!G7</f>
        <v>0</v>
      </c>
      <c r="C24">
        <f>B24/(Gewicht/10)</f>
        <v>0</v>
      </c>
    </row>
    <row r="25" spans="1:5" x14ac:dyDescent="0.2">
      <c r="A25" s="5" t="s">
        <v>479</v>
      </c>
      <c r="B25">
        <f>ber_TPN!J24</f>
        <v>0</v>
      </c>
      <c r="C25">
        <f>B25/(Gewicht/10)</f>
        <v>0</v>
      </c>
    </row>
    <row r="26" spans="1:5" x14ac:dyDescent="0.2">
      <c r="A26" s="5" t="s">
        <v>443</v>
      </c>
      <c r="B26">
        <f>ber_IVmed!M18</f>
        <v>0</v>
      </c>
      <c r="C26">
        <f>B26/(Gewicht/10)</f>
        <v>0</v>
      </c>
    </row>
    <row r="27" spans="1:5" x14ac:dyDescent="0.2">
      <c r="A27" s="10" t="s">
        <v>428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2">
      <c r="A28" s="5" t="s">
        <v>439</v>
      </c>
      <c r="B28">
        <f>ber_PO!G8</f>
        <v>0</v>
      </c>
      <c r="C28">
        <f>B28/(Gewicht/10)</f>
        <v>0</v>
      </c>
    </row>
    <row r="29" spans="1:5" x14ac:dyDescent="0.2">
      <c r="A29" s="5" t="s">
        <v>479</v>
      </c>
      <c r="B29">
        <f>ber_TPN!K24</f>
        <v>0</v>
      </c>
      <c r="C29">
        <f>B29/(Gewicht/10)</f>
        <v>0</v>
      </c>
    </row>
    <row r="30" spans="1:5" x14ac:dyDescent="0.2">
      <c r="A30" s="10" t="s">
        <v>429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2">
      <c r="A31" s="5" t="s">
        <v>439</v>
      </c>
      <c r="B31">
        <f>ber_PO!G9</f>
        <v>0</v>
      </c>
      <c r="C31">
        <f>B31/(Gewicht/10)</f>
        <v>0</v>
      </c>
    </row>
    <row r="32" spans="1:5" x14ac:dyDescent="0.2">
      <c r="A32" s="5" t="s">
        <v>479</v>
      </c>
      <c r="B32">
        <f>ber_TPN!M24</f>
        <v>0</v>
      </c>
      <c r="C32">
        <f>B32/(Gewicht/10)</f>
        <v>0</v>
      </c>
    </row>
    <row r="33" spans="1:5" x14ac:dyDescent="0.2">
      <c r="A33" s="10" t="s">
        <v>430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2">
      <c r="A34" s="5" t="s">
        <v>439</v>
      </c>
      <c r="B34">
        <f>ber_PO!G10</f>
        <v>0</v>
      </c>
      <c r="C34">
        <f>B34/(Gewicht/10)</f>
        <v>0</v>
      </c>
    </row>
    <row r="35" spans="1:5" x14ac:dyDescent="0.2">
      <c r="A35" s="5" t="s">
        <v>437</v>
      </c>
      <c r="B35">
        <f>ber_TPN!L24</f>
        <v>0</v>
      </c>
      <c r="C35">
        <f>B35/(Gewicht/10)</f>
        <v>0</v>
      </c>
    </row>
    <row r="36" spans="1:5" x14ac:dyDescent="0.2">
      <c r="A36" s="10" t="s">
        <v>1780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2">
      <c r="A37" s="5" t="s">
        <v>439</v>
      </c>
      <c r="B37" s="517">
        <f>ber_PO!G11</f>
        <v>0</v>
      </c>
      <c r="C37" s="517">
        <f>B37/(Gewicht/10)</f>
        <v>0</v>
      </c>
      <c r="D37" s="517"/>
      <c r="E37" s="517"/>
    </row>
    <row r="38" spans="1:5" x14ac:dyDescent="0.2">
      <c r="A38" s="10" t="s">
        <v>1779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2">
      <c r="A39" s="5" t="s">
        <v>439</v>
      </c>
      <c r="B39" s="517">
        <f>ber_PO!G12</f>
        <v>0</v>
      </c>
      <c r="C39" s="517">
        <f>B39/(Gewicht/10)</f>
        <v>0</v>
      </c>
      <c r="D39" s="517"/>
      <c r="E39" s="517"/>
    </row>
    <row r="40" spans="1:5" x14ac:dyDescent="0.2">
      <c r="A40" s="10" t="s">
        <v>1778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2">
      <c r="A41" s="5" t="s">
        <v>439</v>
      </c>
      <c r="B41" s="517">
        <f>ber_PO!G13</f>
        <v>0</v>
      </c>
      <c r="C41" s="517">
        <f>B41/(Gewicht/10)</f>
        <v>0</v>
      </c>
      <c r="D41" s="517"/>
      <c r="E41" s="517"/>
    </row>
    <row r="42" spans="1:5" x14ac:dyDescent="0.2">
      <c r="A42" s="13" t="s">
        <v>479</v>
      </c>
      <c r="B42" s="11"/>
      <c r="C42" s="11"/>
      <c r="D42" s="11">
        <f>ber_TPN!N24+ber_PO!G2</f>
        <v>0</v>
      </c>
      <c r="E42" s="12">
        <f>D42/(Gewicht/10)</f>
        <v>0</v>
      </c>
    </row>
    <row r="44" spans="1:5" x14ac:dyDescent="0.2">
      <c r="A44" s="5" t="s">
        <v>465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TPOSheet1">
    <tabColor rgb="FFFFC000"/>
  </sheetPr>
  <dimension ref="A1:Q54"/>
  <sheetViews>
    <sheetView zoomScale="85" zoomScaleNormal="85" workbookViewId="0"/>
  </sheetViews>
  <sheetFormatPr defaultRowHeight="12.75" x14ac:dyDescent="0.2"/>
  <cols>
    <col min="1" max="1" width="10.85546875" style="518" bestFit="1" customWidth="1"/>
    <col min="2" max="2" width="32.28515625" style="518" bestFit="1" customWidth="1"/>
    <col min="3" max="3" width="37" style="518" bestFit="1" customWidth="1"/>
    <col min="4" max="4" width="17.7109375" style="518" bestFit="1" customWidth="1"/>
    <col min="5" max="7" width="6.140625" style="518" bestFit="1" customWidth="1"/>
    <col min="8" max="9" width="12.140625" style="518" bestFit="1" customWidth="1"/>
    <col min="10" max="10" width="9.140625" style="518" bestFit="1" customWidth="1"/>
    <col min="11" max="12" width="12.140625" style="518" bestFit="1" customWidth="1"/>
    <col min="13" max="13" width="11.140625" style="518" bestFit="1" customWidth="1"/>
    <col min="14" max="14" width="8.5703125" style="518" customWidth="1"/>
    <col min="15" max="15" width="12" style="518" bestFit="1" customWidth="1"/>
    <col min="16" max="16" width="9.140625" style="518"/>
    <col min="17" max="17" width="22.140625" style="518" bestFit="1" customWidth="1"/>
    <col min="18" max="16384" width="9.140625" style="518"/>
  </cols>
  <sheetData>
    <row r="1" spans="1:17" x14ac:dyDescent="0.2">
      <c r="A1" s="585"/>
      <c r="D1" s="518" t="s">
        <v>980</v>
      </c>
      <c r="E1" s="518" t="s">
        <v>62</v>
      </c>
      <c r="F1" s="518" t="s">
        <v>62</v>
      </c>
      <c r="G1" s="518" t="s">
        <v>62</v>
      </c>
      <c r="H1" s="518" t="s">
        <v>365</v>
      </c>
      <c r="I1" s="518" t="s">
        <v>365</v>
      </c>
      <c r="J1" s="518" t="s">
        <v>365</v>
      </c>
      <c r="K1" s="518" t="s">
        <v>365</v>
      </c>
      <c r="L1" s="518" t="s">
        <v>365</v>
      </c>
      <c r="M1" s="518" t="s">
        <v>365</v>
      </c>
      <c r="N1" s="518" t="s">
        <v>952</v>
      </c>
      <c r="O1" s="518" t="s">
        <v>365</v>
      </c>
      <c r="Q1" s="3" t="s">
        <v>446</v>
      </c>
    </row>
    <row r="2" spans="1:17" x14ac:dyDescent="0.2">
      <c r="D2" s="518" t="s">
        <v>480</v>
      </c>
      <c r="E2" s="518" t="s">
        <v>431</v>
      </c>
      <c r="F2" s="518" t="s">
        <v>481</v>
      </c>
      <c r="G2" s="518" t="s">
        <v>432</v>
      </c>
      <c r="H2" s="518" t="s">
        <v>473</v>
      </c>
      <c r="I2" s="518" t="s">
        <v>474</v>
      </c>
      <c r="J2" s="518" t="s">
        <v>475</v>
      </c>
      <c r="K2" s="518" t="s">
        <v>482</v>
      </c>
      <c r="L2" s="518" t="s">
        <v>476</v>
      </c>
      <c r="M2" s="518" t="s">
        <v>1685</v>
      </c>
      <c r="N2" s="518" t="s">
        <v>1686</v>
      </c>
      <c r="O2" s="518" t="s">
        <v>1090</v>
      </c>
      <c r="Q2" s="266" t="s">
        <v>996</v>
      </c>
    </row>
    <row r="3" spans="1:17" x14ac:dyDescent="0.2">
      <c r="Q3" s="266" t="s">
        <v>997</v>
      </c>
    </row>
    <row r="4" spans="1:17" x14ac:dyDescent="0.2">
      <c r="A4" s="518" t="s">
        <v>1688</v>
      </c>
      <c r="B4" s="518" t="s">
        <v>374</v>
      </c>
      <c r="C4" s="518" t="s">
        <v>1965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998</v>
      </c>
    </row>
    <row r="5" spans="1:17" x14ac:dyDescent="0.2">
      <c r="A5" s="518" t="s">
        <v>1689</v>
      </c>
      <c r="B5" s="518" t="s">
        <v>1690</v>
      </c>
      <c r="C5" s="518" t="s">
        <v>1966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999</v>
      </c>
    </row>
    <row r="6" spans="1:17" x14ac:dyDescent="0.2">
      <c r="A6" s="518" t="s">
        <v>1689</v>
      </c>
      <c r="B6" s="643" t="s">
        <v>1691</v>
      </c>
      <c r="C6" s="518" t="s">
        <v>1967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2419</v>
      </c>
    </row>
    <row r="7" spans="1:17" x14ac:dyDescent="0.2">
      <c r="A7" s="518" t="s">
        <v>1262</v>
      </c>
      <c r="B7" s="615" t="s">
        <v>1692</v>
      </c>
      <c r="C7" s="518" t="s">
        <v>1968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2">
      <c r="A8" s="518" t="s">
        <v>979</v>
      </c>
      <c r="B8" s="518" t="s">
        <v>1095</v>
      </c>
      <c r="C8" s="518" t="s">
        <v>1969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2">
      <c r="A9" s="585" t="s">
        <v>979</v>
      </c>
      <c r="B9" s="518" t="s">
        <v>1755</v>
      </c>
      <c r="C9" s="518" t="s">
        <v>1970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2">
      <c r="A10" s="518" t="s">
        <v>1688</v>
      </c>
      <c r="B10" s="518" t="s">
        <v>24</v>
      </c>
      <c r="C10" s="518" t="s">
        <v>1971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2">
      <c r="A11" s="518" t="s">
        <v>1688</v>
      </c>
      <c r="B11" s="518" t="s">
        <v>1950</v>
      </c>
      <c r="C11" s="518" t="s">
        <v>1972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2">
      <c r="A12" s="518" t="s">
        <v>1688</v>
      </c>
      <c r="B12" s="518" t="s">
        <v>1772</v>
      </c>
      <c r="C12" s="518" t="s">
        <v>1973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2">
      <c r="A13" s="518" t="s">
        <v>982</v>
      </c>
      <c r="B13" s="518" t="s">
        <v>983</v>
      </c>
      <c r="C13" s="518" t="s">
        <v>1974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2">
      <c r="A14" s="518" t="s">
        <v>982</v>
      </c>
      <c r="B14" s="518" t="s">
        <v>984</v>
      </c>
      <c r="C14" s="518" t="s">
        <v>1975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2">
      <c r="A15" s="518" t="s">
        <v>982</v>
      </c>
      <c r="B15" s="518" t="s">
        <v>1951</v>
      </c>
      <c r="C15" s="518" t="s">
        <v>1976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2">
      <c r="A16" s="518" t="s">
        <v>982</v>
      </c>
      <c r="B16" s="518" t="s">
        <v>1988</v>
      </c>
      <c r="C16" s="518" t="s">
        <v>1977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2">
      <c r="A17" s="518" t="s">
        <v>985</v>
      </c>
      <c r="B17" s="518" t="s">
        <v>986</v>
      </c>
      <c r="C17" s="518" t="s">
        <v>1978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2">
      <c r="A18" s="518" t="s">
        <v>985</v>
      </c>
      <c r="B18" s="518" t="s">
        <v>987</v>
      </c>
      <c r="C18" s="518" t="s">
        <v>1979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2">
      <c r="A19" s="518" t="s">
        <v>985</v>
      </c>
      <c r="B19" s="518" t="s">
        <v>1951</v>
      </c>
      <c r="C19" s="518" t="s">
        <v>1980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2">
      <c r="A20" s="518" t="s">
        <v>985</v>
      </c>
      <c r="B20" s="518" t="s">
        <v>1988</v>
      </c>
      <c r="C20" s="518" t="s">
        <v>1981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2">
      <c r="A21" s="518" t="s">
        <v>988</v>
      </c>
      <c r="B21" s="518" t="s">
        <v>989</v>
      </c>
      <c r="C21" s="518" t="s">
        <v>1982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2">
      <c r="A22" s="518" t="s">
        <v>988</v>
      </c>
      <c r="B22" s="518" t="s">
        <v>990</v>
      </c>
      <c r="C22" s="518" t="s">
        <v>1983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2">
      <c r="A23" s="518" t="s">
        <v>988</v>
      </c>
      <c r="B23" s="518" t="s">
        <v>1952</v>
      </c>
      <c r="C23" s="518" t="s">
        <v>1984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2">
      <c r="A24" s="518" t="s">
        <v>988</v>
      </c>
      <c r="B24" s="518" t="s">
        <v>1988</v>
      </c>
      <c r="C24" s="518" t="s">
        <v>1985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2">
      <c r="A25" s="518" t="s">
        <v>1262</v>
      </c>
      <c r="B25" s="518" t="s">
        <v>1693</v>
      </c>
      <c r="C25" s="518" t="s">
        <v>1986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2">
      <c r="A26" s="518" t="s">
        <v>1262</v>
      </c>
      <c r="B26" s="643" t="s">
        <v>1694</v>
      </c>
      <c r="C26" s="518" t="s">
        <v>1987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50" customFormat="1" x14ac:dyDescent="0.2">
      <c r="B27" s="550" t="s">
        <v>375</v>
      </c>
      <c r="C27" s="550" t="s">
        <v>375</v>
      </c>
      <c r="D27" s="550">
        <f>SpecVoed_1/100</f>
        <v>0</v>
      </c>
      <c r="E27" s="550">
        <f>SpecVoed_2/100</f>
        <v>0</v>
      </c>
      <c r="F27" s="550">
        <f>SpecVoed_3/100</f>
        <v>0</v>
      </c>
      <c r="G27" s="550">
        <f>SpecVoed_4/100</f>
        <v>0</v>
      </c>
      <c r="H27" s="550">
        <f>SpecVoed_5/100</f>
        <v>0</v>
      </c>
      <c r="I27" s="550">
        <f>SpecVoed_6/100</f>
        <v>0</v>
      </c>
      <c r="J27" s="550">
        <f>SpecVoed_7/100</f>
        <v>0</v>
      </c>
      <c r="K27" s="550">
        <f>SpecVoed_8/100</f>
        <v>0</v>
      </c>
      <c r="L27" s="550">
        <f>SpecVoed_9/100</f>
        <v>0</v>
      </c>
      <c r="M27" s="550">
        <f>SpecVoed_10/100</f>
        <v>0</v>
      </c>
      <c r="N27" s="550">
        <f>SpecVoed_11/100</f>
        <v>0</v>
      </c>
      <c r="O27" s="550">
        <f>SpecVoed_12/100</f>
        <v>0</v>
      </c>
    </row>
    <row r="28" spans="1:15" x14ac:dyDescent="0.2">
      <c r="A28" s="518" t="s">
        <v>1005</v>
      </c>
    </row>
    <row r="30" spans="1:15" x14ac:dyDescent="0.2">
      <c r="D30" s="518" t="s">
        <v>1763</v>
      </c>
    </row>
    <row r="31" spans="1:15" x14ac:dyDescent="0.2">
      <c r="A31" s="518" t="s">
        <v>1006</v>
      </c>
    </row>
    <row r="32" spans="1:15" x14ac:dyDescent="0.2">
      <c r="B32" s="518" t="s">
        <v>1102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2">
      <c r="B33" s="644" t="s">
        <v>1695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2">
      <c r="B34" s="644" t="s">
        <v>1696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2">
      <c r="B35" s="644" t="s">
        <v>1697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2">
      <c r="B36" s="644" t="s">
        <v>1698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2">
      <c r="B37" s="644" t="s">
        <v>1699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2">
      <c r="B38" s="644" t="s">
        <v>1700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2">
      <c r="B39" s="644" t="s">
        <v>1701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2">
      <c r="B40" s="644" t="s">
        <v>82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2">
      <c r="B41" s="644" t="s">
        <v>1702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2">
      <c r="B42" s="644" t="s">
        <v>1703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2">
      <c r="B43" s="644" t="s">
        <v>1704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2">
      <c r="B44" s="644" t="s">
        <v>1691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2">
      <c r="B45" s="614" t="s">
        <v>1705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2">
      <c r="B46" s="614" t="s">
        <v>1706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2">
      <c r="B47" s="614" t="s">
        <v>1707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2">
      <c r="B48" s="614" t="s">
        <v>1040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2">
      <c r="B49" s="614" t="s">
        <v>1708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2">
      <c r="B50" s="614" t="s">
        <v>1709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2">
      <c r="B51" s="614" t="s">
        <v>1710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2">
      <c r="B52" s="614" t="s">
        <v>1711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2">
      <c r="B53" s="631" t="s">
        <v>1989</v>
      </c>
      <c r="C53" s="631" t="s">
        <v>1764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2">
      <c r="B54" s="631" t="s">
        <v>1765</v>
      </c>
      <c r="C54" s="631" t="s">
        <v>1765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tabColor rgb="FF7030A0"/>
    <pageSetUpPr autoPageBreaks="0"/>
  </sheetPr>
  <dimension ref="A1:M36"/>
  <sheetViews>
    <sheetView zoomScale="85" workbookViewId="0"/>
  </sheetViews>
  <sheetFormatPr defaultColWidth="9.140625" defaultRowHeight="12.75" x14ac:dyDescent="0.2"/>
  <cols>
    <col min="1" max="1" width="3.7109375" style="533" customWidth="1"/>
    <col min="2" max="9" width="10.7109375" style="533" customWidth="1"/>
    <col min="10" max="11" width="2.140625" style="533" customWidth="1"/>
    <col min="12" max="13" width="10.7109375" style="533" customWidth="1"/>
    <col min="14" max="16384" width="9.140625" style="533"/>
  </cols>
  <sheetData>
    <row r="1" spans="1:13" ht="11.25" customHeight="1" x14ac:dyDescent="0.2">
      <c r="A1" s="595"/>
      <c r="B1" s="529" t="s">
        <v>286</v>
      </c>
      <c r="C1" s="530"/>
      <c r="D1" s="531" t="s">
        <v>1342</v>
      </c>
      <c r="E1" s="530"/>
      <c r="F1" s="530"/>
      <c r="G1" s="528"/>
      <c r="H1" s="532"/>
      <c r="I1" s="528"/>
      <c r="J1" s="528"/>
    </row>
    <row r="2" spans="1:13" x14ac:dyDescent="0.2">
      <c r="A2" s="528"/>
      <c r="B2" s="534"/>
    </row>
    <row r="3" spans="1:13" ht="18.75" customHeight="1" x14ac:dyDescent="0.2">
      <c r="A3" s="528"/>
      <c r="B3" s="382" t="s">
        <v>1338</v>
      </c>
      <c r="C3" s="535"/>
      <c r="D3" s="382" t="s">
        <v>928</v>
      </c>
      <c r="E3" s="535"/>
      <c r="F3" s="382" t="s">
        <v>929</v>
      </c>
      <c r="G3" s="535"/>
      <c r="H3" s="382" t="s">
        <v>287</v>
      </c>
      <c r="I3" s="535"/>
      <c r="J3" s="382"/>
      <c r="K3" s="535"/>
      <c r="L3" s="382" t="s">
        <v>25</v>
      </c>
      <c r="M3" s="535"/>
    </row>
    <row r="4" spans="1:13" ht="26.25" customHeight="1" x14ac:dyDescent="0.2">
      <c r="B4" s="536"/>
      <c r="C4" s="537"/>
      <c r="D4" s="536"/>
      <c r="E4" s="536"/>
      <c r="F4" s="536"/>
      <c r="G4" s="536"/>
      <c r="H4" s="536"/>
      <c r="I4" s="536"/>
      <c r="J4" s="536"/>
      <c r="K4" s="536"/>
      <c r="L4" s="536"/>
      <c r="M4" s="536"/>
    </row>
    <row r="5" spans="1:13" ht="26.25" customHeight="1" x14ac:dyDescent="0.2">
      <c r="B5" s="536"/>
      <c r="C5" s="537"/>
      <c r="D5" s="536"/>
      <c r="E5" s="536"/>
      <c r="F5" s="536"/>
      <c r="G5" s="536"/>
      <c r="H5" s="536"/>
      <c r="I5" s="536"/>
      <c r="J5" s="536"/>
      <c r="K5" s="536"/>
      <c r="L5" s="536"/>
      <c r="M5" s="536"/>
    </row>
    <row r="6" spans="1:13" ht="26.25" customHeight="1" x14ac:dyDescent="0.2">
      <c r="A6" s="604"/>
      <c r="B6" s="536"/>
      <c r="C6" s="537"/>
      <c r="D6" s="536"/>
      <c r="E6" s="536"/>
      <c r="F6" s="536"/>
      <c r="G6" s="536"/>
      <c r="H6" s="536"/>
      <c r="I6" s="536"/>
      <c r="J6" s="536"/>
      <c r="K6" s="536"/>
      <c r="L6" s="536"/>
      <c r="M6" s="536"/>
    </row>
    <row r="7" spans="1:13" ht="26.25" customHeight="1" x14ac:dyDescent="0.2">
      <c r="B7" s="536"/>
      <c r="C7" s="537"/>
      <c r="D7" s="536"/>
      <c r="E7" s="536"/>
      <c r="F7" s="536"/>
      <c r="G7" s="536"/>
      <c r="H7" s="536"/>
      <c r="I7" s="536"/>
      <c r="J7" s="536"/>
      <c r="K7" s="536"/>
      <c r="L7" s="536"/>
      <c r="M7" s="536"/>
    </row>
    <row r="8" spans="1:13" ht="26.25" customHeight="1" x14ac:dyDescent="0.2">
      <c r="B8" s="536"/>
      <c r="C8" s="537"/>
      <c r="D8" s="536"/>
      <c r="E8" s="536"/>
      <c r="F8" s="536"/>
      <c r="G8" s="536"/>
      <c r="H8" s="536"/>
      <c r="I8" s="536"/>
      <c r="J8" s="536"/>
      <c r="K8" s="536"/>
      <c r="L8" s="536"/>
      <c r="M8" s="536"/>
    </row>
    <row r="9" spans="1:13" ht="26.25" customHeight="1" x14ac:dyDescent="0.2">
      <c r="B9" s="536"/>
      <c r="C9" s="537"/>
      <c r="D9" s="536"/>
      <c r="E9" s="536"/>
      <c r="F9" s="536"/>
      <c r="G9" s="536"/>
      <c r="H9" s="536"/>
      <c r="I9" s="536"/>
      <c r="J9" s="536"/>
      <c r="K9" s="536"/>
      <c r="L9" s="536"/>
      <c r="M9" s="536"/>
    </row>
    <row r="10" spans="1:13" ht="26.25" customHeight="1" x14ac:dyDescent="0.2">
      <c r="B10" s="536"/>
      <c r="C10" s="537"/>
      <c r="D10" s="536"/>
      <c r="E10" s="536"/>
      <c r="F10" s="536"/>
      <c r="G10" s="536"/>
      <c r="H10" s="536"/>
      <c r="I10" s="536"/>
      <c r="J10" s="536"/>
      <c r="K10" s="536"/>
      <c r="L10" s="536"/>
      <c r="M10" s="536"/>
    </row>
    <row r="11" spans="1:13" ht="26.25" customHeight="1" x14ac:dyDescent="0.2">
      <c r="B11" s="536"/>
      <c r="C11" s="537"/>
      <c r="D11" s="536"/>
      <c r="E11" s="536"/>
      <c r="F11" s="536"/>
      <c r="G11" s="536"/>
      <c r="H11" s="536"/>
      <c r="I11" s="536"/>
      <c r="J11" s="536"/>
      <c r="K11" s="536"/>
      <c r="L11" s="536"/>
      <c r="M11" s="536"/>
    </row>
    <row r="12" spans="1:13" ht="26.25" customHeight="1" x14ac:dyDescent="0.2">
      <c r="B12" s="536"/>
      <c r="C12" s="537"/>
      <c r="D12" s="536"/>
      <c r="E12" s="536"/>
      <c r="F12" s="536"/>
      <c r="G12" s="536"/>
      <c r="H12" s="536"/>
      <c r="I12" s="536"/>
      <c r="J12" s="536"/>
      <c r="K12" s="536"/>
      <c r="L12" s="536"/>
      <c r="M12" s="536"/>
    </row>
    <row r="13" spans="1:13" ht="26.25" customHeight="1" x14ac:dyDescent="0.2">
      <c r="B13" s="536"/>
      <c r="C13" s="537"/>
      <c r="D13" s="536"/>
      <c r="E13" s="536"/>
      <c r="F13" s="536"/>
      <c r="G13" s="536"/>
      <c r="H13" s="536"/>
      <c r="I13" s="536"/>
      <c r="J13" s="536"/>
      <c r="K13" s="536"/>
      <c r="L13" s="536"/>
      <c r="M13" s="536"/>
    </row>
    <row r="14" spans="1:13" ht="26.25" customHeight="1" x14ac:dyDescent="0.2">
      <c r="B14" s="536"/>
      <c r="C14" s="537"/>
      <c r="D14" s="536"/>
      <c r="E14" s="536"/>
      <c r="F14" s="536"/>
      <c r="G14" s="536"/>
      <c r="H14" s="536"/>
      <c r="I14" s="536"/>
      <c r="J14" s="536"/>
      <c r="K14" s="536"/>
      <c r="L14" s="536"/>
      <c r="M14" s="536"/>
    </row>
    <row r="15" spans="1:13" ht="26.25" customHeight="1" x14ac:dyDescent="0.2">
      <c r="B15" s="536"/>
      <c r="C15" s="537"/>
      <c r="D15" s="536"/>
      <c r="E15" s="536"/>
      <c r="F15" s="536"/>
      <c r="G15" s="536"/>
      <c r="H15" s="536"/>
      <c r="I15" s="536"/>
      <c r="J15" s="536"/>
      <c r="K15" s="536"/>
      <c r="L15" s="536"/>
      <c r="M15" s="536"/>
    </row>
    <row r="16" spans="1:13" ht="26.25" customHeight="1" x14ac:dyDescent="0.2">
      <c r="B16" s="536"/>
      <c r="C16" s="537"/>
      <c r="D16" s="536"/>
      <c r="E16" s="536"/>
      <c r="F16" s="536"/>
      <c r="G16" s="536"/>
      <c r="H16" s="536"/>
      <c r="I16" s="536"/>
      <c r="J16" s="536"/>
      <c r="K16" s="536"/>
      <c r="L16" s="536"/>
      <c r="M16" s="536"/>
    </row>
    <row r="17" spans="2:13" ht="26.25" customHeight="1" x14ac:dyDescent="0.2">
      <c r="B17" s="536"/>
      <c r="C17" s="537"/>
      <c r="D17" s="536"/>
      <c r="E17" s="536"/>
      <c r="F17" s="536"/>
      <c r="G17" s="536"/>
      <c r="H17" s="536"/>
      <c r="I17" s="536"/>
      <c r="J17" s="536"/>
      <c r="K17" s="536"/>
      <c r="L17" s="536"/>
      <c r="M17" s="536"/>
    </row>
    <row r="18" spans="2:13" ht="26.25" customHeight="1" x14ac:dyDescent="0.2">
      <c r="B18" s="536"/>
      <c r="C18" s="537"/>
      <c r="D18" s="536"/>
      <c r="E18" s="536"/>
      <c r="F18" s="536"/>
      <c r="G18" s="536"/>
      <c r="H18" s="536"/>
      <c r="I18" s="536"/>
      <c r="J18" s="536"/>
      <c r="K18" s="536"/>
      <c r="L18" s="536"/>
      <c r="M18" s="536"/>
    </row>
    <row r="19" spans="2:13" ht="26.25" customHeight="1" x14ac:dyDescent="0.2">
      <c r="B19" s="536"/>
      <c r="C19" s="537"/>
      <c r="D19" s="536"/>
      <c r="E19" s="536"/>
      <c r="F19" s="536"/>
      <c r="G19" s="536"/>
      <c r="H19" s="536"/>
      <c r="I19" s="536"/>
      <c r="J19" s="536"/>
      <c r="K19" s="536"/>
      <c r="L19" s="536"/>
      <c r="M19" s="536"/>
    </row>
    <row r="20" spans="2:13" ht="26.25" customHeight="1" x14ac:dyDescent="0.2">
      <c r="B20" s="536"/>
      <c r="C20" s="537"/>
      <c r="D20" s="536"/>
      <c r="E20" s="536"/>
      <c r="F20" s="536"/>
      <c r="G20" s="536"/>
      <c r="H20" s="536"/>
      <c r="I20" s="536"/>
      <c r="J20" s="536"/>
      <c r="K20" s="536"/>
      <c r="L20" s="536"/>
      <c r="M20" s="536"/>
    </row>
    <row r="21" spans="2:13" ht="26.25" customHeight="1" x14ac:dyDescent="0.2">
      <c r="B21" s="536"/>
      <c r="C21" s="537"/>
      <c r="D21" s="536"/>
      <c r="E21" s="536"/>
      <c r="F21" s="536"/>
      <c r="G21" s="536"/>
      <c r="H21" s="536"/>
      <c r="I21" s="536"/>
      <c r="J21" s="536"/>
      <c r="K21" s="536"/>
      <c r="L21" s="536"/>
      <c r="M21" s="536"/>
    </row>
    <row r="22" spans="2:13" ht="26.25" customHeight="1" x14ac:dyDescent="0.2">
      <c r="B22" s="536"/>
      <c r="C22" s="537"/>
      <c r="D22" s="536"/>
      <c r="E22" s="536"/>
      <c r="F22" s="536"/>
      <c r="G22" s="536"/>
      <c r="H22" s="536"/>
      <c r="I22" s="536"/>
      <c r="J22" s="536"/>
      <c r="K22" s="536"/>
      <c r="L22" s="536"/>
      <c r="M22" s="536"/>
    </row>
    <row r="23" spans="2:13" ht="26.25" customHeight="1" x14ac:dyDescent="0.2">
      <c r="B23" s="536"/>
      <c r="C23" s="537"/>
      <c r="D23" s="536"/>
      <c r="E23" s="536"/>
      <c r="F23" s="536"/>
      <c r="G23" s="536"/>
      <c r="H23" s="536"/>
      <c r="I23" s="536"/>
      <c r="J23" s="536"/>
      <c r="K23" s="536"/>
      <c r="L23" s="536"/>
      <c r="M23" s="536"/>
    </row>
    <row r="24" spans="2:13" ht="26.25" customHeight="1" x14ac:dyDescent="0.2">
      <c r="B24" s="536"/>
      <c r="C24" s="537"/>
      <c r="D24" s="536"/>
      <c r="E24" s="536"/>
      <c r="F24" s="536"/>
      <c r="G24" s="536"/>
      <c r="H24" s="536"/>
      <c r="I24" s="536"/>
      <c r="J24" s="536"/>
      <c r="K24" s="536"/>
      <c r="L24" s="536"/>
      <c r="M24" s="536"/>
    </row>
    <row r="25" spans="2:13" ht="26.25" customHeight="1" x14ac:dyDescent="0.2">
      <c r="B25" s="536"/>
      <c r="C25" s="537"/>
      <c r="D25" s="536"/>
      <c r="E25" s="536"/>
      <c r="F25" s="536"/>
      <c r="G25" s="536"/>
      <c r="H25" s="536"/>
      <c r="I25" s="536"/>
      <c r="J25" s="536"/>
      <c r="K25" s="536"/>
      <c r="L25" s="536"/>
      <c r="M25" s="536"/>
    </row>
    <row r="26" spans="2:13" ht="26.25" customHeight="1" x14ac:dyDescent="0.2">
      <c r="B26" s="536"/>
      <c r="C26" s="537"/>
      <c r="D26" s="536"/>
      <c r="E26" s="536"/>
      <c r="F26" s="536"/>
      <c r="G26" s="536"/>
      <c r="H26" s="536"/>
      <c r="I26" s="536"/>
      <c r="J26" s="536"/>
      <c r="K26" s="536"/>
      <c r="L26" s="536"/>
      <c r="M26" s="536"/>
    </row>
    <row r="27" spans="2:13" ht="26.25" customHeight="1" x14ac:dyDescent="0.2">
      <c r="B27" s="536"/>
      <c r="C27" s="537"/>
      <c r="D27" s="536"/>
      <c r="E27" s="536"/>
      <c r="F27" s="536"/>
      <c r="G27" s="536"/>
      <c r="H27" s="536"/>
      <c r="I27" s="536"/>
      <c r="J27" s="536"/>
      <c r="K27" s="536"/>
      <c r="L27" s="536"/>
      <c r="M27" s="536"/>
    </row>
    <row r="28" spans="2:13" ht="26.25" customHeight="1" x14ac:dyDescent="0.2">
      <c r="B28" s="536"/>
      <c r="C28" s="537"/>
      <c r="D28" s="536"/>
      <c r="E28" s="536"/>
      <c r="F28" s="536"/>
      <c r="G28" s="536"/>
      <c r="H28" s="536"/>
      <c r="I28" s="536"/>
      <c r="J28" s="536"/>
      <c r="K28" s="536"/>
      <c r="L28" s="536"/>
      <c r="M28" s="536"/>
    </row>
    <row r="29" spans="2:13" ht="26.25" customHeight="1" x14ac:dyDescent="0.2">
      <c r="B29" s="536"/>
      <c r="C29" s="537"/>
      <c r="D29" s="536"/>
      <c r="E29" s="536"/>
      <c r="F29" s="536"/>
      <c r="G29" s="536"/>
      <c r="H29" s="536"/>
      <c r="I29" s="536"/>
      <c r="J29" s="536"/>
      <c r="K29" s="536"/>
      <c r="L29" s="536"/>
      <c r="M29" s="536"/>
    </row>
    <row r="30" spans="2:13" ht="26.25" customHeight="1" x14ac:dyDescent="0.2">
      <c r="B30" s="536"/>
      <c r="C30" s="537"/>
      <c r="D30" s="536"/>
      <c r="E30" s="536"/>
      <c r="F30" s="536"/>
      <c r="G30" s="536"/>
      <c r="H30" s="536"/>
      <c r="I30" s="536"/>
      <c r="J30" s="536"/>
      <c r="K30" s="536"/>
      <c r="L30" s="536"/>
      <c r="M30" s="536"/>
    </row>
    <row r="31" spans="2:13" ht="26.25" customHeight="1" x14ac:dyDescent="0.2">
      <c r="B31" s="536"/>
      <c r="C31" s="537"/>
      <c r="D31" s="536"/>
      <c r="E31" s="536"/>
      <c r="F31" s="536"/>
      <c r="G31" s="536"/>
      <c r="H31" s="536"/>
      <c r="I31" s="536"/>
      <c r="J31" s="536"/>
      <c r="K31" s="536"/>
      <c r="L31" s="536"/>
      <c r="M31" s="536"/>
    </row>
    <row r="32" spans="2:13" ht="26.25" customHeight="1" x14ac:dyDescent="0.2">
      <c r="B32" s="536"/>
      <c r="C32" s="537"/>
      <c r="D32" s="536"/>
      <c r="E32" s="536"/>
      <c r="F32" s="536"/>
      <c r="G32" s="536"/>
      <c r="H32" s="536"/>
      <c r="I32" s="536"/>
      <c r="J32" s="536"/>
      <c r="K32" s="536"/>
      <c r="L32" s="536"/>
      <c r="M32" s="536"/>
    </row>
    <row r="33" spans="2:13" ht="26.25" customHeight="1" x14ac:dyDescent="0.2">
      <c r="B33" s="536"/>
      <c r="C33" s="537"/>
      <c r="D33" s="536"/>
      <c r="E33" s="536"/>
      <c r="F33" s="536"/>
      <c r="G33" s="536"/>
      <c r="H33" s="536"/>
      <c r="I33" s="536"/>
      <c r="J33" s="536"/>
      <c r="K33" s="536"/>
      <c r="L33" s="536"/>
      <c r="M33" s="536"/>
    </row>
    <row r="34" spans="2:13" ht="26.25" customHeight="1" x14ac:dyDescent="0.2">
      <c r="B34" s="536"/>
      <c r="C34" s="537"/>
      <c r="D34" s="536"/>
      <c r="E34" s="536"/>
      <c r="F34" s="536"/>
      <c r="G34" s="536"/>
      <c r="H34" s="536"/>
      <c r="I34" s="536"/>
      <c r="J34" s="536"/>
      <c r="K34" s="536"/>
      <c r="L34" s="536"/>
      <c r="M34" s="536"/>
    </row>
    <row r="35" spans="2:13" ht="26.25" customHeight="1" x14ac:dyDescent="0.2">
      <c r="B35" s="536"/>
      <c r="C35" s="537"/>
      <c r="D35" s="536"/>
      <c r="E35" s="536"/>
      <c r="F35" s="536"/>
      <c r="G35" s="536"/>
      <c r="H35" s="536"/>
      <c r="I35" s="536"/>
      <c r="J35" s="536"/>
      <c r="K35" s="536"/>
      <c r="L35" s="536"/>
      <c r="M35" s="536"/>
    </row>
    <row r="36" spans="2:13" x14ac:dyDescent="0.2">
      <c r="B36" s="538" t="s">
        <v>597</v>
      </c>
      <c r="C36" s="533" t="str">
        <f>IF(opmAfsprBlad__9=0,"",opmAfsprBlad__9)</f>
        <v/>
      </c>
    </row>
  </sheetData>
  <sheetProtection password="CC2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3</xdr:row>
                    <xdr:rowOff>0</xdr:rowOff>
                  </from>
                  <to>
                    <xdr:col>2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0</xdr:rowOff>
                  </from>
                  <to>
                    <xdr:col>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0</xdr:rowOff>
                  </from>
                  <to>
                    <xdr:col>2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18</xdr:row>
                    <xdr:rowOff>0</xdr:rowOff>
                  </from>
                  <to>
                    <xdr:col>2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2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19050</xdr:rowOff>
                  </from>
                  <to>
                    <xdr:col>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3</xdr:row>
                    <xdr:rowOff>0</xdr:rowOff>
                  </from>
                  <to>
                    <xdr:col>6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7</xdr:row>
                    <xdr:rowOff>0</xdr:rowOff>
                  </from>
                  <to>
                    <xdr:col>6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12</xdr:row>
                    <xdr:rowOff>0</xdr:rowOff>
                  </from>
                  <to>
                    <xdr:col>6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18</xdr:row>
                    <xdr:rowOff>0</xdr:rowOff>
                  </from>
                  <to>
                    <xdr:col>6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10</xdr:row>
                    <xdr:rowOff>0</xdr:rowOff>
                  </from>
                  <to>
                    <xdr:col>6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19050</xdr:rowOff>
                  </from>
                  <to>
                    <xdr:col>6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3</xdr:row>
                    <xdr:rowOff>0</xdr:rowOff>
                  </from>
                  <to>
                    <xdr:col>8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4</xdr:row>
                    <xdr:rowOff>0</xdr:rowOff>
                  </from>
                  <to>
                    <xdr:col>8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0</xdr:rowOff>
                  </from>
                  <to>
                    <xdr:col>8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7</xdr:row>
                    <xdr:rowOff>0</xdr:rowOff>
                  </from>
                  <to>
                    <xdr:col>8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12</xdr:row>
                    <xdr:rowOff>0</xdr:rowOff>
                  </from>
                  <to>
                    <xdr:col>8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0</xdr:rowOff>
                  </from>
                  <to>
                    <xdr:col>8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10</xdr:row>
                    <xdr:rowOff>0</xdr:rowOff>
                  </from>
                  <to>
                    <xdr:col>8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19050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47625</xdr:colOff>
                    <xdr:row>3</xdr:row>
                    <xdr:rowOff>0</xdr:rowOff>
                  </from>
                  <to>
                    <xdr:col>12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47625</xdr:colOff>
                    <xdr:row>4</xdr:row>
                    <xdr:rowOff>0</xdr:rowOff>
                  </from>
                  <to>
                    <xdr:col>12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47625</xdr:colOff>
                    <xdr:row>6</xdr:row>
                    <xdr:rowOff>0</xdr:rowOff>
                  </from>
                  <to>
                    <xdr:col>12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47625</xdr:colOff>
                    <xdr:row>7</xdr:row>
                    <xdr:rowOff>0</xdr:rowOff>
                  </from>
                  <to>
                    <xdr:col>12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38100</xdr:colOff>
                    <xdr:row>12</xdr:row>
                    <xdr:rowOff>0</xdr:rowOff>
                  </from>
                  <to>
                    <xdr:col>12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47625</xdr:colOff>
                    <xdr:row>18</xdr:row>
                    <xdr:rowOff>0</xdr:rowOff>
                  </from>
                  <to>
                    <xdr:col>12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38100</xdr:colOff>
                    <xdr:row>10</xdr:row>
                    <xdr:rowOff>0</xdr:rowOff>
                  </from>
                  <to>
                    <xdr:col>12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19050</xdr:rowOff>
                  </from>
                  <to>
                    <xdr:col>12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19050</xdr:rowOff>
                  </from>
                  <to>
                    <xdr:col>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19050</xdr:rowOff>
                  </from>
                  <to>
                    <xdr:col>6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19050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19050</xdr:rowOff>
                  </from>
                  <to>
                    <xdr:col>12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5</xdr:row>
                    <xdr:rowOff>0</xdr:rowOff>
                  </from>
                  <to>
                    <xdr:col>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0</xdr:rowOff>
                  </from>
                  <to>
                    <xdr:col>6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5</xdr:row>
                    <xdr:rowOff>0</xdr:rowOff>
                  </from>
                  <to>
                    <xdr:col>8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47625</xdr:colOff>
                    <xdr:row>5</xdr:row>
                    <xdr:rowOff>0</xdr:rowOff>
                  </from>
                  <to>
                    <xdr:col>12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3</xdr:row>
                    <xdr:rowOff>0</xdr:rowOff>
                  </from>
                  <to>
                    <xdr:col>4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4</xdr:row>
                    <xdr:rowOff>0</xdr:rowOff>
                  </from>
                  <to>
                    <xdr:col>4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6</xdr:row>
                    <xdr:rowOff>0</xdr:rowOff>
                  </from>
                  <to>
                    <xdr:col>4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0</xdr:rowOff>
                  </from>
                  <to>
                    <xdr:col>4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12</xdr:row>
                    <xdr:rowOff>0</xdr:rowOff>
                  </from>
                  <to>
                    <xdr:col>4</xdr:col>
                    <xdr:colOff>619125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0</xdr:rowOff>
                  </from>
                  <to>
                    <xdr:col>4</xdr:col>
                    <xdr:colOff>628650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10</xdr:row>
                    <xdr:rowOff>0</xdr:rowOff>
                  </from>
                  <to>
                    <xdr:col>4</xdr:col>
                    <xdr:colOff>619125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19050</xdr:rowOff>
                  </from>
                  <to>
                    <xdr:col>4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19050</xdr:rowOff>
                  </from>
                  <to>
                    <xdr:col>4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5</xdr:row>
                    <xdr:rowOff>0</xdr:rowOff>
                  </from>
                  <to>
                    <xdr:col>4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19050</xdr:rowOff>
                  </from>
                  <to>
                    <xdr:col>2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19050</xdr:rowOff>
                  </from>
                  <to>
                    <xdr:col>6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19050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19050</xdr:rowOff>
                  </from>
                  <to>
                    <xdr:col>12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19050</xdr:rowOff>
                  </from>
                  <to>
                    <xdr:col>4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19050</xdr:rowOff>
                  </from>
                  <to>
                    <xdr:col>12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0</xdr:rowOff>
                  </from>
                  <to>
                    <xdr:col>8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47625</xdr:colOff>
                    <xdr:row>8</xdr:row>
                    <xdr:rowOff>0</xdr:rowOff>
                  </from>
                  <to>
                    <xdr:col>12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8</xdr:row>
                    <xdr:rowOff>0</xdr:rowOff>
                  </from>
                  <to>
                    <xdr:col>4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47625</xdr:colOff>
                    <xdr:row>9</xdr:row>
                    <xdr:rowOff>0</xdr:rowOff>
                  </from>
                  <to>
                    <xdr:col>12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0</xdr:rowOff>
                  </from>
                  <to>
                    <xdr:col>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13</xdr:row>
                    <xdr:rowOff>0</xdr:rowOff>
                  </from>
                  <to>
                    <xdr:col>6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13</xdr:row>
                    <xdr:rowOff>0</xdr:rowOff>
                  </from>
                  <to>
                    <xdr:col>8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38100</xdr:colOff>
                    <xdr:row>13</xdr:row>
                    <xdr:rowOff>0</xdr:rowOff>
                  </from>
                  <to>
                    <xdr:col>12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13</xdr:row>
                    <xdr:rowOff>0</xdr:rowOff>
                  </from>
                  <to>
                    <xdr:col>4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47625</xdr:colOff>
                    <xdr:row>20</xdr:row>
                    <xdr:rowOff>0</xdr:rowOff>
                  </from>
                  <to>
                    <xdr:col>12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47625</xdr:colOff>
                    <xdr:row>21</xdr:row>
                    <xdr:rowOff>0</xdr:rowOff>
                  </from>
                  <to>
                    <xdr:col>12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47625</xdr:colOff>
                    <xdr:row>24</xdr:row>
                    <xdr:rowOff>0</xdr:rowOff>
                  </from>
                  <to>
                    <xdr:col>12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16</xdr:row>
                    <xdr:rowOff>19050</xdr:rowOff>
                  </from>
                  <to>
                    <xdr:col>2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16</xdr:row>
                    <xdr:rowOff>19050</xdr:rowOff>
                  </from>
                  <to>
                    <xdr:col>6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16</xdr:row>
                    <xdr:rowOff>19050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16</xdr:row>
                    <xdr:rowOff>19050</xdr:rowOff>
                  </from>
                  <to>
                    <xdr:col>12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16</xdr:row>
                    <xdr:rowOff>19050</xdr:rowOff>
                  </from>
                  <to>
                    <xdr:col>4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30</xdr:row>
                    <xdr:rowOff>19050</xdr:rowOff>
                  </from>
                  <to>
                    <xdr:col>2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30</xdr:row>
                    <xdr:rowOff>19050</xdr:rowOff>
                  </from>
                  <to>
                    <xdr:col>6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30</xdr:row>
                    <xdr:rowOff>19050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47625</xdr:colOff>
                    <xdr:row>30</xdr:row>
                    <xdr:rowOff>19050</xdr:rowOff>
                  </from>
                  <to>
                    <xdr:col>12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30</xdr:row>
                    <xdr:rowOff>19050</xdr:rowOff>
                  </from>
                  <to>
                    <xdr:col>4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19050</xdr:rowOff>
                  </from>
                  <to>
                    <xdr:col>12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RowHeight="12.75" x14ac:dyDescent="0.2"/>
  <cols>
    <col min="1" max="16384" width="9.140625" style="271"/>
  </cols>
  <sheetData>
    <row r="1" spans="1:16" x14ac:dyDescent="0.2">
      <c r="A1" s="578"/>
    </row>
    <row r="3" spans="1:16" x14ac:dyDescent="0.2">
      <c r="A3" s="287" t="s">
        <v>1337</v>
      </c>
      <c r="B3" s="271" t="s">
        <v>1338</v>
      </c>
      <c r="D3" s="287" t="s">
        <v>928</v>
      </c>
      <c r="E3" s="271" t="b">
        <v>1</v>
      </c>
      <c r="F3" s="287" t="s">
        <v>929</v>
      </c>
      <c r="G3" s="271" t="b">
        <v>1</v>
      </c>
      <c r="H3" s="287" t="s">
        <v>287</v>
      </c>
      <c r="I3" s="271" t="b">
        <v>1</v>
      </c>
      <c r="K3" s="287" t="s">
        <v>1339</v>
      </c>
      <c r="M3" s="287" t="s">
        <v>1340</v>
      </c>
      <c r="O3" s="287" t="s">
        <v>1341</v>
      </c>
    </row>
    <row r="4" spans="1:16" x14ac:dyDescent="0.2">
      <c r="B4" s="271" t="str">
        <f>IF(C4,"A","")</f>
        <v/>
      </c>
      <c r="C4" s="578"/>
      <c r="D4" s="271" t="str">
        <f>IF(E4,"A","")</f>
        <v>A</v>
      </c>
      <c r="E4" s="578">
        <v>1</v>
      </c>
      <c r="F4" s="271" t="str">
        <f>IF(G4,"A","")</f>
        <v/>
      </c>
      <c r="G4" s="578"/>
      <c r="H4" s="271" t="str">
        <f>IF(I4,"A","")</f>
        <v/>
      </c>
      <c r="I4" s="578"/>
      <c r="K4" s="271" t="str">
        <f>IF(L4,"A","")</f>
        <v/>
      </c>
      <c r="L4" s="578"/>
      <c r="M4" s="271" t="str">
        <f>IF(N4,"A","")</f>
        <v/>
      </c>
      <c r="N4" s="578"/>
      <c r="O4" s="271" t="str">
        <f t="shared" ref="O4" si="0">IF(P4,"A","")</f>
        <v/>
      </c>
      <c r="P4" s="578"/>
    </row>
    <row r="5" spans="1:16" x14ac:dyDescent="0.2">
      <c r="B5" s="271" t="str">
        <f>IF(C5,"Na K","")</f>
        <v/>
      </c>
      <c r="C5" s="578"/>
      <c r="D5" s="271" t="str">
        <f>IF(E5,"Na K","")</f>
        <v/>
      </c>
      <c r="E5" s="578"/>
      <c r="F5" s="271" t="str">
        <f>IF(G5,"Na K","")</f>
        <v/>
      </c>
      <c r="G5" s="578"/>
      <c r="H5" s="271" t="str">
        <f>IF(I5,"Na K","")</f>
        <v/>
      </c>
      <c r="I5" s="578"/>
      <c r="K5" s="271" t="str">
        <f>IF(L5,"Na K","")</f>
        <v/>
      </c>
      <c r="L5" s="578"/>
      <c r="M5" s="271" t="str">
        <f>IF(N5,"Na K","")</f>
        <v/>
      </c>
      <c r="N5" s="578"/>
      <c r="O5" s="271" t="str">
        <f>IF(P5,"Na K","")</f>
        <v/>
      </c>
      <c r="P5" s="578"/>
    </row>
    <row r="6" spans="1:16" x14ac:dyDescent="0.2">
      <c r="A6" s="578"/>
      <c r="B6" s="271" t="str">
        <f>IF(C6,"Cl","")</f>
        <v/>
      </c>
      <c r="C6" s="578"/>
      <c r="D6" s="271" t="str">
        <f>IF(E6,"Cl","")</f>
        <v/>
      </c>
      <c r="E6" s="578"/>
      <c r="F6" s="271" t="str">
        <f>IF(G6,"Cl","")</f>
        <v/>
      </c>
      <c r="G6" s="578"/>
      <c r="H6" s="271" t="str">
        <f>IF(I6,"Cl","")</f>
        <v/>
      </c>
      <c r="I6" s="578"/>
      <c r="K6" s="271" t="str">
        <f>IF(L6,"Cl","")</f>
        <v/>
      </c>
      <c r="L6" s="578"/>
      <c r="M6" s="271" t="str">
        <f>IF(N6,"Cl","")</f>
        <v/>
      </c>
      <c r="N6" s="578"/>
      <c r="O6" s="271" t="str">
        <f>IF(P6,"Cl","")</f>
        <v/>
      </c>
      <c r="P6" s="578"/>
    </row>
    <row r="7" spans="1:16" x14ac:dyDescent="0.2">
      <c r="B7" s="271" t="str">
        <f>IF(C7,"Gluc","")</f>
        <v/>
      </c>
      <c r="C7" s="578"/>
      <c r="D7" s="271" t="str">
        <f>IF(E7,"Gluc","")</f>
        <v/>
      </c>
      <c r="E7" s="578"/>
      <c r="F7" s="271" t="str">
        <f>IF(G7,"Gluc","")</f>
        <v/>
      </c>
      <c r="G7" s="578"/>
      <c r="H7" s="271" t="str">
        <f>IF(I7,"Gluc","")</f>
        <v/>
      </c>
      <c r="I7" s="578"/>
      <c r="K7" s="271" t="str">
        <f>IF(L7,"Gluc","")</f>
        <v/>
      </c>
      <c r="L7" s="578"/>
      <c r="M7" s="271" t="str">
        <f>IF(N7,"Gluc","")</f>
        <v/>
      </c>
      <c r="N7" s="578"/>
      <c r="O7" s="271" t="str">
        <f>IF(P7,"Gluc","")</f>
        <v/>
      </c>
      <c r="P7" s="578"/>
    </row>
    <row r="8" spans="1:16" x14ac:dyDescent="0.2">
      <c r="B8" s="271" t="str">
        <f>IF(C8,"Hb Ht","")</f>
        <v/>
      </c>
      <c r="C8" s="578"/>
      <c r="D8" s="271" t="str">
        <f>IF(E8,"Hb Ht","")</f>
        <v/>
      </c>
      <c r="E8" s="578"/>
      <c r="F8" s="271" t="str">
        <f>IF(G8,"Hb Ht","")</f>
        <v/>
      </c>
      <c r="G8" s="578"/>
      <c r="H8" s="271" t="str">
        <f>IF(I8,"Hb Ht","")</f>
        <v/>
      </c>
      <c r="I8" s="578"/>
      <c r="K8" s="271" t="str">
        <f>IF(L8,"Hb Ht","")</f>
        <v/>
      </c>
      <c r="L8" s="578"/>
      <c r="M8" s="271" t="str">
        <f>IF(N8,"Hb Ht","")</f>
        <v/>
      </c>
      <c r="N8" s="578"/>
      <c r="O8" s="271" t="str">
        <f>IF(P8,"Hb Ht","")</f>
        <v/>
      </c>
      <c r="P8" s="578"/>
    </row>
    <row r="9" spans="1:16" x14ac:dyDescent="0.2">
      <c r="B9" s="271" t="str">
        <f>IF(C9,"L","")</f>
        <v/>
      </c>
      <c r="C9" s="578"/>
      <c r="D9" s="271" t="str">
        <f>IF(E9,"L","")</f>
        <v/>
      </c>
      <c r="E9" s="578"/>
      <c r="F9" s="271" t="str">
        <f>IF(G9,"L","")</f>
        <v/>
      </c>
      <c r="G9" s="578"/>
      <c r="H9" s="271" t="str">
        <f>IF(I9,"L","")</f>
        <v/>
      </c>
      <c r="I9" s="578"/>
      <c r="K9" s="271" t="str">
        <f>IF(L9,"L","")</f>
        <v/>
      </c>
      <c r="L9" s="578"/>
      <c r="M9" s="271" t="str">
        <f>IF(N9,"L","")</f>
        <v/>
      </c>
      <c r="N9" s="578"/>
      <c r="O9" s="271" t="str">
        <f>IF(P9,"L","")</f>
        <v/>
      </c>
      <c r="P9" s="578"/>
    </row>
    <row r="10" spans="1:16" x14ac:dyDescent="0.2">
      <c r="B10" s="271" t="str">
        <f>IF(C10,"T","")</f>
        <v/>
      </c>
      <c r="C10" s="578"/>
      <c r="D10" s="271" t="str">
        <f>IF(E10,"T","")</f>
        <v/>
      </c>
      <c r="E10" s="578"/>
      <c r="F10" s="271" t="str">
        <f>IF(G10,"T","")</f>
        <v/>
      </c>
      <c r="G10" s="578"/>
      <c r="H10" s="271" t="str">
        <f>IF(I10,"T","")</f>
        <v/>
      </c>
      <c r="I10" s="578"/>
      <c r="K10" s="271" t="str">
        <f>IF(L10,"T","")</f>
        <v/>
      </c>
      <c r="L10" s="578"/>
      <c r="M10" s="271" t="str">
        <f>IF(N10,"T","")</f>
        <v/>
      </c>
      <c r="N10" s="578"/>
      <c r="O10" s="271" t="str">
        <f>IF(P10,"T","")</f>
        <v/>
      </c>
      <c r="P10" s="578"/>
    </row>
    <row r="11" spans="1:16" x14ac:dyDescent="0.2">
      <c r="B11" s="271" t="str">
        <f>IF(C11,"CRP","")</f>
        <v/>
      </c>
      <c r="C11" s="578"/>
      <c r="D11" s="271" t="str">
        <f>IF(E11,"CRP","")</f>
        <v/>
      </c>
      <c r="E11" s="578"/>
      <c r="F11" s="271" t="str">
        <f>IF(G11,"CRP","")</f>
        <v/>
      </c>
      <c r="G11" s="578"/>
      <c r="H11" s="271" t="str">
        <f>IF(I11,"CRP","")</f>
        <v/>
      </c>
      <c r="I11" s="578"/>
      <c r="K11" s="271" t="str">
        <f>IF(L11,"CRP","")</f>
        <v/>
      </c>
      <c r="L11" s="578"/>
      <c r="M11" s="271" t="str">
        <f>IF(N11,"CRP","")</f>
        <v/>
      </c>
      <c r="N11" s="578"/>
      <c r="O11" s="271" t="str">
        <f>IF(P11,"CRP","")</f>
        <v/>
      </c>
      <c r="P11" s="578"/>
    </row>
    <row r="12" spans="1:16" x14ac:dyDescent="0.2">
      <c r="B12" s="271" t="str">
        <f>IF(C12,"Lac","")</f>
        <v/>
      </c>
      <c r="C12" s="578"/>
      <c r="D12" s="271" t="str">
        <f>IF(E12,"Lac","")</f>
        <v/>
      </c>
      <c r="E12" s="578"/>
      <c r="F12" s="271" t="str">
        <f>IF(G12,"Lac","")</f>
        <v/>
      </c>
      <c r="G12" s="578"/>
      <c r="H12" s="271" t="str">
        <f>IF(I12,"Lac","")</f>
        <v/>
      </c>
      <c r="I12" s="578"/>
      <c r="K12" s="271" t="str">
        <f>IF(L12,"Lac","")</f>
        <v/>
      </c>
      <c r="L12" s="578"/>
      <c r="M12" s="271" t="str">
        <f>IF(N12,"Lac","")</f>
        <v/>
      </c>
      <c r="N12" s="578"/>
      <c r="O12" s="271" t="str">
        <f>IF(P12,"Lac","")</f>
        <v/>
      </c>
      <c r="P12" s="578"/>
    </row>
    <row r="13" spans="1:16" x14ac:dyDescent="0.2">
      <c r="B13" s="271" t="str">
        <f>IF(C13,"Ur","")</f>
        <v/>
      </c>
      <c r="C13" s="578"/>
      <c r="D13" s="271" t="str">
        <f>IF(E13,"Ur","")</f>
        <v/>
      </c>
      <c r="E13" s="578"/>
      <c r="F13" s="271" t="str">
        <f>IF(G13,"Ur","")</f>
        <v/>
      </c>
      <c r="G13" s="578"/>
      <c r="H13" s="271" t="str">
        <f>IF(I13,"Ur","")</f>
        <v/>
      </c>
      <c r="I13" s="578"/>
      <c r="K13" s="271" t="str">
        <f>IF(L13,"Ur","")</f>
        <v/>
      </c>
      <c r="L13" s="578"/>
      <c r="M13" s="271" t="str">
        <f>IF(N13,"Ur","")</f>
        <v/>
      </c>
      <c r="N13" s="578"/>
      <c r="O13" s="271" t="str">
        <f>IF(P13,"Ur","")</f>
        <v/>
      </c>
      <c r="P13" s="578"/>
    </row>
    <row r="14" spans="1:16" x14ac:dyDescent="0.2">
      <c r="B14" s="271" t="str">
        <f>IF(C14,"Kr","")</f>
        <v/>
      </c>
      <c r="C14" s="578"/>
      <c r="D14" s="271" t="str">
        <f>IF(E14,"Kr","")</f>
        <v/>
      </c>
      <c r="E14" s="578"/>
      <c r="F14" s="271" t="str">
        <f>IF(G14,"Kr","")</f>
        <v/>
      </c>
      <c r="G14" s="578"/>
      <c r="H14" s="271" t="str">
        <f>IF(I14,"Kr","")</f>
        <v/>
      </c>
      <c r="I14" s="578"/>
      <c r="K14" s="271" t="str">
        <f>IF(L14,"Kr","")</f>
        <v/>
      </c>
      <c r="L14" s="578"/>
      <c r="M14" s="271" t="str">
        <f>IF(N14,"Kr","")</f>
        <v/>
      </c>
      <c r="N14" s="578"/>
      <c r="O14" s="271" t="str">
        <f>IF(P14,"Kr","")</f>
        <v/>
      </c>
      <c r="P14" s="578"/>
    </row>
    <row r="15" spans="1:16" x14ac:dyDescent="0.2">
      <c r="B15" s="271" t="str">
        <f>IF(C15,"Ca++","")</f>
        <v/>
      </c>
      <c r="C15" s="578"/>
      <c r="D15" s="271" t="str">
        <f>IF(E15,"Ca++","")</f>
        <v/>
      </c>
      <c r="E15" s="578"/>
      <c r="F15" s="271" t="str">
        <f>IF(G15,"Ca++","")</f>
        <v/>
      </c>
      <c r="G15" s="578"/>
      <c r="H15" s="271" t="str">
        <f>IF(I15,"Ca++","")</f>
        <v/>
      </c>
      <c r="I15" s="578"/>
      <c r="K15" s="271" t="str">
        <f>IF(L15,"Ca++","")</f>
        <v/>
      </c>
      <c r="L15" s="578"/>
      <c r="M15" s="271" t="str">
        <f>IF(N15,"Ca++","")</f>
        <v/>
      </c>
      <c r="N15" s="578"/>
      <c r="O15" s="271" t="str">
        <f>IF(P15,"Ca++","")</f>
        <v/>
      </c>
      <c r="P15" s="578"/>
    </row>
    <row r="16" spans="1:16" x14ac:dyDescent="0.2">
      <c r="B16" s="271" t="str">
        <f>IF(C16,"Mg++","")</f>
        <v/>
      </c>
      <c r="C16" s="578"/>
      <c r="D16" s="271" t="str">
        <f>IF(E16,"Mg++","")</f>
        <v/>
      </c>
      <c r="E16" s="578"/>
      <c r="F16" s="271" t="str">
        <f>IF(G16,"Mg++","")</f>
        <v/>
      </c>
      <c r="G16" s="578"/>
      <c r="H16" s="271" t="str">
        <f>IF(I16,"Mg++","")</f>
        <v/>
      </c>
      <c r="I16" s="578"/>
      <c r="K16" s="271" t="str">
        <f>IF(L16,"Mg++","")</f>
        <v/>
      </c>
      <c r="L16" s="578"/>
      <c r="M16" s="271" t="str">
        <f>IF(N16,"Mg++","")</f>
        <v/>
      </c>
      <c r="N16" s="578"/>
      <c r="O16" s="271" t="str">
        <f>IF(P16,"Mg++","")</f>
        <v/>
      </c>
      <c r="P16" s="578"/>
    </row>
    <row r="17" spans="2:16" x14ac:dyDescent="0.2">
      <c r="B17" s="271" t="str">
        <f>IF(C17,"Fosfaat","")</f>
        <v/>
      </c>
      <c r="C17" s="578"/>
      <c r="D17" s="271" t="str">
        <f>IF(E17,"Fosfaat","")</f>
        <v/>
      </c>
      <c r="E17" s="578"/>
      <c r="F17" s="271" t="str">
        <f>IF(G17,"Fosfaat","")</f>
        <v/>
      </c>
      <c r="G17" s="578"/>
      <c r="H17" s="271" t="str">
        <f>IF(I17,"Fosfaat","")</f>
        <v/>
      </c>
      <c r="I17" s="578"/>
      <c r="K17" s="271" t="str">
        <f>IF(L17,"Fosfaat","")</f>
        <v/>
      </c>
      <c r="L17" s="578"/>
      <c r="M17" s="271" t="str">
        <f>IF(N17,"Fosfaat","")</f>
        <v/>
      </c>
      <c r="N17" s="578"/>
      <c r="O17" s="271" t="str">
        <f>IF(P17,"Fosfaat","")</f>
        <v/>
      </c>
      <c r="P17" s="578"/>
    </row>
    <row r="18" spans="2:16" x14ac:dyDescent="0.2">
      <c r="B18" s="271" t="str">
        <f>IF(C18,"Alb","")</f>
        <v/>
      </c>
      <c r="C18" s="578"/>
      <c r="D18" s="271" t="str">
        <f>IF(E18,"Alb","")</f>
        <v/>
      </c>
      <c r="E18" s="578"/>
      <c r="F18" s="271" t="str">
        <f>IF(G18,"Alb","")</f>
        <v/>
      </c>
      <c r="G18" s="578"/>
      <c r="H18" s="271" t="str">
        <f>IF(I18,"Alb","")</f>
        <v/>
      </c>
      <c r="I18" s="578"/>
      <c r="K18" s="271" t="str">
        <f>IF(L18,"Alb","")</f>
        <v/>
      </c>
      <c r="L18" s="578"/>
      <c r="M18" s="271" t="str">
        <f>IF(N18,"Alb","")</f>
        <v/>
      </c>
      <c r="N18" s="578"/>
      <c r="O18" s="271" t="str">
        <f>IF(P18,"Alb","")</f>
        <v/>
      </c>
      <c r="P18" s="578"/>
    </row>
    <row r="19" spans="2:16" x14ac:dyDescent="0.2">
      <c r="B19" s="271" t="str">
        <f>IF(C19,"Ca","")</f>
        <v/>
      </c>
      <c r="C19" s="578"/>
      <c r="D19" s="271" t="str">
        <f>IF(E19,"Ca","")</f>
        <v/>
      </c>
      <c r="E19" s="578"/>
      <c r="F19" s="271" t="str">
        <f>IF(G19,"Ca","")</f>
        <v/>
      </c>
      <c r="G19" s="578"/>
      <c r="H19" s="271" t="str">
        <f>IF(I19,"Ca","")</f>
        <v/>
      </c>
      <c r="I19" s="578"/>
      <c r="K19" s="271" t="str">
        <f>IF(L19,"Ca","")</f>
        <v/>
      </c>
      <c r="L19" s="578"/>
      <c r="M19" s="271" t="str">
        <f>IF(N19,"Ca","")</f>
        <v/>
      </c>
      <c r="N19" s="578"/>
      <c r="O19" s="271" t="str">
        <f>IF(P19,"Ca","")</f>
        <v/>
      </c>
      <c r="P19" s="578"/>
    </row>
    <row r="20" spans="2:16" x14ac:dyDescent="0.2">
      <c r="B20" s="271" t="str">
        <f>IF(C20,"ASAT","")</f>
        <v/>
      </c>
      <c r="C20" s="578"/>
      <c r="D20" s="271" t="str">
        <f>IF(E20,"ASAT","")</f>
        <v/>
      </c>
      <c r="E20" s="578"/>
      <c r="F20" s="271" t="str">
        <f>IF(G20,"ASAT","")</f>
        <v/>
      </c>
      <c r="G20" s="578"/>
      <c r="H20" s="271" t="str">
        <f>IF(I20,"ASAT","")</f>
        <v/>
      </c>
      <c r="I20" s="578"/>
      <c r="K20" s="271" t="str">
        <f>IF(L20,"ASAT","")</f>
        <v/>
      </c>
      <c r="L20" s="578"/>
      <c r="M20" s="271" t="str">
        <f>IF(N20,"ASAT","")</f>
        <v/>
      </c>
      <c r="N20" s="578"/>
      <c r="O20" s="271" t="str">
        <f>IF(P20,"ASAT","")</f>
        <v/>
      </c>
      <c r="P20" s="578"/>
    </row>
    <row r="21" spans="2:16" x14ac:dyDescent="0.2">
      <c r="B21" s="271" t="str">
        <f>IF(C21,"ALAT","")</f>
        <v/>
      </c>
      <c r="C21" s="578"/>
      <c r="D21" s="271" t="str">
        <f>IF(E21,"ALAT","")</f>
        <v/>
      </c>
      <c r="E21" s="578"/>
      <c r="F21" s="271" t="str">
        <f>IF(G21,"ALAT","")</f>
        <v/>
      </c>
      <c r="G21" s="578"/>
      <c r="H21" s="271" t="str">
        <f>IF(I21,"ALAT","")</f>
        <v/>
      </c>
      <c r="I21" s="578"/>
      <c r="K21" s="271" t="str">
        <f>IF(L21,"Alat","")</f>
        <v/>
      </c>
      <c r="L21" s="578"/>
      <c r="M21" s="271" t="str">
        <f>IF(N21,"ALAT","")</f>
        <v/>
      </c>
      <c r="N21" s="578"/>
      <c r="O21" s="271" t="str">
        <f>IF(P21,"ALAT","")</f>
        <v/>
      </c>
      <c r="P21" s="578"/>
    </row>
    <row r="22" spans="2:16" x14ac:dyDescent="0.2">
      <c r="B22" s="271" t="str">
        <f>IF(C22,"GGT","")</f>
        <v/>
      </c>
      <c r="C22" s="578"/>
      <c r="D22" s="271" t="str">
        <f>IF(E22,"GGT","")</f>
        <v/>
      </c>
      <c r="E22" s="578"/>
      <c r="F22" s="271" t="str">
        <f>IF(G22,"GGT","")</f>
        <v/>
      </c>
      <c r="G22" s="578"/>
      <c r="H22" s="271" t="str">
        <f>IF(I22,"GGT","")</f>
        <v/>
      </c>
      <c r="I22" s="578"/>
      <c r="K22" s="271" t="str">
        <f>IF(L22,"GGT","")</f>
        <v/>
      </c>
      <c r="L22" s="578"/>
      <c r="M22" s="271" t="str">
        <f>IF(N22,"GGT","")</f>
        <v/>
      </c>
      <c r="N22" s="578"/>
      <c r="O22" s="271" t="str">
        <f>IF(P22,"GGT","")</f>
        <v/>
      </c>
      <c r="P22" s="578"/>
    </row>
    <row r="23" spans="2:16" x14ac:dyDescent="0.2">
      <c r="B23" s="271" t="str">
        <f>IF(C23,"AF","")</f>
        <v/>
      </c>
      <c r="C23" s="578"/>
      <c r="D23" s="271" t="str">
        <f>IF(E23,"AF","")</f>
        <v/>
      </c>
      <c r="E23" s="578"/>
      <c r="F23" s="271" t="str">
        <f>IF(G23,"AF","")</f>
        <v/>
      </c>
      <c r="G23" s="578"/>
      <c r="H23" s="271" t="str">
        <f>IF(I23,"AF","")</f>
        <v/>
      </c>
      <c r="I23" s="578"/>
      <c r="K23" s="271" t="str">
        <f>IF(L23,"AF","")</f>
        <v/>
      </c>
      <c r="L23" s="578"/>
      <c r="M23" s="271" t="str">
        <f>IF(N23,"AF","")</f>
        <v/>
      </c>
      <c r="N23" s="578"/>
      <c r="O23" s="271" t="str">
        <f>IF(P23,"AF","")</f>
        <v/>
      </c>
      <c r="P23" s="578"/>
    </row>
    <row r="24" spans="2:16" x14ac:dyDescent="0.2">
      <c r="B24" s="271" t="str">
        <f>IF(C24,"LDH","")</f>
        <v/>
      </c>
      <c r="C24" s="578"/>
      <c r="D24" s="271" t="str">
        <f>IF(E24,"LDH","")</f>
        <v/>
      </c>
      <c r="E24" s="578"/>
      <c r="F24" s="271" t="str">
        <f>IF(G24,"LDH","")</f>
        <v/>
      </c>
      <c r="G24" s="578"/>
      <c r="H24" s="271" t="str">
        <f>IF(I24,"LDH","")</f>
        <v/>
      </c>
      <c r="I24" s="578"/>
      <c r="K24" s="271" t="str">
        <f>IF(L24,"LDH","")</f>
        <v/>
      </c>
      <c r="L24" s="578"/>
      <c r="M24" s="271" t="str">
        <f>IF(N24,"LDH","")</f>
        <v/>
      </c>
      <c r="N24" s="578"/>
      <c r="O24" s="271" t="str">
        <f>IF(P24,"LDH","")</f>
        <v/>
      </c>
      <c r="P24" s="578"/>
    </row>
    <row r="25" spans="2:16" x14ac:dyDescent="0.2">
      <c r="B25" s="271" t="str">
        <f>IF(C25,"Bili","")</f>
        <v/>
      </c>
      <c r="C25" s="578"/>
      <c r="D25" s="271" t="str">
        <f>IF(E25,"Bili","")</f>
        <v/>
      </c>
      <c r="E25" s="578"/>
      <c r="F25" s="271" t="str">
        <f>IF(G25,"Bili","")</f>
        <v/>
      </c>
      <c r="G25" s="578"/>
      <c r="H25" s="271" t="str">
        <f>IF(I25,"Bili","")</f>
        <v/>
      </c>
      <c r="I25" s="578"/>
      <c r="K25" s="271" t="str">
        <f>IF(L25,"Blil","")</f>
        <v/>
      </c>
      <c r="L25" s="578"/>
      <c r="M25" s="271" t="str">
        <f>IF(N25,"Bili","")</f>
        <v/>
      </c>
      <c r="N25" s="578"/>
      <c r="O25" s="271" t="str">
        <f>IF(P25,"Bili","")</f>
        <v/>
      </c>
      <c r="P25" s="578"/>
    </row>
    <row r="26" spans="2:16" x14ac:dyDescent="0.2">
      <c r="B26" s="271" t="str">
        <f>IF(C26,"CK","")</f>
        <v/>
      </c>
      <c r="C26" s="578"/>
      <c r="D26" s="271" t="str">
        <f>IF(E26,"CK","")</f>
        <v/>
      </c>
      <c r="E26" s="578"/>
      <c r="F26" s="271" t="str">
        <f>IF(G26,"CK","")</f>
        <v/>
      </c>
      <c r="G26" s="578"/>
      <c r="H26" s="271" t="str">
        <f>IF(I26,"CK","")</f>
        <v/>
      </c>
      <c r="I26" s="578"/>
      <c r="K26" s="271" t="str">
        <f>IF(L26,"CK","")</f>
        <v/>
      </c>
      <c r="L26" s="578"/>
      <c r="M26" s="271" t="str">
        <f>IF(N26,"CK","")</f>
        <v/>
      </c>
      <c r="N26" s="578"/>
      <c r="O26" s="271" t="str">
        <f>IF(P26,"CK","")</f>
        <v/>
      </c>
      <c r="P26" s="578"/>
    </row>
    <row r="27" spans="2:16" x14ac:dyDescent="0.2">
      <c r="B27" s="271" t="str">
        <f>IF(C27,"TG","")</f>
        <v/>
      </c>
      <c r="C27" s="578"/>
      <c r="D27" s="271" t="str">
        <f>IF(E27,"TG","")</f>
        <v/>
      </c>
      <c r="E27" s="578"/>
      <c r="F27" s="271" t="str">
        <f>IF(G27,"TG","")</f>
        <v/>
      </c>
      <c r="G27" s="578"/>
      <c r="H27" s="271" t="str">
        <f>IF(I27,"TG","")</f>
        <v/>
      </c>
      <c r="I27" s="578"/>
      <c r="K27" s="271" t="str">
        <f>IF(L27,"TG","")</f>
        <v/>
      </c>
      <c r="L27" s="578"/>
      <c r="M27" s="271" t="str">
        <f>IF(N27,"TG","")</f>
        <v/>
      </c>
      <c r="N27" s="578"/>
      <c r="O27" s="271" t="str">
        <f>IF(P27,"TG","")</f>
        <v/>
      </c>
      <c r="P27" s="578"/>
    </row>
    <row r="28" spans="2:16" x14ac:dyDescent="0.2">
      <c r="B28" s="271" t="str">
        <f>IF(C28,"BG","")</f>
        <v/>
      </c>
      <c r="C28" s="578"/>
      <c r="D28" s="271" t="str">
        <f>IF(E28,"BG","")</f>
        <v/>
      </c>
      <c r="E28" s="578"/>
      <c r="F28" s="271" t="str">
        <f>IF(G28,"BG","")</f>
        <v/>
      </c>
      <c r="G28" s="578"/>
      <c r="H28" s="271" t="str">
        <f>IF(I28,"BG","")</f>
        <v/>
      </c>
      <c r="I28" s="578"/>
      <c r="K28" s="271" t="str">
        <f>IF(L28,"BG","")</f>
        <v/>
      </c>
      <c r="L28" s="578"/>
      <c r="M28" s="271" t="str">
        <f>IF(N28,"BG","")</f>
        <v/>
      </c>
      <c r="N28" s="578"/>
      <c r="O28" s="271" t="str">
        <f>IF(P28,"BG","")</f>
        <v/>
      </c>
      <c r="P28" s="578"/>
    </row>
    <row r="29" spans="2:16" x14ac:dyDescent="0.2">
      <c r="B29" s="271" t="str">
        <f>IF(C29,"PT","")</f>
        <v/>
      </c>
      <c r="C29" s="578"/>
      <c r="D29" s="271" t="str">
        <f>IF(E29,"PT","")</f>
        <v/>
      </c>
      <c r="E29" s="578"/>
      <c r="F29" s="271" t="str">
        <f>IF(G29,"PT","")</f>
        <v/>
      </c>
      <c r="G29" s="578"/>
      <c r="H29" s="271" t="str">
        <f>IF(I29,"PT","")</f>
        <v/>
      </c>
      <c r="I29" s="578"/>
      <c r="K29" s="271" t="str">
        <f>IF(L29,"PT","")</f>
        <v/>
      </c>
      <c r="L29" s="578"/>
      <c r="M29" s="271" t="str">
        <f>IF(N29,"PT","")</f>
        <v/>
      </c>
      <c r="N29" s="578"/>
      <c r="O29" s="271" t="str">
        <f>IF(P29,"PT","")</f>
        <v/>
      </c>
      <c r="P29" s="578"/>
    </row>
    <row r="30" spans="2:16" x14ac:dyDescent="0.2">
      <c r="B30" s="271" t="str">
        <f>IF(C30,"APTT","")</f>
        <v/>
      </c>
      <c r="C30" s="578"/>
      <c r="D30" s="271" t="str">
        <f>IF(E30,"APTT","")</f>
        <v/>
      </c>
      <c r="E30" s="578"/>
      <c r="F30" s="271" t="str">
        <f>IF(G30,"APTT","")</f>
        <v/>
      </c>
      <c r="G30" s="578"/>
      <c r="H30" s="271" t="str">
        <f>IF(I30,"APTT","")</f>
        <v/>
      </c>
      <c r="I30" s="578"/>
      <c r="K30" s="271" t="str">
        <f>IF(L30,"APTT","")</f>
        <v/>
      </c>
      <c r="L30" s="578"/>
      <c r="M30" s="271" t="str">
        <f>IF(N30,"APTT","")</f>
        <v/>
      </c>
      <c r="N30" s="578"/>
      <c r="O30" s="271" t="str">
        <f>IF(P30,"APTT","")</f>
        <v/>
      </c>
      <c r="P30" s="578"/>
    </row>
    <row r="31" spans="2:16" x14ac:dyDescent="0.2">
      <c r="B31" s="271" t="str">
        <f>IF(C31,"d-dimeren","")</f>
        <v/>
      </c>
      <c r="C31" s="578"/>
      <c r="D31" s="271" t="str">
        <f>IF(E31,"d-dimeren","")</f>
        <v/>
      </c>
      <c r="E31" s="578"/>
      <c r="F31" s="271" t="str">
        <f>IF(G31,"d-dimeren","")</f>
        <v/>
      </c>
      <c r="G31" s="578"/>
      <c r="H31" s="271" t="str">
        <f>IF(I31,"d-dimeren","")</f>
        <v/>
      </c>
      <c r="I31" s="578"/>
      <c r="K31" s="271" t="str">
        <f>IF(L31,"d-dimeren","")</f>
        <v/>
      </c>
      <c r="L31" s="578"/>
      <c r="M31" s="271" t="str">
        <f>IF(N31,"d-dimeren","")</f>
        <v/>
      </c>
      <c r="N31" s="578"/>
      <c r="O31" s="271" t="str">
        <f>IF(P31,"d-dimeren","")</f>
        <v/>
      </c>
      <c r="P31" s="578"/>
    </row>
    <row r="32" spans="2:16" x14ac:dyDescent="0.2">
      <c r="B32" s="271" t="str">
        <f>IF(C32,"INR","")</f>
        <v/>
      </c>
      <c r="C32" s="578"/>
      <c r="D32" s="271" t="str">
        <f>IF(E32,"INR","")</f>
        <v/>
      </c>
      <c r="E32" s="578"/>
      <c r="F32" s="271" t="str">
        <f t="shared" ref="F32" si="1">IF(G32,"INR","")</f>
        <v/>
      </c>
      <c r="G32" s="578"/>
      <c r="H32" s="271" t="str">
        <f t="shared" ref="H32" si="2">IF(I32,"INR","")</f>
        <v/>
      </c>
      <c r="I32" s="578"/>
      <c r="K32" s="271" t="str">
        <f t="shared" ref="K32:K35" si="3">IF(L32,"INR","")</f>
        <v/>
      </c>
      <c r="L32" s="578"/>
      <c r="M32" s="271" t="str">
        <f>IF(N32,"INR","")</f>
        <v/>
      </c>
      <c r="N32" s="578"/>
      <c r="O32" s="271" t="str">
        <f>IF(P32,"INR","")</f>
        <v/>
      </c>
      <c r="P32" s="578"/>
    </row>
    <row r="33" spans="2:16" x14ac:dyDescent="0.2">
      <c r="B33" s="271" t="str">
        <f>IF(C33,"Hep-ratio","")</f>
        <v/>
      </c>
      <c r="C33" s="578"/>
      <c r="D33" s="271" t="str">
        <f>IF(E33,"Hep-ratio","")</f>
        <v/>
      </c>
      <c r="E33" s="578"/>
      <c r="F33" s="271" t="str">
        <f>IF(G33,"Hep-ratio","")</f>
        <v/>
      </c>
      <c r="G33" s="578"/>
      <c r="H33" s="271" t="str">
        <f>IF(I33,"Hep-ratio","")</f>
        <v/>
      </c>
      <c r="I33" s="578"/>
      <c r="K33" s="271" t="str">
        <f>IF(L33,"Hep-ratio","")</f>
        <v/>
      </c>
      <c r="L33" s="578"/>
      <c r="M33" s="271" t="str">
        <f>IF(N33,"Hep-ratio","")</f>
        <v/>
      </c>
      <c r="N33" s="578"/>
      <c r="O33" s="271" t="str">
        <f>IF(P33,"Hep-ratio","")</f>
        <v/>
      </c>
      <c r="P33" s="578"/>
    </row>
    <row r="34" spans="2:16" x14ac:dyDescent="0.2">
      <c r="B34" s="271" t="str">
        <f>IF(C34,"BNP","")</f>
        <v/>
      </c>
      <c r="C34" s="578"/>
      <c r="D34" s="271" t="str">
        <f>IF(E34,"BNP","")</f>
        <v/>
      </c>
      <c r="E34" s="578"/>
      <c r="F34" s="271" t="str">
        <f>IF(G34,"BNP","")</f>
        <v/>
      </c>
      <c r="G34" s="578"/>
      <c r="H34" s="271" t="str">
        <f>IF(I34,"BNP","")</f>
        <v/>
      </c>
      <c r="I34" s="578"/>
      <c r="K34" s="271" t="str">
        <f>IF(L34,"BNP","")</f>
        <v/>
      </c>
      <c r="L34" s="578"/>
      <c r="M34" s="271" t="str">
        <f>IF(N34,"BNP","")</f>
        <v/>
      </c>
      <c r="N34" s="578"/>
      <c r="O34" s="271" t="str">
        <f>IF(P34,"BNP","")</f>
        <v/>
      </c>
      <c r="P34" s="578"/>
    </row>
    <row r="35" spans="2:16" x14ac:dyDescent="0.2">
      <c r="B35" s="271" t="str">
        <f>IF(C35,"ACT","")</f>
        <v/>
      </c>
      <c r="C35" s="578"/>
      <c r="K35" s="271" t="str">
        <f t="shared" si="3"/>
        <v/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Ped">
    <tabColor rgb="FF7030A0"/>
  </sheetPr>
  <dimension ref="A1:Q77"/>
  <sheetViews>
    <sheetView workbookViewId="0">
      <selection activeCell="A6" sqref="A6"/>
    </sheetView>
  </sheetViews>
  <sheetFormatPr defaultRowHeight="12.75" x14ac:dyDescent="0.2"/>
  <cols>
    <col min="1" max="1" width="9.85546875" style="559" customWidth="1"/>
    <col min="2" max="2" width="25" style="559" customWidth="1"/>
    <col min="3" max="3" width="16.28515625" style="559" customWidth="1"/>
    <col min="4" max="4" width="16.7109375" style="559" customWidth="1"/>
    <col min="5" max="5" width="15" style="559" bestFit="1" customWidth="1"/>
    <col min="6" max="6" width="21.85546875" style="559" bestFit="1" customWidth="1"/>
    <col min="7" max="7" width="21.5703125" style="559" customWidth="1"/>
    <col min="8" max="8" width="11.5703125" style="559" customWidth="1"/>
    <col min="9" max="9" width="27" style="559" customWidth="1"/>
    <col min="10" max="10" width="15.5703125" style="559" customWidth="1"/>
    <col min="11" max="11" width="13" style="559" customWidth="1"/>
    <col min="12" max="45" width="9.140625" style="559" customWidth="1"/>
    <col min="46" max="16384" width="9.140625" style="559"/>
  </cols>
  <sheetData>
    <row r="1" spans="1:17" s="566" customFormat="1" x14ac:dyDescent="0.2">
      <c r="A1" s="588"/>
    </row>
    <row r="2" spans="1:17" s="566" customFormat="1" ht="17.25" customHeight="1" x14ac:dyDescent="0.2">
      <c r="B2" s="567" t="s">
        <v>624</v>
      </c>
      <c r="C2" s="568">
        <f ca="1">AfspraakDatum</f>
        <v>42703</v>
      </c>
      <c r="D2" s="569"/>
      <c r="E2" s="567" t="s">
        <v>625</v>
      </c>
      <c r="F2" s="570">
        <f>OpnDatum</f>
        <v>42698</v>
      </c>
      <c r="G2" s="567" t="str">
        <f ca="1">"ICU-dag: "&amp;AfspraakDatum-OpnDatum+1</f>
        <v>ICU-dag: 6</v>
      </c>
      <c r="H2" s="567"/>
      <c r="I2" s="567" t="s">
        <v>1004</v>
      </c>
      <c r="J2" s="571" t="str">
        <f>BedNummer</f>
        <v>Unit 2.9</v>
      </c>
    </row>
    <row r="3" spans="1:17" s="566" customFormat="1" ht="17.25" customHeight="1" x14ac:dyDescent="0.2">
      <c r="B3" s="567" t="s">
        <v>54</v>
      </c>
      <c r="C3" s="572" t="str">
        <f>_AchterNaam&amp;", "&amp;_VoorNaam</f>
        <v>Test, Test</v>
      </c>
      <c r="D3" s="572"/>
      <c r="E3" s="567" t="s">
        <v>639</v>
      </c>
      <c r="F3" s="570">
        <f>GebDatum</f>
        <v>42280</v>
      </c>
      <c r="G3" s="571" t="str">
        <f>"Gewicht: "&amp;Gewicht/10&amp;" kg"</f>
        <v>Gewicht: 10 kg</v>
      </c>
      <c r="H3" s="567"/>
      <c r="I3" s="571" t="str">
        <f>"Lengte: "&amp;Lengte&amp;" cm"</f>
        <v>Lengte: 80 cm</v>
      </c>
      <c r="J3" s="567"/>
    </row>
    <row r="4" spans="1:17" s="566" customFormat="1" ht="17.25" customHeight="1" x14ac:dyDescent="0.2">
      <c r="A4" s="573"/>
      <c r="B4" s="567" t="s">
        <v>708</v>
      </c>
      <c r="C4" s="571">
        <f>PatNummer</f>
        <v>123456</v>
      </c>
      <c r="D4" s="569"/>
      <c r="E4" s="567" t="s">
        <v>574</v>
      </c>
      <c r="F4" s="574" t="str">
        <f ca="1">TRUNC((AfspraakDatum-GebDatum)/365,0)&amp;" jaar en "&amp;TRUNC(((AfspraakDatum-GebDatum)-365*TRUNC((AfspraakDatum-GebDatum)/365,0))/30,0)&amp;" maand(-en)"</f>
        <v>1 jaar en 1 maand(-en)</v>
      </c>
      <c r="G4" s="567"/>
      <c r="I4" s="567" t="str">
        <f>"Lichamelijk oppervlak: "&amp;ROUND(POWER(Gewicht/10,0.425)*POWER(((Lengte/100)*100),0.725)*0.007184,2)&amp;" m2"</f>
        <v>Lichamelijk oppervlak: 0,46 m2</v>
      </c>
      <c r="J4" s="567"/>
    </row>
    <row r="6" spans="1:17" x14ac:dyDescent="0.2">
      <c r="A6" s="581"/>
      <c r="B6" s="558" t="s">
        <v>1477</v>
      </c>
      <c r="F6" s="558" t="s">
        <v>1484</v>
      </c>
      <c r="H6" s="558"/>
      <c r="Q6" s="562"/>
    </row>
    <row r="7" spans="1:17" ht="18" customHeight="1" x14ac:dyDescent="0.2">
      <c r="Q7" s="562"/>
    </row>
    <row r="8" spans="1:17" ht="18" customHeight="1" x14ac:dyDescent="0.2">
      <c r="C8" s="617" t="str">
        <f>IF(ber_AanvullendeAfsprakenPed!C7=0,"",ber_AanvullendeAfsprakenPed!C7)</f>
        <v/>
      </c>
      <c r="G8" s="576"/>
      <c r="Q8" s="562"/>
    </row>
    <row r="9" spans="1:17" ht="18" customHeight="1" x14ac:dyDescent="0.2">
      <c r="C9" s="617" t="str">
        <f>IF(ber_AanvullendeAfsprakenPed!C8=0,"",ber_AanvullendeAfsprakenPed!C8)</f>
        <v/>
      </c>
      <c r="G9" s="550" t="str">
        <f>CONCATENATE("à ",ber_AanvullendeAfsprakenPed!G16," uur")</f>
        <v>à  uur</v>
      </c>
      <c r="H9"/>
    </row>
    <row r="10" spans="1:17" ht="18" customHeight="1" x14ac:dyDescent="0.2">
      <c r="C10" s="617" t="str">
        <f>IF(ber_AanvullendeAfsprakenPed!C9=0,"",ber_AanvullendeAfsprakenPed!C9)</f>
        <v/>
      </c>
      <c r="G10" s="550" t="str">
        <f>CONCATENATE("à ",ber_AanvullendeAfsprakenPed!G18," uur")</f>
        <v>à  uur</v>
      </c>
      <c r="H10" s="624" t="s">
        <v>1750</v>
      </c>
      <c r="I10" s="625" t="str">
        <f>IF(Aanvullend_Verliezen_Ped=0,"",Aanvullend_Verliezen_Ped)</f>
        <v/>
      </c>
      <c r="J10" s="622"/>
      <c r="K10" s="622"/>
    </row>
    <row r="11" spans="1:17" ht="18" customHeight="1" x14ac:dyDescent="0.2">
      <c r="C11" s="575" t="str">
        <f>CONCATENATE(ber_AanvullendeAfsprakenPed!$B$12," dd")</f>
        <v xml:space="preserve"> dd</v>
      </c>
      <c r="D11" s="576"/>
      <c r="F11" s="584"/>
      <c r="I11" s="622"/>
      <c r="J11" s="622"/>
      <c r="K11" s="622"/>
    </row>
    <row r="12" spans="1:17" ht="18" customHeight="1" x14ac:dyDescent="0.2">
      <c r="F12" s="584"/>
      <c r="I12" s="622"/>
      <c r="J12" s="622"/>
      <c r="K12" s="622"/>
    </row>
    <row r="13" spans="1:17" ht="18" customHeight="1" x14ac:dyDescent="0.2">
      <c r="F13" s="584"/>
      <c r="I13" s="623"/>
      <c r="M13" s="562"/>
    </row>
    <row r="14" spans="1:17" ht="18" customHeight="1" x14ac:dyDescent="0.2">
      <c r="F14" s="584"/>
      <c r="M14" s="562"/>
    </row>
    <row r="15" spans="1:17" ht="18" customHeight="1" x14ac:dyDescent="0.2">
      <c r="F15" s="584"/>
    </row>
    <row r="16" spans="1:17" ht="18" customHeight="1" x14ac:dyDescent="0.2">
      <c r="F16" s="584"/>
      <c r="M16" s="562"/>
    </row>
    <row r="17" spans="1:14" ht="18" customHeight="1" x14ac:dyDescent="0.2">
      <c r="F17" s="584" t="s">
        <v>1658</v>
      </c>
      <c r="M17" s="562"/>
    </row>
    <row r="18" spans="1:14" ht="18" customHeight="1" x14ac:dyDescent="0.2">
      <c r="C18" s="575" t="str">
        <f>CONCATENATE(ber_AanvullendeAfsprakenPed!$C$42," dd")</f>
        <v xml:space="preserve"> dd</v>
      </c>
      <c r="F18" s="839" t="str">
        <f>IF(Aanvullend_Overige_Ped=0,"",Aanvullend_Overige_Ped)</f>
        <v/>
      </c>
      <c r="G18" s="839"/>
      <c r="H18" s="839"/>
      <c r="K18" s="575"/>
      <c r="M18" s="562"/>
      <c r="N18" s="562"/>
    </row>
    <row r="19" spans="1:14" ht="18" customHeight="1" x14ac:dyDescent="0.2">
      <c r="C19" s="575" t="str">
        <f>CONCATENATE(ber_AanvullendeAfsprakenPed!$C$43," dd")</f>
        <v xml:space="preserve"> dd</v>
      </c>
      <c r="F19" s="839"/>
      <c r="G19" s="839"/>
      <c r="H19" s="839"/>
      <c r="K19" s="576"/>
      <c r="N19" s="562"/>
    </row>
    <row r="20" spans="1:14" ht="18" customHeight="1" x14ac:dyDescent="0.2">
      <c r="F20" s="839"/>
      <c r="G20" s="839"/>
      <c r="H20" s="839"/>
      <c r="K20" s="575"/>
      <c r="M20" s="562"/>
      <c r="N20" s="562"/>
    </row>
    <row r="21" spans="1:14" ht="18" customHeight="1" x14ac:dyDescent="0.2">
      <c r="F21" s="584"/>
      <c r="G21" s="610"/>
      <c r="H21" s="583"/>
      <c r="M21" s="562"/>
      <c r="N21" s="562"/>
    </row>
    <row r="22" spans="1:14" ht="18" customHeight="1" x14ac:dyDescent="0.2">
      <c r="B22" s="558" t="s">
        <v>1483</v>
      </c>
      <c r="F22" s="584"/>
      <c r="G22" s="610"/>
      <c r="H22" s="583"/>
      <c r="M22" s="562"/>
    </row>
    <row r="23" spans="1:14" ht="18" customHeight="1" x14ac:dyDescent="0.2">
      <c r="F23" s="584"/>
      <c r="G23" s="610"/>
      <c r="H23" s="583"/>
      <c r="M23" s="562"/>
    </row>
    <row r="24" spans="1:14" ht="18" customHeight="1" x14ac:dyDescent="0.2">
      <c r="F24" s="584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558" t="s">
        <v>1726</v>
      </c>
    </row>
    <row r="29" spans="1:14" ht="18" customHeight="1" x14ac:dyDescent="0.2">
      <c r="A29" s="517"/>
    </row>
    <row r="30" spans="1:14" ht="18" customHeight="1" x14ac:dyDescent="0.2">
      <c r="A30" s="517"/>
      <c r="E30" s="584"/>
    </row>
    <row r="31" spans="1:14" ht="18" customHeight="1" x14ac:dyDescent="0.2">
      <c r="A31" s="517"/>
      <c r="E31" s="584"/>
      <c r="M31" s="562"/>
    </row>
    <row r="32" spans="1:14" ht="18" customHeight="1" x14ac:dyDescent="0.2">
      <c r="A32" s="517"/>
      <c r="B32" s="518"/>
      <c r="C32" s="518"/>
      <c r="D32" s="517"/>
      <c r="E32" s="517"/>
      <c r="M32" s="562"/>
    </row>
    <row r="33" spans="2:13" ht="18" customHeight="1" x14ac:dyDescent="0.2">
      <c r="B33" s="518"/>
      <c r="C33" s="518"/>
      <c r="D33" s="517"/>
      <c r="E33" s="517"/>
      <c r="M33" s="562"/>
    </row>
    <row r="34" spans="2:13" ht="18" customHeight="1" x14ac:dyDescent="0.2">
      <c r="B34" s="518"/>
      <c r="C34" s="518"/>
      <c r="D34" s="517"/>
      <c r="E34" s="517"/>
      <c r="M34" s="562"/>
    </row>
    <row r="35" spans="2:13" ht="18" customHeight="1" x14ac:dyDescent="0.2">
      <c r="B35" s="518"/>
      <c r="C35" s="518"/>
      <c r="D35" s="618">
        <f>ber_AanvullendeAfsprakenPed!D40</f>
        <v>0</v>
      </c>
      <c r="E35" s="517" t="s">
        <v>1728</v>
      </c>
      <c r="M35" s="562"/>
    </row>
    <row r="36" spans="2:13" ht="18" customHeight="1" x14ac:dyDescent="0.2">
      <c r="E36" s="584"/>
      <c r="M36" s="562"/>
    </row>
    <row r="37" spans="2:13" ht="18" customHeight="1" x14ac:dyDescent="0.2">
      <c r="M37" s="562"/>
    </row>
    <row r="38" spans="2:13" ht="18" customHeight="1" x14ac:dyDescent="0.2">
      <c r="E38" s="584"/>
      <c r="M38" s="562"/>
    </row>
    <row r="39" spans="2:13" ht="18" customHeight="1" x14ac:dyDescent="0.2">
      <c r="M39" s="562"/>
    </row>
    <row r="40" spans="2:13" ht="18" customHeight="1" x14ac:dyDescent="0.2">
      <c r="B40" s="558" t="s">
        <v>1322</v>
      </c>
      <c r="M40" s="562"/>
    </row>
    <row r="41" spans="2:13" ht="18" customHeight="1" x14ac:dyDescent="0.2">
      <c r="B41" s="562" t="s">
        <v>1477</v>
      </c>
      <c r="C41" s="559" t="str">
        <f>IFERROR(LEFT(_Aanvullend_Controles_Ped,LEN(_Aanvullend_Controles_Ped)-3),"")</f>
        <v/>
      </c>
      <c r="M41" s="562"/>
    </row>
    <row r="42" spans="2:13" ht="18" customHeight="1" x14ac:dyDescent="0.2">
      <c r="B42" s="562" t="s">
        <v>1483</v>
      </c>
      <c r="C42" s="559" t="str">
        <f>IFERROR(LEFT(_Aanvullend_Onderzoek_Ped,LEN(_Aanvullend_Onderzoek_Ped)-3),"")</f>
        <v/>
      </c>
    </row>
    <row r="43" spans="2:13" ht="18" customHeight="1" x14ac:dyDescent="0.2">
      <c r="B43" s="559" t="s">
        <v>1726</v>
      </c>
      <c r="C43" s="559" t="str">
        <f>IFERROR(LEFT(_Aanvullend_Instellingen_Ped,LEN(_Aanvullend_Instellingen_Ped)-3),"")</f>
        <v/>
      </c>
      <c r="M43" s="562"/>
    </row>
    <row r="44" spans="2:13" ht="18" customHeight="1" x14ac:dyDescent="0.2">
      <c r="B44" s="562" t="s">
        <v>1335</v>
      </c>
      <c r="C44" s="559" t="str">
        <f>IFERROR(LEFT(_Aanvullend_Overig_Ped,LEN(_Aanvullend_Overig_Ped)-3),"")</f>
        <v/>
      </c>
      <c r="M44" s="562"/>
    </row>
    <row r="45" spans="2:13" ht="18" customHeight="1" x14ac:dyDescent="0.2">
      <c r="M45" s="562"/>
    </row>
    <row r="46" spans="2:13" ht="18" customHeight="1" x14ac:dyDescent="0.2">
      <c r="M46" s="562"/>
    </row>
    <row r="47" spans="2:13" ht="18" customHeight="1" x14ac:dyDescent="0.2">
      <c r="M47" s="562"/>
    </row>
    <row r="48" spans="2:13" ht="18" customHeight="1" x14ac:dyDescent="0.2"/>
    <row r="49" spans="13:13" ht="18" customHeight="1" x14ac:dyDescent="0.2"/>
    <row r="50" spans="13:13" ht="18" customHeight="1" x14ac:dyDescent="0.2">
      <c r="M50" s="577"/>
    </row>
    <row r="51" spans="13:13" ht="18" customHeight="1" x14ac:dyDescent="0.2"/>
    <row r="52" spans="13:13" ht="18" customHeight="1" x14ac:dyDescent="0.2"/>
    <row r="53" spans="13:13" ht="18" customHeight="1" x14ac:dyDescent="0.2"/>
    <row r="54" spans="13:13" ht="18" customHeight="1" x14ac:dyDescent="0.2"/>
    <row r="55" spans="13:13" ht="18" customHeight="1" x14ac:dyDescent="0.2"/>
    <row r="56" spans="13:13" ht="18" customHeight="1" x14ac:dyDescent="0.2"/>
    <row r="57" spans="13:13" ht="18" customHeight="1" x14ac:dyDescent="0.2"/>
    <row r="58" spans="13:13" ht="18" customHeight="1" x14ac:dyDescent="0.2"/>
    <row r="59" spans="13:13" ht="18" customHeight="1" x14ac:dyDescent="0.2"/>
    <row r="60" spans="13:13" ht="18" customHeight="1" x14ac:dyDescent="0.2"/>
    <row r="61" spans="13:13" ht="18" customHeight="1" x14ac:dyDescent="0.2"/>
    <row r="62" spans="13:13" ht="18" customHeight="1" x14ac:dyDescent="0.2"/>
    <row r="63" spans="13:13" ht="18" customHeight="1" x14ac:dyDescent="0.2"/>
    <row r="64" spans="13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1495425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3</xdr:col>
                    <xdr:colOff>142875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3</xdr:col>
                    <xdr:colOff>142875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3</xdr:col>
                    <xdr:colOff>142875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1495425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1495425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Ped">
    <tabColor rgb="FF92D050"/>
  </sheetPr>
  <dimension ref="A1:H95"/>
  <sheetViews>
    <sheetView topLeftCell="A2" zoomScaleNormal="100" workbookViewId="0">
      <selection activeCell="C43" activeCellId="25" sqref="D7 D8 D9 D10 B12 D27 D28 D29 D30 D31 D32 D33 D34 D35 D39 D40 F17 C7 C8 C9 C10 G16 G18 H18 C42 C43"/>
    </sheetView>
  </sheetViews>
  <sheetFormatPr defaultRowHeight="12.75" x14ac:dyDescent="0.2"/>
  <cols>
    <col min="1" max="1" width="34.7109375" style="559" bestFit="1" customWidth="1"/>
    <col min="2" max="2" width="9.140625" style="559"/>
    <col min="3" max="3" width="14" style="559" customWidth="1"/>
    <col min="4" max="4" width="9.140625" style="560"/>
    <col min="5" max="5" width="28" style="565" bestFit="1" customWidth="1"/>
    <col min="6" max="6" width="9.140625" style="559"/>
    <col min="7" max="7" width="13.5703125" style="559" customWidth="1"/>
    <col min="8" max="16384" width="9.140625" style="559"/>
  </cols>
  <sheetData>
    <row r="1" spans="1:8" x14ac:dyDescent="0.2">
      <c r="A1" s="581"/>
    </row>
    <row r="6" spans="1:8" x14ac:dyDescent="0.2">
      <c r="A6" s="601" t="s">
        <v>1477</v>
      </c>
      <c r="E6" s="561" t="s">
        <v>1335</v>
      </c>
    </row>
    <row r="7" spans="1:8" x14ac:dyDescent="0.2">
      <c r="A7" s="562" t="s">
        <v>573</v>
      </c>
      <c r="B7" s="581"/>
      <c r="C7" s="581"/>
      <c r="D7" s="582"/>
      <c r="E7" s="563" t="s">
        <v>1321</v>
      </c>
      <c r="F7" s="581"/>
    </row>
    <row r="8" spans="1:8" x14ac:dyDescent="0.2">
      <c r="A8" s="562" t="s">
        <v>266</v>
      </c>
      <c r="B8" s="581"/>
      <c r="C8" s="581"/>
      <c r="D8" s="582"/>
      <c r="E8" s="563" t="s">
        <v>1331</v>
      </c>
      <c r="F8" s="581"/>
    </row>
    <row r="9" spans="1:8" x14ac:dyDescent="0.2">
      <c r="A9" s="559" t="s">
        <v>1655</v>
      </c>
      <c r="B9" s="581"/>
      <c r="C9" s="581"/>
      <c r="D9" s="582"/>
      <c r="E9" s="563" t="s">
        <v>1735</v>
      </c>
      <c r="F9" s="581"/>
    </row>
    <row r="10" spans="1:8" x14ac:dyDescent="0.2">
      <c r="A10" s="559" t="s">
        <v>1714</v>
      </c>
      <c r="B10" s="581"/>
      <c r="C10" s="581"/>
      <c r="D10" s="582"/>
      <c r="E10" s="563" t="s">
        <v>1736</v>
      </c>
      <c r="F10" s="581"/>
    </row>
    <row r="11" spans="1:8" x14ac:dyDescent="0.2">
      <c r="A11" s="562" t="s">
        <v>1535</v>
      </c>
      <c r="B11" s="581"/>
      <c r="C11" s="562" t="s">
        <v>1479</v>
      </c>
      <c r="D11" s="582"/>
      <c r="E11" s="563" t="s">
        <v>1737</v>
      </c>
      <c r="F11" s="581"/>
    </row>
    <row r="12" spans="1:8" x14ac:dyDescent="0.2">
      <c r="A12" s="562" t="s">
        <v>1537</v>
      </c>
      <c r="B12" s="619"/>
      <c r="C12" s="564" t="s">
        <v>1480</v>
      </c>
      <c r="D12" s="582"/>
      <c r="E12" s="563" t="s">
        <v>1329</v>
      </c>
      <c r="F12" s="581"/>
    </row>
    <row r="13" spans="1:8" x14ac:dyDescent="0.2">
      <c r="B13" s="581"/>
      <c r="C13" s="562" t="s">
        <v>1481</v>
      </c>
      <c r="D13" s="582"/>
      <c r="E13" s="565" t="s">
        <v>1738</v>
      </c>
      <c r="F13" s="581"/>
    </row>
    <row r="14" spans="1:8" x14ac:dyDescent="0.2">
      <c r="B14" s="581"/>
      <c r="C14" s="562" t="s">
        <v>1482</v>
      </c>
      <c r="D14" s="582"/>
      <c r="E14" s="565" t="s">
        <v>1739</v>
      </c>
      <c r="F14" s="581"/>
    </row>
    <row r="15" spans="1:8" x14ac:dyDescent="0.2">
      <c r="A15" s="562" t="s">
        <v>1536</v>
      </c>
      <c r="B15" s="581"/>
      <c r="D15" s="582"/>
      <c r="E15" s="565" t="s">
        <v>1740</v>
      </c>
      <c r="F15" s="581"/>
    </row>
    <row r="16" spans="1:8" x14ac:dyDescent="0.2">
      <c r="A16" s="559" t="s">
        <v>1277</v>
      </c>
      <c r="B16" s="581"/>
      <c r="D16" s="582"/>
      <c r="E16" s="563" t="s">
        <v>1749</v>
      </c>
      <c r="F16" s="581"/>
      <c r="G16" s="581"/>
      <c r="H16" s="562"/>
    </row>
    <row r="17" spans="1:8" x14ac:dyDescent="0.2">
      <c r="A17" s="562" t="s">
        <v>1276</v>
      </c>
      <c r="B17" s="581"/>
      <c r="D17" s="582"/>
      <c r="E17" s="563" t="s">
        <v>1335</v>
      </c>
      <c r="F17" s="581"/>
    </row>
    <row r="18" spans="1:8" x14ac:dyDescent="0.2">
      <c r="E18" s="563" t="s">
        <v>1641</v>
      </c>
      <c r="F18" s="581"/>
      <c r="G18" s="581"/>
      <c r="H18" s="581"/>
    </row>
    <row r="19" spans="1:8" x14ac:dyDescent="0.2">
      <c r="A19" s="558" t="s">
        <v>1483</v>
      </c>
      <c r="B19" s="581"/>
      <c r="E19" s="563"/>
    </row>
    <row r="20" spans="1:8" x14ac:dyDescent="0.2">
      <c r="A20" s="562" t="s">
        <v>1712</v>
      </c>
      <c r="B20" s="581"/>
      <c r="D20" s="582"/>
      <c r="E20" s="563"/>
    </row>
    <row r="21" spans="1:8" x14ac:dyDescent="0.2">
      <c r="A21" s="562" t="s">
        <v>64</v>
      </c>
      <c r="B21" s="581"/>
      <c r="D21" s="582"/>
    </row>
    <row r="22" spans="1:8" x14ac:dyDescent="0.2">
      <c r="A22" s="562" t="s">
        <v>1538</v>
      </c>
      <c r="B22" s="581"/>
      <c r="D22" s="582"/>
    </row>
    <row r="23" spans="1:8" x14ac:dyDescent="0.2">
      <c r="A23" s="562" t="s">
        <v>1539</v>
      </c>
      <c r="B23" s="581"/>
      <c r="D23" s="582"/>
    </row>
    <row r="24" spans="1:8" x14ac:dyDescent="0.2">
      <c r="A24" s="559" t="s">
        <v>1741</v>
      </c>
      <c r="B24" s="581"/>
      <c r="D24" s="582"/>
    </row>
    <row r="25" spans="1:8" x14ac:dyDescent="0.2">
      <c r="A25" s="559" t="s">
        <v>1742</v>
      </c>
      <c r="B25" s="581"/>
      <c r="D25" s="582"/>
    </row>
    <row r="26" spans="1:8" x14ac:dyDescent="0.2">
      <c r="A26" s="558" t="s">
        <v>1726</v>
      </c>
      <c r="B26" s="581"/>
      <c r="D26" s="582"/>
    </row>
    <row r="27" spans="1:8" x14ac:dyDescent="0.2">
      <c r="A27" s="562" t="s">
        <v>1540</v>
      </c>
      <c r="B27" s="581"/>
      <c r="C27" s="559" t="str">
        <f t="shared" ref="C27:C35" si="0">IF(OR(D27=0,D27=1,D27=""),"",INDEX(Aanvullend_ThoraxDrainSub2,D27,0))</f>
        <v/>
      </c>
      <c r="D27" s="581"/>
    </row>
    <row r="28" spans="1:8" x14ac:dyDescent="0.2">
      <c r="B28" s="581"/>
      <c r="C28" s="559" t="str">
        <f>IF(OR(D28=0,D28=1,D28=""),"",INDEX(Aanvullend_ThoraxDrainSub3,D28,0))</f>
        <v/>
      </c>
      <c r="D28" s="581"/>
    </row>
    <row r="29" spans="1:8" x14ac:dyDescent="0.2">
      <c r="B29" s="581"/>
      <c r="C29" s="559" t="str">
        <f>IF(OR(D29=0,D29=1,D29=""),"",INDEX(Aanvullend_ThoraxDrainSub1,D29,0))</f>
        <v/>
      </c>
      <c r="D29" s="581"/>
    </row>
    <row r="30" spans="1:8" x14ac:dyDescent="0.2">
      <c r="A30" s="562" t="s">
        <v>1638</v>
      </c>
      <c r="B30" s="581"/>
      <c r="C30" s="559" t="str">
        <f t="shared" si="0"/>
        <v/>
      </c>
      <c r="D30" s="581"/>
    </row>
    <row r="31" spans="1:8" x14ac:dyDescent="0.2">
      <c r="B31" s="581"/>
      <c r="C31" s="559" t="str">
        <f>IF(OR(D31=0,D31=1,D31=""),"",INDEX(Aanvullend_ThoraxDrainSub3,D31,0))</f>
        <v/>
      </c>
      <c r="D31" s="581"/>
    </row>
    <row r="32" spans="1:8" x14ac:dyDescent="0.2">
      <c r="B32" s="581"/>
      <c r="C32" s="559" t="str">
        <f>IF(OR(D32=0,D32=1,D32=""),"",INDEX(Aanvullend_ThoraxDrainSub1,D32,0))</f>
        <v/>
      </c>
      <c r="D32" s="581"/>
    </row>
    <row r="33" spans="1:5" x14ac:dyDescent="0.2">
      <c r="A33" s="562" t="s">
        <v>1729</v>
      </c>
      <c r="B33" s="581"/>
      <c r="C33" s="559" t="str">
        <f t="shared" si="0"/>
        <v/>
      </c>
      <c r="D33" s="581"/>
    </row>
    <row r="34" spans="1:5" x14ac:dyDescent="0.2">
      <c r="B34" s="581"/>
      <c r="C34" s="559" t="str">
        <f t="shared" si="0"/>
        <v/>
      </c>
      <c r="D34" s="581"/>
    </row>
    <row r="35" spans="1:5" x14ac:dyDescent="0.2">
      <c r="B35" s="581"/>
      <c r="C35" s="559" t="str">
        <f t="shared" si="0"/>
        <v/>
      </c>
      <c r="D35" s="581"/>
    </row>
    <row r="36" spans="1:5" x14ac:dyDescent="0.2">
      <c r="A36" s="556" t="s">
        <v>1333</v>
      </c>
      <c r="B36" s="579"/>
      <c r="C36" s="518" t="s">
        <v>1730</v>
      </c>
      <c r="D36" s="580"/>
      <c r="E36" s="565" t="str">
        <f>IF(B36,CONCATENATE(A36,IF(D36,CONCATENATE(" (",C36,")"),"")," - "),"")</f>
        <v/>
      </c>
    </row>
    <row r="37" spans="1:5" x14ac:dyDescent="0.2">
      <c r="A37" s="518" t="s">
        <v>1657</v>
      </c>
      <c r="B37" s="579"/>
      <c r="C37" s="518" t="s">
        <v>1730</v>
      </c>
      <c r="D37" s="579"/>
      <c r="E37" s="565" t="str">
        <f t="shared" ref="E37:E38" si="1">IF(B37,CONCATENATE(A37,IF(D37,CONCATENATE(" (",C37,")"),"")," - "),"")</f>
        <v/>
      </c>
    </row>
    <row r="38" spans="1:5" x14ac:dyDescent="0.2">
      <c r="A38" s="556" t="s">
        <v>1332</v>
      </c>
      <c r="B38" s="579"/>
      <c r="C38" s="518" t="s">
        <v>1730</v>
      </c>
      <c r="D38" s="579"/>
      <c r="E38" s="565" t="str">
        <f t="shared" si="1"/>
        <v/>
      </c>
    </row>
    <row r="39" spans="1:5" x14ac:dyDescent="0.2">
      <c r="A39" s="518" t="s">
        <v>1727</v>
      </c>
      <c r="B39" s="579"/>
      <c r="C39" s="517" t="str">
        <f>IF(OR(D39=0,D39=1,D39=""),"",INDEX(Aanvullend_LiquorDrainSub1,D39,0))</f>
        <v/>
      </c>
      <c r="D39" s="580"/>
    </row>
    <row r="40" spans="1:5" x14ac:dyDescent="0.2">
      <c r="A40" s="517"/>
      <c r="B40" s="579"/>
      <c r="C40" s="517" t="s">
        <v>1728</v>
      </c>
      <c r="D40" s="580"/>
    </row>
    <row r="42" spans="1:5" x14ac:dyDescent="0.2">
      <c r="A42" s="559" t="s">
        <v>1751</v>
      </c>
      <c r="B42" s="581"/>
      <c r="C42" s="581"/>
    </row>
    <row r="43" spans="1:5" x14ac:dyDescent="0.2">
      <c r="A43" s="559" t="s">
        <v>1752</v>
      </c>
      <c r="B43" s="581"/>
      <c r="C43" s="581"/>
    </row>
    <row r="44" spans="1:5" x14ac:dyDescent="0.2">
      <c r="A44" s="559" t="s">
        <v>1753</v>
      </c>
      <c r="B44" s="581"/>
    </row>
    <row r="46" spans="1:5" x14ac:dyDescent="0.2">
      <c r="A46" s="558" t="s">
        <v>1322</v>
      </c>
    </row>
    <row r="47" spans="1:5" x14ac:dyDescent="0.2">
      <c r="A47" s="562" t="s">
        <v>1477</v>
      </c>
      <c r="B47" s="559" t="str">
        <f>CONCATENATE(IF(B7,CONCATENATE(A7, " (",C7, " keer per ",INDEX(Aanvullend_PerPeriode,D7,0),")") &amp; " - ",""),IF(B8,CONCATENATE(A8, " (",C8, " keer per ",INDEX(Aanvullend_PerPeriode,D8,0),")") &amp; " - ",""),IF(B9,CONCATENATE(A9, " (",C9, " keer per ",INDEX(Aanvullend_PerPeriode,D9,0),")") &amp; " - ",""),IF(B10,CONCATENATE(A10, " (",C10, " keer per ",INDEX(Aanvullend_PerPeriode,D10,0),")")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562" t="s">
        <v>1483</v>
      </c>
      <c r="B48" s="559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559" t="s">
        <v>1726</v>
      </c>
      <c r="B49" s="559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562" t="s">
        <v>1335</v>
      </c>
      <c r="B50" s="559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",""),IF(Aanvullend_Overige_Ped="","",Aanvullend_Overige_Ped), " - ")</f>
        <v xml:space="preserve"> - </v>
      </c>
    </row>
    <row r="56" spans="1:2" x14ac:dyDescent="0.2">
      <c r="A56" s="562"/>
    </row>
    <row r="58" spans="1:2" x14ac:dyDescent="0.2">
      <c r="A58" s="562"/>
    </row>
    <row r="60" spans="1:2" x14ac:dyDescent="0.2">
      <c r="A60" s="562"/>
    </row>
    <row r="61" spans="1:2" x14ac:dyDescent="0.2">
      <c r="A61" s="562"/>
    </row>
    <row r="62" spans="1:2" x14ac:dyDescent="0.2">
      <c r="A62" s="562"/>
    </row>
    <row r="63" spans="1:2" x14ac:dyDescent="0.2">
      <c r="A63" s="562"/>
    </row>
    <row r="64" spans="1:2" x14ac:dyDescent="0.2">
      <c r="A64" s="562"/>
    </row>
    <row r="65" spans="1:1" x14ac:dyDescent="0.2">
      <c r="A65" s="562"/>
    </row>
    <row r="66" spans="1:1" x14ac:dyDescent="0.2">
      <c r="A66" s="562"/>
    </row>
    <row r="67" spans="1:1" x14ac:dyDescent="0.2">
      <c r="A67" s="562"/>
    </row>
    <row r="68" spans="1:1" x14ac:dyDescent="0.2">
      <c r="A68" s="562"/>
    </row>
    <row r="69" spans="1:1" x14ac:dyDescent="0.2">
      <c r="A69" s="562"/>
    </row>
    <row r="70" spans="1:1" x14ac:dyDescent="0.2">
      <c r="A70" s="562"/>
    </row>
    <row r="71" spans="1:1" x14ac:dyDescent="0.2">
      <c r="A71" s="562"/>
    </row>
    <row r="73" spans="1:1" x14ac:dyDescent="0.2">
      <c r="A73" s="562"/>
    </row>
    <row r="74" spans="1:1" x14ac:dyDescent="0.2">
      <c r="A74" s="562"/>
    </row>
    <row r="75" spans="1:1" x14ac:dyDescent="0.2">
      <c r="A75" s="562"/>
    </row>
    <row r="76" spans="1:1" x14ac:dyDescent="0.2">
      <c r="A76" s="562"/>
    </row>
    <row r="77" spans="1:1" x14ac:dyDescent="0.2">
      <c r="A77" s="562"/>
    </row>
    <row r="78" spans="1:1" x14ac:dyDescent="0.2">
      <c r="A78" s="562"/>
    </row>
    <row r="79" spans="1:1" x14ac:dyDescent="0.2">
      <c r="A79" s="562"/>
    </row>
    <row r="80" spans="1:1" x14ac:dyDescent="0.2">
      <c r="A80" s="562"/>
    </row>
    <row r="81" spans="1:1" x14ac:dyDescent="0.2">
      <c r="A81" s="562"/>
    </row>
    <row r="82" spans="1:1" x14ac:dyDescent="0.2">
      <c r="A82" s="562"/>
    </row>
    <row r="83" spans="1:1" x14ac:dyDescent="0.2">
      <c r="A83" s="562"/>
    </row>
    <row r="84" spans="1:1" x14ac:dyDescent="0.2">
      <c r="A84" s="562"/>
    </row>
    <row r="85" spans="1:1" x14ac:dyDescent="0.2">
      <c r="A85" s="562"/>
    </row>
    <row r="86" spans="1:1" x14ac:dyDescent="0.2">
      <c r="A86" s="562"/>
    </row>
    <row r="87" spans="1:1" x14ac:dyDescent="0.2">
      <c r="A87" s="562"/>
    </row>
    <row r="88" spans="1:1" x14ac:dyDescent="0.2">
      <c r="A88" s="562"/>
    </row>
    <row r="89" spans="1:1" x14ac:dyDescent="0.2">
      <c r="A89" s="562"/>
    </row>
    <row r="90" spans="1:1" x14ac:dyDescent="0.2">
      <c r="A90" s="562"/>
    </row>
    <row r="91" spans="1:1" x14ac:dyDescent="0.2">
      <c r="A91" s="562"/>
    </row>
    <row r="92" spans="1:1" x14ac:dyDescent="0.2">
      <c r="A92" s="562"/>
    </row>
    <row r="93" spans="1:1" x14ac:dyDescent="0.2">
      <c r="A93" s="562"/>
    </row>
    <row r="94" spans="1:1" x14ac:dyDescent="0.2">
      <c r="A94" s="562"/>
    </row>
    <row r="95" spans="1:1" x14ac:dyDescent="0.2">
      <c r="A95" s="56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Tbl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517" customWidth="1"/>
    <col min="5" max="5" width="11" bestFit="1" customWidth="1"/>
    <col min="6" max="6" width="12.140625" bestFit="1" customWidth="1"/>
    <col min="8" max="8" width="9.140625" style="236"/>
    <col min="9" max="9" width="19.28515625" bestFit="1" customWidth="1"/>
    <col min="10" max="10" width="17.7109375" bestFit="1" customWidth="1"/>
  </cols>
  <sheetData>
    <row r="1" spans="1:16" s="517" customFormat="1" x14ac:dyDescent="0.2">
      <c r="A1" s="593" t="s">
        <v>1290</v>
      </c>
      <c r="B1" s="3" t="s">
        <v>1325</v>
      </c>
      <c r="C1" s="3" t="s">
        <v>1326</v>
      </c>
      <c r="D1" s="3" t="s">
        <v>1722</v>
      </c>
      <c r="E1" s="3" t="s">
        <v>1478</v>
      </c>
      <c r="F1" s="3" t="s">
        <v>1485</v>
      </c>
      <c r="G1" s="3" t="s">
        <v>1541</v>
      </c>
      <c r="H1" s="554"/>
      <c r="I1" s="3" t="s">
        <v>1713</v>
      </c>
      <c r="J1" s="3" t="s">
        <v>1731</v>
      </c>
    </row>
    <row r="2" spans="1:16" x14ac:dyDescent="0.2">
      <c r="G2">
        <v>1</v>
      </c>
    </row>
    <row r="3" spans="1:16" x14ac:dyDescent="0.2">
      <c r="A3" s="518" t="s">
        <v>1286</v>
      </c>
      <c r="B3" s="527" t="s">
        <v>1715</v>
      </c>
      <c r="C3" s="518" t="s">
        <v>1718</v>
      </c>
      <c r="D3" s="518" t="s">
        <v>1723</v>
      </c>
      <c r="E3" s="518" t="s">
        <v>1479</v>
      </c>
      <c r="F3" s="518" t="s">
        <v>1486</v>
      </c>
      <c r="G3">
        <v>2</v>
      </c>
      <c r="H3" s="517" t="s">
        <v>1542</v>
      </c>
      <c r="I3" s="616" t="s">
        <v>1743</v>
      </c>
      <c r="J3" t="s">
        <v>1732</v>
      </c>
      <c r="N3" s="524"/>
      <c r="O3" s="517"/>
      <c r="P3" s="517"/>
    </row>
    <row r="4" spans="1:16" x14ac:dyDescent="0.2">
      <c r="A4" s="518" t="s">
        <v>1287</v>
      </c>
      <c r="B4" s="527" t="s">
        <v>1323</v>
      </c>
      <c r="C4" s="518" t="s">
        <v>1719</v>
      </c>
      <c r="D4" s="518" t="s">
        <v>1724</v>
      </c>
      <c r="E4" s="518" t="s">
        <v>1480</v>
      </c>
      <c r="F4" s="518" t="s">
        <v>1487</v>
      </c>
      <c r="G4">
        <v>3</v>
      </c>
      <c r="H4" s="517" t="s">
        <v>1543</v>
      </c>
      <c r="I4" s="616" t="s">
        <v>1744</v>
      </c>
      <c r="J4" t="s">
        <v>1733</v>
      </c>
      <c r="N4" s="518"/>
      <c r="O4" s="517"/>
      <c r="P4" s="517"/>
    </row>
    <row r="5" spans="1:16" x14ac:dyDescent="0.2">
      <c r="A5" s="518" t="s">
        <v>1288</v>
      </c>
      <c r="B5" s="527" t="s">
        <v>1324</v>
      </c>
      <c r="C5" s="518" t="s">
        <v>1720</v>
      </c>
      <c r="D5" s="518" t="s">
        <v>1725</v>
      </c>
      <c r="E5" s="518" t="s">
        <v>1481</v>
      </c>
      <c r="F5" s="518" t="s">
        <v>1488</v>
      </c>
      <c r="G5" s="517">
        <v>4</v>
      </c>
      <c r="H5" s="517" t="s">
        <v>1544</v>
      </c>
      <c r="I5" s="616" t="s">
        <v>1745</v>
      </c>
      <c r="J5" t="s">
        <v>1734</v>
      </c>
      <c r="N5" s="518"/>
      <c r="O5" s="517"/>
      <c r="P5" s="517"/>
    </row>
    <row r="6" spans="1:16" x14ac:dyDescent="0.2">
      <c r="A6" s="579"/>
      <c r="B6" s="527" t="s">
        <v>1656</v>
      </c>
      <c r="C6" t="s">
        <v>1721</v>
      </c>
      <c r="E6" s="518" t="s">
        <v>1482</v>
      </c>
      <c r="F6" s="518" t="s">
        <v>1489</v>
      </c>
      <c r="G6" s="517">
        <v>5</v>
      </c>
      <c r="H6" s="517" t="s">
        <v>1545</v>
      </c>
      <c r="I6" s="553"/>
      <c r="N6" s="517"/>
      <c r="O6" s="517"/>
      <c r="P6" s="517"/>
    </row>
    <row r="7" spans="1:16" x14ac:dyDescent="0.2">
      <c r="B7" s="527" t="s">
        <v>1716</v>
      </c>
      <c r="E7" s="518"/>
      <c r="G7" s="517">
        <v>6</v>
      </c>
      <c r="H7" s="517" t="s">
        <v>1546</v>
      </c>
      <c r="I7" s="553"/>
      <c r="N7" s="517"/>
      <c r="O7" s="517"/>
      <c r="P7" s="517"/>
    </row>
    <row r="8" spans="1:16" x14ac:dyDescent="0.2">
      <c r="B8" s="527" t="s">
        <v>1717</v>
      </c>
      <c r="G8" s="517">
        <v>7</v>
      </c>
      <c r="H8" s="517" t="s">
        <v>1547</v>
      </c>
      <c r="I8" s="553"/>
      <c r="N8" s="517"/>
      <c r="O8" s="517"/>
      <c r="P8" s="517"/>
    </row>
    <row r="9" spans="1:16" x14ac:dyDescent="0.2">
      <c r="G9" s="517">
        <v>8</v>
      </c>
      <c r="H9" s="517" t="s">
        <v>1548</v>
      </c>
      <c r="I9" s="553"/>
      <c r="N9" s="517"/>
      <c r="O9" s="517"/>
      <c r="P9" s="517"/>
    </row>
    <row r="10" spans="1:16" x14ac:dyDescent="0.2">
      <c r="G10" s="517">
        <v>9</v>
      </c>
      <c r="H10" s="517" t="s">
        <v>1549</v>
      </c>
      <c r="I10" s="553"/>
      <c r="N10" s="517"/>
      <c r="O10" s="517"/>
      <c r="P10" s="517"/>
    </row>
    <row r="11" spans="1:16" x14ac:dyDescent="0.2">
      <c r="G11" s="517">
        <v>10</v>
      </c>
      <c r="H11" s="517" t="s">
        <v>1550</v>
      </c>
      <c r="I11" s="553"/>
      <c r="N11" s="517"/>
      <c r="O11" s="517"/>
      <c r="P11" s="517"/>
    </row>
    <row r="12" spans="1:16" x14ac:dyDescent="0.2">
      <c r="G12" s="517">
        <v>11</v>
      </c>
      <c r="H12" s="517" t="s">
        <v>1551</v>
      </c>
      <c r="I12" s="553"/>
      <c r="N12" s="517"/>
      <c r="O12" s="517"/>
      <c r="P12" s="517"/>
    </row>
    <row r="13" spans="1:16" x14ac:dyDescent="0.2">
      <c r="G13" s="517">
        <v>12</v>
      </c>
      <c r="H13" s="517" t="s">
        <v>1552</v>
      </c>
      <c r="I13" s="553"/>
      <c r="N13" s="517"/>
      <c r="O13" s="517"/>
      <c r="P13" s="517"/>
    </row>
    <row r="14" spans="1:16" x14ac:dyDescent="0.2">
      <c r="G14" s="517">
        <v>13</v>
      </c>
      <c r="H14" s="517" t="s">
        <v>1553</v>
      </c>
      <c r="I14" s="553"/>
      <c r="N14" s="517"/>
      <c r="O14" s="517"/>
      <c r="P14" s="517"/>
    </row>
    <row r="15" spans="1:16" x14ac:dyDescent="0.2">
      <c r="G15" s="517">
        <v>14</v>
      </c>
      <c r="H15" s="517" t="s">
        <v>1554</v>
      </c>
      <c r="I15" s="553"/>
      <c r="N15" s="518"/>
      <c r="O15" s="517"/>
      <c r="P15" s="517"/>
    </row>
    <row r="16" spans="1:16" x14ac:dyDescent="0.2">
      <c r="G16" s="517">
        <v>15</v>
      </c>
      <c r="H16" s="517" t="s">
        <v>1555</v>
      </c>
      <c r="I16" s="553"/>
      <c r="N16" s="518"/>
      <c r="O16" s="517"/>
      <c r="P16" s="517"/>
    </row>
    <row r="17" spans="7:16" x14ac:dyDescent="0.2">
      <c r="G17" s="517">
        <v>16</v>
      </c>
      <c r="H17" s="517" t="s">
        <v>1556</v>
      </c>
      <c r="I17" s="553"/>
      <c r="N17" s="518"/>
      <c r="O17" s="517"/>
      <c r="P17" s="517"/>
    </row>
    <row r="18" spans="7:16" x14ac:dyDescent="0.2">
      <c r="G18" s="517">
        <v>17</v>
      </c>
      <c r="H18" s="517" t="s">
        <v>1557</v>
      </c>
      <c r="I18" s="553"/>
      <c r="N18" s="518"/>
      <c r="O18" s="517"/>
      <c r="P18" s="517"/>
    </row>
    <row r="19" spans="7:16" x14ac:dyDescent="0.2">
      <c r="G19" s="517">
        <v>18</v>
      </c>
      <c r="H19" s="517" t="s">
        <v>1558</v>
      </c>
      <c r="I19" s="553"/>
      <c r="N19" s="518"/>
      <c r="O19" s="517"/>
      <c r="P19" s="517"/>
    </row>
    <row r="20" spans="7:16" x14ac:dyDescent="0.2">
      <c r="G20" s="517">
        <v>19</v>
      </c>
      <c r="H20" s="517" t="s">
        <v>1559</v>
      </c>
      <c r="I20" s="553"/>
      <c r="N20" s="518"/>
      <c r="O20" s="517"/>
      <c r="P20" s="517"/>
    </row>
    <row r="21" spans="7:16" x14ac:dyDescent="0.2">
      <c r="G21" s="517">
        <v>20</v>
      </c>
      <c r="H21" s="517" t="s">
        <v>1560</v>
      </c>
      <c r="I21" s="553"/>
      <c r="N21" s="517"/>
      <c r="O21" s="517"/>
      <c r="P21" s="517"/>
    </row>
    <row r="22" spans="7:16" x14ac:dyDescent="0.2">
      <c r="G22" s="517">
        <v>21</v>
      </c>
      <c r="H22" s="517" t="s">
        <v>1561</v>
      </c>
      <c r="I22" s="553"/>
      <c r="N22" s="518"/>
      <c r="O22" s="517"/>
      <c r="P22" s="517"/>
    </row>
    <row r="23" spans="7:16" x14ac:dyDescent="0.2">
      <c r="G23" s="517">
        <v>22</v>
      </c>
      <c r="H23" s="517" t="s">
        <v>1562</v>
      </c>
      <c r="I23" s="553"/>
      <c r="N23" s="518"/>
      <c r="O23" s="517"/>
      <c r="P23" s="517"/>
    </row>
    <row r="24" spans="7:16" x14ac:dyDescent="0.2">
      <c r="G24" s="517">
        <v>23</v>
      </c>
      <c r="H24" s="517" t="s">
        <v>1563</v>
      </c>
      <c r="I24" s="553"/>
      <c r="N24" s="518"/>
      <c r="O24" s="517"/>
      <c r="P24" s="517"/>
    </row>
    <row r="25" spans="7:16" x14ac:dyDescent="0.2">
      <c r="G25" s="517">
        <v>24</v>
      </c>
      <c r="H25" s="517" t="s">
        <v>1564</v>
      </c>
      <c r="I25" s="553"/>
      <c r="N25" s="517"/>
      <c r="O25" s="517"/>
      <c r="P25" s="517"/>
    </row>
    <row r="26" spans="7:16" x14ac:dyDescent="0.2">
      <c r="G26" s="517">
        <v>25</v>
      </c>
      <c r="H26" s="517" t="s">
        <v>1565</v>
      </c>
      <c r="I26" s="553"/>
      <c r="N26" s="518"/>
      <c r="O26" s="517"/>
      <c r="P26" s="517"/>
    </row>
    <row r="27" spans="7:16" x14ac:dyDescent="0.2">
      <c r="G27" s="517">
        <v>26</v>
      </c>
      <c r="H27" s="517" t="s">
        <v>1566</v>
      </c>
      <c r="I27" s="553"/>
      <c r="N27" s="517"/>
      <c r="O27" s="517"/>
      <c r="P27" s="517"/>
    </row>
    <row r="28" spans="7:16" x14ac:dyDescent="0.2">
      <c r="G28" s="517">
        <v>27</v>
      </c>
      <c r="H28" s="517" t="s">
        <v>1567</v>
      </c>
      <c r="I28" s="553"/>
      <c r="N28" s="518"/>
      <c r="O28" s="517"/>
      <c r="P28" s="517"/>
    </row>
    <row r="29" spans="7:16" x14ac:dyDescent="0.2">
      <c r="G29" s="517">
        <v>28</v>
      </c>
      <c r="H29" s="517" t="s">
        <v>1568</v>
      </c>
      <c r="I29" s="553"/>
      <c r="N29" s="517"/>
      <c r="O29" s="517"/>
      <c r="P29" s="517"/>
    </row>
    <row r="30" spans="7:16" x14ac:dyDescent="0.2">
      <c r="G30" s="517">
        <v>29</v>
      </c>
      <c r="H30" s="517" t="s">
        <v>1569</v>
      </c>
      <c r="I30" s="553"/>
      <c r="N30" s="518"/>
      <c r="O30" s="517"/>
      <c r="P30" s="517"/>
    </row>
    <row r="31" spans="7:16" x14ac:dyDescent="0.2">
      <c r="G31" s="517">
        <v>30</v>
      </c>
      <c r="H31" s="517" t="s">
        <v>1570</v>
      </c>
      <c r="I31" s="553"/>
      <c r="N31" s="518"/>
      <c r="O31" s="517"/>
      <c r="P31" s="517"/>
    </row>
    <row r="32" spans="7:16" x14ac:dyDescent="0.2">
      <c r="G32" s="517">
        <v>31</v>
      </c>
      <c r="H32" s="517" t="s">
        <v>1571</v>
      </c>
      <c r="I32" s="553"/>
      <c r="N32" s="518"/>
      <c r="O32" s="517"/>
      <c r="P32" s="517"/>
    </row>
    <row r="33" spans="7:16" x14ac:dyDescent="0.2">
      <c r="G33" s="517">
        <v>32</v>
      </c>
      <c r="H33" s="517" t="s">
        <v>1572</v>
      </c>
      <c r="I33" s="553"/>
      <c r="N33" s="524"/>
      <c r="O33" s="517"/>
      <c r="P33" s="517"/>
    </row>
    <row r="34" spans="7:16" x14ac:dyDescent="0.2">
      <c r="G34" s="517">
        <v>33</v>
      </c>
      <c r="H34" s="517" t="s">
        <v>1573</v>
      </c>
      <c r="I34" s="553"/>
      <c r="N34" s="518"/>
      <c r="O34" s="517"/>
      <c r="P34" s="517"/>
    </row>
    <row r="35" spans="7:16" x14ac:dyDescent="0.2">
      <c r="G35" s="517">
        <v>34</v>
      </c>
      <c r="H35" s="517" t="s">
        <v>1574</v>
      </c>
      <c r="I35" s="553"/>
      <c r="N35" s="518"/>
      <c r="O35" s="517"/>
      <c r="P35" s="517"/>
    </row>
    <row r="36" spans="7:16" x14ac:dyDescent="0.2">
      <c r="G36" s="517">
        <v>35</v>
      </c>
      <c r="H36" s="517" t="s">
        <v>1575</v>
      </c>
      <c r="I36" s="553"/>
      <c r="N36" s="518"/>
      <c r="O36" s="517"/>
      <c r="P36" s="517"/>
    </row>
    <row r="37" spans="7:16" x14ac:dyDescent="0.2">
      <c r="G37" s="517">
        <v>36</v>
      </c>
      <c r="H37" s="517" t="s">
        <v>1576</v>
      </c>
      <c r="I37" s="553"/>
      <c r="N37" s="517"/>
      <c r="O37" s="517"/>
      <c r="P37" s="517"/>
    </row>
    <row r="38" spans="7:16" x14ac:dyDescent="0.2">
      <c r="G38" s="517">
        <v>37</v>
      </c>
      <c r="H38" s="517" t="s">
        <v>1577</v>
      </c>
      <c r="I38" s="553"/>
      <c r="N38" s="518"/>
      <c r="O38" s="517"/>
      <c r="P38" s="517"/>
    </row>
    <row r="39" spans="7:16" x14ac:dyDescent="0.2">
      <c r="G39" s="517">
        <v>38</v>
      </c>
      <c r="H39" s="517" t="s">
        <v>1578</v>
      </c>
      <c r="I39" s="553"/>
      <c r="N39" s="518"/>
      <c r="O39" s="517"/>
      <c r="P39" s="517"/>
    </row>
    <row r="40" spans="7:16" x14ac:dyDescent="0.2">
      <c r="G40" s="517">
        <v>39</v>
      </c>
      <c r="H40" s="517" t="s">
        <v>1579</v>
      </c>
      <c r="I40" s="553"/>
      <c r="N40" s="517"/>
      <c r="O40" s="517"/>
      <c r="P40" s="517"/>
    </row>
    <row r="41" spans="7:16" x14ac:dyDescent="0.2">
      <c r="G41" s="517">
        <v>40</v>
      </c>
      <c r="H41" s="517" t="s">
        <v>1580</v>
      </c>
      <c r="I41" s="553"/>
      <c r="N41" s="517"/>
      <c r="O41" s="517"/>
      <c r="P41" s="517"/>
    </row>
    <row r="42" spans="7:16" x14ac:dyDescent="0.2">
      <c r="G42" s="517">
        <v>41</v>
      </c>
      <c r="H42" s="517" t="s">
        <v>1581</v>
      </c>
      <c r="I42" s="553"/>
      <c r="N42" s="517"/>
      <c r="O42" s="517"/>
      <c r="P42" s="517"/>
    </row>
    <row r="43" spans="7:16" x14ac:dyDescent="0.2">
      <c r="G43" s="517">
        <v>42</v>
      </c>
      <c r="H43" s="517" t="s">
        <v>1582</v>
      </c>
      <c r="I43" s="553"/>
      <c r="N43" s="517"/>
      <c r="O43" s="517"/>
      <c r="P43" s="517"/>
    </row>
    <row r="44" spans="7:16" x14ac:dyDescent="0.2">
      <c r="G44" s="517">
        <v>43</v>
      </c>
      <c r="H44" s="517" t="s">
        <v>1583</v>
      </c>
      <c r="I44" s="553"/>
      <c r="N44" s="518"/>
      <c r="O44" s="517"/>
      <c r="P44" s="517"/>
    </row>
    <row r="45" spans="7:16" x14ac:dyDescent="0.2">
      <c r="G45" s="517">
        <v>44</v>
      </c>
      <c r="H45" s="517" t="s">
        <v>1584</v>
      </c>
      <c r="I45" s="553"/>
      <c r="N45" s="518"/>
      <c r="O45" s="517"/>
      <c r="P45" s="517"/>
    </row>
    <row r="46" spans="7:16" x14ac:dyDescent="0.2">
      <c r="G46" s="517">
        <v>45</v>
      </c>
      <c r="H46" s="517" t="s">
        <v>1585</v>
      </c>
      <c r="I46" s="553"/>
      <c r="N46" s="518"/>
      <c r="O46" s="517"/>
      <c r="P46" s="517"/>
    </row>
    <row r="47" spans="7:16" x14ac:dyDescent="0.2">
      <c r="G47" s="517">
        <v>46</v>
      </c>
      <c r="H47" s="517" t="s">
        <v>1586</v>
      </c>
      <c r="I47" s="553"/>
      <c r="N47" s="518"/>
      <c r="O47" s="517"/>
      <c r="P47" s="517"/>
    </row>
    <row r="48" spans="7:16" x14ac:dyDescent="0.2">
      <c r="G48" s="517">
        <v>47</v>
      </c>
      <c r="H48" s="517" t="s">
        <v>1587</v>
      </c>
      <c r="I48" s="553"/>
      <c r="N48" s="518"/>
      <c r="O48" s="517"/>
      <c r="P48" s="517"/>
    </row>
    <row r="49" spans="7:16" x14ac:dyDescent="0.2">
      <c r="G49" s="517">
        <v>48</v>
      </c>
      <c r="H49" s="517" t="s">
        <v>1588</v>
      </c>
      <c r="I49" s="553"/>
      <c r="N49" s="518"/>
      <c r="O49" s="517"/>
      <c r="P49" s="517"/>
    </row>
    <row r="50" spans="7:16" x14ac:dyDescent="0.2">
      <c r="G50" s="517">
        <v>49</v>
      </c>
      <c r="H50" s="517" t="s">
        <v>1589</v>
      </c>
      <c r="I50" s="553"/>
      <c r="N50" s="518"/>
      <c r="O50" s="517"/>
      <c r="P50" s="517"/>
    </row>
    <row r="51" spans="7:16" x14ac:dyDescent="0.2">
      <c r="G51" s="517">
        <v>50</v>
      </c>
      <c r="H51" s="517" t="s">
        <v>1590</v>
      </c>
      <c r="I51" s="553"/>
      <c r="N51" s="518"/>
      <c r="O51" s="517"/>
      <c r="P51" s="517"/>
    </row>
    <row r="52" spans="7:16" x14ac:dyDescent="0.2">
      <c r="G52" s="517">
        <v>51</v>
      </c>
      <c r="H52" s="517" t="s">
        <v>1591</v>
      </c>
      <c r="I52" s="553"/>
      <c r="N52" s="518"/>
      <c r="O52" s="517"/>
      <c r="P52" s="517"/>
    </row>
    <row r="53" spans="7:16" x14ac:dyDescent="0.2">
      <c r="G53" s="517">
        <v>52</v>
      </c>
      <c r="H53" s="517" t="s">
        <v>1592</v>
      </c>
      <c r="I53" s="553"/>
      <c r="N53" s="518"/>
      <c r="O53" s="517"/>
      <c r="P53" s="517"/>
    </row>
    <row r="54" spans="7:16" x14ac:dyDescent="0.2">
      <c r="G54" s="517">
        <v>53</v>
      </c>
      <c r="H54" s="517" t="s">
        <v>1593</v>
      </c>
      <c r="I54" s="553"/>
      <c r="N54" s="518"/>
      <c r="O54" s="517"/>
      <c r="P54" s="517"/>
    </row>
    <row r="55" spans="7:16" x14ac:dyDescent="0.2">
      <c r="G55" s="517">
        <v>54</v>
      </c>
      <c r="H55" s="517" t="s">
        <v>1594</v>
      </c>
      <c r="I55" s="553"/>
      <c r="N55" s="518"/>
      <c r="O55" s="517"/>
      <c r="P55" s="517"/>
    </row>
    <row r="56" spans="7:16" x14ac:dyDescent="0.2">
      <c r="G56" s="517">
        <v>55</v>
      </c>
      <c r="H56" s="517" t="s">
        <v>1595</v>
      </c>
      <c r="I56" s="553"/>
      <c r="N56" s="517"/>
      <c r="O56" s="517"/>
      <c r="P56" s="517"/>
    </row>
    <row r="57" spans="7:16" x14ac:dyDescent="0.2">
      <c r="G57" s="517">
        <v>56</v>
      </c>
      <c r="H57" s="517" t="s">
        <v>1596</v>
      </c>
      <c r="I57" s="553"/>
      <c r="N57" s="517"/>
      <c r="O57" s="517"/>
      <c r="P57" s="517"/>
    </row>
    <row r="58" spans="7:16" x14ac:dyDescent="0.2">
      <c r="G58" s="517">
        <v>57</v>
      </c>
      <c r="H58" s="517" t="s">
        <v>1597</v>
      </c>
      <c r="I58" s="553"/>
      <c r="N58" s="518"/>
      <c r="O58" s="517"/>
      <c r="P58" s="517"/>
    </row>
    <row r="59" spans="7:16" x14ac:dyDescent="0.2">
      <c r="G59" s="517">
        <v>58</v>
      </c>
      <c r="H59" s="517" t="s">
        <v>1598</v>
      </c>
      <c r="I59" s="553"/>
      <c r="N59" s="517"/>
      <c r="O59" s="517"/>
      <c r="P59" s="517"/>
    </row>
    <row r="60" spans="7:16" x14ac:dyDescent="0.2">
      <c r="G60" s="517">
        <v>59</v>
      </c>
      <c r="H60" s="517" t="s">
        <v>1599</v>
      </c>
      <c r="I60" s="553"/>
      <c r="N60" s="518"/>
      <c r="O60" s="517"/>
      <c r="P60" s="517"/>
    </row>
    <row r="61" spans="7:16" x14ac:dyDescent="0.2">
      <c r="G61" s="517">
        <v>60</v>
      </c>
      <c r="H61" s="517" t="s">
        <v>1600</v>
      </c>
      <c r="I61" s="553"/>
      <c r="N61" s="518"/>
      <c r="O61" s="517"/>
      <c r="P61" s="517"/>
    </row>
    <row r="62" spans="7:16" x14ac:dyDescent="0.2">
      <c r="G62" s="517">
        <v>61</v>
      </c>
      <c r="H62" s="517" t="s">
        <v>1601</v>
      </c>
      <c r="I62" s="553"/>
      <c r="N62" s="517"/>
      <c r="O62" s="517"/>
      <c r="P62" s="517"/>
    </row>
    <row r="63" spans="7:16" x14ac:dyDescent="0.2">
      <c r="G63" s="517">
        <v>62</v>
      </c>
      <c r="H63" s="517" t="s">
        <v>1602</v>
      </c>
      <c r="I63" s="553"/>
      <c r="N63" s="518"/>
      <c r="O63" s="517"/>
      <c r="P63" s="517"/>
    </row>
    <row r="64" spans="7:16" x14ac:dyDescent="0.2">
      <c r="G64" s="517">
        <v>63</v>
      </c>
      <c r="H64" s="517" t="s">
        <v>1603</v>
      </c>
      <c r="I64" s="553"/>
      <c r="N64" s="518"/>
      <c r="O64" s="517"/>
      <c r="P64" s="517"/>
    </row>
    <row r="65" spans="7:16" x14ac:dyDescent="0.2">
      <c r="G65" s="517">
        <v>64</v>
      </c>
      <c r="H65" s="517" t="s">
        <v>1604</v>
      </c>
      <c r="I65" s="553"/>
      <c r="N65" s="518"/>
      <c r="O65" s="517"/>
      <c r="P65" s="517"/>
    </row>
    <row r="66" spans="7:16" x14ac:dyDescent="0.2">
      <c r="G66" s="517">
        <v>65</v>
      </c>
      <c r="H66" s="517" t="s">
        <v>1605</v>
      </c>
      <c r="I66" s="553"/>
      <c r="N66" s="518"/>
      <c r="O66" s="517"/>
      <c r="P66" s="517"/>
    </row>
    <row r="67" spans="7:16" x14ac:dyDescent="0.2">
      <c r="G67" s="517">
        <v>66</v>
      </c>
      <c r="H67" s="517" t="s">
        <v>1606</v>
      </c>
      <c r="I67" s="553"/>
      <c r="N67" s="517"/>
      <c r="O67" s="517"/>
      <c r="P67" s="517"/>
    </row>
    <row r="68" spans="7:16" x14ac:dyDescent="0.2">
      <c r="G68" s="517">
        <v>67</v>
      </c>
      <c r="H68" s="517" t="s">
        <v>1607</v>
      </c>
      <c r="I68" s="553"/>
      <c r="N68" s="518"/>
      <c r="O68" s="517"/>
      <c r="P68" s="517"/>
    </row>
    <row r="69" spans="7:16" x14ac:dyDescent="0.2">
      <c r="G69" s="517">
        <v>68</v>
      </c>
      <c r="H69" s="517" t="s">
        <v>1608</v>
      </c>
      <c r="I69" s="553"/>
      <c r="N69" s="518"/>
      <c r="O69" s="517"/>
      <c r="P69" s="517"/>
    </row>
    <row r="70" spans="7:16" x14ac:dyDescent="0.2">
      <c r="G70" s="517">
        <v>69</v>
      </c>
      <c r="H70" s="517" t="s">
        <v>1609</v>
      </c>
      <c r="I70" s="553"/>
      <c r="N70" s="518"/>
      <c r="O70" s="517"/>
      <c r="P70" s="517"/>
    </row>
    <row r="71" spans="7:16" x14ac:dyDescent="0.2">
      <c r="G71" s="517">
        <v>70</v>
      </c>
      <c r="H71" s="517" t="s">
        <v>1610</v>
      </c>
      <c r="I71" s="553"/>
      <c r="N71" s="518"/>
      <c r="O71" s="517"/>
      <c r="P71" s="517"/>
    </row>
    <row r="72" spans="7:16" x14ac:dyDescent="0.2">
      <c r="G72" s="517">
        <v>71</v>
      </c>
      <c r="H72" s="517" t="s">
        <v>1611</v>
      </c>
      <c r="I72" s="553"/>
      <c r="N72" s="518"/>
      <c r="O72" s="517"/>
      <c r="P72" s="517"/>
    </row>
    <row r="73" spans="7:16" x14ac:dyDescent="0.2">
      <c r="G73" s="517">
        <v>72</v>
      </c>
      <c r="H73" s="517" t="s">
        <v>1612</v>
      </c>
      <c r="I73" s="553"/>
      <c r="N73" s="518"/>
      <c r="O73" s="517"/>
      <c r="P73" s="517"/>
    </row>
    <row r="74" spans="7:16" x14ac:dyDescent="0.2">
      <c r="G74" s="517">
        <v>73</v>
      </c>
      <c r="H74" s="517" t="s">
        <v>1613</v>
      </c>
      <c r="I74" s="553"/>
      <c r="N74" s="517"/>
      <c r="O74" s="517"/>
      <c r="P74" s="517"/>
    </row>
    <row r="75" spans="7:16" x14ac:dyDescent="0.2">
      <c r="G75" s="517">
        <v>74</v>
      </c>
      <c r="H75" s="517" t="s">
        <v>1614</v>
      </c>
      <c r="I75" s="553"/>
      <c r="N75" s="517"/>
      <c r="O75" s="517"/>
      <c r="P75" s="517"/>
    </row>
    <row r="76" spans="7:16" x14ac:dyDescent="0.2">
      <c r="G76" s="517">
        <v>75</v>
      </c>
      <c r="H76" s="517" t="s">
        <v>1615</v>
      </c>
      <c r="I76" s="553"/>
    </row>
    <row r="77" spans="7:16" x14ac:dyDescent="0.2">
      <c r="G77" s="517">
        <v>76</v>
      </c>
      <c r="H77" s="517" t="s">
        <v>1616</v>
      </c>
      <c r="I77" s="553"/>
    </row>
    <row r="78" spans="7:16" x14ac:dyDescent="0.2">
      <c r="G78" s="517">
        <v>77</v>
      </c>
      <c r="H78" s="517" t="s">
        <v>1617</v>
      </c>
      <c r="I78" s="553"/>
    </row>
    <row r="79" spans="7:16" x14ac:dyDescent="0.2">
      <c r="G79" s="517">
        <v>78</v>
      </c>
      <c r="H79" s="517" t="s">
        <v>1618</v>
      </c>
      <c r="I79" s="553"/>
    </row>
    <row r="80" spans="7:16" x14ac:dyDescent="0.2">
      <c r="G80" s="517">
        <v>79</v>
      </c>
      <c r="H80" s="517" t="s">
        <v>1619</v>
      </c>
      <c r="I80" s="553"/>
    </row>
    <row r="81" spans="7:9" x14ac:dyDescent="0.2">
      <c r="G81" s="517">
        <v>80</v>
      </c>
      <c r="H81" s="517" t="s">
        <v>1620</v>
      </c>
      <c r="I81" s="553"/>
    </row>
    <row r="82" spans="7:9" x14ac:dyDescent="0.2">
      <c r="G82" s="517">
        <v>81</v>
      </c>
      <c r="H82" s="517" t="s">
        <v>1621</v>
      </c>
      <c r="I82" s="553"/>
    </row>
    <row r="83" spans="7:9" x14ac:dyDescent="0.2">
      <c r="G83" s="517">
        <v>82</v>
      </c>
      <c r="H83" s="517" t="s">
        <v>1622</v>
      </c>
      <c r="I83" s="553"/>
    </row>
    <row r="84" spans="7:9" x14ac:dyDescent="0.2">
      <c r="G84" s="517">
        <v>83</v>
      </c>
      <c r="H84" s="517" t="s">
        <v>1623</v>
      </c>
      <c r="I84" s="553"/>
    </row>
    <row r="85" spans="7:9" x14ac:dyDescent="0.2">
      <c r="G85" s="517">
        <v>84</v>
      </c>
      <c r="H85" s="517" t="s">
        <v>1624</v>
      </c>
      <c r="I85" s="553"/>
    </row>
    <row r="86" spans="7:9" x14ac:dyDescent="0.2">
      <c r="G86" s="517">
        <v>85</v>
      </c>
      <c r="H86" s="517" t="s">
        <v>1625</v>
      </c>
      <c r="I86" s="553"/>
    </row>
    <row r="87" spans="7:9" x14ac:dyDescent="0.2">
      <c r="G87" s="517">
        <v>86</v>
      </c>
      <c r="H87" s="517" t="s">
        <v>1626</v>
      </c>
      <c r="I87" s="553"/>
    </row>
    <row r="88" spans="7:9" x14ac:dyDescent="0.2">
      <c r="G88" s="517">
        <v>87</v>
      </c>
      <c r="H88" s="517" t="s">
        <v>1627</v>
      </c>
      <c r="I88" s="553"/>
    </row>
    <row r="89" spans="7:9" x14ac:dyDescent="0.2">
      <c r="G89" s="517">
        <v>88</v>
      </c>
      <c r="H89" s="517" t="s">
        <v>1628</v>
      </c>
      <c r="I89" s="553"/>
    </row>
    <row r="90" spans="7:9" x14ac:dyDescent="0.2">
      <c r="G90" s="517">
        <v>89</v>
      </c>
      <c r="H90" s="517" t="s">
        <v>1629</v>
      </c>
      <c r="I90" s="553"/>
    </row>
    <row r="91" spans="7:9" x14ac:dyDescent="0.2">
      <c r="G91" s="517">
        <v>90</v>
      </c>
      <c r="H91" s="517" t="s">
        <v>1630</v>
      </c>
      <c r="I91" s="553"/>
    </row>
    <row r="92" spans="7:9" x14ac:dyDescent="0.2">
      <c r="G92" s="517">
        <v>91</v>
      </c>
      <c r="H92" s="517" t="s">
        <v>1631</v>
      </c>
      <c r="I92" s="553"/>
    </row>
    <row r="93" spans="7:9" x14ac:dyDescent="0.2">
      <c r="G93" s="517">
        <v>92</v>
      </c>
      <c r="H93" s="517" t="s">
        <v>1632</v>
      </c>
      <c r="I93" s="553"/>
    </row>
    <row r="94" spans="7:9" x14ac:dyDescent="0.2">
      <c r="G94" s="517">
        <v>93</v>
      </c>
      <c r="H94" s="517" t="s">
        <v>1633</v>
      </c>
      <c r="I94" s="553"/>
    </row>
    <row r="95" spans="7:9" x14ac:dyDescent="0.2">
      <c r="G95" s="517">
        <v>94</v>
      </c>
      <c r="H95" s="517" t="s">
        <v>1634</v>
      </c>
      <c r="I95" s="553"/>
    </row>
    <row r="96" spans="7:9" x14ac:dyDescent="0.2">
      <c r="G96" s="517">
        <v>95</v>
      </c>
      <c r="H96" s="517" t="s">
        <v>1635</v>
      </c>
      <c r="I96" s="553"/>
    </row>
    <row r="97" spans="7:9" x14ac:dyDescent="0.2">
      <c r="G97" s="517">
        <v>96</v>
      </c>
      <c r="H97" s="517" t="s">
        <v>1636</v>
      </c>
      <c r="I97" s="553"/>
    </row>
    <row r="98" spans="7:9" x14ac:dyDescent="0.2">
      <c r="G98" s="517">
        <v>97</v>
      </c>
      <c r="H98" s="517" t="s">
        <v>1637</v>
      </c>
      <c r="I98" s="55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45"/>
    <col min="2" max="2" width="10.28515625" style="9" customWidth="1"/>
    <col min="3" max="3" width="19.7109375" style="45" customWidth="1"/>
    <col min="4" max="4" width="24.5703125" style="45" customWidth="1"/>
    <col min="5" max="5" width="17.7109375" style="45" customWidth="1"/>
    <col min="6" max="7" width="18.7109375" style="45" customWidth="1"/>
    <col min="8" max="11" width="9.140625" style="45"/>
    <col min="12" max="21" width="0" style="45" hidden="1" customWidth="1"/>
    <col min="22" max="16384" width="9.140625" style="45"/>
  </cols>
  <sheetData>
    <row r="1" spans="1:25 4305:4305" x14ac:dyDescent="0.2">
      <c r="A1" s="587"/>
      <c r="J1" s="185"/>
      <c r="K1" s="185"/>
      <c r="L1" s="546" t="s">
        <v>1524</v>
      </c>
      <c r="M1" s="546" t="s">
        <v>1532</v>
      </c>
      <c r="N1" s="546" t="s">
        <v>1525</v>
      </c>
      <c r="O1" s="546"/>
      <c r="P1" s="546"/>
      <c r="Q1" s="546"/>
      <c r="R1" s="546"/>
      <c r="S1" s="546" t="s">
        <v>1533</v>
      </c>
      <c r="T1" s="546" t="s">
        <v>1534</v>
      </c>
      <c r="U1" s="546"/>
      <c r="V1" s="546"/>
      <c r="W1" s="546"/>
      <c r="X1" s="546"/>
      <c r="Y1" s="185"/>
    </row>
    <row r="2" spans="1:25 4305:4305" ht="15" customHeight="1" x14ac:dyDescent="0.2">
      <c r="B2" s="176" t="str">
        <f>"Patient: "&amp;_AchterNaam&amp;", "&amp;_VoorNaam</f>
        <v>Patient: Test, Test</v>
      </c>
      <c r="C2" s="174"/>
      <c r="D2" s="132"/>
      <c r="E2" s="177" t="str">
        <f ca="1">"Geschatte lengte: "&amp;VLOOKUP(C5+D5/12,HEIGHTNL.CRF!A2:D45,4)&amp;" cm"</f>
        <v>Geschatte lengte: 75,6 cm</v>
      </c>
      <c r="F2" s="132"/>
      <c r="G2" s="140"/>
      <c r="H2" s="46"/>
      <c r="I2" s="46"/>
      <c r="J2" s="185"/>
      <c r="K2" s="185"/>
      <c r="L2" s="546">
        <v>0</v>
      </c>
      <c r="M2" s="546">
        <v>40</v>
      </c>
      <c r="N2" s="546">
        <v>3.5</v>
      </c>
      <c r="O2" s="546">
        <v>0</v>
      </c>
      <c r="P2" s="546">
        <v>3.5</v>
      </c>
      <c r="Q2" s="546">
        <v>51</v>
      </c>
      <c r="R2" s="546"/>
      <c r="S2" s="546">
        <v>1</v>
      </c>
      <c r="T2" s="546">
        <v>1</v>
      </c>
      <c r="U2" s="546">
        <v>1</v>
      </c>
      <c r="V2" s="546"/>
      <c r="W2" s="546"/>
      <c r="X2" s="546"/>
      <c r="Y2" s="185"/>
      <c r="FIO2" s="45">
        <v>30</v>
      </c>
    </row>
    <row r="3" spans="1:25 4305:4305" ht="15" customHeight="1" x14ac:dyDescent="0.2">
      <c r="B3" s="176" t="str">
        <f>"Geb datum.: "</f>
        <v xml:space="preserve">Geb datum.: </v>
      </c>
      <c r="C3" s="190">
        <f>GebDatum</f>
        <v>42280</v>
      </c>
      <c r="D3" s="132"/>
      <c r="E3" s="177" t="str">
        <f ca="1">"Geschat gewicht: "&amp;VLOOKUP(C5+D5/12,WEIGHTNL.CRF!A2:T49,20)&amp;" kg"</f>
        <v>Geschat gewicht: 9,8 kg</v>
      </c>
      <c r="F3" s="170"/>
      <c r="G3" s="140"/>
      <c r="H3" s="46"/>
      <c r="I3" s="46"/>
      <c r="J3" s="185"/>
      <c r="K3" s="185"/>
      <c r="L3" s="546">
        <v>1</v>
      </c>
      <c r="M3" s="546">
        <v>30</v>
      </c>
      <c r="N3" s="546">
        <v>4.5</v>
      </c>
      <c r="O3" s="546">
        <v>1</v>
      </c>
      <c r="P3" s="546">
        <v>4.2</v>
      </c>
      <c r="Q3" s="546">
        <v>54</v>
      </c>
      <c r="R3" s="546"/>
      <c r="S3" s="546">
        <v>2</v>
      </c>
      <c r="T3" s="546">
        <v>2</v>
      </c>
      <c r="U3" s="546">
        <v>2</v>
      </c>
      <c r="V3" s="546"/>
      <c r="W3" s="546"/>
      <c r="X3" s="546"/>
      <c r="Y3" s="185"/>
    </row>
    <row r="4" spans="1:25 4305:4305" ht="15.75" customHeight="1" x14ac:dyDescent="0.2">
      <c r="B4" s="163"/>
      <c r="C4" s="172" t="s">
        <v>895</v>
      </c>
      <c r="D4" s="172" t="s">
        <v>896</v>
      </c>
      <c r="E4" s="172" t="s">
        <v>573</v>
      </c>
      <c r="F4" s="172" t="s">
        <v>266</v>
      </c>
      <c r="G4" s="172" t="s">
        <v>97</v>
      </c>
      <c r="H4" s="46"/>
      <c r="J4" s="186"/>
      <c r="K4" s="186"/>
      <c r="L4" s="546">
        <v>2</v>
      </c>
      <c r="M4" s="546">
        <v>25</v>
      </c>
      <c r="N4" s="546">
        <v>4.5</v>
      </c>
      <c r="O4" s="546">
        <v>2</v>
      </c>
      <c r="P4" s="546">
        <v>5</v>
      </c>
      <c r="Q4" s="546">
        <v>57</v>
      </c>
      <c r="R4" s="546"/>
      <c r="S4" s="546">
        <v>3</v>
      </c>
      <c r="T4" s="546">
        <v>3</v>
      </c>
      <c r="U4" s="546">
        <v>3</v>
      </c>
      <c r="V4" s="546"/>
      <c r="W4" s="546"/>
      <c r="X4" s="546"/>
      <c r="Y4" s="185"/>
    </row>
    <row r="5" spans="1:25 4305:4305" ht="15" customHeight="1" x14ac:dyDescent="0.2">
      <c r="B5" s="163"/>
      <c r="C5" s="172">
        <f ca="1">TRUNC((AfspraakDatum-GebDatum)/365,0)</f>
        <v>1</v>
      </c>
      <c r="D5" s="172">
        <f ca="1">TRUNC(((AfspraakDatum-GebDatum)-365*TRUNC((AfspraakDatum-GebDatum)/365,0))/30,0)</f>
        <v>1</v>
      </c>
      <c r="E5" s="172">
        <f>Gewicht/10</f>
        <v>10</v>
      </c>
      <c r="F5" s="172">
        <f>Lengte</f>
        <v>80</v>
      </c>
      <c r="G5" s="172">
        <f>ROUND(POWER(E5,0.425)*POWER(((F5/100)*100),0.725)*0.007184,2)</f>
        <v>0.46</v>
      </c>
      <c r="H5" s="46"/>
      <c r="J5" s="186"/>
      <c r="K5" s="186"/>
      <c r="L5" s="546">
        <v>3</v>
      </c>
      <c r="M5" s="546">
        <v>25</v>
      </c>
      <c r="N5" s="546">
        <v>5</v>
      </c>
      <c r="O5" s="546">
        <v>3</v>
      </c>
      <c r="P5" s="546">
        <v>5.7</v>
      </c>
      <c r="Q5" s="546">
        <v>60</v>
      </c>
      <c r="R5" s="546"/>
      <c r="S5" s="546">
        <v>4</v>
      </c>
      <c r="T5" s="546">
        <v>3</v>
      </c>
      <c r="U5" s="546"/>
      <c r="V5" s="546"/>
      <c r="W5" s="546"/>
      <c r="X5" s="546"/>
      <c r="Y5" s="185"/>
    </row>
    <row r="6" spans="1:25 4305:4305" ht="15" customHeight="1" thickBot="1" x14ac:dyDescent="0.25">
      <c r="A6" s="587"/>
      <c r="B6" s="24"/>
      <c r="C6" s="175"/>
      <c r="D6" s="175"/>
      <c r="E6" s="175"/>
      <c r="F6" s="175"/>
      <c r="G6" s="175"/>
      <c r="H6" s="46"/>
      <c r="J6" s="186"/>
      <c r="K6" s="186"/>
      <c r="L6" s="546">
        <v>4</v>
      </c>
      <c r="M6" s="546">
        <v>25</v>
      </c>
      <c r="N6" s="546">
        <v>5</v>
      </c>
      <c r="O6" s="546">
        <v>4</v>
      </c>
      <c r="P6" s="546">
        <v>6.5</v>
      </c>
      <c r="Q6" s="546">
        <v>63</v>
      </c>
      <c r="R6" s="546"/>
      <c r="S6" s="546">
        <v>5</v>
      </c>
      <c r="T6" s="546">
        <v>5</v>
      </c>
      <c r="U6" s="546">
        <v>5</v>
      </c>
      <c r="V6" s="546"/>
      <c r="W6" s="546"/>
      <c r="X6" s="546"/>
      <c r="Y6" s="185"/>
    </row>
    <row r="7" spans="1:25 4305:4305" ht="20.100000000000001" customHeight="1" x14ac:dyDescent="0.2">
      <c r="B7" s="163" t="s">
        <v>642</v>
      </c>
      <c r="C7" s="178" t="s">
        <v>98</v>
      </c>
      <c r="D7" s="179" t="str">
        <f ca="1">"Maat: "&amp;VLOOKUP(C5,L2:N20,3)&amp;", Lengte: "&amp;IF(C5&gt;1,ROUND((C5/2+15)/2,0)*2,IF(C5=0,12,15))&amp;" cm"&amp;" nasaal, "&amp;ROUND((C5/2+12)/2,0)*2&amp;" cm oraal"</f>
        <v>Maat: 4,5, Lengte: 15 cm nasaal, 12 cm oraal</v>
      </c>
      <c r="E7" s="180"/>
      <c r="F7" s="180"/>
      <c r="G7" s="239"/>
      <c r="H7" s="46"/>
      <c r="I7" s="46"/>
      <c r="J7" s="185"/>
      <c r="K7" s="185"/>
      <c r="L7" s="546">
        <v>5</v>
      </c>
      <c r="M7" s="546">
        <v>25</v>
      </c>
      <c r="N7" s="546">
        <v>5.5</v>
      </c>
      <c r="O7" s="546">
        <v>5</v>
      </c>
      <c r="P7" s="546">
        <v>7</v>
      </c>
      <c r="Q7" s="546">
        <v>65</v>
      </c>
      <c r="R7" s="546"/>
      <c r="S7" s="546">
        <v>6</v>
      </c>
      <c r="T7" s="546">
        <v>5</v>
      </c>
      <c r="U7" s="546"/>
      <c r="V7" s="546"/>
      <c r="W7" s="546"/>
      <c r="X7" s="546"/>
      <c r="Y7" s="185"/>
    </row>
    <row r="8" spans="1:25 4305:4305" ht="20.100000000000001" customHeight="1" x14ac:dyDescent="0.2">
      <c r="B8" s="163"/>
      <c r="C8" s="162" t="s">
        <v>99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6">
        <v>6</v>
      </c>
      <c r="M8" s="546">
        <v>20</v>
      </c>
      <c r="N8" s="546">
        <v>5.5</v>
      </c>
      <c r="O8" s="546">
        <v>6</v>
      </c>
      <c r="P8" s="546">
        <v>7.7</v>
      </c>
      <c r="Q8" s="546">
        <v>67</v>
      </c>
      <c r="R8" s="546"/>
      <c r="S8" s="546">
        <v>7</v>
      </c>
      <c r="T8" s="546">
        <v>7</v>
      </c>
      <c r="U8" s="546">
        <v>7</v>
      </c>
      <c r="V8" s="546"/>
      <c r="W8" s="546"/>
      <c r="X8" s="546"/>
      <c r="Y8" s="185"/>
    </row>
    <row r="9" spans="1:25 4305:4305" ht="20.100000000000001" customHeight="1" x14ac:dyDescent="0.2">
      <c r="B9" s="163"/>
      <c r="C9" s="162" t="s">
        <v>251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6">
        <v>7</v>
      </c>
      <c r="M9" s="546">
        <v>20</v>
      </c>
      <c r="N9" s="546">
        <v>6</v>
      </c>
      <c r="O9" s="546">
        <v>7</v>
      </c>
      <c r="P9" s="546">
        <v>8.1999999999999993</v>
      </c>
      <c r="Q9" s="546">
        <v>69</v>
      </c>
      <c r="R9" s="546"/>
      <c r="S9" s="546">
        <v>8</v>
      </c>
      <c r="T9" s="546">
        <v>7</v>
      </c>
      <c r="U9" s="546"/>
      <c r="V9" s="546"/>
      <c r="W9" s="546"/>
      <c r="X9" s="546"/>
      <c r="Y9" s="185"/>
    </row>
    <row r="10" spans="1:25 4305:4305" ht="20.100000000000001" customHeight="1" x14ac:dyDescent="0.2">
      <c r="B10" s="163"/>
      <c r="C10" s="162" t="s">
        <v>100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6">
        <v>8</v>
      </c>
      <c r="M10" s="546">
        <v>20</v>
      </c>
      <c r="N10" s="546">
        <v>6</v>
      </c>
      <c r="O10" s="546">
        <v>8</v>
      </c>
      <c r="P10" s="546">
        <v>8.5</v>
      </c>
      <c r="Q10" s="546">
        <v>70</v>
      </c>
      <c r="R10" s="546"/>
      <c r="S10" s="546">
        <v>9</v>
      </c>
      <c r="T10" s="546">
        <v>7</v>
      </c>
      <c r="U10" s="546"/>
      <c r="V10" s="546"/>
      <c r="W10" s="546"/>
      <c r="X10" s="546"/>
      <c r="Y10" s="185"/>
    </row>
    <row r="11" spans="1:25 4305:4305" ht="20.100000000000001" customHeight="1" x14ac:dyDescent="0.2">
      <c r="B11" s="163"/>
      <c r="C11" s="162" t="s">
        <v>426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6">
        <v>9</v>
      </c>
      <c r="M11" s="546">
        <v>20</v>
      </c>
      <c r="N11" s="546">
        <v>6.5</v>
      </c>
      <c r="O11" s="546">
        <v>9</v>
      </c>
      <c r="P11" s="546">
        <v>9</v>
      </c>
      <c r="Q11" s="546">
        <v>72</v>
      </c>
      <c r="R11" s="546"/>
      <c r="S11" s="546">
        <v>10</v>
      </c>
      <c r="T11" s="546">
        <v>10</v>
      </c>
      <c r="U11" s="546">
        <v>10</v>
      </c>
      <c r="V11" s="546"/>
      <c r="W11" s="546"/>
      <c r="X11" s="546"/>
      <c r="Y11" s="185"/>
    </row>
    <row r="12" spans="1:25 4305:4305" ht="20.100000000000001" customHeight="1" thickBot="1" x14ac:dyDescent="0.25">
      <c r="B12" s="163"/>
      <c r="C12" s="181" t="s">
        <v>101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6">
        <v>10</v>
      </c>
      <c r="M12" s="546">
        <v>20</v>
      </c>
      <c r="N12" s="546">
        <v>6.5</v>
      </c>
      <c r="O12" s="546">
        <v>10</v>
      </c>
      <c r="P12" s="546">
        <v>9.3000000000000007</v>
      </c>
      <c r="Q12" s="546">
        <v>73</v>
      </c>
      <c r="R12" s="546"/>
      <c r="S12" s="546">
        <v>11</v>
      </c>
      <c r="T12" s="546">
        <v>10</v>
      </c>
      <c r="U12" s="546"/>
      <c r="V12" s="546"/>
      <c r="W12" s="546"/>
      <c r="X12" s="546"/>
      <c r="Y12" s="185"/>
    </row>
    <row r="13" spans="1:25 4305:4305" ht="20.100000000000001" customHeight="1" thickBot="1" x14ac:dyDescent="0.2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6">
        <v>11</v>
      </c>
      <c r="M13" s="546">
        <v>20</v>
      </c>
      <c r="N13" s="546">
        <v>7</v>
      </c>
      <c r="O13" s="546">
        <v>11</v>
      </c>
      <c r="P13" s="546">
        <v>9.5</v>
      </c>
      <c r="Q13" s="546">
        <v>74</v>
      </c>
      <c r="R13" s="546"/>
      <c r="S13" s="546">
        <v>12</v>
      </c>
      <c r="T13" s="546">
        <v>10</v>
      </c>
      <c r="U13" s="546"/>
      <c r="V13" s="546"/>
      <c r="W13" s="546"/>
      <c r="X13" s="546"/>
      <c r="Y13" s="185"/>
    </row>
    <row r="14" spans="1:25 4305:4305" ht="20.100000000000001" customHeight="1" x14ac:dyDescent="0.2">
      <c r="B14" s="163" t="s">
        <v>773</v>
      </c>
      <c r="C14" s="178" t="s">
        <v>654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6">
        <v>12</v>
      </c>
      <c r="M14" s="546">
        <v>15</v>
      </c>
      <c r="N14" s="546">
        <v>7</v>
      </c>
      <c r="O14" s="546">
        <v>12</v>
      </c>
      <c r="P14" s="546">
        <v>10</v>
      </c>
      <c r="Q14" s="546">
        <v>76</v>
      </c>
      <c r="R14" s="546"/>
      <c r="S14" s="546">
        <v>13</v>
      </c>
      <c r="T14" s="546">
        <v>10</v>
      </c>
      <c r="U14" s="546"/>
      <c r="V14" s="546"/>
      <c r="W14" s="546"/>
      <c r="X14" s="546"/>
      <c r="Y14" s="185"/>
    </row>
    <row r="15" spans="1:25 4305:4305" ht="20.100000000000001" customHeight="1" x14ac:dyDescent="0.2">
      <c r="B15" s="163"/>
      <c r="C15" s="162" t="s">
        <v>572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6">
        <v>13</v>
      </c>
      <c r="M15" s="546">
        <v>15</v>
      </c>
      <c r="N15" s="546">
        <v>7</v>
      </c>
      <c r="O15" s="546"/>
      <c r="P15" s="546"/>
      <c r="Q15" s="546"/>
      <c r="R15" s="546"/>
      <c r="S15" s="546">
        <v>14</v>
      </c>
      <c r="T15" s="546">
        <v>10</v>
      </c>
      <c r="U15" s="546"/>
      <c r="V15" s="546"/>
      <c r="W15" s="546"/>
      <c r="X15" s="546"/>
      <c r="Y15" s="185"/>
    </row>
    <row r="16" spans="1:25 4305:4305" ht="20.100000000000001" customHeight="1" x14ac:dyDescent="0.2">
      <c r="B16" s="163"/>
      <c r="C16" s="162" t="s">
        <v>655</v>
      </c>
      <c r="D16" s="47" t="str">
        <f>IF(ROUND(0.02*(E5),1)&lt;0.1,"0,1 mg iv",IF(ROUND(0.02*(E5),1)&gt;0.5,"0,5 mg iv",ROUND(0.02*(E5),1)&amp;" mg iv"))</f>
        <v>0,2 mg iv</v>
      </c>
      <c r="E16" s="843" t="str">
        <f>"= "&amp;IF(ROUND(0.02*(E5),1)&lt;0.1,0.1,IF(ROUND(0.02*(E5),1)&gt;0.5,0.5,ROUND(0.02*(E5),1)))*2&amp;" ml van 0,5 mg/ml (min 0,1 mg)"</f>
        <v>= 0,4 ml van 0,5 mg/ml (min 0,1 mg)</v>
      </c>
      <c r="F16" s="843"/>
      <c r="G16" s="240" t="s">
        <v>7</v>
      </c>
      <c r="H16" s="46"/>
      <c r="I16" s="46"/>
      <c r="J16" s="185"/>
      <c r="K16" s="185"/>
      <c r="L16" s="546">
        <v>14</v>
      </c>
      <c r="M16" s="546">
        <v>15</v>
      </c>
      <c r="N16" s="546">
        <v>7</v>
      </c>
      <c r="O16" s="546"/>
      <c r="P16" s="546"/>
      <c r="Q16" s="546"/>
      <c r="R16" s="546"/>
      <c r="S16" s="546">
        <v>15</v>
      </c>
      <c r="T16" s="546">
        <v>10</v>
      </c>
      <c r="U16" s="546"/>
      <c r="V16" s="546"/>
      <c r="W16" s="546"/>
      <c r="X16" s="546"/>
      <c r="Y16" s="185"/>
    </row>
    <row r="17" spans="2:25" ht="20.100000000000001" customHeight="1" thickBot="1" x14ac:dyDescent="0.25">
      <c r="B17" s="163"/>
      <c r="C17" s="181"/>
      <c r="D17" s="182"/>
      <c r="E17" s="844"/>
      <c r="F17" s="844"/>
      <c r="G17" s="241"/>
      <c r="H17" s="46"/>
      <c r="I17" s="46"/>
      <c r="J17" s="185"/>
      <c r="K17" s="185"/>
      <c r="L17" s="546">
        <v>15</v>
      </c>
      <c r="M17" s="546">
        <v>15</v>
      </c>
      <c r="N17" s="546">
        <v>7</v>
      </c>
      <c r="O17" s="546"/>
      <c r="P17" s="546"/>
      <c r="Q17" s="546"/>
      <c r="R17" s="546"/>
      <c r="S17" s="546">
        <v>16</v>
      </c>
      <c r="T17" s="546">
        <v>20</v>
      </c>
      <c r="U17" s="546"/>
      <c r="V17" s="546"/>
      <c r="W17" s="546"/>
      <c r="X17" s="546"/>
      <c r="Y17" s="185"/>
    </row>
    <row r="18" spans="2:25" ht="15.75" customHeight="1" thickBot="1" x14ac:dyDescent="0.2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6">
        <v>16</v>
      </c>
      <c r="M18" s="546">
        <v>15</v>
      </c>
      <c r="N18" s="546">
        <v>7</v>
      </c>
      <c r="O18" s="546"/>
      <c r="P18" s="546"/>
      <c r="Q18" s="546"/>
      <c r="R18" s="546"/>
      <c r="S18" s="546">
        <v>17</v>
      </c>
      <c r="T18" s="546">
        <v>20</v>
      </c>
      <c r="U18" s="546"/>
      <c r="V18" s="546"/>
      <c r="W18" s="546"/>
      <c r="X18" s="546"/>
      <c r="Y18" s="185"/>
    </row>
    <row r="19" spans="2:25" ht="20.100000000000001" customHeight="1" x14ac:dyDescent="0.2">
      <c r="B19" s="163" t="s">
        <v>566</v>
      </c>
      <c r="C19" s="178" t="s">
        <v>196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6">
        <v>17</v>
      </c>
      <c r="M19" s="546">
        <v>15</v>
      </c>
      <c r="N19" s="546">
        <v>7</v>
      </c>
      <c r="O19" s="546"/>
      <c r="P19" s="546"/>
      <c r="Q19" s="546"/>
      <c r="R19" s="546"/>
      <c r="S19" s="546">
        <v>18</v>
      </c>
      <c r="T19" s="546">
        <v>20</v>
      </c>
      <c r="U19" s="546"/>
      <c r="V19" s="546"/>
      <c r="W19" s="546"/>
      <c r="X19" s="546"/>
      <c r="Y19" s="185"/>
    </row>
    <row r="20" spans="2:25" ht="20.100000000000001" customHeight="1" x14ac:dyDescent="0.2">
      <c r="B20" s="163"/>
      <c r="C20" s="162" t="s">
        <v>656</v>
      </c>
      <c r="D20" s="47" t="str">
        <f>IF(0.01*E5&gt;0.4,"0,4 mg iv",0.01*E5&amp;" mg iv")</f>
        <v>0,1 mg iv</v>
      </c>
      <c r="E20" s="84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43"/>
      <c r="G20" s="240" t="s">
        <v>9</v>
      </c>
      <c r="H20" s="46"/>
      <c r="I20" s="46"/>
      <c r="J20" s="185"/>
      <c r="K20" s="185"/>
      <c r="L20" s="546">
        <v>18</v>
      </c>
      <c r="M20" s="546">
        <v>15</v>
      </c>
      <c r="N20" s="546">
        <v>7</v>
      </c>
      <c r="O20" s="546"/>
      <c r="P20" s="546"/>
      <c r="Q20" s="546"/>
      <c r="R20" s="546"/>
      <c r="S20" s="546">
        <v>19</v>
      </c>
      <c r="T20" s="546">
        <v>20</v>
      </c>
      <c r="U20" s="546"/>
      <c r="V20" s="546"/>
      <c r="W20" s="546"/>
      <c r="X20" s="546"/>
      <c r="Y20" s="185"/>
    </row>
    <row r="21" spans="2:25" ht="20.100000000000001" customHeight="1" thickBot="1" x14ac:dyDescent="0.25">
      <c r="B21" s="163"/>
      <c r="C21" s="181"/>
      <c r="D21" s="182"/>
      <c r="E21" s="844"/>
      <c r="F21" s="844"/>
      <c r="G21" s="241"/>
      <c r="H21" s="46"/>
      <c r="I21" s="46"/>
      <c r="J21" s="185"/>
      <c r="K21" s="185"/>
      <c r="L21" s="546"/>
      <c r="M21" s="546"/>
      <c r="N21" s="546"/>
      <c r="O21" s="546"/>
      <c r="P21" s="546"/>
      <c r="Q21" s="546"/>
      <c r="R21" s="546"/>
      <c r="S21" s="546">
        <v>20</v>
      </c>
      <c r="T21" s="546">
        <v>20</v>
      </c>
      <c r="U21" s="546">
        <v>20</v>
      </c>
      <c r="V21" s="546"/>
      <c r="W21" s="546"/>
      <c r="X21" s="546"/>
      <c r="Y21" s="185"/>
    </row>
    <row r="22" spans="2:25" ht="20.100000000000001" customHeight="1" thickBot="1" x14ac:dyDescent="0.2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6"/>
      <c r="M22" s="546"/>
      <c r="N22" s="546"/>
      <c r="O22" s="546"/>
      <c r="P22" s="546"/>
      <c r="Q22" s="546"/>
      <c r="R22" s="546"/>
      <c r="S22" s="546">
        <v>21</v>
      </c>
      <c r="T22" s="546">
        <v>30</v>
      </c>
      <c r="U22" s="546"/>
      <c r="V22" s="546"/>
      <c r="W22" s="546"/>
      <c r="X22" s="546"/>
      <c r="Y22" s="185"/>
    </row>
    <row r="23" spans="2:25" ht="20.100000000000001" customHeight="1" x14ac:dyDescent="0.2">
      <c r="B23" s="163" t="s">
        <v>567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646</v>
      </c>
      <c r="H23" s="46"/>
      <c r="I23" s="46"/>
      <c r="J23" s="185"/>
      <c r="K23" s="185"/>
      <c r="L23" s="546"/>
      <c r="M23" s="546"/>
      <c r="N23" s="546"/>
      <c r="O23" s="546"/>
      <c r="P23" s="546"/>
      <c r="Q23" s="546"/>
      <c r="R23" s="546"/>
      <c r="S23" s="546">
        <v>22</v>
      </c>
      <c r="T23" s="546">
        <v>30</v>
      </c>
      <c r="U23" s="546"/>
      <c r="V23" s="546"/>
      <c r="W23" s="546"/>
      <c r="X23" s="546"/>
      <c r="Y23" s="185"/>
    </row>
    <row r="24" spans="2:25" ht="20.100000000000001" customHeight="1" x14ac:dyDescent="0.2">
      <c r="B24" s="163"/>
      <c r="C24" s="162" t="s">
        <v>213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683</v>
      </c>
      <c r="H24" s="46"/>
      <c r="I24" s="46"/>
      <c r="J24" s="185"/>
      <c r="K24" s="185"/>
      <c r="L24" s="546"/>
      <c r="M24" s="546"/>
      <c r="N24" s="546"/>
      <c r="O24" s="546"/>
      <c r="P24" s="546"/>
      <c r="Q24" s="546"/>
      <c r="R24" s="546"/>
      <c r="S24" s="546">
        <v>23</v>
      </c>
      <c r="T24" s="546">
        <v>30</v>
      </c>
      <c r="U24" s="546"/>
      <c r="V24" s="546"/>
      <c r="W24" s="546"/>
      <c r="X24" s="546"/>
      <c r="Y24" s="185"/>
    </row>
    <row r="25" spans="2:25" ht="20.100000000000001" customHeight="1" thickBot="1" x14ac:dyDescent="0.25">
      <c r="B25" s="163"/>
      <c r="C25" s="181" t="s">
        <v>214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838</v>
      </c>
      <c r="H25" s="46"/>
      <c r="I25" s="46"/>
      <c r="J25" s="185"/>
      <c r="K25" s="185"/>
      <c r="L25" s="546"/>
      <c r="M25" s="546"/>
      <c r="N25" s="546"/>
      <c r="O25" s="546"/>
      <c r="P25" s="546"/>
      <c r="Q25" s="546"/>
      <c r="R25" s="546"/>
      <c r="S25" s="546">
        <v>24</v>
      </c>
      <c r="T25" s="546">
        <v>30</v>
      </c>
      <c r="U25" s="546"/>
      <c r="V25" s="546"/>
      <c r="W25" s="546"/>
      <c r="X25" s="546"/>
      <c r="Y25" s="185"/>
    </row>
    <row r="26" spans="2:25" ht="20.100000000000001" customHeight="1" thickBot="1" x14ac:dyDescent="0.2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6"/>
      <c r="M26" s="546"/>
      <c r="N26" s="546"/>
      <c r="O26" s="546"/>
      <c r="P26" s="546"/>
      <c r="Q26" s="546"/>
      <c r="R26" s="546"/>
      <c r="S26" s="546">
        <v>25</v>
      </c>
      <c r="T26" s="546">
        <v>30</v>
      </c>
      <c r="U26" s="546"/>
      <c r="V26" s="546"/>
      <c r="W26" s="546"/>
      <c r="X26" s="546"/>
      <c r="Y26" s="185"/>
    </row>
    <row r="27" spans="2:25" ht="20.100000000000001" customHeight="1" x14ac:dyDescent="0.2">
      <c r="B27" s="841" t="s">
        <v>568</v>
      </c>
      <c r="C27" s="178" t="s">
        <v>908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6"/>
      <c r="M27" s="546"/>
      <c r="N27" s="546"/>
      <c r="O27" s="546"/>
      <c r="P27" s="546"/>
      <c r="Q27" s="546"/>
      <c r="R27" s="546"/>
      <c r="S27" s="546">
        <v>26</v>
      </c>
      <c r="T27" s="546">
        <v>30</v>
      </c>
      <c r="U27" s="546"/>
      <c r="V27" s="546"/>
      <c r="W27" s="546"/>
      <c r="X27" s="546"/>
      <c r="Y27" s="185"/>
    </row>
    <row r="28" spans="2:25" ht="20.100000000000001" customHeight="1" thickBot="1" x14ac:dyDescent="0.25">
      <c r="B28" s="842"/>
      <c r="C28" s="181" t="s">
        <v>641</v>
      </c>
      <c r="D28" s="182" t="str">
        <f>IF(E5/10&gt;10,"10 ml iv",E5/10 &amp;" ml iv")</f>
        <v>1 ml iv</v>
      </c>
      <c r="E28" s="183" t="s">
        <v>497</v>
      </c>
      <c r="F28" s="183"/>
      <c r="G28" s="241" t="s">
        <v>11</v>
      </c>
      <c r="H28" s="46"/>
      <c r="I28" s="46"/>
      <c r="J28" s="185"/>
      <c r="K28" s="185"/>
      <c r="L28" s="546"/>
      <c r="M28" s="546"/>
      <c r="N28" s="546"/>
      <c r="O28" s="546"/>
      <c r="P28" s="546"/>
      <c r="Q28" s="546"/>
      <c r="R28" s="546"/>
      <c r="S28" s="546">
        <v>27</v>
      </c>
      <c r="T28" s="546">
        <v>30</v>
      </c>
      <c r="U28" s="546"/>
      <c r="V28" s="546"/>
      <c r="W28" s="546"/>
      <c r="X28" s="546"/>
      <c r="Y28" s="185"/>
    </row>
    <row r="29" spans="2:25" ht="20.100000000000001" customHeight="1" thickBot="1" x14ac:dyDescent="0.2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6"/>
      <c r="M29" s="546"/>
      <c r="N29" s="546"/>
      <c r="O29" s="546"/>
      <c r="P29" s="546"/>
      <c r="Q29" s="546"/>
      <c r="R29" s="546"/>
      <c r="S29" s="546">
        <v>28</v>
      </c>
      <c r="T29" s="546">
        <v>30</v>
      </c>
      <c r="U29" s="546"/>
      <c r="V29" s="546"/>
      <c r="W29" s="546"/>
      <c r="X29" s="546"/>
      <c r="Y29" s="185"/>
    </row>
    <row r="30" spans="2:25" ht="20.100000000000001" customHeight="1" x14ac:dyDescent="0.2">
      <c r="B30" s="840" t="s">
        <v>190</v>
      </c>
      <c r="C30" s="178" t="s">
        <v>215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6"/>
      <c r="M30" s="546"/>
      <c r="N30" s="546"/>
      <c r="O30" s="546"/>
      <c r="P30" s="546"/>
      <c r="Q30" s="546"/>
      <c r="R30" s="546"/>
      <c r="S30" s="546">
        <v>29</v>
      </c>
      <c r="T30" s="546">
        <v>30</v>
      </c>
      <c r="U30" s="546"/>
      <c r="V30" s="546"/>
      <c r="W30" s="546"/>
      <c r="X30" s="546"/>
      <c r="Y30" s="185"/>
    </row>
    <row r="31" spans="2:25" ht="20.100000000000001" customHeight="1" x14ac:dyDescent="0.2">
      <c r="B31" s="840"/>
      <c r="C31" s="162" t="s">
        <v>571</v>
      </c>
      <c r="D31" s="47" t="str">
        <f>IF((20*E5)&gt;1500,"1500 mg iv",20*E5&amp;" mg iv")</f>
        <v>200 mg iv</v>
      </c>
      <c r="E31" s="843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43"/>
      <c r="G31" s="242" t="s">
        <v>55</v>
      </c>
      <c r="H31" s="46"/>
      <c r="I31" s="46"/>
      <c r="J31" s="185"/>
      <c r="L31" s="546"/>
      <c r="M31" s="546"/>
      <c r="N31" s="546"/>
      <c r="O31" s="546"/>
      <c r="P31" s="546"/>
      <c r="Q31" s="546"/>
      <c r="R31" s="546"/>
      <c r="S31" s="546">
        <v>30</v>
      </c>
      <c r="T31" s="546">
        <v>30</v>
      </c>
      <c r="U31" s="546">
        <v>30</v>
      </c>
      <c r="V31" s="546"/>
      <c r="W31" s="546"/>
      <c r="X31" s="546"/>
      <c r="Y31" s="185"/>
    </row>
    <row r="32" spans="2:25" ht="20.100000000000001" customHeight="1" x14ac:dyDescent="0.2">
      <c r="B32" s="163"/>
      <c r="C32" s="162"/>
      <c r="D32" s="47"/>
      <c r="E32" s="843"/>
      <c r="F32" s="843"/>
      <c r="G32" s="240"/>
      <c r="H32" s="46"/>
      <c r="I32" s="46"/>
      <c r="L32" s="546"/>
      <c r="M32" s="546"/>
      <c r="N32" s="546"/>
      <c r="O32" s="546"/>
      <c r="P32" s="546"/>
      <c r="Q32" s="546"/>
      <c r="R32" s="546"/>
      <c r="S32" s="546">
        <v>31</v>
      </c>
      <c r="T32" s="546">
        <v>50</v>
      </c>
      <c r="U32" s="546"/>
      <c r="V32" s="546"/>
      <c r="W32" s="546"/>
      <c r="X32" s="546"/>
      <c r="Y32" s="185"/>
    </row>
    <row r="33" spans="2:25" ht="12.75" customHeight="1" thickBot="1" x14ac:dyDescent="0.25">
      <c r="B33" s="163"/>
      <c r="C33" s="181" t="s">
        <v>731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6"/>
      <c r="M33" s="546"/>
      <c r="N33" s="546"/>
      <c r="O33" s="546"/>
      <c r="P33" s="546"/>
      <c r="Q33" s="546"/>
      <c r="R33" s="546"/>
      <c r="S33" s="546">
        <v>32</v>
      </c>
      <c r="T33" s="546">
        <v>50</v>
      </c>
      <c r="U33" s="546"/>
      <c r="V33" s="546"/>
      <c r="W33" s="546"/>
      <c r="X33" s="546"/>
      <c r="Y33" s="185"/>
    </row>
    <row r="34" spans="2:25" ht="13.5" customHeight="1" thickBot="1" x14ac:dyDescent="0.25">
      <c r="B34" s="24"/>
      <c r="C34" s="46"/>
      <c r="D34" s="47"/>
      <c r="E34" s="46"/>
      <c r="F34" s="46"/>
      <c r="G34" s="244"/>
      <c r="H34" s="46"/>
      <c r="I34" s="46"/>
      <c r="L34" s="546"/>
      <c r="M34" s="546"/>
      <c r="N34" s="546"/>
      <c r="O34" s="546"/>
      <c r="P34" s="546"/>
      <c r="Q34" s="546"/>
      <c r="R34" s="546"/>
      <c r="S34" s="546">
        <v>33</v>
      </c>
      <c r="T34" s="546">
        <v>50</v>
      </c>
      <c r="U34" s="546"/>
      <c r="V34" s="546"/>
      <c r="W34" s="546"/>
      <c r="X34" s="546"/>
      <c r="Y34" s="185"/>
    </row>
    <row r="35" spans="2:25" ht="19.5" customHeight="1" x14ac:dyDescent="0.2">
      <c r="B35" s="163" t="s">
        <v>191</v>
      </c>
      <c r="C35" s="178" t="s">
        <v>861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6"/>
      <c r="M35" s="546"/>
      <c r="N35" s="546"/>
      <c r="O35" s="546"/>
      <c r="P35" s="546"/>
      <c r="Q35" s="546"/>
      <c r="R35" s="546"/>
      <c r="S35" s="546">
        <v>34</v>
      </c>
      <c r="T35" s="546">
        <v>50</v>
      </c>
      <c r="U35" s="546"/>
      <c r="V35" s="546"/>
      <c r="W35" s="546"/>
      <c r="X35" s="546"/>
      <c r="Y35" s="185"/>
    </row>
    <row r="36" spans="2:25" ht="19.5" customHeight="1" thickBot="1" x14ac:dyDescent="0.25">
      <c r="B36" s="163"/>
      <c r="C36" s="181" t="s">
        <v>216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6"/>
      <c r="M36" s="546"/>
      <c r="N36" s="546"/>
      <c r="O36" s="546"/>
      <c r="P36" s="546"/>
      <c r="Q36" s="546"/>
      <c r="R36" s="546"/>
      <c r="S36" s="546">
        <v>35</v>
      </c>
      <c r="T36" s="546">
        <v>50</v>
      </c>
      <c r="U36" s="546"/>
      <c r="V36" s="546"/>
      <c r="W36" s="546"/>
      <c r="X36" s="546"/>
      <c r="Y36" s="185"/>
    </row>
    <row r="37" spans="2:25" ht="25.5" customHeight="1" thickBot="1" x14ac:dyDescent="0.25">
      <c r="B37" s="24"/>
      <c r="C37" s="46"/>
      <c r="D37" s="47"/>
      <c r="E37" s="46"/>
      <c r="F37" s="46"/>
      <c r="G37" s="245"/>
      <c r="H37" s="46"/>
      <c r="I37" s="46"/>
      <c r="L37" s="546"/>
      <c r="M37" s="546"/>
      <c r="N37" s="546"/>
      <c r="O37" s="546"/>
      <c r="P37" s="546"/>
      <c r="Q37" s="546"/>
      <c r="R37" s="546"/>
      <c r="S37" s="546">
        <v>36</v>
      </c>
      <c r="T37" s="546">
        <v>50</v>
      </c>
      <c r="U37" s="546"/>
      <c r="V37" s="546"/>
      <c r="W37" s="546"/>
      <c r="X37" s="546"/>
      <c r="Y37" s="185"/>
    </row>
    <row r="38" spans="2:25" ht="19.5" customHeight="1" x14ac:dyDescent="0.2">
      <c r="B38" s="163" t="s">
        <v>217</v>
      </c>
      <c r="C38" s="238" t="s">
        <v>616</v>
      </c>
      <c r="D38" s="179" t="str">
        <f ca="1">"AMV "&amp;ROUND(E5*8*VLOOKUP(C5,L2:M20,2)/1000,1)&amp;" L/min"</f>
        <v>AMV 2,4 L/min</v>
      </c>
      <c r="E38" s="180"/>
      <c r="F38" s="179" t="s">
        <v>218</v>
      </c>
      <c r="G38" s="180"/>
      <c r="H38" s="46"/>
      <c r="I38" s="46"/>
      <c r="L38" s="546"/>
      <c r="M38" s="546"/>
      <c r="N38" s="546"/>
      <c r="O38" s="546"/>
      <c r="P38" s="546"/>
      <c r="Q38" s="546"/>
      <c r="R38" s="546"/>
      <c r="S38" s="546"/>
      <c r="T38" s="546"/>
      <c r="U38" s="546"/>
      <c r="V38" s="546"/>
      <c r="W38" s="546"/>
      <c r="X38" s="546"/>
      <c r="Y38" s="185"/>
    </row>
    <row r="39" spans="2:25" ht="19.5" customHeight="1" x14ac:dyDescent="0.2">
      <c r="B39" s="163"/>
      <c r="C39" s="49"/>
      <c r="D39" s="47" t="str">
        <f ca="1">"frequentie "&amp;VLOOKUP(C5,L2:M20,2)&amp;"/min"</f>
        <v>frequentie 30/min</v>
      </c>
      <c r="E39" s="46"/>
      <c r="F39" s="47" t="s">
        <v>219</v>
      </c>
      <c r="G39" s="46"/>
      <c r="H39" s="46"/>
      <c r="I39" s="46"/>
      <c r="L39" s="546"/>
      <c r="M39" s="546"/>
      <c r="N39" s="546"/>
      <c r="O39" s="546"/>
      <c r="P39" s="546"/>
      <c r="Q39" s="546"/>
      <c r="R39" s="546"/>
      <c r="S39" s="546">
        <v>37</v>
      </c>
      <c r="T39" s="546">
        <v>50</v>
      </c>
      <c r="U39" s="546"/>
      <c r="V39" s="546"/>
      <c r="W39" s="546"/>
      <c r="X39" s="546"/>
      <c r="Y39" s="185"/>
    </row>
    <row r="40" spans="2:25" ht="19.5" customHeight="1" x14ac:dyDescent="0.2">
      <c r="B40" s="163"/>
      <c r="C40" s="49"/>
      <c r="D40" s="47" t="s">
        <v>909</v>
      </c>
      <c r="E40" s="46"/>
      <c r="F40" s="47" t="s">
        <v>890</v>
      </c>
      <c r="G40" s="46"/>
      <c r="H40" s="46"/>
      <c r="I40" s="46"/>
      <c r="L40" s="546"/>
      <c r="M40" s="546"/>
      <c r="N40" s="546"/>
      <c r="O40" s="546"/>
      <c r="P40" s="546"/>
      <c r="Q40" s="546"/>
      <c r="R40" s="546"/>
      <c r="S40" s="546">
        <v>38</v>
      </c>
      <c r="T40" s="546">
        <v>50</v>
      </c>
      <c r="U40" s="546"/>
      <c r="V40" s="546"/>
      <c r="W40" s="546"/>
      <c r="X40" s="546"/>
      <c r="Y40" s="185"/>
    </row>
    <row r="41" spans="2:25" ht="19.5" customHeight="1" x14ac:dyDescent="0.2">
      <c r="B41" s="163"/>
      <c r="C41" s="49"/>
      <c r="D41" s="47" t="s">
        <v>891</v>
      </c>
      <c r="E41" s="46"/>
      <c r="F41" s="47"/>
      <c r="G41" s="46"/>
      <c r="H41" s="46"/>
      <c r="I41" s="46"/>
      <c r="L41" s="546"/>
      <c r="M41" s="546"/>
      <c r="N41" s="546"/>
      <c r="O41" s="546"/>
      <c r="P41" s="546"/>
      <c r="Q41" s="546"/>
      <c r="R41" s="546"/>
      <c r="S41" s="546">
        <v>39</v>
      </c>
      <c r="T41" s="546">
        <v>50</v>
      </c>
      <c r="U41" s="546"/>
      <c r="V41" s="546"/>
      <c r="W41" s="546"/>
      <c r="X41" s="546"/>
      <c r="Y41" s="185"/>
    </row>
    <row r="42" spans="2:25" ht="19.5" customHeight="1" thickBot="1" x14ac:dyDescent="0.25">
      <c r="B42" s="163"/>
      <c r="C42" s="184"/>
      <c r="D42" s="182"/>
      <c r="E42" s="183"/>
      <c r="F42" s="182"/>
      <c r="G42" s="183"/>
      <c r="H42" s="46"/>
      <c r="I42" s="46"/>
      <c r="L42" s="546"/>
      <c r="M42" s="546"/>
      <c r="N42" s="546"/>
      <c r="O42" s="546"/>
      <c r="P42" s="546"/>
      <c r="Q42" s="546"/>
      <c r="R42" s="546"/>
      <c r="S42" s="546">
        <v>40</v>
      </c>
      <c r="T42" s="546">
        <v>50</v>
      </c>
      <c r="U42" s="546"/>
      <c r="V42" s="546"/>
      <c r="W42" s="546"/>
      <c r="X42" s="546"/>
      <c r="Y42" s="185"/>
    </row>
    <row r="43" spans="2:25" ht="19.5" customHeight="1" x14ac:dyDescent="0.2">
      <c r="B43" s="23"/>
      <c r="C43" s="46"/>
      <c r="D43" s="46"/>
      <c r="E43" s="46"/>
      <c r="F43" s="46"/>
      <c r="G43" s="46"/>
      <c r="H43" s="46"/>
      <c r="I43" s="46"/>
      <c r="L43" s="546"/>
      <c r="M43" s="546"/>
      <c r="N43" s="546"/>
      <c r="O43" s="546"/>
      <c r="P43" s="546"/>
      <c r="Q43" s="546"/>
      <c r="R43" s="546"/>
      <c r="S43" s="546">
        <v>41</v>
      </c>
      <c r="T43" s="546">
        <v>50</v>
      </c>
      <c r="U43" s="546"/>
      <c r="V43" s="546"/>
      <c r="W43" s="546"/>
      <c r="X43" s="546"/>
      <c r="Y43" s="185"/>
    </row>
    <row r="44" spans="2:25" ht="19.5" customHeight="1" x14ac:dyDescent="0.2">
      <c r="B44" s="140" t="s">
        <v>183</v>
      </c>
      <c r="C44" s="48"/>
      <c r="D44" s="46"/>
      <c r="E44" s="46"/>
      <c r="F44" s="46"/>
      <c r="G44" s="46"/>
      <c r="H44" s="46"/>
      <c r="I44" s="46"/>
      <c r="L44" s="546"/>
      <c r="M44" s="546"/>
      <c r="N44" s="546"/>
      <c r="O44" s="546"/>
      <c r="P44" s="546"/>
      <c r="Q44" s="546"/>
      <c r="R44" s="546"/>
      <c r="S44" s="546">
        <v>42</v>
      </c>
      <c r="T44" s="546">
        <v>50</v>
      </c>
      <c r="U44" s="546"/>
      <c r="V44" s="546"/>
      <c r="W44" s="546"/>
      <c r="X44" s="546"/>
      <c r="Y44" s="185"/>
    </row>
    <row r="45" spans="2:25" ht="19.5" customHeight="1" x14ac:dyDescent="0.2">
      <c r="B45" s="55"/>
      <c r="C45" s="46"/>
      <c r="D45" s="46"/>
      <c r="E45" s="46"/>
      <c r="F45" s="46"/>
      <c r="G45" s="46"/>
      <c r="H45" s="46"/>
      <c r="I45" s="46"/>
      <c r="L45" s="546"/>
      <c r="M45" s="546"/>
      <c r="N45" s="546"/>
      <c r="O45" s="546"/>
      <c r="P45" s="546"/>
      <c r="Q45" s="546"/>
      <c r="R45" s="546"/>
      <c r="S45" s="546">
        <v>43</v>
      </c>
      <c r="T45" s="546">
        <v>50</v>
      </c>
      <c r="U45" s="546"/>
      <c r="V45" s="546"/>
      <c r="W45" s="546"/>
      <c r="X45" s="546"/>
      <c r="Y45" s="185"/>
    </row>
    <row r="46" spans="2:25" ht="19.5" customHeight="1" x14ac:dyDescent="0.2">
      <c r="B46" s="55"/>
      <c r="C46" s="46"/>
      <c r="D46" s="46"/>
      <c r="E46" s="46"/>
      <c r="F46" s="46"/>
      <c r="G46" s="46"/>
      <c r="H46" s="46"/>
      <c r="I46" s="46"/>
      <c r="L46" s="546"/>
      <c r="M46" s="546"/>
      <c r="N46" s="546"/>
      <c r="O46" s="546"/>
      <c r="P46" s="546"/>
      <c r="Q46" s="546"/>
      <c r="R46" s="546"/>
      <c r="S46" s="546">
        <v>44</v>
      </c>
      <c r="T46" s="546">
        <v>50</v>
      </c>
      <c r="U46" s="546"/>
      <c r="V46" s="546"/>
      <c r="W46" s="546"/>
      <c r="X46" s="546"/>
      <c r="Y46" s="185"/>
    </row>
    <row r="47" spans="2:25" x14ac:dyDescent="0.2">
      <c r="B47" s="55"/>
      <c r="C47" s="46"/>
      <c r="D47" s="46"/>
      <c r="E47" s="46"/>
      <c r="F47" s="46"/>
      <c r="G47" s="46"/>
      <c r="H47" s="46"/>
      <c r="I47" s="46"/>
      <c r="L47" s="546"/>
      <c r="M47" s="546"/>
      <c r="N47" s="546"/>
      <c r="O47" s="546"/>
      <c r="P47" s="546"/>
      <c r="Q47" s="546"/>
      <c r="R47" s="546"/>
      <c r="S47" s="546">
        <v>45</v>
      </c>
      <c r="T47" s="546">
        <v>50</v>
      </c>
      <c r="U47" s="546"/>
      <c r="V47" s="546"/>
      <c r="W47" s="546"/>
      <c r="X47" s="546"/>
      <c r="Y47" s="185"/>
    </row>
    <row r="48" spans="2:25" x14ac:dyDescent="0.2">
      <c r="B48" s="55"/>
      <c r="C48" s="46"/>
      <c r="D48" s="46"/>
      <c r="E48" s="46"/>
      <c r="F48" s="46"/>
      <c r="G48" s="46"/>
      <c r="H48" s="46"/>
      <c r="I48" s="46"/>
      <c r="L48" s="546"/>
      <c r="M48" s="546"/>
      <c r="N48" s="546"/>
      <c r="O48" s="546"/>
      <c r="P48" s="546"/>
      <c r="Q48" s="546"/>
      <c r="R48" s="546"/>
      <c r="S48" s="546">
        <v>46</v>
      </c>
      <c r="T48" s="546">
        <v>50</v>
      </c>
      <c r="U48" s="546"/>
      <c r="V48" s="546"/>
      <c r="W48" s="546"/>
      <c r="X48" s="546"/>
      <c r="Y48" s="185"/>
    </row>
    <row r="49" spans="2:25" x14ac:dyDescent="0.2">
      <c r="B49" s="55"/>
      <c r="C49" s="46"/>
      <c r="D49" s="46"/>
      <c r="E49" s="46"/>
      <c r="F49" s="46"/>
      <c r="G49" s="46"/>
      <c r="H49" s="46"/>
      <c r="I49" s="46"/>
      <c r="L49" s="546"/>
      <c r="M49" s="546"/>
      <c r="N49" s="546"/>
      <c r="O49" s="546"/>
      <c r="P49" s="546"/>
      <c r="Q49" s="546"/>
      <c r="R49" s="546"/>
      <c r="S49" s="546">
        <v>47</v>
      </c>
      <c r="T49" s="546">
        <v>50</v>
      </c>
      <c r="U49" s="546"/>
      <c r="V49" s="546"/>
      <c r="W49" s="546"/>
      <c r="X49" s="546"/>
      <c r="Y49" s="185"/>
    </row>
    <row r="50" spans="2:25" x14ac:dyDescent="0.2">
      <c r="B50" s="55"/>
      <c r="C50" s="46"/>
      <c r="D50" s="46"/>
      <c r="E50" s="46"/>
      <c r="F50" s="46"/>
      <c r="G50" s="46"/>
      <c r="H50" s="46"/>
      <c r="I50" s="46"/>
      <c r="L50" s="546"/>
      <c r="M50" s="546"/>
      <c r="N50" s="546"/>
      <c r="O50" s="546"/>
      <c r="P50" s="546"/>
      <c r="Q50" s="546"/>
      <c r="R50" s="546"/>
      <c r="S50" s="546">
        <v>48</v>
      </c>
      <c r="T50" s="546">
        <v>50</v>
      </c>
      <c r="U50" s="546"/>
      <c r="V50" s="546"/>
      <c r="W50" s="546"/>
      <c r="X50" s="546"/>
      <c r="Y50" s="185"/>
    </row>
    <row r="51" spans="2:25" x14ac:dyDescent="0.2">
      <c r="B51" s="55"/>
      <c r="C51" s="46"/>
      <c r="D51" s="46"/>
      <c r="E51" s="46"/>
      <c r="F51" s="46"/>
      <c r="G51" s="46"/>
      <c r="H51" s="46"/>
      <c r="I51" s="46"/>
      <c r="L51" s="546"/>
      <c r="M51" s="546"/>
      <c r="N51" s="546"/>
      <c r="O51" s="546"/>
      <c r="P51" s="546"/>
      <c r="Q51" s="546"/>
      <c r="R51" s="546"/>
      <c r="S51" s="546">
        <v>49</v>
      </c>
      <c r="T51" s="546">
        <v>50</v>
      </c>
      <c r="U51" s="546"/>
      <c r="V51" s="546"/>
      <c r="W51" s="546"/>
      <c r="X51" s="546"/>
      <c r="Y51" s="185"/>
    </row>
    <row r="52" spans="2:25" x14ac:dyDescent="0.2">
      <c r="B52" s="55"/>
      <c r="C52" s="46"/>
      <c r="D52" s="46"/>
      <c r="E52" s="46"/>
      <c r="F52" s="46"/>
      <c r="G52" s="46"/>
      <c r="H52" s="46"/>
      <c r="I52" s="46"/>
      <c r="L52" s="546"/>
      <c r="M52" s="546"/>
      <c r="N52" s="546"/>
      <c r="O52" s="546"/>
      <c r="P52" s="546"/>
      <c r="Q52" s="546"/>
      <c r="R52" s="546"/>
      <c r="S52" s="546">
        <v>50</v>
      </c>
      <c r="T52" s="546">
        <v>50</v>
      </c>
      <c r="U52" s="546">
        <v>50</v>
      </c>
      <c r="V52" s="546"/>
      <c r="W52" s="546"/>
      <c r="X52" s="546"/>
      <c r="Y52" s="185"/>
    </row>
    <row r="53" spans="2:25" x14ac:dyDescent="0.2">
      <c r="B53" s="55"/>
      <c r="C53" s="46"/>
      <c r="D53" s="46"/>
      <c r="E53" s="46"/>
      <c r="F53" s="46"/>
      <c r="G53" s="46"/>
      <c r="H53" s="46"/>
      <c r="I53" s="46"/>
      <c r="L53" s="546"/>
      <c r="M53" s="546"/>
      <c r="N53" s="546"/>
      <c r="O53" s="546"/>
      <c r="P53" s="546"/>
      <c r="Q53" s="546"/>
      <c r="R53" s="546"/>
      <c r="S53" s="546">
        <v>51</v>
      </c>
      <c r="T53" s="546">
        <v>70</v>
      </c>
      <c r="U53" s="546"/>
      <c r="V53" s="546"/>
      <c r="W53" s="546"/>
      <c r="X53" s="546"/>
      <c r="Y53" s="185"/>
    </row>
    <row r="54" spans="2:25" x14ac:dyDescent="0.2">
      <c r="B54" s="55"/>
      <c r="C54" s="46"/>
      <c r="D54" s="46"/>
      <c r="E54" s="46"/>
      <c r="F54" s="46"/>
      <c r="G54" s="46"/>
      <c r="H54" s="46"/>
      <c r="I54" s="46"/>
      <c r="L54" s="546"/>
      <c r="M54" s="546"/>
      <c r="N54" s="546"/>
      <c r="O54" s="546"/>
      <c r="P54" s="546"/>
      <c r="Q54" s="546"/>
      <c r="R54" s="546"/>
      <c r="S54" s="546">
        <v>52</v>
      </c>
      <c r="T54" s="546">
        <v>70</v>
      </c>
      <c r="U54" s="546"/>
      <c r="V54" s="546"/>
      <c r="W54" s="546"/>
      <c r="X54" s="546"/>
      <c r="Y54" s="185"/>
    </row>
    <row r="55" spans="2:25" x14ac:dyDescent="0.2">
      <c r="B55" s="55"/>
      <c r="C55" s="46"/>
      <c r="D55" s="46"/>
      <c r="E55" s="46"/>
      <c r="F55" s="46"/>
      <c r="G55" s="46"/>
      <c r="H55" s="46"/>
      <c r="I55" s="46"/>
      <c r="L55" s="546"/>
      <c r="M55" s="546"/>
      <c r="N55" s="546"/>
      <c r="O55" s="546"/>
      <c r="P55" s="546"/>
      <c r="Q55" s="546"/>
      <c r="R55" s="546"/>
      <c r="S55" s="546">
        <v>53</v>
      </c>
      <c r="T55" s="546">
        <v>70</v>
      </c>
      <c r="U55" s="546"/>
      <c r="V55" s="546"/>
      <c r="W55" s="546"/>
      <c r="X55" s="546"/>
      <c r="Y55" s="185"/>
    </row>
    <row r="56" spans="2:25" x14ac:dyDescent="0.2">
      <c r="B56" s="55"/>
      <c r="C56" s="46"/>
      <c r="D56" s="46"/>
      <c r="E56" s="46"/>
      <c r="F56" s="46"/>
      <c r="G56" s="46"/>
      <c r="H56" s="46"/>
      <c r="I56" s="46"/>
      <c r="L56" s="546"/>
      <c r="M56" s="546"/>
      <c r="N56" s="546"/>
      <c r="O56" s="546"/>
      <c r="P56" s="546"/>
      <c r="Q56" s="546"/>
      <c r="R56" s="546"/>
      <c r="S56" s="546">
        <v>54</v>
      </c>
      <c r="T56" s="546">
        <v>70</v>
      </c>
      <c r="U56" s="546"/>
      <c r="V56" s="546"/>
      <c r="W56" s="546"/>
      <c r="X56" s="546"/>
      <c r="Y56" s="185"/>
    </row>
    <row r="57" spans="2:25" x14ac:dyDescent="0.2">
      <c r="B57" s="55"/>
      <c r="C57" s="46"/>
      <c r="D57" s="46"/>
      <c r="E57" s="46"/>
      <c r="F57" s="46"/>
      <c r="G57" s="46"/>
      <c r="H57" s="46"/>
      <c r="I57" s="46"/>
      <c r="L57" s="546"/>
      <c r="M57" s="546"/>
      <c r="N57" s="546"/>
      <c r="O57" s="546"/>
      <c r="P57" s="546"/>
      <c r="Q57" s="546"/>
      <c r="R57" s="546"/>
      <c r="S57" s="546">
        <v>55</v>
      </c>
      <c r="T57" s="546">
        <v>70</v>
      </c>
      <c r="U57" s="546"/>
      <c r="V57" s="546"/>
      <c r="W57" s="546"/>
      <c r="X57" s="546"/>
      <c r="Y57" s="185"/>
    </row>
    <row r="58" spans="2:25" x14ac:dyDescent="0.2">
      <c r="B58" s="55"/>
      <c r="C58" s="46"/>
      <c r="D58" s="46"/>
      <c r="E58" s="46"/>
      <c r="F58" s="46"/>
      <c r="G58" s="46"/>
      <c r="H58" s="46"/>
      <c r="I58" s="46"/>
      <c r="L58" s="546"/>
      <c r="M58" s="546"/>
      <c r="N58" s="546"/>
      <c r="O58" s="546"/>
      <c r="P58" s="546"/>
      <c r="Q58" s="546"/>
      <c r="R58" s="546"/>
      <c r="S58" s="546">
        <v>56</v>
      </c>
      <c r="T58" s="546">
        <v>70</v>
      </c>
      <c r="U58" s="546"/>
      <c r="V58" s="546"/>
      <c r="W58" s="546"/>
      <c r="X58" s="546"/>
      <c r="Y58" s="185"/>
    </row>
    <row r="59" spans="2:25" x14ac:dyDescent="0.2">
      <c r="B59" s="55"/>
      <c r="C59" s="46"/>
      <c r="D59" s="46"/>
      <c r="E59" s="46"/>
      <c r="F59" s="46"/>
      <c r="G59" s="46"/>
      <c r="H59" s="46"/>
      <c r="I59" s="46"/>
      <c r="L59" s="546"/>
      <c r="M59" s="546"/>
      <c r="N59" s="546"/>
      <c r="O59" s="546"/>
      <c r="P59" s="546"/>
      <c r="Q59" s="546"/>
      <c r="R59" s="546"/>
      <c r="S59" s="546">
        <v>57</v>
      </c>
      <c r="T59" s="546">
        <v>70</v>
      </c>
      <c r="U59" s="546"/>
      <c r="V59" s="546"/>
      <c r="W59" s="546"/>
      <c r="X59" s="546"/>
      <c r="Y59" s="185"/>
    </row>
    <row r="60" spans="2:25" x14ac:dyDescent="0.2">
      <c r="B60" s="55"/>
      <c r="C60" s="46"/>
      <c r="D60" s="46"/>
      <c r="E60" s="46"/>
      <c r="F60" s="46"/>
      <c r="G60" s="46"/>
      <c r="H60" s="46"/>
      <c r="I60" s="46"/>
      <c r="L60" s="546"/>
      <c r="M60" s="546"/>
      <c r="N60" s="546"/>
      <c r="O60" s="546"/>
      <c r="P60" s="546"/>
      <c r="Q60" s="546"/>
      <c r="R60" s="546"/>
      <c r="S60" s="546">
        <v>58</v>
      </c>
      <c r="T60" s="546">
        <v>70</v>
      </c>
      <c r="U60" s="546"/>
      <c r="V60" s="546"/>
      <c r="W60" s="546"/>
      <c r="X60" s="546"/>
      <c r="Y60" s="185"/>
    </row>
    <row r="61" spans="2:25" x14ac:dyDescent="0.2">
      <c r="B61" s="55"/>
      <c r="C61" s="46"/>
      <c r="D61" s="46"/>
      <c r="E61" s="46"/>
      <c r="F61" s="46"/>
      <c r="G61" s="46"/>
      <c r="H61" s="46"/>
      <c r="I61" s="46"/>
      <c r="L61" s="546"/>
      <c r="M61" s="546"/>
      <c r="N61" s="546"/>
      <c r="O61" s="546"/>
      <c r="P61" s="546"/>
      <c r="Q61" s="546"/>
      <c r="R61" s="546"/>
      <c r="S61" s="546">
        <v>59</v>
      </c>
      <c r="T61" s="546">
        <v>70</v>
      </c>
      <c r="U61" s="546"/>
      <c r="V61" s="546"/>
      <c r="W61" s="546"/>
      <c r="X61" s="546"/>
      <c r="Y61" s="185"/>
    </row>
    <row r="62" spans="2:25" x14ac:dyDescent="0.2">
      <c r="B62" s="55"/>
      <c r="C62" s="46"/>
      <c r="D62" s="46"/>
      <c r="E62" s="46"/>
      <c r="F62" s="46"/>
      <c r="G62" s="46"/>
      <c r="H62" s="46"/>
      <c r="I62" s="46"/>
      <c r="L62" s="546"/>
      <c r="M62" s="546"/>
      <c r="N62" s="546"/>
      <c r="O62" s="546"/>
      <c r="P62" s="546"/>
      <c r="Q62" s="546"/>
      <c r="R62" s="546"/>
      <c r="S62" s="546">
        <v>60</v>
      </c>
      <c r="T62" s="546">
        <v>70</v>
      </c>
      <c r="U62" s="546"/>
      <c r="V62" s="546"/>
      <c r="W62" s="546"/>
      <c r="X62" s="546"/>
      <c r="Y62" s="185"/>
    </row>
    <row r="63" spans="2:25" x14ac:dyDescent="0.2">
      <c r="B63" s="55"/>
      <c r="C63" s="46"/>
      <c r="D63" s="46"/>
      <c r="E63" s="46"/>
      <c r="F63" s="46"/>
      <c r="G63" s="46"/>
      <c r="H63" s="46"/>
      <c r="I63" s="46"/>
      <c r="L63" s="546"/>
      <c r="M63" s="546"/>
      <c r="N63" s="546"/>
      <c r="O63" s="546"/>
      <c r="P63" s="546"/>
      <c r="Q63" s="546"/>
      <c r="R63" s="546"/>
      <c r="S63" s="546">
        <v>61</v>
      </c>
      <c r="T63" s="546">
        <v>70</v>
      </c>
      <c r="U63" s="546"/>
      <c r="V63" s="546"/>
      <c r="W63" s="546"/>
      <c r="X63" s="546"/>
      <c r="Y63" s="185"/>
    </row>
    <row r="64" spans="2:25" x14ac:dyDescent="0.2">
      <c r="B64" s="55"/>
      <c r="C64" s="46"/>
      <c r="D64" s="46"/>
      <c r="E64" s="46"/>
      <c r="F64" s="46"/>
      <c r="G64" s="46"/>
      <c r="H64" s="46"/>
      <c r="I64" s="46"/>
      <c r="L64" s="546"/>
      <c r="M64" s="546"/>
      <c r="N64" s="546"/>
      <c r="O64" s="546"/>
      <c r="P64" s="546"/>
      <c r="Q64" s="546"/>
      <c r="R64" s="546"/>
      <c r="S64" s="546">
        <v>62</v>
      </c>
      <c r="T64" s="546">
        <v>70</v>
      </c>
      <c r="U64" s="546"/>
      <c r="V64" s="546"/>
      <c r="W64" s="546"/>
      <c r="X64" s="546"/>
      <c r="Y64" s="185"/>
    </row>
    <row r="65" spans="2:25" x14ac:dyDescent="0.2">
      <c r="B65" s="55"/>
      <c r="C65" s="46"/>
      <c r="D65" s="46"/>
      <c r="E65" s="46"/>
      <c r="F65" s="46"/>
      <c r="G65" s="46"/>
      <c r="H65" s="46"/>
      <c r="I65" s="46"/>
      <c r="L65" s="546"/>
      <c r="M65" s="546"/>
      <c r="N65" s="546"/>
      <c r="O65" s="546"/>
      <c r="P65" s="546"/>
      <c r="Q65" s="546"/>
      <c r="R65" s="546"/>
      <c r="S65" s="546">
        <v>63</v>
      </c>
      <c r="T65" s="546">
        <v>70</v>
      </c>
      <c r="U65" s="546"/>
      <c r="V65" s="546"/>
      <c r="W65" s="546"/>
      <c r="X65" s="546"/>
      <c r="Y65" s="185"/>
    </row>
    <row r="66" spans="2:25" x14ac:dyDescent="0.2">
      <c r="B66" s="55"/>
      <c r="C66" s="46"/>
      <c r="D66" s="46"/>
      <c r="E66" s="46"/>
      <c r="F66" s="46"/>
      <c r="G66" s="46"/>
      <c r="H66" s="46"/>
      <c r="I66" s="46"/>
      <c r="L66" s="546"/>
      <c r="M66" s="546"/>
      <c r="N66" s="546"/>
      <c r="O66" s="546"/>
      <c r="P66" s="546"/>
      <c r="Q66" s="546"/>
      <c r="R66" s="546"/>
      <c r="S66" s="546">
        <v>64</v>
      </c>
      <c r="T66" s="546">
        <v>70</v>
      </c>
      <c r="U66" s="546"/>
      <c r="V66" s="546"/>
      <c r="W66" s="546"/>
      <c r="X66" s="546"/>
      <c r="Y66" s="185"/>
    </row>
    <row r="67" spans="2:25" x14ac:dyDescent="0.2">
      <c r="B67" s="55"/>
      <c r="C67" s="46"/>
      <c r="D67" s="46"/>
      <c r="E67" s="46"/>
      <c r="F67" s="46"/>
      <c r="G67" s="46"/>
      <c r="H67" s="46"/>
      <c r="I67" s="46"/>
      <c r="L67" s="546"/>
      <c r="M67" s="546"/>
      <c r="N67" s="546"/>
      <c r="O67" s="546"/>
      <c r="P67" s="546"/>
      <c r="Q67" s="546"/>
      <c r="R67" s="546"/>
      <c r="S67" s="546">
        <v>65</v>
      </c>
      <c r="T67" s="546">
        <v>70</v>
      </c>
      <c r="U67" s="546"/>
      <c r="V67" s="546"/>
      <c r="W67" s="546"/>
      <c r="X67" s="546"/>
      <c r="Y67" s="185"/>
    </row>
    <row r="68" spans="2:25" x14ac:dyDescent="0.2">
      <c r="B68" s="55"/>
      <c r="C68" s="46"/>
      <c r="D68" s="46"/>
      <c r="E68" s="46"/>
      <c r="F68" s="46"/>
      <c r="G68" s="46"/>
      <c r="H68" s="46"/>
      <c r="I68" s="46"/>
      <c r="L68" s="546"/>
      <c r="M68" s="546"/>
      <c r="N68" s="546"/>
      <c r="O68" s="546"/>
      <c r="P68" s="546"/>
      <c r="Q68" s="546"/>
      <c r="R68" s="546"/>
      <c r="S68" s="546">
        <v>66</v>
      </c>
      <c r="T68" s="546">
        <v>70</v>
      </c>
      <c r="U68" s="546"/>
      <c r="V68" s="546"/>
      <c r="W68" s="546"/>
      <c r="X68" s="546"/>
      <c r="Y68" s="185"/>
    </row>
    <row r="69" spans="2:25" x14ac:dyDescent="0.2">
      <c r="B69" s="55"/>
      <c r="C69" s="46"/>
      <c r="D69" s="46"/>
      <c r="E69" s="46"/>
      <c r="F69" s="46"/>
      <c r="G69" s="46"/>
      <c r="H69" s="46"/>
      <c r="I69" s="46"/>
      <c r="L69" s="546"/>
      <c r="M69" s="546"/>
      <c r="N69" s="546"/>
      <c r="O69" s="546"/>
      <c r="P69" s="546"/>
      <c r="Q69" s="546"/>
      <c r="R69" s="546"/>
      <c r="S69" s="546">
        <v>67</v>
      </c>
      <c r="T69" s="546">
        <v>70</v>
      </c>
      <c r="U69" s="546"/>
      <c r="V69" s="546"/>
      <c r="W69" s="546"/>
      <c r="X69" s="546"/>
      <c r="Y69" s="185"/>
    </row>
    <row r="70" spans="2:25" x14ac:dyDescent="0.2">
      <c r="B70" s="55"/>
      <c r="C70" s="46"/>
      <c r="D70" s="46"/>
      <c r="E70" s="46"/>
      <c r="F70" s="46"/>
      <c r="G70" s="46"/>
      <c r="H70" s="46"/>
      <c r="I70" s="46"/>
      <c r="L70" s="546"/>
      <c r="M70" s="546"/>
      <c r="N70" s="546"/>
      <c r="O70" s="546"/>
      <c r="P70" s="546"/>
      <c r="Q70" s="546"/>
      <c r="R70" s="546"/>
      <c r="S70" s="546">
        <v>68</v>
      </c>
      <c r="T70" s="546">
        <v>70</v>
      </c>
      <c r="U70" s="546"/>
      <c r="V70" s="546"/>
      <c r="W70" s="546"/>
      <c r="X70" s="546"/>
      <c r="Y70" s="185"/>
    </row>
    <row r="71" spans="2:25" x14ac:dyDescent="0.2">
      <c r="B71" s="55"/>
      <c r="C71" s="46"/>
      <c r="D71" s="46"/>
      <c r="E71" s="46"/>
      <c r="F71" s="46"/>
      <c r="G71" s="46"/>
      <c r="H71" s="46"/>
      <c r="I71" s="46"/>
      <c r="L71" s="546"/>
      <c r="M71" s="546"/>
      <c r="N71" s="546"/>
      <c r="O71" s="546"/>
      <c r="P71" s="546"/>
      <c r="Q71" s="546"/>
      <c r="R71" s="546"/>
      <c r="S71" s="546">
        <v>69</v>
      </c>
      <c r="T71" s="546">
        <v>70</v>
      </c>
      <c r="U71" s="546"/>
      <c r="V71" s="546"/>
      <c r="W71" s="546"/>
      <c r="X71" s="546"/>
      <c r="Y71" s="185"/>
    </row>
    <row r="72" spans="2:25" x14ac:dyDescent="0.2">
      <c r="B72" s="55"/>
      <c r="C72" s="46"/>
      <c r="D72" s="46"/>
      <c r="E72" s="46"/>
      <c r="F72" s="46"/>
      <c r="G72" s="46"/>
      <c r="H72" s="46"/>
      <c r="I72" s="46"/>
      <c r="L72" s="546"/>
      <c r="M72" s="546"/>
      <c r="N72" s="546"/>
      <c r="O72" s="546"/>
      <c r="P72" s="546"/>
      <c r="Q72" s="546"/>
      <c r="R72" s="546"/>
      <c r="S72" s="546">
        <v>70</v>
      </c>
      <c r="T72" s="546">
        <v>70</v>
      </c>
      <c r="U72" s="546">
        <v>70</v>
      </c>
      <c r="V72" s="546"/>
      <c r="W72" s="546"/>
      <c r="X72" s="546"/>
      <c r="Y72" s="185"/>
    </row>
    <row r="73" spans="2:25" x14ac:dyDescent="0.2">
      <c r="B73" s="55"/>
      <c r="C73" s="46"/>
      <c r="D73" s="46"/>
      <c r="E73" s="46"/>
      <c r="F73" s="46"/>
      <c r="G73" s="46"/>
      <c r="H73" s="46"/>
      <c r="I73" s="46"/>
      <c r="L73" s="546"/>
      <c r="M73" s="546"/>
      <c r="N73" s="546"/>
      <c r="O73" s="546"/>
      <c r="P73" s="546"/>
      <c r="Q73" s="546"/>
      <c r="R73" s="546"/>
      <c r="S73" s="546">
        <v>71</v>
      </c>
      <c r="T73" s="546">
        <v>100</v>
      </c>
      <c r="U73" s="546"/>
      <c r="V73" s="546"/>
      <c r="W73" s="546"/>
      <c r="X73" s="546"/>
      <c r="Y73" s="185"/>
    </row>
    <row r="74" spans="2:25" x14ac:dyDescent="0.2">
      <c r="B74" s="55"/>
      <c r="C74" s="46"/>
      <c r="D74" s="46"/>
      <c r="E74" s="46"/>
      <c r="F74" s="46"/>
      <c r="G74" s="46"/>
      <c r="H74" s="46"/>
      <c r="I74" s="46"/>
      <c r="L74" s="546"/>
      <c r="M74" s="546"/>
      <c r="N74" s="546"/>
      <c r="O74" s="546"/>
      <c r="P74" s="546"/>
      <c r="Q74" s="546"/>
      <c r="R74" s="546"/>
      <c r="S74" s="546">
        <v>72</v>
      </c>
      <c r="T74" s="546">
        <v>100</v>
      </c>
      <c r="U74" s="546"/>
      <c r="V74" s="546"/>
      <c r="W74" s="546"/>
      <c r="X74" s="546"/>
      <c r="Y74" s="185"/>
    </row>
    <row r="75" spans="2:25" x14ac:dyDescent="0.2">
      <c r="B75" s="55"/>
      <c r="C75" s="46"/>
      <c r="D75" s="46"/>
      <c r="E75" s="46"/>
      <c r="F75" s="46"/>
      <c r="G75" s="46"/>
      <c r="H75" s="46"/>
      <c r="I75" s="46"/>
      <c r="L75" s="546"/>
      <c r="M75" s="546"/>
      <c r="N75" s="546"/>
      <c r="O75" s="546"/>
      <c r="P75" s="546"/>
      <c r="Q75" s="546"/>
      <c r="R75" s="546"/>
      <c r="S75" s="546">
        <v>73</v>
      </c>
      <c r="T75" s="546">
        <v>100</v>
      </c>
      <c r="U75" s="546"/>
      <c r="V75" s="546"/>
      <c r="W75" s="546"/>
      <c r="X75" s="546"/>
      <c r="Y75" s="185"/>
    </row>
    <row r="76" spans="2:25" x14ac:dyDescent="0.2">
      <c r="B76" s="55"/>
      <c r="C76" s="46"/>
      <c r="D76" s="46"/>
      <c r="E76" s="46"/>
      <c r="F76" s="46"/>
      <c r="G76" s="46"/>
      <c r="H76" s="46"/>
      <c r="I76" s="46"/>
      <c r="L76" s="546"/>
      <c r="M76" s="546"/>
      <c r="N76" s="546"/>
      <c r="O76" s="546"/>
      <c r="P76" s="546"/>
      <c r="Q76" s="546"/>
      <c r="R76" s="546"/>
      <c r="S76" s="546">
        <v>74</v>
      </c>
      <c r="T76" s="546">
        <v>100</v>
      </c>
      <c r="U76" s="546"/>
      <c r="V76" s="546"/>
      <c r="W76" s="546"/>
      <c r="X76" s="546"/>
      <c r="Y76" s="185"/>
    </row>
    <row r="77" spans="2:25" x14ac:dyDescent="0.2">
      <c r="H77" s="46"/>
      <c r="I77" s="46"/>
      <c r="L77" s="546"/>
      <c r="M77" s="546"/>
      <c r="N77" s="546"/>
      <c r="O77" s="546"/>
      <c r="P77" s="546"/>
      <c r="Q77" s="546"/>
      <c r="R77" s="546"/>
      <c r="S77" s="546">
        <v>75</v>
      </c>
      <c r="T77" s="546">
        <v>100</v>
      </c>
      <c r="U77" s="546"/>
      <c r="V77" s="546"/>
      <c r="W77" s="546"/>
      <c r="X77" s="546"/>
      <c r="Y77" s="185"/>
    </row>
    <row r="78" spans="2:25" x14ac:dyDescent="0.2">
      <c r="L78" s="546"/>
      <c r="M78" s="546"/>
      <c r="N78" s="546"/>
      <c r="O78" s="546"/>
      <c r="P78" s="546"/>
      <c r="Q78" s="546"/>
      <c r="R78" s="546"/>
      <c r="S78" s="546">
        <v>76</v>
      </c>
      <c r="T78" s="546">
        <v>100</v>
      </c>
      <c r="U78" s="546"/>
      <c r="V78" s="546"/>
      <c r="W78" s="546"/>
      <c r="X78" s="546"/>
      <c r="Y78" s="185"/>
    </row>
    <row r="79" spans="2:25" x14ac:dyDescent="0.2">
      <c r="L79" s="546"/>
      <c r="M79" s="546"/>
      <c r="N79" s="546"/>
      <c r="O79" s="546"/>
      <c r="P79" s="546"/>
      <c r="Q79" s="546"/>
      <c r="R79" s="546"/>
      <c r="S79" s="546">
        <v>77</v>
      </c>
      <c r="T79" s="546">
        <v>100</v>
      </c>
      <c r="U79" s="546"/>
      <c r="V79" s="546"/>
      <c r="W79" s="546"/>
      <c r="X79" s="546"/>
      <c r="Y79" s="185"/>
    </row>
    <row r="80" spans="2:25" x14ac:dyDescent="0.2">
      <c r="L80" s="546"/>
      <c r="M80" s="546"/>
      <c r="N80" s="546"/>
      <c r="O80" s="546"/>
      <c r="P80" s="546"/>
      <c r="Q80" s="546"/>
      <c r="R80" s="546"/>
      <c r="S80" s="546">
        <v>78</v>
      </c>
      <c r="T80" s="546">
        <v>100</v>
      </c>
      <c r="U80" s="546"/>
      <c r="V80" s="546"/>
      <c r="W80" s="546"/>
      <c r="X80" s="546"/>
      <c r="Y80" s="185"/>
    </row>
    <row r="81" spans="12:25" x14ac:dyDescent="0.2">
      <c r="L81" s="546"/>
      <c r="M81" s="546"/>
      <c r="N81" s="546"/>
      <c r="O81" s="546"/>
      <c r="P81" s="546"/>
      <c r="Q81" s="546"/>
      <c r="R81" s="546"/>
      <c r="S81" s="546">
        <v>79</v>
      </c>
      <c r="T81" s="546">
        <v>100</v>
      </c>
      <c r="U81" s="546"/>
      <c r="V81" s="546"/>
      <c r="W81" s="546"/>
      <c r="X81" s="546"/>
      <c r="Y81" s="185"/>
    </row>
    <row r="82" spans="12:25" x14ac:dyDescent="0.2">
      <c r="L82" s="546"/>
      <c r="M82" s="546"/>
      <c r="N82" s="546"/>
      <c r="O82" s="546"/>
      <c r="P82" s="546"/>
      <c r="Q82" s="546"/>
      <c r="R82" s="546"/>
      <c r="S82" s="546">
        <v>80</v>
      </c>
      <c r="T82" s="546">
        <v>100</v>
      </c>
      <c r="U82" s="546"/>
      <c r="V82" s="546"/>
      <c r="W82" s="546"/>
      <c r="X82" s="546"/>
      <c r="Y82" s="185"/>
    </row>
    <row r="83" spans="12:25" x14ac:dyDescent="0.2">
      <c r="L83" s="546"/>
      <c r="M83" s="546"/>
      <c r="N83" s="546"/>
      <c r="O83" s="546"/>
      <c r="P83" s="546"/>
      <c r="Q83" s="546"/>
      <c r="R83" s="546"/>
      <c r="S83" s="546">
        <v>81</v>
      </c>
      <c r="T83" s="546">
        <v>100</v>
      </c>
      <c r="U83" s="546"/>
      <c r="V83" s="546"/>
      <c r="W83" s="546"/>
      <c r="X83" s="546"/>
      <c r="Y83" s="185"/>
    </row>
    <row r="84" spans="12:25" x14ac:dyDescent="0.2">
      <c r="L84" s="546"/>
      <c r="M84" s="546"/>
      <c r="N84" s="546"/>
      <c r="O84" s="546"/>
      <c r="P84" s="546"/>
      <c r="Q84" s="546"/>
      <c r="R84" s="546"/>
      <c r="S84" s="546">
        <v>82</v>
      </c>
      <c r="T84" s="546">
        <v>100</v>
      </c>
      <c r="U84" s="546"/>
      <c r="V84" s="546"/>
      <c r="W84" s="546"/>
      <c r="X84" s="546"/>
      <c r="Y84" s="185"/>
    </row>
    <row r="85" spans="12:25" x14ac:dyDescent="0.2">
      <c r="L85" s="546"/>
      <c r="M85" s="546"/>
      <c r="N85" s="546"/>
      <c r="O85" s="546"/>
      <c r="P85" s="546"/>
      <c r="Q85" s="546"/>
      <c r="R85" s="546"/>
      <c r="S85" s="546">
        <v>83</v>
      </c>
      <c r="T85" s="546">
        <v>100</v>
      </c>
      <c r="U85" s="546"/>
      <c r="V85" s="546"/>
      <c r="W85" s="546"/>
      <c r="X85" s="546"/>
      <c r="Y85" s="185"/>
    </row>
    <row r="86" spans="12:25" x14ac:dyDescent="0.2">
      <c r="L86" s="546"/>
      <c r="M86" s="546"/>
      <c r="N86" s="546"/>
      <c r="O86" s="546"/>
      <c r="P86" s="546"/>
      <c r="Q86" s="546"/>
      <c r="R86" s="546"/>
      <c r="S86" s="546">
        <v>84</v>
      </c>
      <c r="T86" s="546">
        <v>100</v>
      </c>
      <c r="U86" s="546"/>
      <c r="V86" s="546"/>
      <c r="W86" s="546"/>
      <c r="X86" s="546"/>
      <c r="Y86" s="185"/>
    </row>
    <row r="87" spans="12:25" x14ac:dyDescent="0.2">
      <c r="L87" s="546"/>
      <c r="M87" s="546"/>
      <c r="N87" s="546"/>
      <c r="O87" s="546"/>
      <c r="P87" s="546"/>
      <c r="Q87" s="546"/>
      <c r="R87" s="546"/>
      <c r="S87" s="546">
        <v>85</v>
      </c>
      <c r="T87" s="546">
        <v>100</v>
      </c>
      <c r="U87" s="546"/>
      <c r="V87" s="546"/>
      <c r="W87" s="546"/>
      <c r="X87" s="546"/>
      <c r="Y87" s="185"/>
    </row>
    <row r="88" spans="12:25" x14ac:dyDescent="0.2">
      <c r="L88" s="546"/>
      <c r="M88" s="546"/>
      <c r="N88" s="546"/>
      <c r="O88" s="546"/>
      <c r="P88" s="546"/>
      <c r="Q88" s="546"/>
      <c r="R88" s="546"/>
      <c r="S88" s="546">
        <v>86</v>
      </c>
      <c r="T88" s="546">
        <v>100</v>
      </c>
      <c r="U88" s="546"/>
      <c r="V88" s="546"/>
      <c r="W88" s="546"/>
      <c r="X88" s="546"/>
      <c r="Y88" s="185"/>
    </row>
    <row r="89" spans="12:25" x14ac:dyDescent="0.2">
      <c r="L89" s="546"/>
      <c r="M89" s="546"/>
      <c r="N89" s="546"/>
      <c r="O89" s="546"/>
      <c r="P89" s="546"/>
      <c r="Q89" s="546"/>
      <c r="R89" s="546"/>
      <c r="S89" s="546">
        <v>87</v>
      </c>
      <c r="T89" s="546">
        <v>100</v>
      </c>
      <c r="U89" s="546"/>
      <c r="V89" s="546"/>
      <c r="W89" s="546"/>
      <c r="X89" s="546"/>
      <c r="Y89" s="185"/>
    </row>
    <row r="90" spans="12:25" x14ac:dyDescent="0.2">
      <c r="L90" s="546"/>
      <c r="M90" s="546"/>
      <c r="N90" s="546"/>
      <c r="O90" s="546"/>
      <c r="P90" s="546"/>
      <c r="Q90" s="546"/>
      <c r="R90" s="546"/>
      <c r="S90" s="546">
        <v>88</v>
      </c>
      <c r="T90" s="546">
        <v>100</v>
      </c>
      <c r="U90" s="546"/>
      <c r="V90" s="546"/>
      <c r="W90" s="546"/>
      <c r="X90" s="546"/>
      <c r="Y90" s="185"/>
    </row>
    <row r="91" spans="12:25" x14ac:dyDescent="0.2">
      <c r="L91" s="546"/>
      <c r="M91" s="546"/>
      <c r="N91" s="546"/>
      <c r="O91" s="546"/>
      <c r="P91" s="546"/>
      <c r="Q91" s="546"/>
      <c r="R91" s="546"/>
      <c r="S91" s="546">
        <v>89</v>
      </c>
      <c r="T91" s="546">
        <v>100</v>
      </c>
      <c r="U91" s="546"/>
      <c r="V91" s="546"/>
      <c r="W91" s="546"/>
      <c r="X91" s="546"/>
      <c r="Y91" s="185"/>
    </row>
    <row r="92" spans="12:25" x14ac:dyDescent="0.2">
      <c r="L92" s="546"/>
      <c r="M92" s="546"/>
      <c r="N92" s="546"/>
      <c r="O92" s="546"/>
      <c r="P92" s="546"/>
      <c r="Q92" s="546"/>
      <c r="R92" s="546"/>
      <c r="S92" s="546">
        <v>90</v>
      </c>
      <c r="T92" s="546">
        <v>100</v>
      </c>
      <c r="U92" s="546"/>
      <c r="V92" s="546"/>
      <c r="W92" s="546"/>
      <c r="X92" s="546"/>
      <c r="Y92" s="185"/>
    </row>
    <row r="93" spans="12:25" x14ac:dyDescent="0.2">
      <c r="L93" s="546"/>
      <c r="M93" s="546"/>
      <c r="N93" s="546"/>
      <c r="O93" s="546"/>
      <c r="P93" s="546"/>
      <c r="Q93" s="546"/>
      <c r="R93" s="546"/>
      <c r="S93" s="546">
        <v>91</v>
      </c>
      <c r="T93" s="546">
        <v>100</v>
      </c>
      <c r="U93" s="546"/>
      <c r="V93" s="546"/>
      <c r="W93" s="546"/>
      <c r="X93" s="546"/>
      <c r="Y93" s="185"/>
    </row>
    <row r="94" spans="12:25" x14ac:dyDescent="0.2">
      <c r="L94" s="546"/>
      <c r="M94" s="546"/>
      <c r="N94" s="546"/>
      <c r="O94" s="546"/>
      <c r="P94" s="546"/>
      <c r="Q94" s="546"/>
      <c r="R94" s="546"/>
      <c r="S94" s="546">
        <v>92</v>
      </c>
      <c r="T94" s="546">
        <v>100</v>
      </c>
      <c r="U94" s="546"/>
      <c r="V94" s="546"/>
      <c r="W94" s="546"/>
      <c r="X94" s="546"/>
      <c r="Y94" s="185"/>
    </row>
    <row r="95" spans="12:25" x14ac:dyDescent="0.2">
      <c r="L95" s="546"/>
      <c r="M95" s="546"/>
      <c r="N95" s="546"/>
      <c r="O95" s="546"/>
      <c r="P95" s="546"/>
      <c r="Q95" s="546"/>
      <c r="R95" s="546"/>
      <c r="S95" s="546">
        <v>93</v>
      </c>
      <c r="T95" s="546">
        <v>100</v>
      </c>
      <c r="U95" s="546"/>
      <c r="V95" s="546"/>
      <c r="W95" s="546"/>
      <c r="X95" s="546"/>
      <c r="Y95" s="185"/>
    </row>
    <row r="96" spans="12:25" x14ac:dyDescent="0.2">
      <c r="L96" s="546"/>
      <c r="M96" s="546"/>
      <c r="N96" s="546"/>
      <c r="O96" s="546"/>
      <c r="P96" s="546"/>
      <c r="Q96" s="546"/>
      <c r="R96" s="546"/>
      <c r="S96" s="546">
        <v>94</v>
      </c>
      <c r="T96" s="546">
        <v>100</v>
      </c>
      <c r="U96" s="546"/>
      <c r="V96" s="546"/>
      <c r="W96" s="546"/>
      <c r="X96" s="546"/>
      <c r="Y96" s="185"/>
    </row>
    <row r="97" spans="12:25" x14ac:dyDescent="0.2">
      <c r="L97" s="546"/>
      <c r="M97" s="546"/>
      <c r="N97" s="546"/>
      <c r="O97" s="546"/>
      <c r="P97" s="546"/>
      <c r="Q97" s="546"/>
      <c r="R97" s="546"/>
      <c r="S97" s="546">
        <v>95</v>
      </c>
      <c r="T97" s="546">
        <v>100</v>
      </c>
      <c r="U97" s="546"/>
      <c r="V97" s="546"/>
      <c r="W97" s="546"/>
      <c r="X97" s="546"/>
      <c r="Y97" s="185"/>
    </row>
    <row r="98" spans="12:25" x14ac:dyDescent="0.2">
      <c r="L98" s="546"/>
      <c r="M98" s="546"/>
      <c r="N98" s="546"/>
      <c r="O98" s="546"/>
      <c r="P98" s="546"/>
      <c r="Q98" s="546"/>
      <c r="R98" s="546"/>
      <c r="S98" s="546">
        <v>96</v>
      </c>
      <c r="T98" s="546">
        <v>100</v>
      </c>
      <c r="U98" s="546"/>
      <c r="V98" s="546"/>
      <c r="W98" s="546"/>
      <c r="X98" s="546"/>
      <c r="Y98" s="185"/>
    </row>
    <row r="99" spans="12:25" x14ac:dyDescent="0.2">
      <c r="L99" s="546"/>
      <c r="M99" s="546"/>
      <c r="N99" s="546"/>
      <c r="O99" s="546"/>
      <c r="P99" s="546"/>
      <c r="Q99" s="546"/>
      <c r="R99" s="546"/>
      <c r="S99" s="546">
        <v>97</v>
      </c>
      <c r="T99" s="546">
        <v>100</v>
      </c>
      <c r="U99" s="546"/>
      <c r="V99" s="546"/>
      <c r="W99" s="546"/>
      <c r="X99" s="546"/>
      <c r="Y99" s="185"/>
    </row>
    <row r="100" spans="12:25" x14ac:dyDescent="0.2">
      <c r="L100" s="546"/>
      <c r="M100" s="546"/>
      <c r="N100" s="546"/>
      <c r="O100" s="546"/>
      <c r="P100" s="546"/>
      <c r="Q100" s="546"/>
      <c r="R100" s="546"/>
      <c r="S100" s="546">
        <v>98</v>
      </c>
      <c r="T100" s="546">
        <v>100</v>
      </c>
      <c r="U100" s="546"/>
      <c r="V100" s="546"/>
      <c r="W100" s="546"/>
      <c r="X100" s="546"/>
      <c r="Y100" s="185"/>
    </row>
    <row r="101" spans="12:25" x14ac:dyDescent="0.2">
      <c r="L101" s="546"/>
      <c r="M101" s="546"/>
      <c r="N101" s="546"/>
      <c r="O101" s="546"/>
      <c r="P101" s="546"/>
      <c r="Q101" s="546"/>
      <c r="R101" s="546"/>
      <c r="S101" s="546">
        <v>99</v>
      </c>
      <c r="T101" s="546">
        <v>100</v>
      </c>
      <c r="U101" s="546"/>
      <c r="V101" s="546"/>
      <c r="W101" s="546"/>
      <c r="X101" s="546"/>
      <c r="Y101" s="185"/>
    </row>
    <row r="102" spans="12:25" x14ac:dyDescent="0.2">
      <c r="L102" s="546"/>
      <c r="M102" s="546"/>
      <c r="N102" s="546"/>
      <c r="O102" s="546"/>
      <c r="P102" s="546"/>
      <c r="Q102" s="546"/>
      <c r="R102" s="546"/>
      <c r="S102" s="546">
        <v>100</v>
      </c>
      <c r="T102" s="546">
        <v>100</v>
      </c>
      <c r="U102" s="546">
        <v>100</v>
      </c>
      <c r="V102" s="546"/>
      <c r="W102" s="546"/>
      <c r="X102" s="546"/>
      <c r="Y102" s="185"/>
    </row>
    <row r="103" spans="12:25" x14ac:dyDescent="0.2">
      <c r="L103" s="546"/>
      <c r="M103" s="546"/>
      <c r="N103" s="546"/>
      <c r="O103" s="546"/>
      <c r="P103" s="546"/>
      <c r="Q103" s="546"/>
      <c r="R103" s="546"/>
      <c r="S103" s="546">
        <v>101</v>
      </c>
      <c r="T103" s="546">
        <v>150</v>
      </c>
      <c r="U103" s="546"/>
      <c r="V103" s="546"/>
      <c r="W103" s="546"/>
      <c r="X103" s="546"/>
      <c r="Y103" s="185"/>
    </row>
    <row r="104" spans="12:25" x14ac:dyDescent="0.2">
      <c r="L104" s="546"/>
      <c r="M104" s="546"/>
      <c r="N104" s="546"/>
      <c r="O104" s="546"/>
      <c r="P104" s="546"/>
      <c r="Q104" s="546"/>
      <c r="R104" s="546"/>
      <c r="S104" s="546">
        <v>102</v>
      </c>
      <c r="T104" s="546">
        <v>150</v>
      </c>
      <c r="U104" s="546"/>
      <c r="V104" s="546"/>
      <c r="W104" s="546"/>
      <c r="X104" s="546"/>
      <c r="Y104" s="185"/>
    </row>
    <row r="105" spans="12:25" x14ac:dyDescent="0.2">
      <c r="L105" s="546"/>
      <c r="M105" s="546"/>
      <c r="N105" s="546"/>
      <c r="O105" s="546"/>
      <c r="P105" s="546"/>
      <c r="Q105" s="546"/>
      <c r="R105" s="546"/>
      <c r="S105" s="546">
        <v>103</v>
      </c>
      <c r="T105" s="546">
        <v>150</v>
      </c>
      <c r="U105" s="546"/>
      <c r="V105" s="546"/>
      <c r="W105" s="546"/>
      <c r="X105" s="546"/>
      <c r="Y105" s="185"/>
    </row>
    <row r="106" spans="12:25" x14ac:dyDescent="0.2">
      <c r="L106" s="546"/>
      <c r="M106" s="546"/>
      <c r="N106" s="546"/>
      <c r="O106" s="546"/>
      <c r="P106" s="546"/>
      <c r="Q106" s="546"/>
      <c r="R106" s="546"/>
      <c r="S106" s="546">
        <v>104</v>
      </c>
      <c r="T106" s="546">
        <v>150</v>
      </c>
      <c r="U106" s="546"/>
      <c r="V106" s="546"/>
      <c r="W106" s="546"/>
      <c r="X106" s="546"/>
      <c r="Y106" s="185"/>
    </row>
    <row r="107" spans="12:25" x14ac:dyDescent="0.2">
      <c r="L107" s="546"/>
      <c r="M107" s="546"/>
      <c r="N107" s="546"/>
      <c r="O107" s="546"/>
      <c r="P107" s="546"/>
      <c r="Q107" s="546"/>
      <c r="R107" s="546"/>
      <c r="S107" s="546">
        <v>105</v>
      </c>
      <c r="T107" s="546">
        <v>150</v>
      </c>
      <c r="U107" s="546"/>
      <c r="V107" s="546"/>
      <c r="W107" s="546"/>
      <c r="X107" s="546"/>
      <c r="Y107" s="185"/>
    </row>
    <row r="108" spans="12:25" x14ac:dyDescent="0.2">
      <c r="L108" s="546"/>
      <c r="M108" s="546"/>
      <c r="N108" s="546"/>
      <c r="O108" s="546"/>
      <c r="P108" s="546"/>
      <c r="Q108" s="546"/>
      <c r="R108" s="546"/>
      <c r="S108" s="546">
        <v>106</v>
      </c>
      <c r="T108" s="546">
        <v>150</v>
      </c>
      <c r="U108" s="546"/>
      <c r="V108" s="546"/>
      <c r="W108" s="546"/>
      <c r="X108" s="546"/>
      <c r="Y108" s="185"/>
    </row>
    <row r="109" spans="12:25" x14ac:dyDescent="0.2">
      <c r="L109" s="546"/>
      <c r="M109" s="546"/>
      <c r="N109" s="546"/>
      <c r="O109" s="546"/>
      <c r="P109" s="546"/>
      <c r="Q109" s="546"/>
      <c r="R109" s="546"/>
      <c r="S109" s="546">
        <v>107</v>
      </c>
      <c r="T109" s="546">
        <v>150</v>
      </c>
      <c r="U109" s="546"/>
      <c r="V109" s="546"/>
      <c r="W109" s="546"/>
      <c r="X109" s="546"/>
      <c r="Y109" s="185"/>
    </row>
    <row r="110" spans="12:25" x14ac:dyDescent="0.2">
      <c r="L110" s="546"/>
      <c r="M110" s="546"/>
      <c r="N110" s="546"/>
      <c r="O110" s="546"/>
      <c r="P110" s="546"/>
      <c r="Q110" s="546"/>
      <c r="R110" s="546"/>
      <c r="S110" s="546">
        <v>108</v>
      </c>
      <c r="T110" s="546">
        <v>150</v>
      </c>
      <c r="U110" s="546"/>
      <c r="V110" s="546"/>
      <c r="W110" s="546"/>
      <c r="X110" s="546"/>
      <c r="Y110" s="185"/>
    </row>
    <row r="111" spans="12:25" x14ac:dyDescent="0.2">
      <c r="L111" s="546"/>
      <c r="M111" s="546"/>
      <c r="N111" s="546"/>
      <c r="O111" s="546"/>
      <c r="P111" s="546"/>
      <c r="Q111" s="546"/>
      <c r="R111" s="546"/>
      <c r="S111" s="546">
        <v>109</v>
      </c>
      <c r="T111" s="546">
        <v>150</v>
      </c>
      <c r="U111" s="546"/>
      <c r="V111" s="546"/>
      <c r="W111" s="546"/>
      <c r="X111" s="546"/>
      <c r="Y111" s="185"/>
    </row>
    <row r="112" spans="12:25" x14ac:dyDescent="0.2">
      <c r="L112" s="546"/>
      <c r="M112" s="546"/>
      <c r="N112" s="546"/>
      <c r="O112" s="546"/>
      <c r="P112" s="546"/>
      <c r="Q112" s="546"/>
      <c r="R112" s="546"/>
      <c r="S112" s="546">
        <v>110</v>
      </c>
      <c r="T112" s="546">
        <v>150</v>
      </c>
      <c r="U112" s="546"/>
      <c r="V112" s="546"/>
      <c r="W112" s="546"/>
      <c r="X112" s="546"/>
      <c r="Y112" s="185"/>
    </row>
    <row r="113" spans="12:25" x14ac:dyDescent="0.2">
      <c r="L113" s="546"/>
      <c r="M113" s="546"/>
      <c r="N113" s="546"/>
      <c r="O113" s="546"/>
      <c r="P113" s="546"/>
      <c r="Q113" s="546"/>
      <c r="R113" s="546"/>
      <c r="S113" s="546">
        <v>111</v>
      </c>
      <c r="T113" s="546">
        <v>150</v>
      </c>
      <c r="U113" s="546"/>
      <c r="V113" s="546"/>
      <c r="W113" s="546"/>
      <c r="X113" s="546"/>
      <c r="Y113" s="185"/>
    </row>
    <row r="114" spans="12:25" x14ac:dyDescent="0.2">
      <c r="L114" s="546"/>
      <c r="M114" s="546"/>
      <c r="N114" s="546"/>
      <c r="O114" s="546"/>
      <c r="P114" s="546"/>
      <c r="Q114" s="546"/>
      <c r="R114" s="546"/>
      <c r="S114" s="546">
        <v>112</v>
      </c>
      <c r="T114" s="546">
        <v>150</v>
      </c>
      <c r="U114" s="546"/>
      <c r="V114" s="546"/>
      <c r="W114" s="546"/>
      <c r="X114" s="546"/>
      <c r="Y114" s="185"/>
    </row>
    <row r="115" spans="12:25" x14ac:dyDescent="0.2">
      <c r="L115" s="546"/>
      <c r="M115" s="546"/>
      <c r="N115" s="546"/>
      <c r="O115" s="546"/>
      <c r="P115" s="546"/>
      <c r="Q115" s="546"/>
      <c r="R115" s="546"/>
      <c r="S115" s="546">
        <v>113</v>
      </c>
      <c r="T115" s="546">
        <v>150</v>
      </c>
      <c r="U115" s="546"/>
      <c r="V115" s="546"/>
      <c r="W115" s="546"/>
      <c r="X115" s="546"/>
      <c r="Y115" s="185"/>
    </row>
    <row r="116" spans="12:25" x14ac:dyDescent="0.2">
      <c r="L116" s="546"/>
      <c r="M116" s="546"/>
      <c r="N116" s="546"/>
      <c r="O116" s="546"/>
      <c r="P116" s="546"/>
      <c r="Q116" s="546"/>
      <c r="R116" s="546"/>
      <c r="S116" s="546">
        <v>114</v>
      </c>
      <c r="T116" s="546">
        <v>150</v>
      </c>
      <c r="U116" s="546"/>
      <c r="V116" s="546"/>
      <c r="W116" s="546"/>
      <c r="X116" s="546"/>
      <c r="Y116" s="185"/>
    </row>
    <row r="117" spans="12:25" x14ac:dyDescent="0.2">
      <c r="L117" s="546"/>
      <c r="M117" s="546"/>
      <c r="N117" s="546"/>
      <c r="O117" s="546"/>
      <c r="P117" s="546"/>
      <c r="Q117" s="546"/>
      <c r="R117" s="546"/>
      <c r="S117" s="546">
        <v>115</v>
      </c>
      <c r="T117" s="546">
        <v>150</v>
      </c>
      <c r="U117" s="546"/>
      <c r="V117" s="546"/>
      <c r="W117" s="546"/>
      <c r="X117" s="546"/>
      <c r="Y117" s="185"/>
    </row>
    <row r="118" spans="12:25" x14ac:dyDescent="0.2">
      <c r="L118" s="546"/>
      <c r="M118" s="546"/>
      <c r="N118" s="546"/>
      <c r="O118" s="546"/>
      <c r="P118" s="546"/>
      <c r="Q118" s="546"/>
      <c r="R118" s="546"/>
      <c r="S118" s="546">
        <v>116</v>
      </c>
      <c r="T118" s="546">
        <v>150</v>
      </c>
      <c r="U118" s="546"/>
      <c r="V118" s="546"/>
      <c r="W118" s="546"/>
      <c r="X118" s="546"/>
      <c r="Y118" s="185"/>
    </row>
    <row r="119" spans="12:25" x14ac:dyDescent="0.2">
      <c r="L119" s="546"/>
      <c r="M119" s="546"/>
      <c r="N119" s="546"/>
      <c r="O119" s="546"/>
      <c r="P119" s="546"/>
      <c r="Q119" s="546"/>
      <c r="R119" s="546"/>
      <c r="S119" s="546">
        <v>117</v>
      </c>
      <c r="T119" s="546">
        <v>150</v>
      </c>
      <c r="U119" s="546"/>
      <c r="V119" s="546"/>
      <c r="W119" s="546"/>
      <c r="X119" s="546"/>
      <c r="Y119" s="185"/>
    </row>
    <row r="120" spans="12:25" x14ac:dyDescent="0.2">
      <c r="L120" s="546"/>
      <c r="M120" s="546"/>
      <c r="N120" s="546"/>
      <c r="O120" s="546"/>
      <c r="P120" s="546"/>
      <c r="Q120" s="546"/>
      <c r="R120" s="546"/>
      <c r="S120" s="546">
        <v>118</v>
      </c>
      <c r="T120" s="546">
        <v>150</v>
      </c>
      <c r="U120" s="546"/>
      <c r="V120" s="546"/>
      <c r="W120" s="546"/>
      <c r="X120" s="546"/>
      <c r="Y120" s="185"/>
    </row>
    <row r="121" spans="12:25" x14ac:dyDescent="0.2">
      <c r="L121" s="546"/>
      <c r="M121" s="546"/>
      <c r="N121" s="546"/>
      <c r="O121" s="546"/>
      <c r="P121" s="546"/>
      <c r="Q121" s="546"/>
      <c r="R121" s="546"/>
      <c r="S121" s="546">
        <v>119</v>
      </c>
      <c r="T121" s="546">
        <v>150</v>
      </c>
      <c r="U121" s="546"/>
      <c r="V121" s="546"/>
      <c r="W121" s="546"/>
      <c r="X121" s="546"/>
      <c r="Y121" s="185"/>
    </row>
    <row r="122" spans="12:25" x14ac:dyDescent="0.2">
      <c r="L122" s="546"/>
      <c r="M122" s="546"/>
      <c r="N122" s="546"/>
      <c r="O122" s="546"/>
      <c r="P122" s="546"/>
      <c r="Q122" s="546"/>
      <c r="R122" s="546"/>
      <c r="S122" s="546">
        <v>120</v>
      </c>
      <c r="T122" s="546">
        <v>150</v>
      </c>
      <c r="U122" s="546"/>
      <c r="V122" s="546"/>
      <c r="W122" s="546"/>
      <c r="X122" s="546"/>
      <c r="Y122" s="185"/>
    </row>
    <row r="123" spans="12:25" x14ac:dyDescent="0.2">
      <c r="L123" s="546"/>
      <c r="M123" s="546"/>
      <c r="N123" s="546"/>
      <c r="O123" s="546"/>
      <c r="P123" s="546"/>
      <c r="Q123" s="546"/>
      <c r="R123" s="546"/>
      <c r="S123" s="546">
        <v>121</v>
      </c>
      <c r="T123" s="546">
        <v>150</v>
      </c>
      <c r="U123" s="546"/>
      <c r="V123" s="546"/>
      <c r="W123" s="546"/>
      <c r="X123" s="546"/>
      <c r="Y123" s="185"/>
    </row>
    <row r="124" spans="12:25" x14ac:dyDescent="0.2">
      <c r="L124" s="546"/>
      <c r="M124" s="546"/>
      <c r="N124" s="546"/>
      <c r="O124" s="546"/>
      <c r="P124" s="546"/>
      <c r="Q124" s="546"/>
      <c r="R124" s="546"/>
      <c r="S124" s="546">
        <v>122</v>
      </c>
      <c r="T124" s="546">
        <v>150</v>
      </c>
      <c r="U124" s="546"/>
      <c r="V124" s="546"/>
      <c r="W124" s="546"/>
      <c r="X124" s="546"/>
      <c r="Y124" s="185"/>
    </row>
    <row r="125" spans="12:25" x14ac:dyDescent="0.2">
      <c r="L125" s="546"/>
      <c r="M125" s="546"/>
      <c r="N125" s="546"/>
      <c r="O125" s="546"/>
      <c r="P125" s="546"/>
      <c r="Q125" s="546"/>
      <c r="R125" s="546"/>
      <c r="S125" s="546">
        <v>123</v>
      </c>
      <c r="T125" s="546">
        <v>150</v>
      </c>
      <c r="U125" s="546"/>
      <c r="V125" s="546"/>
      <c r="W125" s="546"/>
      <c r="X125" s="546"/>
      <c r="Y125" s="185"/>
    </row>
    <row r="126" spans="12:25" x14ac:dyDescent="0.2">
      <c r="L126" s="546"/>
      <c r="M126" s="546"/>
      <c r="N126" s="546"/>
      <c r="O126" s="546"/>
      <c r="P126" s="546"/>
      <c r="Q126" s="546"/>
      <c r="R126" s="546"/>
      <c r="S126" s="546">
        <v>124</v>
      </c>
      <c r="T126" s="546">
        <v>150</v>
      </c>
      <c r="U126" s="546"/>
      <c r="V126" s="546"/>
      <c r="W126" s="546"/>
      <c r="X126" s="546"/>
      <c r="Y126" s="185"/>
    </row>
    <row r="127" spans="12:25" x14ac:dyDescent="0.2">
      <c r="L127" s="546"/>
      <c r="M127" s="546"/>
      <c r="N127" s="546"/>
      <c r="O127" s="546"/>
      <c r="P127" s="546"/>
      <c r="Q127" s="546"/>
      <c r="R127" s="546"/>
      <c r="S127" s="546">
        <v>125</v>
      </c>
      <c r="T127" s="546">
        <v>150</v>
      </c>
      <c r="U127" s="546"/>
      <c r="V127" s="546"/>
      <c r="W127" s="546"/>
      <c r="X127" s="546"/>
      <c r="Y127" s="185"/>
    </row>
    <row r="128" spans="12:25" x14ac:dyDescent="0.2">
      <c r="L128" s="546"/>
      <c r="M128" s="546"/>
      <c r="N128" s="546"/>
      <c r="O128" s="546"/>
      <c r="P128" s="546"/>
      <c r="Q128" s="546"/>
      <c r="R128" s="546"/>
      <c r="S128" s="546">
        <v>126</v>
      </c>
      <c r="T128" s="546">
        <v>150</v>
      </c>
      <c r="U128" s="546"/>
      <c r="V128" s="546"/>
      <c r="W128" s="546"/>
      <c r="X128" s="546"/>
      <c r="Y128" s="185"/>
    </row>
    <row r="129" spans="12:25" x14ac:dyDescent="0.2">
      <c r="L129" s="546"/>
      <c r="M129" s="546"/>
      <c r="N129" s="546"/>
      <c r="O129" s="546"/>
      <c r="P129" s="546"/>
      <c r="Q129" s="546"/>
      <c r="R129" s="546"/>
      <c r="S129" s="546">
        <v>127</v>
      </c>
      <c r="T129" s="546">
        <v>150</v>
      </c>
      <c r="U129" s="546"/>
      <c r="V129" s="546"/>
      <c r="W129" s="546"/>
      <c r="X129" s="546"/>
      <c r="Y129" s="185"/>
    </row>
    <row r="130" spans="12:25" x14ac:dyDescent="0.2">
      <c r="L130" s="546"/>
      <c r="M130" s="546"/>
      <c r="N130" s="546"/>
      <c r="O130" s="546"/>
      <c r="P130" s="546"/>
      <c r="Q130" s="546"/>
      <c r="R130" s="546"/>
      <c r="S130" s="546">
        <v>128</v>
      </c>
      <c r="T130" s="546">
        <v>150</v>
      </c>
      <c r="U130" s="546"/>
      <c r="V130" s="546"/>
      <c r="W130" s="546"/>
      <c r="X130" s="546"/>
      <c r="Y130" s="185"/>
    </row>
    <row r="131" spans="12:25" x14ac:dyDescent="0.2">
      <c r="L131" s="546"/>
      <c r="M131" s="546"/>
      <c r="N131" s="546"/>
      <c r="O131" s="546"/>
      <c r="P131" s="546"/>
      <c r="Q131" s="546"/>
      <c r="R131" s="546"/>
      <c r="S131" s="546">
        <v>129</v>
      </c>
      <c r="T131" s="546">
        <v>150</v>
      </c>
      <c r="U131" s="546"/>
      <c r="V131" s="546"/>
      <c r="W131" s="546"/>
      <c r="X131" s="546"/>
      <c r="Y131" s="185"/>
    </row>
    <row r="132" spans="12:25" x14ac:dyDescent="0.2">
      <c r="L132" s="546"/>
      <c r="M132" s="546"/>
      <c r="N132" s="546"/>
      <c r="O132" s="546"/>
      <c r="P132" s="546"/>
      <c r="Q132" s="546"/>
      <c r="R132" s="546"/>
      <c r="S132" s="546">
        <v>130</v>
      </c>
      <c r="T132" s="546">
        <v>150</v>
      </c>
      <c r="U132" s="546"/>
      <c r="V132" s="546"/>
      <c r="W132" s="546"/>
      <c r="X132" s="546"/>
      <c r="Y132" s="185"/>
    </row>
    <row r="133" spans="12:25" x14ac:dyDescent="0.2">
      <c r="L133" s="546"/>
      <c r="M133" s="546"/>
      <c r="N133" s="546"/>
      <c r="O133" s="546"/>
      <c r="P133" s="546"/>
      <c r="Q133" s="546"/>
      <c r="R133" s="546"/>
      <c r="S133" s="546">
        <v>131</v>
      </c>
      <c r="T133" s="546">
        <v>150</v>
      </c>
      <c r="U133" s="546"/>
      <c r="V133" s="546"/>
      <c r="W133" s="546"/>
      <c r="X133" s="546"/>
      <c r="Y133" s="185"/>
    </row>
    <row r="134" spans="12:25" x14ac:dyDescent="0.2">
      <c r="L134" s="546"/>
      <c r="M134" s="546"/>
      <c r="N134" s="546"/>
      <c r="O134" s="546"/>
      <c r="P134" s="546"/>
      <c r="Q134" s="546"/>
      <c r="R134" s="546"/>
      <c r="S134" s="546">
        <v>132</v>
      </c>
      <c r="T134" s="546">
        <v>150</v>
      </c>
      <c r="U134" s="546"/>
      <c r="V134" s="546"/>
      <c r="W134" s="546"/>
      <c r="X134" s="546"/>
      <c r="Y134" s="185"/>
    </row>
    <row r="135" spans="12:25" x14ac:dyDescent="0.2">
      <c r="L135" s="546"/>
      <c r="M135" s="546"/>
      <c r="N135" s="546"/>
      <c r="O135" s="546"/>
      <c r="P135" s="546"/>
      <c r="Q135" s="546"/>
      <c r="R135" s="546"/>
      <c r="S135" s="546">
        <v>133</v>
      </c>
      <c r="T135" s="546">
        <v>150</v>
      </c>
      <c r="U135" s="546"/>
      <c r="V135" s="546"/>
      <c r="W135" s="546"/>
      <c r="X135" s="546"/>
      <c r="Y135" s="185"/>
    </row>
    <row r="136" spans="12:25" x14ac:dyDescent="0.2">
      <c r="L136" s="546"/>
      <c r="M136" s="546"/>
      <c r="N136" s="546"/>
      <c r="O136" s="546"/>
      <c r="P136" s="546"/>
      <c r="Q136" s="546"/>
      <c r="R136" s="546"/>
      <c r="S136" s="546">
        <v>134</v>
      </c>
      <c r="T136" s="546">
        <v>150</v>
      </c>
      <c r="U136" s="546"/>
      <c r="V136" s="546"/>
      <c r="W136" s="546"/>
      <c r="X136" s="546"/>
      <c r="Y136" s="185"/>
    </row>
    <row r="137" spans="12:25" x14ac:dyDescent="0.2">
      <c r="L137" s="546"/>
      <c r="M137" s="546"/>
      <c r="N137" s="546"/>
      <c r="O137" s="546"/>
      <c r="P137" s="546"/>
      <c r="Q137" s="546"/>
      <c r="R137" s="546"/>
      <c r="S137" s="546">
        <v>135</v>
      </c>
      <c r="T137" s="546">
        <v>150</v>
      </c>
      <c r="U137" s="546"/>
      <c r="V137" s="546"/>
      <c r="W137" s="546"/>
      <c r="X137" s="546"/>
      <c r="Y137" s="185"/>
    </row>
    <row r="138" spans="12:25" x14ac:dyDescent="0.2">
      <c r="L138" s="546"/>
      <c r="M138" s="546"/>
      <c r="N138" s="546"/>
      <c r="O138" s="546"/>
      <c r="P138" s="546"/>
      <c r="Q138" s="546"/>
      <c r="R138" s="546"/>
      <c r="S138" s="546">
        <v>136</v>
      </c>
      <c r="T138" s="546">
        <v>150</v>
      </c>
      <c r="U138" s="546"/>
      <c r="V138" s="546"/>
      <c r="W138" s="546"/>
      <c r="X138" s="546"/>
      <c r="Y138" s="185"/>
    </row>
    <row r="139" spans="12:25" x14ac:dyDescent="0.2">
      <c r="L139" s="546"/>
      <c r="M139" s="546"/>
      <c r="N139" s="546"/>
      <c r="O139" s="546"/>
      <c r="P139" s="546"/>
      <c r="Q139" s="546"/>
      <c r="R139" s="546"/>
      <c r="S139" s="546">
        <v>137</v>
      </c>
      <c r="T139" s="546">
        <v>150</v>
      </c>
      <c r="U139" s="546"/>
      <c r="V139" s="546"/>
      <c r="W139" s="546"/>
      <c r="X139" s="546"/>
      <c r="Y139" s="185"/>
    </row>
    <row r="140" spans="12:25" x14ac:dyDescent="0.2">
      <c r="L140" s="546"/>
      <c r="M140" s="546"/>
      <c r="N140" s="546"/>
      <c r="O140" s="546"/>
      <c r="P140" s="546"/>
      <c r="Q140" s="546"/>
      <c r="R140" s="546"/>
      <c r="S140" s="546">
        <v>138</v>
      </c>
      <c r="T140" s="546">
        <v>150</v>
      </c>
      <c r="U140" s="546"/>
      <c r="V140" s="546"/>
      <c r="W140" s="546"/>
      <c r="X140" s="546"/>
      <c r="Y140" s="185"/>
    </row>
    <row r="141" spans="12:25" x14ac:dyDescent="0.2">
      <c r="L141" s="546"/>
      <c r="M141" s="546"/>
      <c r="N141" s="546"/>
      <c r="O141" s="546"/>
      <c r="P141" s="546"/>
      <c r="Q141" s="546"/>
      <c r="R141" s="546"/>
      <c r="S141" s="546">
        <v>139</v>
      </c>
      <c r="T141" s="546">
        <v>150</v>
      </c>
      <c r="U141" s="546"/>
      <c r="V141" s="546"/>
      <c r="W141" s="546"/>
      <c r="X141" s="546"/>
      <c r="Y141" s="185"/>
    </row>
    <row r="142" spans="12:25" x14ac:dyDescent="0.2">
      <c r="L142" s="546"/>
      <c r="M142" s="546"/>
      <c r="N142" s="546"/>
      <c r="O142" s="546"/>
      <c r="P142" s="546"/>
      <c r="Q142" s="546"/>
      <c r="R142" s="546"/>
      <c r="S142" s="546">
        <v>140</v>
      </c>
      <c r="T142" s="546">
        <v>150</v>
      </c>
      <c r="U142" s="546"/>
      <c r="V142" s="546"/>
      <c r="W142" s="546"/>
      <c r="X142" s="546"/>
      <c r="Y142" s="185"/>
    </row>
    <row r="143" spans="12:25" x14ac:dyDescent="0.2">
      <c r="L143" s="546"/>
      <c r="M143" s="546"/>
      <c r="N143" s="546"/>
      <c r="O143" s="546"/>
      <c r="P143" s="546"/>
      <c r="Q143" s="546"/>
      <c r="R143" s="546"/>
      <c r="S143" s="546">
        <v>141</v>
      </c>
      <c r="T143" s="546">
        <v>150</v>
      </c>
      <c r="U143" s="546"/>
      <c r="V143" s="546"/>
      <c r="W143" s="546"/>
      <c r="X143" s="546"/>
      <c r="Y143" s="185"/>
    </row>
    <row r="144" spans="12:25" x14ac:dyDescent="0.2">
      <c r="L144" s="546"/>
      <c r="M144" s="546"/>
      <c r="N144" s="546"/>
      <c r="O144" s="546"/>
      <c r="P144" s="546"/>
      <c r="Q144" s="546"/>
      <c r="R144" s="546"/>
      <c r="S144" s="546">
        <v>142</v>
      </c>
      <c r="T144" s="546">
        <v>150</v>
      </c>
      <c r="U144" s="546"/>
      <c r="V144" s="546"/>
      <c r="W144" s="546"/>
      <c r="X144" s="546"/>
      <c r="Y144" s="185"/>
    </row>
    <row r="145" spans="12:25" x14ac:dyDescent="0.2">
      <c r="L145" s="546"/>
      <c r="M145" s="546"/>
      <c r="N145" s="546"/>
      <c r="O145" s="546"/>
      <c r="P145" s="546"/>
      <c r="Q145" s="546"/>
      <c r="R145" s="546"/>
      <c r="S145" s="546">
        <v>143</v>
      </c>
      <c r="T145" s="546">
        <v>150</v>
      </c>
      <c r="U145" s="546"/>
      <c r="V145" s="546"/>
      <c r="W145" s="546"/>
      <c r="X145" s="546"/>
      <c r="Y145" s="185"/>
    </row>
    <row r="146" spans="12:25" x14ac:dyDescent="0.2">
      <c r="L146" s="546"/>
      <c r="M146" s="546"/>
      <c r="N146" s="546"/>
      <c r="O146" s="546"/>
      <c r="P146" s="546"/>
      <c r="Q146" s="546"/>
      <c r="R146" s="546"/>
      <c r="S146" s="546">
        <v>144</v>
      </c>
      <c r="T146" s="546">
        <v>150</v>
      </c>
      <c r="U146" s="546"/>
      <c r="V146" s="546"/>
      <c r="W146" s="546"/>
      <c r="X146" s="546"/>
      <c r="Y146" s="185"/>
    </row>
    <row r="147" spans="12:25" x14ac:dyDescent="0.2">
      <c r="L147" s="546"/>
      <c r="M147" s="546"/>
      <c r="N147" s="546"/>
      <c r="O147" s="546"/>
      <c r="P147" s="546"/>
      <c r="Q147" s="546"/>
      <c r="R147" s="546"/>
      <c r="S147" s="546">
        <v>145</v>
      </c>
      <c r="T147" s="546">
        <v>150</v>
      </c>
      <c r="U147" s="546"/>
      <c r="V147" s="546"/>
      <c r="W147" s="546"/>
      <c r="X147" s="546"/>
      <c r="Y147" s="185"/>
    </row>
    <row r="148" spans="12:25" x14ac:dyDescent="0.2">
      <c r="L148" s="546"/>
      <c r="M148" s="546"/>
      <c r="N148" s="546"/>
      <c r="O148" s="546"/>
      <c r="P148" s="546"/>
      <c r="Q148" s="546"/>
      <c r="R148" s="546"/>
      <c r="S148" s="546">
        <v>146</v>
      </c>
      <c r="T148" s="546">
        <v>150</v>
      </c>
      <c r="U148" s="546"/>
      <c r="V148" s="546"/>
      <c r="W148" s="546"/>
      <c r="X148" s="546"/>
      <c r="Y148" s="185"/>
    </row>
    <row r="149" spans="12:25" x14ac:dyDescent="0.2">
      <c r="L149" s="546"/>
      <c r="M149" s="546"/>
      <c r="N149" s="546"/>
      <c r="O149" s="546"/>
      <c r="P149" s="546"/>
      <c r="Q149" s="546"/>
      <c r="R149" s="546"/>
      <c r="S149" s="546">
        <v>147</v>
      </c>
      <c r="T149" s="546">
        <v>150</v>
      </c>
      <c r="U149" s="546"/>
      <c r="V149" s="546"/>
      <c r="W149" s="546"/>
      <c r="X149" s="546"/>
      <c r="Y149" s="185"/>
    </row>
    <row r="150" spans="12:25" x14ac:dyDescent="0.2">
      <c r="L150" s="546"/>
      <c r="M150" s="546"/>
      <c r="N150" s="546"/>
      <c r="O150" s="546"/>
      <c r="P150" s="546"/>
      <c r="Q150" s="546"/>
      <c r="R150" s="546"/>
      <c r="S150" s="546">
        <v>148</v>
      </c>
      <c r="T150" s="546">
        <v>150</v>
      </c>
      <c r="U150" s="546"/>
      <c r="V150" s="546"/>
      <c r="W150" s="546"/>
      <c r="X150" s="546"/>
      <c r="Y150" s="185"/>
    </row>
    <row r="151" spans="12:25" x14ac:dyDescent="0.2">
      <c r="L151" s="546"/>
      <c r="M151" s="546"/>
      <c r="N151" s="546"/>
      <c r="O151" s="546"/>
      <c r="P151" s="546"/>
      <c r="Q151" s="546"/>
      <c r="R151" s="546"/>
      <c r="S151" s="546">
        <v>149</v>
      </c>
      <c r="T151" s="546">
        <v>150</v>
      </c>
      <c r="U151" s="546"/>
      <c r="V151" s="546"/>
      <c r="W151" s="546"/>
      <c r="X151" s="546"/>
      <c r="Y151" s="185"/>
    </row>
    <row r="152" spans="12:25" x14ac:dyDescent="0.2">
      <c r="L152" s="546"/>
      <c r="M152" s="546"/>
      <c r="N152" s="546"/>
      <c r="O152" s="546"/>
      <c r="P152" s="546"/>
      <c r="Q152" s="546"/>
      <c r="R152" s="546"/>
      <c r="S152" s="546">
        <v>150</v>
      </c>
      <c r="T152" s="546">
        <v>150</v>
      </c>
      <c r="U152" s="546">
        <v>150</v>
      </c>
      <c r="V152" s="546"/>
      <c r="W152" s="546"/>
      <c r="X152" s="546"/>
      <c r="Y152" s="185"/>
    </row>
    <row r="153" spans="12:25" x14ac:dyDescent="0.2">
      <c r="L153" s="546"/>
      <c r="M153" s="546"/>
      <c r="N153" s="546"/>
      <c r="O153" s="546"/>
      <c r="P153" s="546"/>
      <c r="Q153" s="546"/>
      <c r="R153" s="546"/>
      <c r="S153" s="546">
        <v>151</v>
      </c>
      <c r="T153" s="546">
        <v>150</v>
      </c>
      <c r="U153" s="546"/>
      <c r="V153" s="546"/>
      <c r="W153" s="546"/>
      <c r="X153" s="546"/>
      <c r="Y153" s="185"/>
    </row>
    <row r="154" spans="12:25" x14ac:dyDescent="0.2">
      <c r="L154" s="546"/>
      <c r="M154" s="546"/>
      <c r="N154" s="546"/>
      <c r="O154" s="546"/>
      <c r="P154" s="546"/>
      <c r="Q154" s="546"/>
      <c r="R154" s="546"/>
      <c r="S154" s="546">
        <v>152</v>
      </c>
      <c r="T154" s="546">
        <v>150</v>
      </c>
      <c r="U154" s="546"/>
      <c r="V154" s="546"/>
      <c r="W154" s="546"/>
      <c r="X154" s="546"/>
      <c r="Y154" s="185"/>
    </row>
    <row r="155" spans="12:25" x14ac:dyDescent="0.2">
      <c r="L155" s="546"/>
      <c r="M155" s="546"/>
      <c r="N155" s="546"/>
      <c r="O155" s="546"/>
      <c r="P155" s="546"/>
      <c r="Q155" s="546"/>
      <c r="R155" s="546"/>
      <c r="S155" s="546">
        <v>153</v>
      </c>
      <c r="T155" s="546">
        <v>150</v>
      </c>
      <c r="U155" s="546"/>
      <c r="V155" s="546"/>
      <c r="W155" s="546"/>
      <c r="X155" s="546"/>
      <c r="Y155" s="185"/>
    </row>
    <row r="156" spans="12:25" x14ac:dyDescent="0.2">
      <c r="L156" s="546"/>
      <c r="M156" s="546"/>
      <c r="N156" s="546"/>
      <c r="O156" s="546"/>
      <c r="P156" s="546"/>
      <c r="Q156" s="546"/>
      <c r="R156" s="546"/>
      <c r="S156" s="546">
        <v>154</v>
      </c>
      <c r="T156" s="546">
        <v>150</v>
      </c>
      <c r="U156" s="546"/>
      <c r="V156" s="546"/>
      <c r="W156" s="546"/>
      <c r="X156" s="546"/>
      <c r="Y156" s="185"/>
    </row>
    <row r="157" spans="12:25" x14ac:dyDescent="0.2">
      <c r="L157" s="546"/>
      <c r="M157" s="546"/>
      <c r="N157" s="546"/>
      <c r="O157" s="546"/>
      <c r="P157" s="546"/>
      <c r="Q157" s="546"/>
      <c r="R157" s="546"/>
      <c r="S157" s="546">
        <v>155</v>
      </c>
      <c r="T157" s="546">
        <v>150</v>
      </c>
      <c r="U157" s="546"/>
      <c r="V157" s="546"/>
      <c r="W157" s="546"/>
      <c r="X157" s="546"/>
      <c r="Y157" s="185"/>
    </row>
    <row r="158" spans="12:25" x14ac:dyDescent="0.2">
      <c r="L158" s="546"/>
      <c r="M158" s="546"/>
      <c r="N158" s="546"/>
      <c r="O158" s="546"/>
      <c r="P158" s="546"/>
      <c r="Q158" s="546"/>
      <c r="R158" s="546"/>
      <c r="S158" s="546">
        <v>156</v>
      </c>
      <c r="T158" s="546">
        <v>150</v>
      </c>
      <c r="U158" s="546"/>
      <c r="V158" s="546"/>
      <c r="W158" s="546"/>
      <c r="X158" s="546"/>
      <c r="Y158" s="185"/>
    </row>
    <row r="159" spans="12:25" x14ac:dyDescent="0.2">
      <c r="L159" s="546"/>
      <c r="M159" s="546"/>
      <c r="N159" s="546"/>
      <c r="O159" s="546"/>
      <c r="P159" s="546"/>
      <c r="Q159" s="546"/>
      <c r="R159" s="546"/>
      <c r="S159" s="546">
        <v>157</v>
      </c>
      <c r="T159" s="546">
        <v>150</v>
      </c>
      <c r="U159" s="546"/>
      <c r="V159" s="546"/>
      <c r="W159" s="546"/>
      <c r="X159" s="546"/>
      <c r="Y159" s="185"/>
    </row>
    <row r="160" spans="12:25" x14ac:dyDescent="0.2">
      <c r="L160" s="546"/>
      <c r="M160" s="546"/>
      <c r="N160" s="546"/>
      <c r="O160" s="546"/>
      <c r="P160" s="546"/>
      <c r="Q160" s="546"/>
      <c r="R160" s="546"/>
      <c r="S160" s="546">
        <v>158</v>
      </c>
      <c r="T160" s="546">
        <v>150</v>
      </c>
      <c r="U160" s="546"/>
      <c r="V160" s="546"/>
      <c r="W160" s="546"/>
      <c r="X160" s="546"/>
      <c r="Y160" s="185"/>
    </row>
    <row r="161" spans="12:25" x14ac:dyDescent="0.2">
      <c r="L161" s="546"/>
      <c r="M161" s="546"/>
      <c r="N161" s="546"/>
      <c r="O161" s="546"/>
      <c r="P161" s="546"/>
      <c r="Q161" s="546"/>
      <c r="R161" s="546"/>
      <c r="S161" s="546">
        <v>159</v>
      </c>
      <c r="T161" s="546">
        <v>150</v>
      </c>
      <c r="U161" s="546"/>
      <c r="V161" s="546"/>
      <c r="W161" s="546"/>
      <c r="X161" s="546"/>
      <c r="Y161" s="185"/>
    </row>
    <row r="162" spans="12:25" x14ac:dyDescent="0.2">
      <c r="L162" s="546"/>
      <c r="M162" s="546"/>
      <c r="N162" s="546"/>
      <c r="O162" s="546"/>
      <c r="P162" s="546"/>
      <c r="Q162" s="546"/>
      <c r="R162" s="546"/>
      <c r="S162" s="546">
        <v>160</v>
      </c>
      <c r="T162" s="546">
        <v>150</v>
      </c>
      <c r="U162" s="546"/>
      <c r="V162" s="546"/>
      <c r="W162" s="546"/>
      <c r="X162" s="546"/>
      <c r="Y162" s="185"/>
    </row>
    <row r="163" spans="12:25" x14ac:dyDescent="0.2">
      <c r="L163" s="546"/>
      <c r="M163" s="546"/>
      <c r="N163" s="546"/>
      <c r="O163" s="546"/>
      <c r="P163" s="546"/>
      <c r="Q163" s="546"/>
      <c r="R163" s="546"/>
      <c r="S163" s="546">
        <v>161</v>
      </c>
      <c r="T163" s="546">
        <v>150</v>
      </c>
      <c r="U163" s="546"/>
      <c r="V163" s="546"/>
      <c r="W163" s="546"/>
      <c r="X163" s="546"/>
      <c r="Y163" s="185"/>
    </row>
    <row r="164" spans="12:25" x14ac:dyDescent="0.2">
      <c r="L164" s="546"/>
      <c r="M164" s="546"/>
      <c r="N164" s="546"/>
      <c r="O164" s="546"/>
      <c r="P164" s="546"/>
      <c r="Q164" s="546"/>
      <c r="R164" s="546"/>
      <c r="S164" s="546">
        <v>162</v>
      </c>
      <c r="T164" s="546">
        <v>150</v>
      </c>
      <c r="U164" s="546"/>
      <c r="V164" s="546"/>
      <c r="W164" s="546"/>
      <c r="X164" s="546"/>
      <c r="Y164" s="185"/>
    </row>
    <row r="165" spans="12:25" x14ac:dyDescent="0.2">
      <c r="L165" s="546"/>
      <c r="M165" s="546"/>
      <c r="N165" s="546"/>
      <c r="O165" s="546"/>
      <c r="P165" s="546"/>
      <c r="Q165" s="546"/>
      <c r="R165" s="546"/>
      <c r="S165" s="546">
        <v>163</v>
      </c>
      <c r="T165" s="546">
        <v>150</v>
      </c>
      <c r="U165" s="546"/>
      <c r="V165" s="546"/>
      <c r="W165" s="546"/>
      <c r="X165" s="546"/>
      <c r="Y165" s="185"/>
    </row>
    <row r="166" spans="12:25" x14ac:dyDescent="0.2">
      <c r="L166" s="546"/>
      <c r="M166" s="546"/>
      <c r="N166" s="546"/>
      <c r="O166" s="546"/>
      <c r="P166" s="546"/>
      <c r="Q166" s="546"/>
      <c r="R166" s="546"/>
      <c r="S166" s="546">
        <v>164</v>
      </c>
      <c r="T166" s="546">
        <v>150</v>
      </c>
      <c r="U166" s="546"/>
      <c r="V166" s="546"/>
      <c r="W166" s="546"/>
      <c r="X166" s="546"/>
      <c r="Y166" s="185"/>
    </row>
    <row r="167" spans="12:25" x14ac:dyDescent="0.2">
      <c r="L167" s="546"/>
      <c r="M167" s="546"/>
      <c r="N167" s="546"/>
      <c r="O167" s="546"/>
      <c r="P167" s="546"/>
      <c r="Q167" s="546"/>
      <c r="R167" s="546"/>
      <c r="S167" s="546">
        <v>165</v>
      </c>
      <c r="T167" s="546">
        <v>150</v>
      </c>
      <c r="U167" s="546"/>
      <c r="V167" s="546"/>
      <c r="W167" s="546"/>
      <c r="X167" s="546"/>
      <c r="Y167" s="185"/>
    </row>
    <row r="168" spans="12:25" x14ac:dyDescent="0.2">
      <c r="L168" s="546"/>
      <c r="M168" s="546"/>
      <c r="N168" s="546"/>
      <c r="O168" s="546"/>
      <c r="P168" s="546"/>
      <c r="Q168" s="546"/>
      <c r="R168" s="546"/>
      <c r="S168" s="546">
        <v>166</v>
      </c>
      <c r="T168" s="546">
        <v>150</v>
      </c>
      <c r="U168" s="546"/>
      <c r="V168" s="546"/>
      <c r="W168" s="546"/>
      <c r="X168" s="546"/>
      <c r="Y168" s="185"/>
    </row>
    <row r="169" spans="12:25" x14ac:dyDescent="0.2">
      <c r="L169" s="546"/>
      <c r="M169" s="546"/>
      <c r="N169" s="546"/>
      <c r="O169" s="546"/>
      <c r="P169" s="546"/>
      <c r="Q169" s="546"/>
      <c r="R169" s="546"/>
      <c r="S169" s="546">
        <v>167</v>
      </c>
      <c r="T169" s="546">
        <v>150</v>
      </c>
      <c r="U169" s="546"/>
      <c r="V169" s="546"/>
      <c r="W169" s="546"/>
      <c r="X169" s="546"/>
      <c r="Y169" s="185"/>
    </row>
    <row r="170" spans="12:25" x14ac:dyDescent="0.2">
      <c r="L170" s="546"/>
      <c r="M170" s="546"/>
      <c r="N170" s="546"/>
      <c r="O170" s="546"/>
      <c r="P170" s="546"/>
      <c r="Q170" s="546"/>
      <c r="R170" s="546"/>
      <c r="S170" s="546">
        <v>168</v>
      </c>
      <c r="T170" s="546">
        <v>150</v>
      </c>
      <c r="U170" s="546"/>
      <c r="V170" s="546"/>
      <c r="W170" s="546"/>
      <c r="X170" s="546"/>
      <c r="Y170" s="185"/>
    </row>
    <row r="171" spans="12:25" x14ac:dyDescent="0.2">
      <c r="L171" s="546"/>
      <c r="M171" s="546"/>
      <c r="N171" s="546"/>
      <c r="O171" s="546"/>
      <c r="P171" s="546"/>
      <c r="Q171" s="546"/>
      <c r="R171" s="546"/>
      <c r="S171" s="546">
        <v>169</v>
      </c>
      <c r="T171" s="546">
        <v>150</v>
      </c>
      <c r="U171" s="546"/>
      <c r="V171" s="546"/>
      <c r="W171" s="546"/>
      <c r="X171" s="546"/>
      <c r="Y171" s="185"/>
    </row>
    <row r="172" spans="12:25" x14ac:dyDescent="0.2">
      <c r="L172" s="546"/>
      <c r="M172" s="546"/>
      <c r="N172" s="546"/>
      <c r="O172" s="546"/>
      <c r="P172" s="546"/>
      <c r="Q172" s="546"/>
      <c r="R172" s="546"/>
      <c r="S172" s="546">
        <v>170</v>
      </c>
      <c r="T172" s="546">
        <v>150</v>
      </c>
      <c r="U172" s="546"/>
      <c r="V172" s="546"/>
      <c r="W172" s="546"/>
      <c r="X172" s="546"/>
      <c r="Y172" s="185"/>
    </row>
    <row r="173" spans="12:25" x14ac:dyDescent="0.2">
      <c r="L173" s="546"/>
      <c r="M173" s="546"/>
      <c r="N173" s="546"/>
      <c r="O173" s="546"/>
      <c r="P173" s="546"/>
      <c r="Q173" s="546"/>
      <c r="R173" s="546"/>
      <c r="S173" s="546">
        <v>171</v>
      </c>
      <c r="T173" s="546">
        <v>150</v>
      </c>
      <c r="U173" s="546"/>
      <c r="V173" s="546"/>
      <c r="W173" s="546"/>
      <c r="X173" s="546"/>
      <c r="Y173" s="185"/>
    </row>
    <row r="174" spans="12:25" x14ac:dyDescent="0.2">
      <c r="L174" s="546"/>
      <c r="M174" s="546"/>
      <c r="N174" s="546"/>
      <c r="O174" s="546"/>
      <c r="P174" s="546"/>
      <c r="Q174" s="546"/>
      <c r="R174" s="546"/>
      <c r="S174" s="546">
        <v>172</v>
      </c>
      <c r="T174" s="546">
        <v>150</v>
      </c>
      <c r="U174" s="546"/>
      <c r="V174" s="546"/>
      <c r="W174" s="546"/>
      <c r="X174" s="546"/>
      <c r="Y174" s="185"/>
    </row>
    <row r="175" spans="12:25" x14ac:dyDescent="0.2">
      <c r="L175" s="546"/>
      <c r="M175" s="546"/>
      <c r="N175" s="546"/>
      <c r="O175" s="546"/>
      <c r="P175" s="546"/>
      <c r="Q175" s="546"/>
      <c r="R175" s="546"/>
      <c r="S175" s="546">
        <v>173</v>
      </c>
      <c r="T175" s="546">
        <v>150</v>
      </c>
      <c r="U175" s="546"/>
      <c r="V175" s="546"/>
      <c r="W175" s="546"/>
      <c r="X175" s="546"/>
      <c r="Y175" s="185"/>
    </row>
    <row r="176" spans="12:25" x14ac:dyDescent="0.2">
      <c r="L176" s="546"/>
      <c r="M176" s="546"/>
      <c r="N176" s="546"/>
      <c r="O176" s="546"/>
      <c r="P176" s="546"/>
      <c r="Q176" s="546"/>
      <c r="R176" s="546"/>
      <c r="S176" s="546">
        <v>174</v>
      </c>
      <c r="T176" s="546">
        <v>150</v>
      </c>
      <c r="U176" s="546"/>
      <c r="V176" s="546"/>
      <c r="W176" s="546"/>
      <c r="X176" s="546"/>
      <c r="Y176" s="185"/>
    </row>
    <row r="177" spans="12:25" x14ac:dyDescent="0.2">
      <c r="L177" s="546"/>
      <c r="M177" s="546"/>
      <c r="N177" s="546"/>
      <c r="O177" s="546"/>
      <c r="P177" s="546"/>
      <c r="Q177" s="546"/>
      <c r="R177" s="546"/>
      <c r="S177" s="546">
        <v>175</v>
      </c>
      <c r="T177" s="546">
        <v>150</v>
      </c>
      <c r="U177" s="546"/>
      <c r="V177" s="546"/>
      <c r="W177" s="546"/>
      <c r="X177" s="546"/>
      <c r="Y177" s="185"/>
    </row>
    <row r="178" spans="12:25" x14ac:dyDescent="0.2">
      <c r="L178" s="546"/>
      <c r="M178" s="546"/>
      <c r="N178" s="546"/>
      <c r="O178" s="546"/>
      <c r="P178" s="546"/>
      <c r="Q178" s="546"/>
      <c r="R178" s="546"/>
      <c r="S178" s="546">
        <v>176</v>
      </c>
      <c r="T178" s="546">
        <v>150</v>
      </c>
      <c r="U178" s="546"/>
      <c r="V178" s="546"/>
      <c r="W178" s="546"/>
      <c r="X178" s="546"/>
      <c r="Y178" s="185"/>
    </row>
    <row r="179" spans="12:25" x14ac:dyDescent="0.2">
      <c r="L179" s="546"/>
      <c r="M179" s="546"/>
      <c r="N179" s="546"/>
      <c r="O179" s="546"/>
      <c r="P179" s="546"/>
      <c r="Q179" s="546"/>
      <c r="R179" s="546"/>
      <c r="S179" s="546">
        <v>177</v>
      </c>
      <c r="T179" s="546">
        <v>150</v>
      </c>
      <c r="U179" s="546"/>
      <c r="V179" s="546"/>
      <c r="W179" s="546"/>
      <c r="X179" s="546"/>
      <c r="Y179" s="185"/>
    </row>
    <row r="180" spans="12:25" x14ac:dyDescent="0.2">
      <c r="L180" s="546"/>
      <c r="M180" s="546"/>
      <c r="N180" s="546"/>
      <c r="O180" s="546"/>
      <c r="P180" s="546"/>
      <c r="Q180" s="546"/>
      <c r="R180" s="546"/>
      <c r="S180" s="546">
        <v>178</v>
      </c>
      <c r="T180" s="546">
        <v>150</v>
      </c>
      <c r="U180" s="546"/>
      <c r="V180" s="546"/>
      <c r="W180" s="546"/>
      <c r="X180" s="546"/>
      <c r="Y180" s="185"/>
    </row>
    <row r="181" spans="12:25" x14ac:dyDescent="0.2">
      <c r="L181" s="546"/>
      <c r="M181" s="546"/>
      <c r="N181" s="546"/>
      <c r="O181" s="546"/>
      <c r="P181" s="546"/>
      <c r="Q181" s="546"/>
      <c r="R181" s="546"/>
      <c r="S181" s="546">
        <v>179</v>
      </c>
      <c r="T181" s="546">
        <v>150</v>
      </c>
      <c r="U181" s="546"/>
      <c r="V181" s="546"/>
      <c r="W181" s="546"/>
      <c r="X181" s="546"/>
      <c r="Y181" s="185"/>
    </row>
    <row r="182" spans="12:25" x14ac:dyDescent="0.2">
      <c r="L182" s="546"/>
      <c r="M182" s="546"/>
      <c r="N182" s="546"/>
      <c r="O182" s="546"/>
      <c r="P182" s="546"/>
      <c r="Q182" s="546"/>
      <c r="R182" s="546"/>
      <c r="S182" s="546">
        <v>180</v>
      </c>
      <c r="T182" s="546">
        <v>150</v>
      </c>
      <c r="U182" s="546"/>
      <c r="V182" s="546"/>
      <c r="W182" s="546"/>
      <c r="X182" s="546"/>
      <c r="Y182" s="185"/>
    </row>
    <row r="183" spans="12:25" x14ac:dyDescent="0.2">
      <c r="L183" s="546"/>
      <c r="M183" s="546"/>
      <c r="N183" s="546"/>
      <c r="O183" s="546"/>
      <c r="P183" s="546"/>
      <c r="Q183" s="546"/>
      <c r="R183" s="546"/>
      <c r="S183" s="546">
        <v>181</v>
      </c>
      <c r="T183" s="546">
        <v>150</v>
      </c>
      <c r="U183" s="546"/>
      <c r="V183" s="546"/>
      <c r="W183" s="546"/>
      <c r="X183" s="546"/>
      <c r="Y183" s="185"/>
    </row>
    <row r="184" spans="12:25" x14ac:dyDescent="0.2">
      <c r="L184" s="546"/>
      <c r="M184" s="546"/>
      <c r="N184" s="546"/>
      <c r="O184" s="546"/>
      <c r="P184" s="546"/>
      <c r="Q184" s="546"/>
      <c r="R184" s="546"/>
      <c r="S184" s="546">
        <v>182</v>
      </c>
      <c r="T184" s="546">
        <v>150</v>
      </c>
      <c r="U184" s="546"/>
      <c r="V184" s="546"/>
      <c r="W184" s="546"/>
      <c r="X184" s="546"/>
      <c r="Y184" s="185"/>
    </row>
    <row r="185" spans="12:25" x14ac:dyDescent="0.2">
      <c r="L185" s="546"/>
      <c r="M185" s="546"/>
      <c r="N185" s="546"/>
      <c r="O185" s="546"/>
      <c r="P185" s="546"/>
      <c r="Q185" s="546"/>
      <c r="R185" s="546"/>
      <c r="S185" s="546">
        <v>183</v>
      </c>
      <c r="T185" s="546">
        <v>150</v>
      </c>
      <c r="U185" s="546"/>
      <c r="V185" s="546"/>
      <c r="W185" s="546"/>
      <c r="X185" s="546"/>
      <c r="Y185" s="185"/>
    </row>
    <row r="186" spans="12:25" x14ac:dyDescent="0.2">
      <c r="L186" s="546"/>
      <c r="M186" s="546"/>
      <c r="N186" s="546"/>
      <c r="O186" s="546"/>
      <c r="P186" s="546"/>
      <c r="Q186" s="546"/>
      <c r="R186" s="546"/>
      <c r="S186" s="546">
        <v>184</v>
      </c>
      <c r="T186" s="546">
        <v>150</v>
      </c>
      <c r="U186" s="546"/>
      <c r="V186" s="546"/>
      <c r="W186" s="546"/>
      <c r="X186" s="546"/>
      <c r="Y186" s="185"/>
    </row>
    <row r="187" spans="12:25" x14ac:dyDescent="0.2">
      <c r="L187" s="546"/>
      <c r="M187" s="546"/>
      <c r="N187" s="546"/>
      <c r="O187" s="546"/>
      <c r="P187" s="546"/>
      <c r="Q187" s="546"/>
      <c r="R187" s="546"/>
      <c r="S187" s="546">
        <v>185</v>
      </c>
      <c r="T187" s="546">
        <v>150</v>
      </c>
      <c r="U187" s="546"/>
      <c r="V187" s="546"/>
      <c r="W187" s="546"/>
      <c r="X187" s="546"/>
      <c r="Y187" s="185"/>
    </row>
    <row r="188" spans="12:25" x14ac:dyDescent="0.2">
      <c r="L188" s="546"/>
      <c r="M188" s="546"/>
      <c r="N188" s="546"/>
      <c r="O188" s="546"/>
      <c r="P188" s="546"/>
      <c r="Q188" s="546"/>
      <c r="R188" s="546"/>
      <c r="S188" s="546">
        <v>186</v>
      </c>
      <c r="T188" s="546">
        <v>150</v>
      </c>
      <c r="U188" s="546"/>
      <c r="V188" s="546"/>
      <c r="W188" s="546"/>
      <c r="X188" s="546"/>
      <c r="Y188" s="185"/>
    </row>
    <row r="189" spans="12:25" x14ac:dyDescent="0.2">
      <c r="L189" s="546"/>
      <c r="M189" s="546"/>
      <c r="N189" s="546"/>
      <c r="O189" s="546"/>
      <c r="P189" s="546"/>
      <c r="Q189" s="546"/>
      <c r="R189" s="546"/>
      <c r="S189" s="546">
        <v>187</v>
      </c>
      <c r="T189" s="546">
        <v>150</v>
      </c>
      <c r="U189" s="546"/>
      <c r="V189" s="546"/>
      <c r="W189" s="546"/>
      <c r="X189" s="546"/>
      <c r="Y189" s="185"/>
    </row>
    <row r="190" spans="12:25" x14ac:dyDescent="0.2">
      <c r="L190" s="546"/>
      <c r="M190" s="546"/>
      <c r="N190" s="546"/>
      <c r="O190" s="546"/>
      <c r="P190" s="546"/>
      <c r="Q190" s="546"/>
      <c r="R190" s="546"/>
      <c r="S190" s="546">
        <v>188</v>
      </c>
      <c r="T190" s="546">
        <v>150</v>
      </c>
      <c r="U190" s="546"/>
      <c r="V190" s="546"/>
      <c r="W190" s="546"/>
      <c r="X190" s="546"/>
      <c r="Y190" s="185"/>
    </row>
    <row r="191" spans="12:25" x14ac:dyDescent="0.2">
      <c r="L191" s="546"/>
      <c r="M191" s="546"/>
      <c r="N191" s="546"/>
      <c r="O191" s="546"/>
      <c r="P191" s="546"/>
      <c r="Q191" s="546"/>
      <c r="R191" s="546"/>
      <c r="S191" s="546">
        <v>189</v>
      </c>
      <c r="T191" s="546">
        <v>150</v>
      </c>
      <c r="U191" s="546"/>
      <c r="V191" s="546"/>
      <c r="W191" s="546"/>
      <c r="X191" s="546"/>
      <c r="Y191" s="185"/>
    </row>
    <row r="192" spans="12:25" x14ac:dyDescent="0.2">
      <c r="L192" s="546"/>
      <c r="M192" s="546"/>
      <c r="N192" s="546"/>
      <c r="O192" s="546"/>
      <c r="P192" s="546"/>
      <c r="Q192" s="546"/>
      <c r="R192" s="546"/>
      <c r="S192" s="546">
        <v>190</v>
      </c>
      <c r="T192" s="546">
        <v>150</v>
      </c>
      <c r="U192" s="546"/>
      <c r="V192" s="546"/>
      <c r="W192" s="546"/>
      <c r="X192" s="546"/>
      <c r="Y192" s="185"/>
    </row>
    <row r="193" spans="12:25" x14ac:dyDescent="0.2">
      <c r="L193" s="546"/>
      <c r="M193" s="546"/>
      <c r="N193" s="546"/>
      <c r="O193" s="546"/>
      <c r="P193" s="546"/>
      <c r="Q193" s="546"/>
      <c r="R193" s="546"/>
      <c r="S193" s="546">
        <v>191</v>
      </c>
      <c r="T193" s="546">
        <v>150</v>
      </c>
      <c r="U193" s="546"/>
      <c r="V193" s="546"/>
      <c r="W193" s="546"/>
      <c r="X193" s="546"/>
      <c r="Y193" s="185"/>
    </row>
    <row r="194" spans="12:25" x14ac:dyDescent="0.2">
      <c r="L194" s="546"/>
      <c r="M194" s="546"/>
      <c r="N194" s="546"/>
      <c r="O194" s="546"/>
      <c r="P194" s="546"/>
      <c r="Q194" s="546"/>
      <c r="R194" s="546"/>
      <c r="S194" s="546">
        <v>192</v>
      </c>
      <c r="T194" s="546">
        <v>150</v>
      </c>
      <c r="U194" s="546"/>
      <c r="V194" s="546"/>
      <c r="W194" s="546"/>
      <c r="X194" s="546"/>
      <c r="Y194" s="185"/>
    </row>
    <row r="195" spans="12:25" x14ac:dyDescent="0.2">
      <c r="L195" s="546"/>
      <c r="M195" s="546"/>
      <c r="N195" s="546"/>
      <c r="O195" s="546"/>
      <c r="P195" s="546"/>
      <c r="Q195" s="546"/>
      <c r="R195" s="546"/>
      <c r="S195" s="546">
        <v>193</v>
      </c>
      <c r="T195" s="546">
        <v>150</v>
      </c>
      <c r="U195" s="546"/>
      <c r="V195" s="546"/>
      <c r="W195" s="546"/>
      <c r="X195" s="546"/>
      <c r="Y195" s="185"/>
    </row>
    <row r="196" spans="12:25" x14ac:dyDescent="0.2">
      <c r="L196" s="546"/>
      <c r="M196" s="546"/>
      <c r="N196" s="546"/>
      <c r="O196" s="546"/>
      <c r="P196" s="546"/>
      <c r="Q196" s="546"/>
      <c r="R196" s="546"/>
      <c r="S196" s="546">
        <v>194</v>
      </c>
      <c r="T196" s="546">
        <v>150</v>
      </c>
      <c r="U196" s="546"/>
      <c r="V196" s="546"/>
      <c r="W196" s="546"/>
      <c r="X196" s="546"/>
      <c r="Y196" s="185"/>
    </row>
    <row r="197" spans="12:25" x14ac:dyDescent="0.2">
      <c r="L197" s="546"/>
      <c r="M197" s="546"/>
      <c r="N197" s="546"/>
      <c r="O197" s="546"/>
      <c r="P197" s="546"/>
      <c r="Q197" s="546"/>
      <c r="R197" s="546"/>
      <c r="S197" s="546">
        <v>195</v>
      </c>
      <c r="T197" s="546">
        <v>150</v>
      </c>
      <c r="U197" s="546"/>
      <c r="V197" s="546"/>
      <c r="W197" s="546"/>
      <c r="X197" s="546"/>
      <c r="Y197" s="185"/>
    </row>
    <row r="198" spans="12:25" x14ac:dyDescent="0.2">
      <c r="L198" s="546"/>
      <c r="M198" s="546"/>
      <c r="N198" s="546"/>
      <c r="O198" s="546"/>
      <c r="P198" s="546"/>
      <c r="Q198" s="546"/>
      <c r="R198" s="546"/>
      <c r="S198" s="546">
        <v>196</v>
      </c>
      <c r="T198" s="546">
        <v>150</v>
      </c>
      <c r="U198" s="546"/>
      <c r="V198" s="546"/>
      <c r="W198" s="546"/>
      <c r="X198" s="546"/>
      <c r="Y198" s="185"/>
    </row>
    <row r="199" spans="12:25" x14ac:dyDescent="0.2">
      <c r="L199" s="546"/>
      <c r="M199" s="546"/>
      <c r="N199" s="546"/>
      <c r="O199" s="546"/>
      <c r="P199" s="546"/>
      <c r="Q199" s="546"/>
      <c r="R199" s="546"/>
      <c r="S199" s="546">
        <v>197</v>
      </c>
      <c r="T199" s="546">
        <v>150</v>
      </c>
      <c r="U199" s="546"/>
      <c r="V199" s="546"/>
      <c r="W199" s="546"/>
      <c r="X199" s="546"/>
      <c r="Y199" s="185"/>
    </row>
    <row r="200" spans="12:25" x14ac:dyDescent="0.2">
      <c r="L200" s="546"/>
      <c r="M200" s="546"/>
      <c r="N200" s="546"/>
      <c r="O200" s="546"/>
      <c r="P200" s="546"/>
      <c r="Q200" s="546"/>
      <c r="R200" s="546"/>
      <c r="S200" s="546">
        <v>198</v>
      </c>
      <c r="T200" s="546">
        <v>150</v>
      </c>
      <c r="U200" s="546"/>
      <c r="V200" s="546"/>
      <c r="W200" s="546"/>
      <c r="X200" s="546"/>
      <c r="Y200" s="185"/>
    </row>
    <row r="201" spans="12:25" x14ac:dyDescent="0.2">
      <c r="L201" s="546"/>
      <c r="M201" s="546"/>
      <c r="N201" s="546"/>
      <c r="O201" s="546"/>
      <c r="P201" s="546"/>
      <c r="Q201" s="546"/>
      <c r="R201" s="546"/>
      <c r="S201" s="546">
        <v>199</v>
      </c>
      <c r="T201" s="546">
        <v>150</v>
      </c>
      <c r="U201" s="546"/>
      <c r="V201" s="546"/>
      <c r="W201" s="546"/>
      <c r="X201" s="546"/>
      <c r="Y201" s="185"/>
    </row>
    <row r="202" spans="12:25" x14ac:dyDescent="0.2">
      <c r="L202" s="546"/>
      <c r="M202" s="546"/>
      <c r="N202" s="546"/>
      <c r="O202" s="546"/>
      <c r="P202" s="546"/>
      <c r="Q202" s="546"/>
      <c r="R202" s="546"/>
      <c r="S202" s="546">
        <v>200</v>
      </c>
      <c r="T202" s="546">
        <v>150</v>
      </c>
      <c r="U202" s="546">
        <v>200</v>
      </c>
      <c r="V202" s="546"/>
      <c r="W202" s="546"/>
      <c r="X202" s="546"/>
      <c r="Y202" s="185"/>
    </row>
    <row r="203" spans="12:25" x14ac:dyDescent="0.2">
      <c r="L203" s="546"/>
      <c r="M203" s="546"/>
      <c r="N203" s="546"/>
      <c r="O203" s="546"/>
      <c r="P203" s="546"/>
      <c r="Q203" s="546"/>
      <c r="R203" s="546"/>
      <c r="S203" s="546">
        <v>201</v>
      </c>
      <c r="T203" s="546">
        <v>150</v>
      </c>
      <c r="U203" s="546"/>
      <c r="V203" s="546"/>
      <c r="W203" s="546"/>
      <c r="X203" s="546"/>
      <c r="Y203" s="185"/>
    </row>
    <row r="204" spans="12:25" x14ac:dyDescent="0.2">
      <c r="L204" s="546"/>
      <c r="M204" s="546"/>
      <c r="N204" s="546"/>
      <c r="O204" s="546"/>
      <c r="P204" s="546"/>
      <c r="Q204" s="546"/>
      <c r="R204" s="546"/>
      <c r="S204" s="546">
        <v>202</v>
      </c>
      <c r="T204" s="546">
        <v>150</v>
      </c>
      <c r="U204" s="546"/>
      <c r="V204" s="546"/>
      <c r="W204" s="546"/>
      <c r="X204" s="546"/>
      <c r="Y204" s="185"/>
    </row>
    <row r="205" spans="12:25" x14ac:dyDescent="0.2">
      <c r="L205" s="546"/>
      <c r="M205" s="546"/>
      <c r="N205" s="546"/>
      <c r="O205" s="546"/>
      <c r="P205" s="546"/>
      <c r="Q205" s="546"/>
      <c r="R205" s="546"/>
      <c r="S205" s="546">
        <v>203</v>
      </c>
      <c r="T205" s="546">
        <v>150</v>
      </c>
      <c r="U205" s="546"/>
      <c r="V205" s="546"/>
      <c r="W205" s="546"/>
      <c r="X205" s="546"/>
      <c r="Y205" s="185"/>
    </row>
    <row r="206" spans="12:25" x14ac:dyDescent="0.2">
      <c r="L206" s="546"/>
      <c r="M206" s="546"/>
      <c r="N206" s="546"/>
      <c r="O206" s="546"/>
      <c r="P206" s="546"/>
      <c r="Q206" s="546"/>
      <c r="R206" s="546"/>
      <c r="S206" s="546">
        <v>204</v>
      </c>
      <c r="T206" s="546">
        <v>150</v>
      </c>
      <c r="U206" s="546"/>
      <c r="V206" s="546"/>
      <c r="W206" s="546"/>
      <c r="X206" s="546"/>
      <c r="Y206" s="185"/>
    </row>
    <row r="207" spans="12:25" x14ac:dyDescent="0.2">
      <c r="L207" s="546"/>
      <c r="M207" s="546"/>
      <c r="N207" s="546"/>
      <c r="O207" s="546"/>
      <c r="P207" s="546"/>
      <c r="Q207" s="546"/>
      <c r="R207" s="546"/>
      <c r="S207" s="546">
        <v>205</v>
      </c>
      <c r="T207" s="546">
        <v>150</v>
      </c>
      <c r="U207" s="546"/>
      <c r="V207" s="546"/>
      <c r="W207" s="546"/>
      <c r="X207" s="546"/>
      <c r="Y207" s="185"/>
    </row>
    <row r="208" spans="12:25" x14ac:dyDescent="0.2">
      <c r="L208" s="546"/>
      <c r="M208" s="546"/>
      <c r="N208" s="546"/>
      <c r="O208" s="546"/>
      <c r="P208" s="546"/>
      <c r="Q208" s="546"/>
      <c r="R208" s="546"/>
      <c r="S208" s="546">
        <v>206</v>
      </c>
      <c r="T208" s="546">
        <v>150</v>
      </c>
      <c r="U208" s="546"/>
      <c r="V208" s="546"/>
      <c r="W208" s="546"/>
      <c r="X208" s="546"/>
      <c r="Y208" s="185"/>
    </row>
    <row r="209" spans="12:25" x14ac:dyDescent="0.2">
      <c r="L209" s="546"/>
      <c r="M209" s="546"/>
      <c r="N209" s="546"/>
      <c r="O209" s="546"/>
      <c r="P209" s="546"/>
      <c r="Q209" s="546"/>
      <c r="R209" s="546"/>
      <c r="S209" s="546">
        <v>207</v>
      </c>
      <c r="T209" s="546">
        <v>150</v>
      </c>
      <c r="U209" s="546"/>
      <c r="V209" s="546"/>
      <c r="W209" s="546"/>
      <c r="X209" s="546"/>
      <c r="Y209" s="185"/>
    </row>
    <row r="210" spans="12:25" x14ac:dyDescent="0.2">
      <c r="L210" s="546"/>
      <c r="M210" s="546"/>
      <c r="N210" s="546"/>
      <c r="O210" s="546"/>
      <c r="P210" s="546"/>
      <c r="Q210" s="546"/>
      <c r="R210" s="546"/>
      <c r="S210" s="546">
        <v>208</v>
      </c>
      <c r="T210" s="546">
        <v>150</v>
      </c>
      <c r="U210" s="546"/>
      <c r="V210" s="546"/>
      <c r="W210" s="546"/>
      <c r="X210" s="546"/>
      <c r="Y210" s="185"/>
    </row>
    <row r="211" spans="12:25" x14ac:dyDescent="0.2">
      <c r="L211" s="546"/>
      <c r="M211" s="546"/>
      <c r="N211" s="546"/>
      <c r="O211" s="546"/>
      <c r="P211" s="546"/>
      <c r="Q211" s="546"/>
      <c r="R211" s="546"/>
      <c r="S211" s="546">
        <v>209</v>
      </c>
      <c r="T211" s="546">
        <v>150</v>
      </c>
      <c r="U211" s="546"/>
      <c r="V211" s="546"/>
      <c r="W211" s="546"/>
      <c r="X211" s="546"/>
      <c r="Y211" s="185"/>
    </row>
    <row r="212" spans="12:25" x14ac:dyDescent="0.2">
      <c r="L212" s="546"/>
      <c r="M212" s="546"/>
      <c r="N212" s="546"/>
      <c r="O212" s="546"/>
      <c r="P212" s="546"/>
      <c r="Q212" s="546"/>
      <c r="R212" s="546"/>
      <c r="S212" s="546">
        <v>210</v>
      </c>
      <c r="T212" s="546">
        <v>150</v>
      </c>
      <c r="U212" s="546"/>
      <c r="V212" s="546"/>
      <c r="W212" s="546"/>
      <c r="X212" s="546"/>
      <c r="Y212" s="185"/>
    </row>
    <row r="213" spans="12:25" x14ac:dyDescent="0.2">
      <c r="L213" s="546"/>
      <c r="M213" s="546"/>
      <c r="N213" s="546"/>
      <c r="O213" s="546"/>
      <c r="P213" s="546"/>
      <c r="Q213" s="546"/>
      <c r="R213" s="546"/>
      <c r="S213" s="546">
        <v>211</v>
      </c>
      <c r="T213" s="546">
        <v>150</v>
      </c>
      <c r="U213" s="546"/>
      <c r="V213" s="546"/>
      <c r="W213" s="546"/>
      <c r="X213" s="546"/>
      <c r="Y213" s="185"/>
    </row>
    <row r="214" spans="12:25" x14ac:dyDescent="0.2">
      <c r="L214" s="546"/>
      <c r="M214" s="546"/>
      <c r="N214" s="546"/>
      <c r="O214" s="546"/>
      <c r="P214" s="546"/>
      <c r="Q214" s="546"/>
      <c r="R214" s="546"/>
      <c r="S214" s="546">
        <v>212</v>
      </c>
      <c r="T214" s="546">
        <v>150</v>
      </c>
      <c r="U214" s="546"/>
      <c r="V214" s="546"/>
      <c r="W214" s="546"/>
      <c r="X214" s="546"/>
      <c r="Y214" s="185"/>
    </row>
    <row r="215" spans="12:25" x14ac:dyDescent="0.2">
      <c r="L215" s="546"/>
      <c r="M215" s="546"/>
      <c r="N215" s="546"/>
      <c r="O215" s="546"/>
      <c r="P215" s="546"/>
      <c r="Q215" s="546"/>
      <c r="R215" s="546"/>
      <c r="S215" s="546">
        <v>213</v>
      </c>
      <c r="T215" s="546">
        <v>150</v>
      </c>
      <c r="U215" s="546"/>
      <c r="V215" s="546"/>
      <c r="W215" s="546"/>
      <c r="X215" s="546"/>
      <c r="Y215" s="185"/>
    </row>
    <row r="216" spans="12:25" x14ac:dyDescent="0.2">
      <c r="L216" s="546"/>
      <c r="M216" s="546"/>
      <c r="N216" s="546"/>
      <c r="O216" s="546"/>
      <c r="P216" s="546"/>
      <c r="Q216" s="546"/>
      <c r="R216" s="546"/>
      <c r="S216" s="546">
        <v>214</v>
      </c>
      <c r="T216" s="546">
        <v>150</v>
      </c>
      <c r="U216" s="546"/>
      <c r="V216" s="546"/>
      <c r="W216" s="546"/>
      <c r="X216" s="546"/>
      <c r="Y216" s="185"/>
    </row>
    <row r="217" spans="12:25" x14ac:dyDescent="0.2">
      <c r="L217" s="546"/>
      <c r="M217" s="546"/>
      <c r="N217" s="546"/>
      <c r="O217" s="546"/>
      <c r="P217" s="546"/>
      <c r="Q217" s="546"/>
      <c r="R217" s="546"/>
      <c r="S217" s="546">
        <v>215</v>
      </c>
      <c r="T217" s="546">
        <v>150</v>
      </c>
      <c r="U217" s="546"/>
      <c r="V217" s="546"/>
      <c r="W217" s="546"/>
      <c r="X217" s="546"/>
      <c r="Y217" s="185"/>
    </row>
    <row r="218" spans="12:25" x14ac:dyDescent="0.2">
      <c r="L218" s="546"/>
      <c r="M218" s="546"/>
      <c r="N218" s="546"/>
      <c r="O218" s="546"/>
      <c r="P218" s="546"/>
      <c r="Q218" s="546"/>
      <c r="R218" s="546"/>
      <c r="S218" s="546">
        <v>216</v>
      </c>
      <c r="T218" s="546">
        <v>150</v>
      </c>
      <c r="U218" s="546"/>
      <c r="V218" s="546"/>
      <c r="W218" s="546"/>
      <c r="X218" s="546"/>
      <c r="Y218" s="185"/>
    </row>
    <row r="219" spans="12:25" x14ac:dyDescent="0.2">
      <c r="L219" s="546"/>
      <c r="M219" s="546"/>
      <c r="N219" s="546"/>
      <c r="O219" s="546"/>
      <c r="P219" s="546"/>
      <c r="Q219" s="546"/>
      <c r="R219" s="546"/>
      <c r="S219" s="546">
        <v>217</v>
      </c>
      <c r="T219" s="546">
        <v>150</v>
      </c>
      <c r="U219" s="546"/>
      <c r="V219" s="546"/>
      <c r="W219" s="546"/>
      <c r="X219" s="546"/>
      <c r="Y219" s="185"/>
    </row>
    <row r="220" spans="12:25" x14ac:dyDescent="0.2">
      <c r="L220" s="546"/>
      <c r="M220" s="546"/>
      <c r="N220" s="546"/>
      <c r="O220" s="546"/>
      <c r="P220" s="546"/>
      <c r="Q220" s="546"/>
      <c r="R220" s="546"/>
      <c r="S220" s="546">
        <v>218</v>
      </c>
      <c r="T220" s="546">
        <v>150</v>
      </c>
      <c r="U220" s="546"/>
      <c r="V220" s="546"/>
      <c r="W220" s="546"/>
      <c r="X220" s="546"/>
      <c r="Y220" s="185"/>
    </row>
    <row r="221" spans="12:25" x14ac:dyDescent="0.2">
      <c r="L221" s="546"/>
      <c r="M221" s="546"/>
      <c r="N221" s="546"/>
      <c r="O221" s="546"/>
      <c r="P221" s="546"/>
      <c r="Q221" s="546"/>
      <c r="R221" s="546"/>
      <c r="S221" s="546">
        <v>219</v>
      </c>
      <c r="T221" s="546">
        <v>150</v>
      </c>
      <c r="U221" s="546"/>
      <c r="V221" s="546"/>
      <c r="W221" s="546"/>
      <c r="X221" s="546"/>
      <c r="Y221" s="185"/>
    </row>
    <row r="222" spans="12:25" x14ac:dyDescent="0.2">
      <c r="L222" s="546"/>
      <c r="M222" s="546"/>
      <c r="N222" s="546"/>
      <c r="O222" s="546"/>
      <c r="P222" s="546"/>
      <c r="Q222" s="546"/>
      <c r="R222" s="546"/>
      <c r="S222" s="546">
        <v>220</v>
      </c>
      <c r="T222" s="546">
        <v>150</v>
      </c>
      <c r="U222" s="546"/>
      <c r="V222" s="546"/>
      <c r="W222" s="546"/>
      <c r="X222" s="546"/>
      <c r="Y222" s="185"/>
    </row>
    <row r="223" spans="12:25" x14ac:dyDescent="0.2">
      <c r="L223" s="546"/>
      <c r="M223" s="546"/>
      <c r="N223" s="546"/>
      <c r="O223" s="546"/>
      <c r="P223" s="546"/>
      <c r="Q223" s="546"/>
      <c r="R223" s="546"/>
      <c r="S223" s="546">
        <v>221</v>
      </c>
      <c r="T223" s="546">
        <v>150</v>
      </c>
      <c r="U223" s="546"/>
      <c r="V223" s="546"/>
      <c r="W223" s="546"/>
      <c r="X223" s="546"/>
      <c r="Y223" s="185"/>
    </row>
    <row r="224" spans="12:25" x14ac:dyDescent="0.2">
      <c r="L224" s="546"/>
      <c r="M224" s="546"/>
      <c r="N224" s="546"/>
      <c r="O224" s="546"/>
      <c r="P224" s="546"/>
      <c r="Q224" s="546"/>
      <c r="R224" s="546"/>
      <c r="S224" s="546">
        <v>222</v>
      </c>
      <c r="T224" s="546">
        <v>150</v>
      </c>
      <c r="U224" s="546"/>
      <c r="V224" s="546"/>
      <c r="W224" s="546"/>
      <c r="X224" s="546"/>
      <c r="Y224" s="185"/>
    </row>
    <row r="225" spans="12:25" x14ac:dyDescent="0.2">
      <c r="L225" s="546"/>
      <c r="M225" s="546"/>
      <c r="N225" s="546"/>
      <c r="O225" s="546"/>
      <c r="P225" s="546"/>
      <c r="Q225" s="546"/>
      <c r="R225" s="546"/>
      <c r="S225" s="546">
        <v>223</v>
      </c>
      <c r="T225" s="546">
        <v>150</v>
      </c>
      <c r="U225" s="546"/>
      <c r="V225" s="546"/>
      <c r="W225" s="546"/>
      <c r="X225" s="546"/>
      <c r="Y225" s="185"/>
    </row>
    <row r="226" spans="12:25" x14ac:dyDescent="0.2">
      <c r="L226" s="546"/>
      <c r="M226" s="546"/>
      <c r="N226" s="546"/>
      <c r="O226" s="546"/>
      <c r="P226" s="546"/>
      <c r="Q226" s="546"/>
      <c r="R226" s="546"/>
      <c r="S226" s="546">
        <v>224</v>
      </c>
      <c r="T226" s="546">
        <v>150</v>
      </c>
      <c r="U226" s="546"/>
      <c r="V226" s="546"/>
      <c r="W226" s="546"/>
      <c r="X226" s="546"/>
      <c r="Y226" s="185"/>
    </row>
    <row r="227" spans="12:25" x14ac:dyDescent="0.2">
      <c r="L227" s="546"/>
      <c r="M227" s="546"/>
      <c r="N227" s="546"/>
      <c r="O227" s="546"/>
      <c r="P227" s="546"/>
      <c r="Q227" s="546"/>
      <c r="R227" s="546"/>
      <c r="S227" s="546">
        <v>225</v>
      </c>
      <c r="T227" s="546">
        <v>150</v>
      </c>
      <c r="U227" s="546"/>
      <c r="V227" s="546"/>
      <c r="W227" s="546"/>
      <c r="X227" s="546"/>
      <c r="Y227" s="185"/>
    </row>
    <row r="228" spans="12:25" x14ac:dyDescent="0.2">
      <c r="L228" s="546"/>
      <c r="M228" s="546"/>
      <c r="N228" s="546"/>
      <c r="O228" s="546"/>
      <c r="P228" s="546"/>
      <c r="Q228" s="546"/>
      <c r="R228" s="546"/>
      <c r="S228" s="546">
        <v>226</v>
      </c>
      <c r="T228" s="546">
        <v>150</v>
      </c>
      <c r="U228" s="546"/>
      <c r="V228" s="546"/>
      <c r="W228" s="546"/>
      <c r="X228" s="546"/>
      <c r="Y228" s="185"/>
    </row>
    <row r="229" spans="12:25" x14ac:dyDescent="0.2">
      <c r="L229" s="546"/>
      <c r="M229" s="546"/>
      <c r="N229" s="546"/>
      <c r="O229" s="546"/>
      <c r="P229" s="546"/>
      <c r="Q229" s="546"/>
      <c r="R229" s="546"/>
      <c r="S229" s="546">
        <v>227</v>
      </c>
      <c r="T229" s="546">
        <v>150</v>
      </c>
      <c r="U229" s="546"/>
      <c r="V229" s="546"/>
      <c r="W229" s="546"/>
      <c r="X229" s="546"/>
      <c r="Y229" s="185"/>
    </row>
    <row r="230" spans="12:25" x14ac:dyDescent="0.2">
      <c r="L230" s="546"/>
      <c r="M230" s="546"/>
      <c r="N230" s="546"/>
      <c r="O230" s="546"/>
      <c r="P230" s="546"/>
      <c r="Q230" s="546"/>
      <c r="R230" s="546"/>
      <c r="S230" s="546">
        <v>228</v>
      </c>
      <c r="T230" s="546">
        <v>150</v>
      </c>
      <c r="U230" s="546"/>
      <c r="V230" s="546"/>
      <c r="W230" s="546"/>
      <c r="X230" s="546"/>
      <c r="Y230" s="185"/>
    </row>
    <row r="231" spans="12:25" x14ac:dyDescent="0.2">
      <c r="L231" s="546"/>
      <c r="M231" s="546"/>
      <c r="N231" s="546"/>
      <c r="O231" s="546"/>
      <c r="P231" s="546"/>
      <c r="Q231" s="546"/>
      <c r="R231" s="546"/>
      <c r="S231" s="546">
        <v>229</v>
      </c>
      <c r="T231" s="546">
        <v>150</v>
      </c>
      <c r="U231" s="546"/>
      <c r="V231" s="546"/>
      <c r="W231" s="546"/>
      <c r="X231" s="546"/>
      <c r="Y231" s="185"/>
    </row>
    <row r="232" spans="12:25" x14ac:dyDescent="0.2">
      <c r="L232" s="546"/>
      <c r="M232" s="546"/>
      <c r="N232" s="546"/>
      <c r="O232" s="546"/>
      <c r="P232" s="546"/>
      <c r="Q232" s="546"/>
      <c r="R232" s="546"/>
      <c r="S232" s="546">
        <v>230</v>
      </c>
      <c r="T232" s="546">
        <v>150</v>
      </c>
      <c r="U232" s="546"/>
      <c r="V232" s="546"/>
      <c r="W232" s="546"/>
      <c r="X232" s="546"/>
      <c r="Y232" s="185"/>
    </row>
    <row r="233" spans="12:25" x14ac:dyDescent="0.2">
      <c r="L233" s="546"/>
      <c r="M233" s="546"/>
      <c r="N233" s="546"/>
      <c r="O233" s="546"/>
      <c r="P233" s="546"/>
      <c r="Q233" s="546"/>
      <c r="R233" s="546"/>
      <c r="S233" s="546">
        <v>231</v>
      </c>
      <c r="T233" s="546">
        <v>150</v>
      </c>
      <c r="U233" s="546"/>
      <c r="V233" s="546"/>
      <c r="W233" s="546"/>
      <c r="X233" s="546"/>
      <c r="Y233" s="185"/>
    </row>
    <row r="234" spans="12:25" x14ac:dyDescent="0.2">
      <c r="L234" s="546"/>
      <c r="M234" s="546"/>
      <c r="N234" s="546"/>
      <c r="O234" s="546"/>
      <c r="P234" s="546"/>
      <c r="Q234" s="546"/>
      <c r="R234" s="546"/>
      <c r="S234" s="546">
        <v>232</v>
      </c>
      <c r="T234" s="546">
        <v>150</v>
      </c>
      <c r="U234" s="546"/>
      <c r="V234" s="546"/>
      <c r="W234" s="546"/>
      <c r="X234" s="546"/>
      <c r="Y234" s="185"/>
    </row>
    <row r="235" spans="12:25" x14ac:dyDescent="0.2">
      <c r="L235" s="546"/>
      <c r="M235" s="546"/>
      <c r="N235" s="546"/>
      <c r="O235" s="546"/>
      <c r="P235" s="546"/>
      <c r="Q235" s="546"/>
      <c r="R235" s="546"/>
      <c r="S235" s="546">
        <v>233</v>
      </c>
      <c r="T235" s="546">
        <v>150</v>
      </c>
      <c r="U235" s="546"/>
      <c r="V235" s="546"/>
      <c r="W235" s="546"/>
      <c r="X235" s="546"/>
      <c r="Y235" s="185"/>
    </row>
    <row r="236" spans="12:25" x14ac:dyDescent="0.2">
      <c r="L236" s="546"/>
      <c r="M236" s="546"/>
      <c r="N236" s="546"/>
      <c r="O236" s="546"/>
      <c r="P236" s="546"/>
      <c r="Q236" s="546"/>
      <c r="R236" s="546"/>
      <c r="S236" s="546">
        <v>234</v>
      </c>
      <c r="T236" s="546">
        <v>150</v>
      </c>
      <c r="U236" s="546"/>
      <c r="V236" s="546"/>
      <c r="W236" s="546"/>
      <c r="X236" s="546"/>
      <c r="Y236" s="185"/>
    </row>
    <row r="237" spans="12:25" x14ac:dyDescent="0.2">
      <c r="L237" s="546"/>
      <c r="M237" s="546"/>
      <c r="N237" s="546"/>
      <c r="O237" s="546"/>
      <c r="P237" s="546"/>
      <c r="Q237" s="546"/>
      <c r="R237" s="546"/>
      <c r="S237" s="546">
        <v>235</v>
      </c>
      <c r="T237" s="546">
        <v>150</v>
      </c>
      <c r="U237" s="546"/>
      <c r="V237" s="546"/>
      <c r="W237" s="546"/>
      <c r="X237" s="546"/>
      <c r="Y237" s="185"/>
    </row>
    <row r="238" spans="12:25" x14ac:dyDescent="0.2">
      <c r="L238" s="546"/>
      <c r="M238" s="546"/>
      <c r="N238" s="546"/>
      <c r="O238" s="546"/>
      <c r="P238" s="546"/>
      <c r="Q238" s="546"/>
      <c r="R238" s="546"/>
      <c r="S238" s="546">
        <v>236</v>
      </c>
      <c r="T238" s="546">
        <v>150</v>
      </c>
      <c r="U238" s="546"/>
      <c r="V238" s="546"/>
      <c r="W238" s="546"/>
      <c r="X238" s="546"/>
      <c r="Y238" s="185"/>
    </row>
    <row r="239" spans="12:25" x14ac:dyDescent="0.2">
      <c r="L239" s="546"/>
      <c r="M239" s="546"/>
      <c r="N239" s="546"/>
      <c r="O239" s="546"/>
      <c r="P239" s="546"/>
      <c r="Q239" s="546"/>
      <c r="R239" s="546"/>
      <c r="S239" s="546">
        <v>237</v>
      </c>
      <c r="T239" s="546">
        <v>150</v>
      </c>
      <c r="U239" s="546"/>
      <c r="V239" s="546"/>
      <c r="W239" s="546"/>
      <c r="X239" s="546"/>
      <c r="Y239" s="185"/>
    </row>
    <row r="240" spans="12:25" x14ac:dyDescent="0.2">
      <c r="L240" s="546"/>
      <c r="M240" s="546"/>
      <c r="N240" s="546"/>
      <c r="O240" s="546"/>
      <c r="P240" s="546"/>
      <c r="Q240" s="546"/>
      <c r="R240" s="546"/>
      <c r="S240" s="546">
        <v>238</v>
      </c>
      <c r="T240" s="546">
        <v>150</v>
      </c>
      <c r="U240" s="546"/>
      <c r="V240" s="546"/>
      <c r="W240" s="546"/>
      <c r="X240" s="546"/>
      <c r="Y240" s="185"/>
    </row>
    <row r="241" spans="12:25" x14ac:dyDescent="0.2">
      <c r="L241" s="546"/>
      <c r="M241" s="546"/>
      <c r="N241" s="546"/>
      <c r="O241" s="546"/>
      <c r="P241" s="546"/>
      <c r="Q241" s="546"/>
      <c r="R241" s="546"/>
      <c r="S241" s="546">
        <v>239</v>
      </c>
      <c r="T241" s="546">
        <v>150</v>
      </c>
      <c r="U241" s="546"/>
      <c r="V241" s="546"/>
      <c r="W241" s="546"/>
      <c r="X241" s="546"/>
      <c r="Y241" s="185"/>
    </row>
    <row r="242" spans="12:25" x14ac:dyDescent="0.2">
      <c r="L242" s="546"/>
      <c r="M242" s="546"/>
      <c r="N242" s="546"/>
      <c r="O242" s="546"/>
      <c r="P242" s="546"/>
      <c r="Q242" s="546"/>
      <c r="R242" s="546"/>
      <c r="S242" s="546">
        <v>240</v>
      </c>
      <c r="T242" s="546">
        <v>150</v>
      </c>
      <c r="U242" s="546"/>
      <c r="V242" s="546"/>
      <c r="W242" s="546"/>
      <c r="X242" s="546"/>
      <c r="Y242" s="185"/>
    </row>
    <row r="243" spans="12:25" x14ac:dyDescent="0.2">
      <c r="L243" s="546"/>
      <c r="M243" s="546"/>
      <c r="N243" s="546"/>
      <c r="O243" s="546"/>
      <c r="P243" s="546"/>
      <c r="Q243" s="546"/>
      <c r="R243" s="546"/>
      <c r="S243" s="546">
        <v>241</v>
      </c>
      <c r="T243" s="546">
        <v>150</v>
      </c>
      <c r="U243" s="546"/>
      <c r="V243" s="546"/>
      <c r="W243" s="546"/>
      <c r="X243" s="546"/>
      <c r="Y243" s="185"/>
    </row>
    <row r="244" spans="12:25" x14ac:dyDescent="0.2">
      <c r="L244" s="546"/>
      <c r="M244" s="546"/>
      <c r="N244" s="546"/>
      <c r="O244" s="546"/>
      <c r="P244" s="546"/>
      <c r="Q244" s="546"/>
      <c r="R244" s="546"/>
      <c r="S244" s="546">
        <v>242</v>
      </c>
      <c r="T244" s="546">
        <v>150</v>
      </c>
      <c r="U244" s="546"/>
      <c r="V244" s="546"/>
      <c r="W244" s="546"/>
      <c r="X244" s="546"/>
      <c r="Y244" s="185"/>
    </row>
    <row r="245" spans="12:25" x14ac:dyDescent="0.2">
      <c r="L245" s="546"/>
      <c r="M245" s="546"/>
      <c r="N245" s="546"/>
      <c r="O245" s="546"/>
      <c r="P245" s="546"/>
      <c r="Q245" s="546"/>
      <c r="R245" s="546"/>
      <c r="S245" s="546">
        <v>243</v>
      </c>
      <c r="T245" s="546">
        <v>150</v>
      </c>
      <c r="U245" s="546"/>
      <c r="V245" s="546"/>
      <c r="W245" s="546"/>
      <c r="X245" s="546"/>
      <c r="Y245" s="185"/>
    </row>
    <row r="246" spans="12:25" x14ac:dyDescent="0.2">
      <c r="L246" s="546"/>
      <c r="M246" s="546"/>
      <c r="N246" s="546"/>
      <c r="O246" s="546"/>
      <c r="P246" s="546"/>
      <c r="Q246" s="546"/>
      <c r="R246" s="546"/>
      <c r="S246" s="546">
        <v>244</v>
      </c>
      <c r="T246" s="546">
        <v>150</v>
      </c>
      <c r="U246" s="546"/>
      <c r="V246" s="546"/>
      <c r="W246" s="546"/>
      <c r="X246" s="546"/>
      <c r="Y246" s="185"/>
    </row>
    <row r="247" spans="12:25" x14ac:dyDescent="0.2">
      <c r="L247" s="546"/>
      <c r="M247" s="546"/>
      <c r="N247" s="546"/>
      <c r="O247" s="546"/>
      <c r="P247" s="546"/>
      <c r="Q247" s="546"/>
      <c r="R247" s="546"/>
      <c r="S247" s="546">
        <v>245</v>
      </c>
      <c r="T247" s="546">
        <v>150</v>
      </c>
      <c r="U247" s="546"/>
      <c r="V247" s="546"/>
      <c r="W247" s="546"/>
      <c r="X247" s="546"/>
      <c r="Y247" s="185"/>
    </row>
    <row r="248" spans="12:25" x14ac:dyDescent="0.2">
      <c r="L248" s="546"/>
      <c r="M248" s="546"/>
      <c r="N248" s="546"/>
      <c r="O248" s="546"/>
      <c r="P248" s="546"/>
      <c r="Q248" s="546"/>
      <c r="R248" s="546"/>
      <c r="S248" s="546">
        <v>246</v>
      </c>
      <c r="T248" s="546">
        <v>150</v>
      </c>
      <c r="U248" s="546"/>
      <c r="V248" s="546"/>
      <c r="W248" s="546"/>
      <c r="X248" s="546"/>
      <c r="Y248" s="185"/>
    </row>
    <row r="249" spans="12:25" x14ac:dyDescent="0.2">
      <c r="L249" s="546"/>
      <c r="M249" s="546"/>
      <c r="N249" s="546"/>
      <c r="O249" s="546"/>
      <c r="P249" s="546"/>
      <c r="Q249" s="546"/>
      <c r="R249" s="546"/>
      <c r="S249" s="546">
        <v>247</v>
      </c>
      <c r="T249" s="546">
        <v>150</v>
      </c>
      <c r="U249" s="546"/>
      <c r="V249" s="546"/>
      <c r="W249" s="546"/>
      <c r="X249" s="546"/>
      <c r="Y249" s="185"/>
    </row>
    <row r="250" spans="12:25" x14ac:dyDescent="0.2">
      <c r="L250" s="546"/>
      <c r="M250" s="546"/>
      <c r="N250" s="546"/>
      <c r="O250" s="546"/>
      <c r="P250" s="546"/>
      <c r="Q250" s="546"/>
      <c r="R250" s="546"/>
      <c r="S250" s="546">
        <v>248</v>
      </c>
      <c r="T250" s="546">
        <v>150</v>
      </c>
      <c r="U250" s="546"/>
      <c r="V250" s="546"/>
      <c r="W250" s="546"/>
      <c r="X250" s="546"/>
      <c r="Y250" s="185"/>
    </row>
    <row r="251" spans="12:25" x14ac:dyDescent="0.2">
      <c r="L251" s="546"/>
      <c r="M251" s="546"/>
      <c r="N251" s="546"/>
      <c r="O251" s="546"/>
      <c r="P251" s="546"/>
      <c r="Q251" s="546"/>
      <c r="R251" s="546"/>
      <c r="S251" s="546">
        <v>249</v>
      </c>
      <c r="T251" s="546">
        <v>150</v>
      </c>
      <c r="U251" s="546"/>
      <c r="V251" s="546"/>
      <c r="W251" s="546"/>
      <c r="X251" s="546"/>
      <c r="Y251" s="185"/>
    </row>
    <row r="252" spans="12:25" x14ac:dyDescent="0.2">
      <c r="L252" s="546"/>
      <c r="M252" s="546"/>
      <c r="N252" s="546"/>
      <c r="O252" s="546"/>
      <c r="P252" s="546"/>
      <c r="Q252" s="546"/>
      <c r="R252" s="546"/>
      <c r="S252" s="546">
        <v>250</v>
      </c>
      <c r="T252" s="546">
        <v>150</v>
      </c>
      <c r="U252" s="546"/>
      <c r="V252" s="546"/>
      <c r="W252" s="546"/>
      <c r="X252" s="546"/>
      <c r="Y252" s="185"/>
    </row>
    <row r="253" spans="12:25" x14ac:dyDescent="0.2">
      <c r="L253" s="546"/>
      <c r="M253" s="546"/>
      <c r="N253" s="546"/>
      <c r="O253" s="546"/>
      <c r="P253" s="546"/>
      <c r="Q253" s="546"/>
      <c r="R253" s="546"/>
      <c r="S253" s="546">
        <v>251</v>
      </c>
      <c r="T253" s="546">
        <v>150</v>
      </c>
      <c r="U253" s="546"/>
      <c r="V253" s="546"/>
      <c r="W253" s="546"/>
      <c r="X253" s="546"/>
      <c r="Y253" s="185"/>
    </row>
    <row r="254" spans="12:25" x14ac:dyDescent="0.2">
      <c r="L254" s="546"/>
      <c r="M254" s="546"/>
      <c r="N254" s="546"/>
      <c r="O254" s="546"/>
      <c r="P254" s="546"/>
      <c r="Q254" s="546"/>
      <c r="R254" s="546"/>
      <c r="S254" s="546">
        <v>252</v>
      </c>
      <c r="T254" s="546">
        <v>150</v>
      </c>
      <c r="U254" s="546"/>
      <c r="V254" s="546"/>
      <c r="W254" s="546"/>
      <c r="X254" s="546"/>
      <c r="Y254" s="185"/>
    </row>
    <row r="255" spans="12:25" x14ac:dyDescent="0.2">
      <c r="L255" s="546"/>
      <c r="M255" s="546"/>
      <c r="N255" s="546"/>
      <c r="O255" s="546"/>
      <c r="P255" s="546"/>
      <c r="Q255" s="546"/>
      <c r="R255" s="546"/>
      <c r="S255" s="546">
        <v>253</v>
      </c>
      <c r="T255" s="546">
        <v>150</v>
      </c>
      <c r="U255" s="546"/>
      <c r="V255" s="546"/>
      <c r="W255" s="546"/>
      <c r="X255" s="546"/>
      <c r="Y255" s="185"/>
    </row>
    <row r="256" spans="12:25" x14ac:dyDescent="0.2">
      <c r="L256" s="546"/>
      <c r="M256" s="546"/>
      <c r="N256" s="546"/>
      <c r="O256" s="546"/>
      <c r="P256" s="546"/>
      <c r="Q256" s="546"/>
      <c r="R256" s="546"/>
      <c r="S256" s="546">
        <v>254</v>
      </c>
      <c r="T256" s="546">
        <v>150</v>
      </c>
      <c r="U256" s="546"/>
      <c r="V256" s="546"/>
      <c r="W256" s="546"/>
      <c r="X256" s="546"/>
      <c r="Y256" s="185"/>
    </row>
    <row r="257" spans="12:25" x14ac:dyDescent="0.2">
      <c r="L257" s="546"/>
      <c r="M257" s="546"/>
      <c r="N257" s="546"/>
      <c r="O257" s="546"/>
      <c r="P257" s="546"/>
      <c r="Q257" s="546"/>
      <c r="R257" s="546"/>
      <c r="S257" s="546">
        <v>255</v>
      </c>
      <c r="T257" s="546">
        <v>150</v>
      </c>
      <c r="U257" s="546"/>
      <c r="V257" s="546"/>
      <c r="W257" s="546"/>
      <c r="X257" s="546"/>
      <c r="Y257" s="185"/>
    </row>
    <row r="258" spans="12:25" x14ac:dyDescent="0.2">
      <c r="L258" s="546"/>
      <c r="M258" s="546"/>
      <c r="N258" s="546"/>
      <c r="O258" s="546"/>
      <c r="P258" s="546"/>
      <c r="Q258" s="546"/>
      <c r="R258" s="546"/>
      <c r="S258" s="546">
        <v>256</v>
      </c>
      <c r="T258" s="546">
        <v>150</v>
      </c>
      <c r="U258" s="546"/>
      <c r="V258" s="546"/>
      <c r="W258" s="546"/>
      <c r="X258" s="546"/>
      <c r="Y258" s="185"/>
    </row>
    <row r="259" spans="12:25" x14ac:dyDescent="0.2">
      <c r="L259" s="546"/>
      <c r="M259" s="546"/>
      <c r="N259" s="546"/>
      <c r="O259" s="546"/>
      <c r="P259" s="546"/>
      <c r="Q259" s="546"/>
      <c r="R259" s="546"/>
      <c r="S259" s="546">
        <v>257</v>
      </c>
      <c r="T259" s="546">
        <v>150</v>
      </c>
      <c r="U259" s="546"/>
      <c r="V259" s="546"/>
      <c r="W259" s="546"/>
      <c r="X259" s="546"/>
      <c r="Y259" s="185"/>
    </row>
    <row r="260" spans="12:25" x14ac:dyDescent="0.2">
      <c r="L260" s="546"/>
      <c r="M260" s="546"/>
      <c r="N260" s="546"/>
      <c r="O260" s="546"/>
      <c r="P260" s="546"/>
      <c r="Q260" s="546"/>
      <c r="R260" s="546"/>
      <c r="S260" s="546">
        <v>258</v>
      </c>
      <c r="T260" s="546">
        <v>150</v>
      </c>
      <c r="U260" s="546"/>
      <c r="V260" s="546"/>
      <c r="W260" s="546"/>
      <c r="X260" s="546"/>
      <c r="Y260" s="185"/>
    </row>
    <row r="261" spans="12:25" x14ac:dyDescent="0.2">
      <c r="L261" s="546"/>
      <c r="M261" s="546"/>
      <c r="N261" s="546"/>
      <c r="O261" s="546"/>
      <c r="P261" s="546"/>
      <c r="Q261" s="546"/>
      <c r="R261" s="546"/>
      <c r="S261" s="546">
        <v>259</v>
      </c>
      <c r="T261" s="546">
        <v>150</v>
      </c>
      <c r="U261" s="546"/>
      <c r="V261" s="546"/>
      <c r="W261" s="546"/>
      <c r="X261" s="546"/>
      <c r="Y261" s="185"/>
    </row>
    <row r="262" spans="12:25" x14ac:dyDescent="0.2">
      <c r="L262" s="546"/>
      <c r="M262" s="546"/>
      <c r="N262" s="546"/>
      <c r="O262" s="546"/>
      <c r="P262" s="546"/>
      <c r="Q262" s="546"/>
      <c r="R262" s="546"/>
      <c r="S262" s="546">
        <v>260</v>
      </c>
      <c r="T262" s="546">
        <v>150</v>
      </c>
      <c r="U262" s="546"/>
      <c r="V262" s="546"/>
      <c r="W262" s="546"/>
      <c r="X262" s="546"/>
      <c r="Y262" s="185"/>
    </row>
    <row r="263" spans="12:25" x14ac:dyDescent="0.2">
      <c r="L263" s="546"/>
      <c r="M263" s="546"/>
      <c r="N263" s="546"/>
      <c r="O263" s="546"/>
      <c r="P263" s="546"/>
      <c r="Q263" s="546"/>
      <c r="R263" s="546"/>
      <c r="S263" s="546">
        <v>261</v>
      </c>
      <c r="T263" s="546">
        <v>150</v>
      </c>
      <c r="U263" s="546"/>
      <c r="V263" s="546"/>
      <c r="W263" s="546"/>
      <c r="X263" s="546"/>
      <c r="Y263" s="185"/>
    </row>
    <row r="264" spans="12:25" x14ac:dyDescent="0.2">
      <c r="L264" s="546"/>
      <c r="M264" s="546"/>
      <c r="N264" s="546"/>
      <c r="O264" s="546"/>
      <c r="P264" s="546"/>
      <c r="Q264" s="546"/>
      <c r="R264" s="546"/>
      <c r="S264" s="546">
        <v>262</v>
      </c>
      <c r="T264" s="546">
        <v>150</v>
      </c>
      <c r="U264" s="546"/>
      <c r="V264" s="546"/>
      <c r="W264" s="546"/>
      <c r="X264" s="546"/>
      <c r="Y264" s="185"/>
    </row>
    <row r="265" spans="12:25" x14ac:dyDescent="0.2">
      <c r="L265" s="546"/>
      <c r="M265" s="546"/>
      <c r="N265" s="546"/>
      <c r="O265" s="546"/>
      <c r="P265" s="546"/>
      <c r="Q265" s="546"/>
      <c r="R265" s="546"/>
      <c r="S265" s="546">
        <v>263</v>
      </c>
      <c r="T265" s="546">
        <v>150</v>
      </c>
      <c r="U265" s="546"/>
      <c r="V265" s="546"/>
      <c r="W265" s="546"/>
      <c r="X265" s="546"/>
      <c r="Y265" s="185"/>
    </row>
    <row r="266" spans="12:25" x14ac:dyDescent="0.2">
      <c r="L266" s="546"/>
      <c r="M266" s="546"/>
      <c r="N266" s="546"/>
      <c r="O266" s="546"/>
      <c r="P266" s="546"/>
      <c r="Q266" s="546"/>
      <c r="R266" s="546"/>
      <c r="S266" s="546">
        <v>264</v>
      </c>
      <c r="T266" s="546">
        <v>150</v>
      </c>
      <c r="U266" s="546"/>
      <c r="V266" s="546"/>
      <c r="W266" s="546"/>
      <c r="X266" s="546"/>
      <c r="Y266" s="185"/>
    </row>
    <row r="267" spans="12:25" x14ac:dyDescent="0.2">
      <c r="L267" s="546"/>
      <c r="M267" s="546"/>
      <c r="N267" s="546"/>
      <c r="O267" s="546"/>
      <c r="P267" s="546"/>
      <c r="Q267" s="546"/>
      <c r="R267" s="546"/>
      <c r="S267" s="546">
        <v>265</v>
      </c>
      <c r="T267" s="546">
        <v>150</v>
      </c>
      <c r="U267" s="546"/>
      <c r="V267" s="546"/>
      <c r="W267" s="546"/>
      <c r="X267" s="546"/>
      <c r="Y267" s="185"/>
    </row>
    <row r="268" spans="12:25" x14ac:dyDescent="0.2">
      <c r="L268" s="546"/>
      <c r="M268" s="546"/>
      <c r="N268" s="546"/>
      <c r="O268" s="546"/>
      <c r="P268" s="546"/>
      <c r="Q268" s="546"/>
      <c r="R268" s="546"/>
      <c r="S268" s="546">
        <v>266</v>
      </c>
      <c r="T268" s="546">
        <v>150</v>
      </c>
      <c r="U268" s="546"/>
      <c r="V268" s="546"/>
      <c r="W268" s="546"/>
      <c r="X268" s="546"/>
      <c r="Y268" s="185"/>
    </row>
    <row r="269" spans="12:25" x14ac:dyDescent="0.2">
      <c r="L269" s="546"/>
      <c r="M269" s="546"/>
      <c r="N269" s="546"/>
      <c r="O269" s="546"/>
      <c r="P269" s="546"/>
      <c r="Q269" s="546"/>
      <c r="R269" s="546"/>
      <c r="S269" s="546">
        <v>267</v>
      </c>
      <c r="T269" s="546">
        <v>150</v>
      </c>
      <c r="U269" s="546"/>
      <c r="V269" s="546"/>
      <c r="W269" s="546"/>
      <c r="X269" s="546"/>
      <c r="Y269" s="185"/>
    </row>
    <row r="270" spans="12:25" x14ac:dyDescent="0.2">
      <c r="L270" s="546"/>
      <c r="M270" s="546"/>
      <c r="N270" s="546"/>
      <c r="O270" s="546"/>
      <c r="P270" s="546"/>
      <c r="Q270" s="546"/>
      <c r="R270" s="546"/>
      <c r="S270" s="546">
        <v>268</v>
      </c>
      <c r="T270" s="546">
        <v>150</v>
      </c>
      <c r="U270" s="546"/>
      <c r="V270" s="546"/>
      <c r="W270" s="546"/>
      <c r="X270" s="546"/>
      <c r="Y270" s="185"/>
    </row>
    <row r="271" spans="12:25" x14ac:dyDescent="0.2">
      <c r="L271" s="546"/>
      <c r="M271" s="546"/>
      <c r="N271" s="546"/>
      <c r="O271" s="546"/>
      <c r="P271" s="546"/>
      <c r="Q271" s="546"/>
      <c r="R271" s="546"/>
      <c r="S271" s="546">
        <v>269</v>
      </c>
      <c r="T271" s="546">
        <v>150</v>
      </c>
      <c r="U271" s="546"/>
      <c r="V271" s="546"/>
      <c r="W271" s="546"/>
      <c r="X271" s="546"/>
      <c r="Y271" s="185"/>
    </row>
    <row r="272" spans="12:25" x14ac:dyDescent="0.2">
      <c r="L272" s="546"/>
      <c r="M272" s="546"/>
      <c r="N272" s="546"/>
      <c r="O272" s="546"/>
      <c r="P272" s="546"/>
      <c r="Q272" s="546"/>
      <c r="R272" s="546"/>
      <c r="S272" s="546">
        <v>270</v>
      </c>
      <c r="T272" s="546">
        <v>150</v>
      </c>
      <c r="U272" s="546"/>
      <c r="V272" s="546"/>
      <c r="W272" s="546"/>
      <c r="X272" s="546"/>
      <c r="Y272" s="185"/>
    </row>
    <row r="273" spans="12:25" x14ac:dyDescent="0.2">
      <c r="L273" s="546"/>
      <c r="M273" s="546"/>
      <c r="N273" s="546"/>
      <c r="O273" s="546"/>
      <c r="P273" s="546"/>
      <c r="Q273" s="546"/>
      <c r="R273" s="546"/>
      <c r="S273" s="546">
        <v>271</v>
      </c>
      <c r="T273" s="546">
        <v>150</v>
      </c>
      <c r="U273" s="546"/>
      <c r="V273" s="546"/>
      <c r="W273" s="546"/>
      <c r="X273" s="546"/>
      <c r="Y273" s="185"/>
    </row>
    <row r="274" spans="12:25" x14ac:dyDescent="0.2">
      <c r="L274" s="546"/>
      <c r="M274" s="546"/>
      <c r="N274" s="546"/>
      <c r="O274" s="546"/>
      <c r="P274" s="546"/>
      <c r="Q274" s="546"/>
      <c r="R274" s="546"/>
      <c r="S274" s="546">
        <v>272</v>
      </c>
      <c r="T274" s="546">
        <v>150</v>
      </c>
      <c r="U274" s="546"/>
      <c r="V274" s="546"/>
      <c r="W274" s="546"/>
      <c r="X274" s="546"/>
      <c r="Y274" s="185"/>
    </row>
    <row r="275" spans="12:25" x14ac:dyDescent="0.2">
      <c r="L275" s="546"/>
      <c r="M275" s="546"/>
      <c r="N275" s="546"/>
      <c r="O275" s="546"/>
      <c r="P275" s="546"/>
      <c r="Q275" s="546"/>
      <c r="R275" s="546"/>
      <c r="S275" s="546">
        <v>273</v>
      </c>
      <c r="T275" s="546">
        <v>150</v>
      </c>
      <c r="U275" s="546"/>
      <c r="V275" s="546"/>
      <c r="W275" s="546"/>
      <c r="X275" s="546"/>
      <c r="Y275" s="185"/>
    </row>
    <row r="276" spans="12:25" x14ac:dyDescent="0.2">
      <c r="L276" s="546"/>
      <c r="M276" s="546"/>
      <c r="N276" s="546"/>
      <c r="O276" s="546"/>
      <c r="P276" s="546"/>
      <c r="Q276" s="546"/>
      <c r="R276" s="546"/>
      <c r="S276" s="546">
        <v>274</v>
      </c>
      <c r="T276" s="546">
        <v>150</v>
      </c>
      <c r="U276" s="546"/>
      <c r="V276" s="546"/>
      <c r="W276" s="546"/>
      <c r="X276" s="546"/>
      <c r="Y276" s="185"/>
    </row>
    <row r="277" spans="12:25" x14ac:dyDescent="0.2">
      <c r="L277" s="546"/>
      <c r="M277" s="546"/>
      <c r="N277" s="546"/>
      <c r="O277" s="546"/>
      <c r="P277" s="546"/>
      <c r="Q277" s="546"/>
      <c r="R277" s="546"/>
      <c r="S277" s="546">
        <v>275</v>
      </c>
      <c r="T277" s="546">
        <v>150</v>
      </c>
      <c r="U277" s="546"/>
      <c r="V277" s="546"/>
      <c r="W277" s="546"/>
      <c r="X277" s="546"/>
      <c r="Y277" s="185"/>
    </row>
    <row r="278" spans="12:25" x14ac:dyDescent="0.2">
      <c r="L278" s="546"/>
      <c r="M278" s="546"/>
      <c r="N278" s="546"/>
      <c r="O278" s="546"/>
      <c r="P278" s="546"/>
      <c r="Q278" s="546"/>
      <c r="R278" s="546"/>
      <c r="S278" s="546">
        <v>276</v>
      </c>
      <c r="T278" s="546">
        <v>150</v>
      </c>
      <c r="U278" s="546"/>
      <c r="V278" s="546"/>
      <c r="W278" s="546"/>
      <c r="X278" s="546"/>
      <c r="Y278" s="185"/>
    </row>
    <row r="279" spans="12:25" x14ac:dyDescent="0.2">
      <c r="L279" s="546"/>
      <c r="M279" s="546"/>
      <c r="N279" s="546"/>
      <c r="O279" s="546"/>
      <c r="P279" s="546"/>
      <c r="Q279" s="546"/>
      <c r="R279" s="546"/>
      <c r="S279" s="546">
        <v>277</v>
      </c>
      <c r="T279" s="546">
        <v>150</v>
      </c>
      <c r="U279" s="546"/>
      <c r="V279" s="546"/>
      <c r="W279" s="546"/>
      <c r="X279" s="546"/>
      <c r="Y279" s="185"/>
    </row>
    <row r="280" spans="12:25" x14ac:dyDescent="0.2">
      <c r="L280" s="546"/>
      <c r="M280" s="546"/>
      <c r="N280" s="546"/>
      <c r="O280" s="546"/>
      <c r="P280" s="546"/>
      <c r="Q280" s="546"/>
      <c r="R280" s="546"/>
      <c r="S280" s="546">
        <v>278</v>
      </c>
      <c r="T280" s="546">
        <v>150</v>
      </c>
      <c r="U280" s="546"/>
      <c r="V280" s="546"/>
      <c r="W280" s="546"/>
      <c r="X280" s="546"/>
      <c r="Y280" s="185"/>
    </row>
    <row r="281" spans="12:25" x14ac:dyDescent="0.2">
      <c r="L281" s="546"/>
      <c r="M281" s="546"/>
      <c r="N281" s="546"/>
      <c r="O281" s="546"/>
      <c r="P281" s="546"/>
      <c r="Q281" s="546"/>
      <c r="R281" s="546"/>
      <c r="S281" s="546">
        <v>279</v>
      </c>
      <c r="T281" s="546">
        <v>150</v>
      </c>
      <c r="U281" s="546"/>
      <c r="V281" s="546"/>
      <c r="W281" s="546"/>
      <c r="X281" s="546"/>
      <c r="Y281" s="185"/>
    </row>
    <row r="282" spans="12:25" x14ac:dyDescent="0.2">
      <c r="L282" s="546"/>
      <c r="M282" s="546"/>
      <c r="N282" s="546"/>
      <c r="O282" s="546"/>
      <c r="P282" s="546"/>
      <c r="Q282" s="546"/>
      <c r="R282" s="546"/>
      <c r="S282" s="546">
        <v>280</v>
      </c>
      <c r="T282" s="546">
        <v>150</v>
      </c>
      <c r="U282" s="546"/>
      <c r="V282" s="546"/>
      <c r="W282" s="546"/>
      <c r="X282" s="546"/>
      <c r="Y282" s="185"/>
    </row>
    <row r="283" spans="12:25" x14ac:dyDescent="0.2">
      <c r="L283" s="546"/>
      <c r="M283" s="546"/>
      <c r="N283" s="546"/>
      <c r="O283" s="546"/>
      <c r="P283" s="546"/>
      <c r="Q283" s="546"/>
      <c r="R283" s="546"/>
      <c r="S283" s="546">
        <v>281</v>
      </c>
      <c r="T283" s="546">
        <v>150</v>
      </c>
      <c r="U283" s="546"/>
      <c r="V283" s="546"/>
      <c r="W283" s="546"/>
      <c r="X283" s="546"/>
      <c r="Y283" s="185"/>
    </row>
    <row r="284" spans="12:25" x14ac:dyDescent="0.2">
      <c r="L284" s="546"/>
      <c r="M284" s="546"/>
      <c r="N284" s="546"/>
      <c r="O284" s="546"/>
      <c r="P284" s="546"/>
      <c r="Q284" s="546"/>
      <c r="R284" s="546"/>
      <c r="S284" s="546">
        <v>282</v>
      </c>
      <c r="T284" s="546">
        <v>150</v>
      </c>
      <c r="U284" s="546"/>
      <c r="V284" s="546"/>
      <c r="W284" s="546"/>
      <c r="X284" s="546"/>
      <c r="Y284" s="185"/>
    </row>
    <row r="285" spans="12:25" x14ac:dyDescent="0.2">
      <c r="L285" s="546"/>
      <c r="M285" s="546"/>
      <c r="N285" s="546"/>
      <c r="O285" s="546"/>
      <c r="P285" s="546"/>
      <c r="Q285" s="546"/>
      <c r="R285" s="546"/>
      <c r="S285" s="546">
        <v>283</v>
      </c>
      <c r="T285" s="546">
        <v>150</v>
      </c>
      <c r="U285" s="546"/>
      <c r="V285" s="546"/>
      <c r="W285" s="546"/>
      <c r="X285" s="546"/>
      <c r="Y285" s="185"/>
    </row>
    <row r="286" spans="12:25" x14ac:dyDescent="0.2">
      <c r="L286" s="546"/>
      <c r="M286" s="546"/>
      <c r="N286" s="546"/>
      <c r="O286" s="546"/>
      <c r="P286" s="546"/>
      <c r="Q286" s="546"/>
      <c r="R286" s="546"/>
      <c r="S286" s="546">
        <v>284</v>
      </c>
      <c r="T286" s="546">
        <v>150</v>
      </c>
      <c r="U286" s="546"/>
      <c r="V286" s="546"/>
      <c r="W286" s="546"/>
      <c r="X286" s="546"/>
      <c r="Y286" s="185"/>
    </row>
    <row r="287" spans="12:25" x14ac:dyDescent="0.2">
      <c r="L287" s="546"/>
      <c r="M287" s="546"/>
      <c r="N287" s="546"/>
      <c r="O287" s="546"/>
      <c r="P287" s="546"/>
      <c r="Q287" s="546"/>
      <c r="R287" s="546"/>
      <c r="S287" s="546">
        <v>285</v>
      </c>
      <c r="T287" s="546">
        <v>150</v>
      </c>
      <c r="U287" s="546"/>
      <c r="V287" s="546"/>
      <c r="W287" s="546"/>
      <c r="X287" s="546"/>
      <c r="Y287" s="185"/>
    </row>
    <row r="288" spans="12:25" x14ac:dyDescent="0.2">
      <c r="L288" s="546"/>
      <c r="M288" s="546"/>
      <c r="N288" s="546"/>
      <c r="O288" s="546"/>
      <c r="P288" s="546"/>
      <c r="Q288" s="546"/>
      <c r="R288" s="546"/>
      <c r="S288" s="546">
        <v>286</v>
      </c>
      <c r="T288" s="546">
        <v>150</v>
      </c>
      <c r="U288" s="546"/>
      <c r="V288" s="546"/>
      <c r="W288" s="546"/>
      <c r="X288" s="546"/>
      <c r="Y288" s="185"/>
    </row>
    <row r="289" spans="12:25" x14ac:dyDescent="0.2">
      <c r="L289" s="546"/>
      <c r="M289" s="546"/>
      <c r="N289" s="546"/>
      <c r="O289" s="546"/>
      <c r="P289" s="546"/>
      <c r="Q289" s="546"/>
      <c r="R289" s="546"/>
      <c r="S289" s="546">
        <v>287</v>
      </c>
      <c r="T289" s="546">
        <v>150</v>
      </c>
      <c r="U289" s="546"/>
      <c r="V289" s="546"/>
      <c r="W289" s="546"/>
      <c r="X289" s="546"/>
      <c r="Y289" s="185"/>
    </row>
    <row r="290" spans="12:25" x14ac:dyDescent="0.2">
      <c r="L290" s="546"/>
      <c r="M290" s="546"/>
      <c r="N290" s="546"/>
      <c r="O290" s="546"/>
      <c r="P290" s="546"/>
      <c r="Q290" s="546"/>
      <c r="R290" s="546"/>
      <c r="S290" s="546">
        <v>288</v>
      </c>
      <c r="T290" s="546">
        <v>150</v>
      </c>
      <c r="U290" s="546"/>
      <c r="V290" s="546"/>
      <c r="W290" s="546"/>
      <c r="X290" s="546"/>
      <c r="Y290" s="185"/>
    </row>
    <row r="291" spans="12:25" x14ac:dyDescent="0.2">
      <c r="L291" s="546"/>
      <c r="M291" s="546"/>
      <c r="N291" s="546"/>
      <c r="O291" s="546"/>
      <c r="P291" s="546"/>
      <c r="Q291" s="546"/>
      <c r="R291" s="546"/>
      <c r="S291" s="546">
        <v>289</v>
      </c>
      <c r="T291" s="546">
        <v>150</v>
      </c>
      <c r="U291" s="546"/>
      <c r="V291" s="546"/>
      <c r="W291" s="546"/>
      <c r="X291" s="546"/>
      <c r="Y291" s="185"/>
    </row>
    <row r="292" spans="12:25" x14ac:dyDescent="0.2">
      <c r="L292" s="546"/>
      <c r="M292" s="546"/>
      <c r="N292" s="546"/>
      <c r="O292" s="546"/>
      <c r="P292" s="546"/>
      <c r="Q292" s="546"/>
      <c r="R292" s="546"/>
      <c r="S292" s="546">
        <v>290</v>
      </c>
      <c r="T292" s="546">
        <v>150</v>
      </c>
      <c r="U292" s="546"/>
      <c r="V292" s="546"/>
      <c r="W292" s="546"/>
      <c r="X292" s="546"/>
      <c r="Y292" s="185"/>
    </row>
    <row r="293" spans="12:25" x14ac:dyDescent="0.2">
      <c r="L293" s="546"/>
      <c r="M293" s="546"/>
      <c r="N293" s="546"/>
      <c r="O293" s="546"/>
      <c r="P293" s="546"/>
      <c r="Q293" s="546"/>
      <c r="R293" s="546"/>
      <c r="S293" s="546">
        <v>291</v>
      </c>
      <c r="T293" s="546">
        <v>150</v>
      </c>
      <c r="U293" s="546"/>
      <c r="V293" s="546"/>
      <c r="W293" s="546"/>
      <c r="X293" s="546"/>
      <c r="Y293" s="185"/>
    </row>
    <row r="294" spans="12:25" x14ac:dyDescent="0.2">
      <c r="L294" s="546"/>
      <c r="M294" s="546"/>
      <c r="N294" s="546"/>
      <c r="O294" s="546"/>
      <c r="P294" s="546"/>
      <c r="Q294" s="546"/>
      <c r="R294" s="546"/>
      <c r="S294" s="546">
        <v>292</v>
      </c>
      <c r="T294" s="546">
        <v>150</v>
      </c>
      <c r="U294" s="546"/>
      <c r="V294" s="546"/>
      <c r="W294" s="546"/>
      <c r="X294" s="546"/>
      <c r="Y294" s="185"/>
    </row>
    <row r="295" spans="12:25" x14ac:dyDescent="0.2">
      <c r="L295" s="546"/>
      <c r="M295" s="546"/>
      <c r="N295" s="546"/>
      <c r="O295" s="546"/>
      <c r="P295" s="546"/>
      <c r="Q295" s="546"/>
      <c r="R295" s="546"/>
      <c r="S295" s="546">
        <v>293</v>
      </c>
      <c r="T295" s="546">
        <v>150</v>
      </c>
      <c r="U295" s="546"/>
      <c r="V295" s="546"/>
      <c r="W295" s="546"/>
      <c r="X295" s="546"/>
      <c r="Y295" s="185"/>
    </row>
    <row r="296" spans="12:25" x14ac:dyDescent="0.2">
      <c r="L296" s="546"/>
      <c r="M296" s="546"/>
      <c r="N296" s="546"/>
      <c r="O296" s="546"/>
      <c r="P296" s="546"/>
      <c r="Q296" s="546"/>
      <c r="R296" s="546"/>
      <c r="S296" s="546">
        <v>294</v>
      </c>
      <c r="T296" s="546">
        <v>150</v>
      </c>
      <c r="U296" s="546"/>
      <c r="V296" s="546"/>
      <c r="W296" s="546"/>
      <c r="X296" s="546"/>
      <c r="Y296" s="185"/>
    </row>
    <row r="297" spans="12:25" x14ac:dyDescent="0.2">
      <c r="L297" s="546"/>
      <c r="M297" s="546"/>
      <c r="N297" s="546"/>
      <c r="O297" s="546"/>
      <c r="P297" s="546"/>
      <c r="Q297" s="546"/>
      <c r="R297" s="546"/>
      <c r="S297" s="546">
        <v>295</v>
      </c>
      <c r="T297" s="546">
        <v>150</v>
      </c>
      <c r="U297" s="546"/>
      <c r="V297" s="546"/>
      <c r="W297" s="546"/>
      <c r="X297" s="546"/>
      <c r="Y297" s="185"/>
    </row>
    <row r="298" spans="12:25" x14ac:dyDescent="0.2">
      <c r="L298" s="546"/>
      <c r="M298" s="546"/>
      <c r="N298" s="546"/>
      <c r="O298" s="546"/>
      <c r="P298" s="546"/>
      <c r="Q298" s="546"/>
      <c r="R298" s="546"/>
      <c r="S298" s="546">
        <v>296</v>
      </c>
      <c r="T298" s="546">
        <v>150</v>
      </c>
      <c r="U298" s="546"/>
      <c r="V298" s="546"/>
      <c r="W298" s="546"/>
      <c r="X298" s="546"/>
      <c r="Y298" s="185"/>
    </row>
    <row r="299" spans="12:25" x14ac:dyDescent="0.2">
      <c r="L299" s="546"/>
      <c r="M299" s="546"/>
      <c r="N299" s="546"/>
      <c r="O299" s="546"/>
      <c r="P299" s="546"/>
      <c r="Q299" s="546"/>
      <c r="R299" s="546"/>
      <c r="S299" s="546">
        <v>297</v>
      </c>
      <c r="T299" s="546">
        <v>150</v>
      </c>
      <c r="U299" s="546"/>
      <c r="V299" s="546"/>
      <c r="W299" s="546"/>
      <c r="X299" s="546"/>
      <c r="Y299" s="185"/>
    </row>
    <row r="300" spans="12:25" x14ac:dyDescent="0.2">
      <c r="L300" s="546"/>
      <c r="M300" s="546"/>
      <c r="N300" s="546"/>
      <c r="O300" s="546"/>
      <c r="P300" s="546"/>
      <c r="Q300" s="546"/>
      <c r="R300" s="546"/>
      <c r="S300" s="546">
        <v>298</v>
      </c>
      <c r="T300" s="546">
        <v>150</v>
      </c>
      <c r="U300" s="546"/>
      <c r="V300" s="546"/>
      <c r="W300" s="546"/>
      <c r="X300" s="546"/>
      <c r="Y300" s="185"/>
    </row>
    <row r="301" spans="12:25" x14ac:dyDescent="0.2">
      <c r="L301" s="546"/>
      <c r="M301" s="546"/>
      <c r="N301" s="546"/>
      <c r="O301" s="546"/>
      <c r="P301" s="546"/>
      <c r="Q301" s="546"/>
      <c r="R301" s="546"/>
      <c r="S301" s="546">
        <v>299</v>
      </c>
      <c r="T301" s="546">
        <v>150</v>
      </c>
      <c r="U301" s="546"/>
      <c r="V301" s="546"/>
      <c r="W301" s="546"/>
      <c r="X301" s="546"/>
      <c r="Y301" s="185"/>
    </row>
    <row r="302" spans="12:25" x14ac:dyDescent="0.2">
      <c r="L302" s="546"/>
      <c r="M302" s="546"/>
      <c r="N302" s="546"/>
      <c r="O302" s="546"/>
      <c r="P302" s="546"/>
      <c r="Q302" s="546"/>
      <c r="R302" s="546"/>
      <c r="S302" s="546">
        <v>300</v>
      </c>
      <c r="T302" s="546">
        <v>150</v>
      </c>
      <c r="U302" s="546">
        <v>300</v>
      </c>
      <c r="V302" s="546"/>
      <c r="W302" s="546"/>
      <c r="X302" s="546"/>
      <c r="Y302" s="185"/>
    </row>
    <row r="303" spans="12:25" x14ac:dyDescent="0.2">
      <c r="L303" s="546"/>
      <c r="M303" s="546"/>
      <c r="N303" s="546"/>
      <c r="O303" s="546"/>
      <c r="P303" s="546"/>
      <c r="Q303" s="546"/>
      <c r="R303" s="546"/>
      <c r="S303" s="546">
        <v>301</v>
      </c>
      <c r="T303" s="546">
        <v>150</v>
      </c>
      <c r="U303" s="546"/>
      <c r="V303" s="546"/>
      <c r="W303" s="546"/>
      <c r="X303" s="546"/>
      <c r="Y303" s="185"/>
    </row>
    <row r="304" spans="12:25" x14ac:dyDescent="0.2">
      <c r="L304" s="546"/>
      <c r="M304" s="546"/>
      <c r="N304" s="546"/>
      <c r="O304" s="546"/>
      <c r="P304" s="546"/>
      <c r="Q304" s="546"/>
      <c r="R304" s="546"/>
      <c r="S304" s="546">
        <v>302</v>
      </c>
      <c r="T304" s="546">
        <v>150</v>
      </c>
      <c r="U304" s="546"/>
      <c r="V304" s="546"/>
      <c r="W304" s="546"/>
      <c r="X304" s="546"/>
      <c r="Y304" s="185"/>
    </row>
    <row r="305" spans="12:25" x14ac:dyDescent="0.2">
      <c r="L305" s="546"/>
      <c r="M305" s="546"/>
      <c r="N305" s="546"/>
      <c r="O305" s="546"/>
      <c r="P305" s="546"/>
      <c r="Q305" s="546"/>
      <c r="R305" s="546"/>
      <c r="S305" s="546">
        <v>303</v>
      </c>
      <c r="T305" s="546">
        <v>150</v>
      </c>
      <c r="U305" s="546"/>
      <c r="V305" s="546"/>
      <c r="W305" s="546"/>
      <c r="X305" s="546"/>
      <c r="Y305" s="185"/>
    </row>
    <row r="306" spans="12:25" x14ac:dyDescent="0.2">
      <c r="L306" s="546"/>
      <c r="M306" s="546"/>
      <c r="N306" s="546"/>
      <c r="O306" s="546"/>
      <c r="P306" s="546"/>
      <c r="Q306" s="546"/>
      <c r="R306" s="546"/>
      <c r="S306" s="546">
        <v>304</v>
      </c>
      <c r="T306" s="546">
        <v>150</v>
      </c>
      <c r="U306" s="546"/>
      <c r="V306" s="546"/>
      <c r="W306" s="546"/>
      <c r="X306" s="546"/>
      <c r="Y306" s="185"/>
    </row>
    <row r="307" spans="12:25" x14ac:dyDescent="0.2">
      <c r="L307" s="546"/>
      <c r="M307" s="546"/>
      <c r="N307" s="546"/>
      <c r="O307" s="546"/>
      <c r="P307" s="546"/>
      <c r="Q307" s="546"/>
      <c r="R307" s="546"/>
      <c r="S307" s="546">
        <v>305</v>
      </c>
      <c r="T307" s="546">
        <v>150</v>
      </c>
      <c r="U307" s="546"/>
      <c r="V307" s="546"/>
      <c r="W307" s="546"/>
      <c r="X307" s="546"/>
      <c r="Y307" s="185"/>
    </row>
    <row r="308" spans="12:25" x14ac:dyDescent="0.2">
      <c r="L308" s="546"/>
      <c r="M308" s="546"/>
      <c r="N308" s="546"/>
      <c r="O308" s="546"/>
      <c r="P308" s="546"/>
      <c r="Q308" s="546"/>
      <c r="R308" s="546"/>
      <c r="S308" s="546">
        <v>306</v>
      </c>
      <c r="T308" s="546">
        <v>150</v>
      </c>
      <c r="U308" s="546"/>
      <c r="V308" s="546"/>
      <c r="W308" s="546"/>
      <c r="X308" s="546"/>
      <c r="Y308" s="185"/>
    </row>
    <row r="309" spans="12:25" x14ac:dyDescent="0.2">
      <c r="L309" s="546"/>
      <c r="M309" s="546"/>
      <c r="N309" s="546"/>
      <c r="O309" s="546"/>
      <c r="P309" s="546"/>
      <c r="Q309" s="546"/>
      <c r="R309" s="546"/>
      <c r="S309" s="546">
        <v>307</v>
      </c>
      <c r="T309" s="546">
        <v>150</v>
      </c>
      <c r="U309" s="546"/>
      <c r="V309" s="546"/>
      <c r="W309" s="546"/>
      <c r="X309" s="546"/>
      <c r="Y309" s="185"/>
    </row>
    <row r="310" spans="12:25" x14ac:dyDescent="0.2">
      <c r="L310" s="546"/>
      <c r="M310" s="546"/>
      <c r="N310" s="546"/>
      <c r="O310" s="546"/>
      <c r="P310" s="546"/>
      <c r="Q310" s="546"/>
      <c r="R310" s="546"/>
      <c r="S310" s="546">
        <v>308</v>
      </c>
      <c r="T310" s="546">
        <v>150</v>
      </c>
      <c r="U310" s="546"/>
      <c r="V310" s="546"/>
      <c r="W310" s="546"/>
      <c r="X310" s="546"/>
      <c r="Y310" s="185"/>
    </row>
    <row r="311" spans="12:25" x14ac:dyDescent="0.2">
      <c r="L311" s="546"/>
      <c r="M311" s="546"/>
      <c r="N311" s="546"/>
      <c r="O311" s="546"/>
      <c r="P311" s="546"/>
      <c r="Q311" s="546"/>
      <c r="R311" s="546"/>
      <c r="S311" s="546">
        <v>309</v>
      </c>
      <c r="T311" s="546">
        <v>150</v>
      </c>
      <c r="U311" s="546"/>
      <c r="V311" s="546"/>
      <c r="W311" s="546"/>
      <c r="X311" s="546"/>
      <c r="Y311" s="185"/>
    </row>
    <row r="312" spans="12:25" x14ac:dyDescent="0.2">
      <c r="L312" s="546"/>
      <c r="M312" s="546"/>
      <c r="N312" s="546"/>
      <c r="O312" s="546"/>
      <c r="P312" s="546"/>
      <c r="Q312" s="546"/>
      <c r="R312" s="546"/>
      <c r="S312" s="546">
        <v>310</v>
      </c>
      <c r="T312" s="546">
        <v>150</v>
      </c>
      <c r="U312" s="546"/>
      <c r="V312" s="546"/>
      <c r="W312" s="546"/>
      <c r="X312" s="546"/>
      <c r="Y312" s="185"/>
    </row>
    <row r="313" spans="12:25" x14ac:dyDescent="0.2">
      <c r="L313" s="546"/>
      <c r="M313" s="546"/>
      <c r="N313" s="546"/>
      <c r="O313" s="546"/>
      <c r="P313" s="546"/>
      <c r="Q313" s="546"/>
      <c r="R313" s="546"/>
      <c r="S313" s="546">
        <v>311</v>
      </c>
      <c r="T313" s="546">
        <v>150</v>
      </c>
      <c r="U313" s="546"/>
      <c r="V313" s="546"/>
      <c r="W313" s="546"/>
      <c r="X313" s="546"/>
      <c r="Y313" s="185"/>
    </row>
    <row r="314" spans="12:25" x14ac:dyDescent="0.2">
      <c r="L314" s="546"/>
      <c r="M314" s="546"/>
      <c r="N314" s="546"/>
      <c r="O314" s="546"/>
      <c r="P314" s="546"/>
      <c r="Q314" s="546"/>
      <c r="R314" s="546"/>
      <c r="S314" s="546">
        <v>312</v>
      </c>
      <c r="T314" s="546">
        <v>150</v>
      </c>
      <c r="U314" s="546"/>
      <c r="V314" s="546"/>
      <c r="W314" s="546"/>
      <c r="X314" s="546"/>
      <c r="Y314" s="185"/>
    </row>
    <row r="315" spans="12:25" x14ac:dyDescent="0.2">
      <c r="L315" s="546"/>
      <c r="M315" s="546"/>
      <c r="N315" s="546"/>
      <c r="O315" s="546"/>
      <c r="P315" s="546"/>
      <c r="Q315" s="546"/>
      <c r="R315" s="546"/>
      <c r="S315" s="546">
        <v>313</v>
      </c>
      <c r="T315" s="546">
        <v>150</v>
      </c>
      <c r="U315" s="546"/>
      <c r="V315" s="546"/>
      <c r="W315" s="546"/>
      <c r="X315" s="546"/>
      <c r="Y315" s="185"/>
    </row>
    <row r="316" spans="12:25" x14ac:dyDescent="0.2">
      <c r="L316" s="546"/>
      <c r="M316" s="546"/>
      <c r="N316" s="546"/>
      <c r="O316" s="546"/>
      <c r="P316" s="546"/>
      <c r="Q316" s="546"/>
      <c r="R316" s="546"/>
      <c r="S316" s="546">
        <v>314</v>
      </c>
      <c r="T316" s="546">
        <v>150</v>
      </c>
      <c r="U316" s="546"/>
      <c r="V316" s="546"/>
      <c r="W316" s="546"/>
      <c r="X316" s="546"/>
      <c r="Y316" s="185"/>
    </row>
    <row r="317" spans="12:25" x14ac:dyDescent="0.2">
      <c r="L317" s="546"/>
      <c r="M317" s="546"/>
      <c r="N317" s="546"/>
      <c r="O317" s="546"/>
      <c r="P317" s="546"/>
      <c r="Q317" s="546"/>
      <c r="R317" s="546"/>
      <c r="S317" s="546">
        <v>315</v>
      </c>
      <c r="T317" s="546">
        <v>150</v>
      </c>
      <c r="U317" s="546"/>
      <c r="V317" s="546"/>
      <c r="W317" s="546"/>
      <c r="X317" s="546"/>
      <c r="Y317" s="185"/>
    </row>
    <row r="318" spans="12:25" x14ac:dyDescent="0.2">
      <c r="L318" s="546"/>
      <c r="M318" s="546"/>
      <c r="N318" s="546"/>
      <c r="O318" s="546"/>
      <c r="P318" s="546"/>
      <c r="Q318" s="546"/>
      <c r="R318" s="546"/>
      <c r="S318" s="546">
        <v>316</v>
      </c>
      <c r="T318" s="546">
        <v>150</v>
      </c>
      <c r="U318" s="546"/>
      <c r="V318" s="546"/>
      <c r="W318" s="546"/>
      <c r="X318" s="546"/>
      <c r="Y318" s="185"/>
    </row>
    <row r="319" spans="12:25" x14ac:dyDescent="0.2">
      <c r="L319" s="546"/>
      <c r="M319" s="546"/>
      <c r="N319" s="546"/>
      <c r="O319" s="546"/>
      <c r="P319" s="546"/>
      <c r="Q319" s="546"/>
      <c r="R319" s="546"/>
      <c r="S319" s="546">
        <v>317</v>
      </c>
      <c r="T319" s="546">
        <v>150</v>
      </c>
      <c r="U319" s="546"/>
      <c r="V319" s="546"/>
      <c r="W319" s="546"/>
      <c r="X319" s="546"/>
      <c r="Y319" s="185"/>
    </row>
    <row r="320" spans="12:25" x14ac:dyDescent="0.2">
      <c r="L320" s="546"/>
      <c r="M320" s="546"/>
      <c r="N320" s="546"/>
      <c r="O320" s="546"/>
      <c r="P320" s="546"/>
      <c r="Q320" s="546"/>
      <c r="R320" s="546"/>
      <c r="S320" s="546">
        <v>318</v>
      </c>
      <c r="T320" s="546">
        <v>150</v>
      </c>
      <c r="U320" s="546"/>
      <c r="V320" s="546"/>
      <c r="W320" s="546"/>
      <c r="X320" s="546"/>
      <c r="Y320" s="185"/>
    </row>
    <row r="321" spans="12:25" x14ac:dyDescent="0.2">
      <c r="L321" s="546"/>
      <c r="M321" s="546"/>
      <c r="N321" s="546"/>
      <c r="O321" s="546"/>
      <c r="P321" s="546"/>
      <c r="Q321" s="546"/>
      <c r="R321" s="546"/>
      <c r="S321" s="546">
        <v>319</v>
      </c>
      <c r="T321" s="546">
        <v>150</v>
      </c>
      <c r="U321" s="546"/>
      <c r="V321" s="546"/>
      <c r="W321" s="546"/>
      <c r="X321" s="546"/>
      <c r="Y321" s="185"/>
    </row>
    <row r="322" spans="12:25" x14ac:dyDescent="0.2">
      <c r="L322" s="546"/>
      <c r="M322" s="546"/>
      <c r="N322" s="546"/>
      <c r="O322" s="546"/>
      <c r="P322" s="546"/>
      <c r="Q322" s="546"/>
      <c r="R322" s="546"/>
      <c r="S322" s="546">
        <v>320</v>
      </c>
      <c r="T322" s="546">
        <v>150</v>
      </c>
      <c r="U322" s="546"/>
      <c r="V322" s="546"/>
      <c r="W322" s="546"/>
      <c r="X322" s="546"/>
      <c r="Y322" s="185"/>
    </row>
    <row r="323" spans="12:25" x14ac:dyDescent="0.2">
      <c r="L323" s="546"/>
      <c r="M323" s="546"/>
      <c r="N323" s="546"/>
      <c r="O323" s="546"/>
      <c r="P323" s="546"/>
      <c r="Q323" s="546"/>
      <c r="R323" s="546"/>
      <c r="S323" s="546">
        <v>321</v>
      </c>
      <c r="T323" s="546">
        <v>150</v>
      </c>
      <c r="U323" s="546"/>
      <c r="V323" s="546"/>
      <c r="W323" s="546"/>
      <c r="X323" s="546"/>
      <c r="Y323" s="185"/>
    </row>
    <row r="324" spans="12:25" x14ac:dyDescent="0.2">
      <c r="L324" s="546"/>
      <c r="M324" s="546"/>
      <c r="N324" s="546"/>
      <c r="O324" s="546"/>
      <c r="P324" s="546"/>
      <c r="Q324" s="546"/>
      <c r="R324" s="546"/>
      <c r="S324" s="546">
        <v>322</v>
      </c>
      <c r="T324" s="546">
        <v>150</v>
      </c>
      <c r="U324" s="546"/>
      <c r="V324" s="546"/>
      <c r="W324" s="546"/>
      <c r="X324" s="546"/>
      <c r="Y324" s="185"/>
    </row>
    <row r="325" spans="12:25" x14ac:dyDescent="0.2">
      <c r="L325" s="546"/>
      <c r="M325" s="546"/>
      <c r="N325" s="546"/>
      <c r="O325" s="546"/>
      <c r="P325" s="546"/>
      <c r="Q325" s="546"/>
      <c r="R325" s="546"/>
      <c r="S325" s="546">
        <v>323</v>
      </c>
      <c r="T325" s="546">
        <v>150</v>
      </c>
      <c r="U325" s="546"/>
      <c r="V325" s="546"/>
      <c r="W325" s="546"/>
      <c r="X325" s="546"/>
      <c r="Y325" s="185"/>
    </row>
    <row r="326" spans="12:25" x14ac:dyDescent="0.2">
      <c r="L326" s="546"/>
      <c r="M326" s="546"/>
      <c r="N326" s="546"/>
      <c r="O326" s="546"/>
      <c r="P326" s="546"/>
      <c r="Q326" s="546"/>
      <c r="R326" s="546"/>
      <c r="S326" s="546">
        <v>324</v>
      </c>
      <c r="T326" s="546">
        <v>150</v>
      </c>
      <c r="U326" s="546"/>
      <c r="V326" s="546"/>
      <c r="W326" s="546"/>
      <c r="X326" s="546"/>
      <c r="Y326" s="185"/>
    </row>
    <row r="327" spans="12:25" x14ac:dyDescent="0.2">
      <c r="L327" s="546"/>
      <c r="M327" s="546"/>
      <c r="N327" s="546"/>
      <c r="O327" s="546"/>
      <c r="P327" s="546"/>
      <c r="Q327" s="546"/>
      <c r="R327" s="546"/>
      <c r="S327" s="546">
        <v>325</v>
      </c>
      <c r="T327" s="546">
        <v>150</v>
      </c>
      <c r="U327" s="546"/>
      <c r="V327" s="546"/>
      <c r="W327" s="546"/>
      <c r="X327" s="546"/>
      <c r="Y327" s="185"/>
    </row>
    <row r="328" spans="12:25" x14ac:dyDescent="0.2">
      <c r="L328" s="546"/>
      <c r="M328" s="546"/>
      <c r="N328" s="546"/>
      <c r="O328" s="546"/>
      <c r="P328" s="546"/>
      <c r="Q328" s="546"/>
      <c r="R328" s="546"/>
      <c r="S328" s="546">
        <v>326</v>
      </c>
      <c r="T328" s="546">
        <v>150</v>
      </c>
      <c r="U328" s="546"/>
      <c r="V328" s="546"/>
      <c r="W328" s="546"/>
      <c r="X328" s="546"/>
      <c r="Y328" s="185"/>
    </row>
    <row r="329" spans="12:25" x14ac:dyDescent="0.2">
      <c r="L329" s="546"/>
      <c r="M329" s="546"/>
      <c r="N329" s="546"/>
      <c r="O329" s="546"/>
      <c r="P329" s="546"/>
      <c r="Q329" s="546"/>
      <c r="R329" s="546"/>
      <c r="S329" s="546">
        <v>327</v>
      </c>
      <c r="T329" s="546">
        <v>150</v>
      </c>
      <c r="U329" s="546"/>
      <c r="V329" s="546"/>
      <c r="W329" s="546"/>
      <c r="X329" s="546"/>
      <c r="Y329" s="185"/>
    </row>
    <row r="330" spans="12:25" x14ac:dyDescent="0.2">
      <c r="L330" s="546"/>
      <c r="M330" s="546"/>
      <c r="N330" s="546"/>
      <c r="O330" s="546"/>
      <c r="P330" s="546"/>
      <c r="Q330" s="546"/>
      <c r="R330" s="546"/>
      <c r="S330" s="546">
        <v>328</v>
      </c>
      <c r="T330" s="546">
        <v>150</v>
      </c>
      <c r="U330" s="546"/>
      <c r="V330" s="546"/>
      <c r="W330" s="546"/>
      <c r="X330" s="546"/>
      <c r="Y330" s="185"/>
    </row>
    <row r="331" spans="12:25" x14ac:dyDescent="0.2">
      <c r="L331" s="546"/>
      <c r="M331" s="546"/>
      <c r="N331" s="546"/>
      <c r="O331" s="546"/>
      <c r="P331" s="546"/>
      <c r="Q331" s="546"/>
      <c r="R331" s="546"/>
      <c r="S331" s="546">
        <v>329</v>
      </c>
      <c r="T331" s="546">
        <v>150</v>
      </c>
      <c r="U331" s="546"/>
      <c r="V331" s="546"/>
      <c r="W331" s="546"/>
      <c r="X331" s="546"/>
      <c r="Y331" s="185"/>
    </row>
    <row r="332" spans="12:25" x14ac:dyDescent="0.2">
      <c r="L332" s="546"/>
      <c r="M332" s="546"/>
      <c r="N332" s="546"/>
      <c r="O332" s="546"/>
      <c r="P332" s="546"/>
      <c r="Q332" s="546"/>
      <c r="R332" s="546"/>
      <c r="S332" s="546">
        <v>330</v>
      </c>
      <c r="T332" s="546">
        <v>150</v>
      </c>
      <c r="U332" s="546"/>
      <c r="V332" s="546"/>
      <c r="W332" s="546"/>
      <c r="X332" s="546"/>
      <c r="Y332" s="185"/>
    </row>
    <row r="333" spans="12:25" x14ac:dyDescent="0.2">
      <c r="L333" s="546"/>
      <c r="M333" s="546"/>
      <c r="N333" s="546"/>
      <c r="O333" s="546"/>
      <c r="P333" s="546"/>
      <c r="Q333" s="546"/>
      <c r="R333" s="546"/>
      <c r="S333" s="546">
        <v>331</v>
      </c>
      <c r="T333" s="546">
        <v>150</v>
      </c>
      <c r="U333" s="546"/>
      <c r="V333" s="546"/>
      <c r="W333" s="546"/>
      <c r="X333" s="546"/>
      <c r="Y333" s="185"/>
    </row>
    <row r="334" spans="12:25" x14ac:dyDescent="0.2">
      <c r="L334" s="546"/>
      <c r="M334" s="546"/>
      <c r="N334" s="546"/>
      <c r="O334" s="546"/>
      <c r="P334" s="546"/>
      <c r="Q334" s="546"/>
      <c r="R334" s="546"/>
      <c r="S334" s="546">
        <v>332</v>
      </c>
      <c r="T334" s="546">
        <v>150</v>
      </c>
      <c r="U334" s="546"/>
      <c r="V334" s="546"/>
      <c r="W334" s="546"/>
      <c r="X334" s="546"/>
      <c r="Y334" s="185"/>
    </row>
    <row r="335" spans="12:25" x14ac:dyDescent="0.2">
      <c r="L335" s="546"/>
      <c r="M335" s="546"/>
      <c r="N335" s="546"/>
      <c r="O335" s="546"/>
      <c r="P335" s="546"/>
      <c r="Q335" s="546"/>
      <c r="R335" s="546"/>
      <c r="S335" s="546">
        <v>333</v>
      </c>
      <c r="T335" s="546">
        <v>150</v>
      </c>
      <c r="U335" s="546"/>
      <c r="V335" s="546"/>
      <c r="W335" s="546"/>
      <c r="X335" s="546"/>
      <c r="Y335" s="185"/>
    </row>
    <row r="336" spans="12:25" x14ac:dyDescent="0.2">
      <c r="L336" s="546"/>
      <c r="M336" s="546"/>
      <c r="N336" s="546"/>
      <c r="O336" s="546"/>
      <c r="P336" s="546"/>
      <c r="Q336" s="546"/>
      <c r="R336" s="546"/>
      <c r="S336" s="546">
        <v>334</v>
      </c>
      <c r="T336" s="546">
        <v>150</v>
      </c>
      <c r="U336" s="546"/>
      <c r="V336" s="546"/>
      <c r="W336" s="546"/>
      <c r="X336" s="546"/>
      <c r="Y336" s="185"/>
    </row>
    <row r="337" spans="12:25" x14ac:dyDescent="0.2">
      <c r="L337" s="546"/>
      <c r="M337" s="546"/>
      <c r="N337" s="546"/>
      <c r="O337" s="546"/>
      <c r="P337" s="546"/>
      <c r="Q337" s="546"/>
      <c r="R337" s="546"/>
      <c r="S337" s="546">
        <v>335</v>
      </c>
      <c r="T337" s="546">
        <v>150</v>
      </c>
      <c r="U337" s="546"/>
      <c r="V337" s="546"/>
      <c r="W337" s="546"/>
      <c r="X337" s="546"/>
      <c r="Y337" s="185"/>
    </row>
    <row r="338" spans="12:25" x14ac:dyDescent="0.2">
      <c r="L338" s="546"/>
      <c r="M338" s="546"/>
      <c r="N338" s="546"/>
      <c r="O338" s="546"/>
      <c r="P338" s="546"/>
      <c r="Q338" s="546"/>
      <c r="R338" s="546"/>
      <c r="S338" s="546">
        <v>336</v>
      </c>
      <c r="T338" s="546">
        <v>150</v>
      </c>
      <c r="U338" s="546"/>
      <c r="V338" s="546"/>
      <c r="W338" s="546"/>
      <c r="X338" s="546"/>
      <c r="Y338" s="185"/>
    </row>
    <row r="339" spans="12:25" x14ac:dyDescent="0.2">
      <c r="L339" s="546"/>
      <c r="M339" s="546"/>
      <c r="N339" s="546"/>
      <c r="O339" s="546"/>
      <c r="P339" s="546"/>
      <c r="Q339" s="546"/>
      <c r="R339" s="546"/>
      <c r="S339" s="546">
        <v>337</v>
      </c>
      <c r="T339" s="546">
        <v>150</v>
      </c>
      <c r="U339" s="546"/>
      <c r="V339" s="546"/>
      <c r="W339" s="546"/>
      <c r="X339" s="546"/>
      <c r="Y339" s="185"/>
    </row>
    <row r="340" spans="12:25" x14ac:dyDescent="0.2">
      <c r="L340" s="546"/>
      <c r="M340" s="546"/>
      <c r="N340" s="546"/>
      <c r="O340" s="546"/>
      <c r="P340" s="546"/>
      <c r="Q340" s="546"/>
      <c r="R340" s="546"/>
      <c r="S340" s="546">
        <v>338</v>
      </c>
      <c r="T340" s="546">
        <v>150</v>
      </c>
      <c r="U340" s="546"/>
      <c r="V340" s="546"/>
      <c r="W340" s="546"/>
      <c r="X340" s="546"/>
      <c r="Y340" s="185"/>
    </row>
    <row r="341" spans="12:25" x14ac:dyDescent="0.2">
      <c r="L341" s="546"/>
      <c r="M341" s="546"/>
      <c r="N341" s="546"/>
      <c r="O341" s="546"/>
      <c r="P341" s="546"/>
      <c r="Q341" s="546"/>
      <c r="R341" s="546"/>
      <c r="S341" s="546">
        <v>339</v>
      </c>
      <c r="T341" s="546">
        <v>150</v>
      </c>
      <c r="U341" s="546"/>
      <c r="V341" s="546"/>
      <c r="W341" s="546"/>
      <c r="X341" s="546"/>
      <c r="Y341" s="185"/>
    </row>
    <row r="342" spans="12:25" x14ac:dyDescent="0.2">
      <c r="L342" s="546"/>
      <c r="M342" s="546"/>
      <c r="N342" s="546"/>
      <c r="O342" s="546"/>
      <c r="P342" s="546"/>
      <c r="Q342" s="546"/>
      <c r="R342" s="546"/>
      <c r="S342" s="546">
        <v>340</v>
      </c>
      <c r="T342" s="546">
        <v>150</v>
      </c>
      <c r="U342" s="546"/>
      <c r="V342" s="546"/>
      <c r="W342" s="546"/>
      <c r="X342" s="546"/>
      <c r="Y342" s="185"/>
    </row>
    <row r="343" spans="12:25" x14ac:dyDescent="0.2">
      <c r="L343" s="546"/>
      <c r="M343" s="546"/>
      <c r="N343" s="546"/>
      <c r="O343" s="546"/>
      <c r="P343" s="546"/>
      <c r="Q343" s="546"/>
      <c r="R343" s="546"/>
      <c r="S343" s="546">
        <v>341</v>
      </c>
      <c r="T343" s="546">
        <v>150</v>
      </c>
      <c r="U343" s="546"/>
      <c r="V343" s="546"/>
      <c r="W343" s="546"/>
      <c r="X343" s="546"/>
      <c r="Y343" s="185"/>
    </row>
    <row r="344" spans="12:25" x14ac:dyDescent="0.2">
      <c r="L344" s="546"/>
      <c r="M344" s="546"/>
      <c r="N344" s="546"/>
      <c r="O344" s="546"/>
      <c r="P344" s="546"/>
      <c r="Q344" s="546"/>
      <c r="R344" s="546"/>
      <c r="S344" s="546">
        <v>342</v>
      </c>
      <c r="T344" s="546">
        <v>150</v>
      </c>
      <c r="U344" s="546"/>
      <c r="V344" s="546"/>
      <c r="W344" s="546"/>
      <c r="X344" s="546"/>
      <c r="Y344" s="185"/>
    </row>
    <row r="345" spans="12:25" x14ac:dyDescent="0.2">
      <c r="L345" s="546"/>
      <c r="M345" s="546"/>
      <c r="N345" s="546"/>
      <c r="O345" s="546"/>
      <c r="P345" s="546"/>
      <c r="Q345" s="546"/>
      <c r="R345" s="546"/>
      <c r="S345" s="546">
        <v>343</v>
      </c>
      <c r="T345" s="546">
        <v>150</v>
      </c>
      <c r="U345" s="546"/>
      <c r="V345" s="546"/>
      <c r="W345" s="546"/>
      <c r="X345" s="546"/>
      <c r="Y345" s="185"/>
    </row>
    <row r="346" spans="12:25" x14ac:dyDescent="0.2">
      <c r="L346" s="546"/>
      <c r="M346" s="546"/>
      <c r="N346" s="546"/>
      <c r="O346" s="546"/>
      <c r="P346" s="546"/>
      <c r="Q346" s="546"/>
      <c r="R346" s="546"/>
      <c r="S346" s="546">
        <v>344</v>
      </c>
      <c r="T346" s="546">
        <v>150</v>
      </c>
      <c r="U346" s="546"/>
      <c r="V346" s="546"/>
      <c r="W346" s="546"/>
      <c r="X346" s="546"/>
      <c r="Y346" s="185"/>
    </row>
    <row r="347" spans="12:25" x14ac:dyDescent="0.2">
      <c r="L347" s="546"/>
      <c r="M347" s="546"/>
      <c r="N347" s="546"/>
      <c r="O347" s="546"/>
      <c r="P347" s="546"/>
      <c r="Q347" s="546"/>
      <c r="R347" s="546"/>
      <c r="S347" s="546">
        <v>345</v>
      </c>
      <c r="T347" s="546">
        <v>150</v>
      </c>
      <c r="U347" s="546"/>
      <c r="V347" s="546"/>
      <c r="W347" s="546"/>
      <c r="X347" s="546"/>
      <c r="Y347" s="185"/>
    </row>
    <row r="348" spans="12:25" x14ac:dyDescent="0.2">
      <c r="L348" s="546"/>
      <c r="M348" s="546"/>
      <c r="N348" s="546"/>
      <c r="O348" s="546"/>
      <c r="P348" s="546"/>
      <c r="Q348" s="546"/>
      <c r="R348" s="546"/>
      <c r="S348" s="546">
        <v>346</v>
      </c>
      <c r="T348" s="546">
        <v>150</v>
      </c>
      <c r="U348" s="546"/>
      <c r="V348" s="546"/>
      <c r="W348" s="546"/>
      <c r="X348" s="546"/>
      <c r="Y348" s="185"/>
    </row>
    <row r="349" spans="12:25" x14ac:dyDescent="0.2">
      <c r="L349" s="546"/>
      <c r="M349" s="546"/>
      <c r="N349" s="546"/>
      <c r="O349" s="546"/>
      <c r="P349" s="546"/>
      <c r="Q349" s="546"/>
      <c r="R349" s="546"/>
      <c r="S349" s="546">
        <v>347</v>
      </c>
      <c r="T349" s="546">
        <v>150</v>
      </c>
      <c r="U349" s="546"/>
      <c r="V349" s="546"/>
      <c r="W349" s="546"/>
      <c r="X349" s="546"/>
      <c r="Y349" s="185"/>
    </row>
    <row r="350" spans="12:25" x14ac:dyDescent="0.2">
      <c r="L350" s="546"/>
      <c r="M350" s="546"/>
      <c r="N350" s="546"/>
      <c r="O350" s="546"/>
      <c r="P350" s="546"/>
      <c r="Q350" s="546"/>
      <c r="R350" s="546"/>
      <c r="S350" s="546">
        <v>348</v>
      </c>
      <c r="T350" s="546">
        <v>150</v>
      </c>
      <c r="U350" s="546"/>
      <c r="V350" s="546"/>
      <c r="W350" s="546"/>
      <c r="X350" s="546"/>
      <c r="Y350" s="185"/>
    </row>
    <row r="351" spans="12:25" x14ac:dyDescent="0.2">
      <c r="L351" s="546"/>
      <c r="M351" s="546"/>
      <c r="N351" s="546"/>
      <c r="O351" s="546"/>
      <c r="P351" s="546"/>
      <c r="Q351" s="546"/>
      <c r="R351" s="546"/>
      <c r="S351" s="546">
        <v>349</v>
      </c>
      <c r="T351" s="546">
        <v>150</v>
      </c>
      <c r="U351" s="546"/>
      <c r="V351" s="546"/>
      <c r="W351" s="546"/>
      <c r="X351" s="546"/>
      <c r="Y351" s="185"/>
    </row>
    <row r="352" spans="12:25" x14ac:dyDescent="0.2">
      <c r="L352" s="546"/>
      <c r="M352" s="546"/>
      <c r="N352" s="546"/>
      <c r="O352" s="546"/>
      <c r="P352" s="546"/>
      <c r="Q352" s="546"/>
      <c r="R352" s="546"/>
      <c r="S352" s="546">
        <v>350</v>
      </c>
      <c r="T352" s="546">
        <v>150</v>
      </c>
      <c r="U352" s="546"/>
      <c r="V352" s="546"/>
      <c r="W352" s="546"/>
      <c r="X352" s="546"/>
      <c r="Y352" s="185"/>
    </row>
    <row r="353" spans="12:25" x14ac:dyDescent="0.2">
      <c r="L353" s="546"/>
      <c r="M353" s="546"/>
      <c r="N353" s="546"/>
      <c r="O353" s="546"/>
      <c r="P353" s="546"/>
      <c r="Q353" s="546"/>
      <c r="R353" s="546"/>
      <c r="S353" s="546">
        <v>351</v>
      </c>
      <c r="T353" s="546">
        <v>150</v>
      </c>
      <c r="U353" s="546"/>
      <c r="V353" s="546"/>
      <c r="W353" s="546"/>
      <c r="X353" s="546"/>
      <c r="Y353" s="185"/>
    </row>
    <row r="354" spans="12:25" x14ac:dyDescent="0.2">
      <c r="L354" s="546"/>
      <c r="M354" s="546"/>
      <c r="N354" s="546"/>
      <c r="O354" s="546"/>
      <c r="P354" s="546"/>
      <c r="Q354" s="546"/>
      <c r="R354" s="546"/>
      <c r="S354" s="546">
        <v>352</v>
      </c>
      <c r="T354" s="546">
        <v>150</v>
      </c>
      <c r="U354" s="546"/>
      <c r="V354" s="546"/>
      <c r="W354" s="546"/>
      <c r="X354" s="546"/>
      <c r="Y354" s="185"/>
    </row>
    <row r="355" spans="12:25" x14ac:dyDescent="0.2">
      <c r="L355" s="546"/>
      <c r="M355" s="546"/>
      <c r="N355" s="546"/>
      <c r="O355" s="546"/>
      <c r="P355" s="546"/>
      <c r="Q355" s="546"/>
      <c r="R355" s="546"/>
      <c r="S355" s="546">
        <v>353</v>
      </c>
      <c r="T355" s="546">
        <v>150</v>
      </c>
      <c r="U355" s="546"/>
      <c r="V355" s="546"/>
      <c r="W355" s="546"/>
      <c r="X355" s="546"/>
      <c r="Y355" s="185"/>
    </row>
    <row r="356" spans="12:25" x14ac:dyDescent="0.2">
      <c r="L356" s="546"/>
      <c r="M356" s="546"/>
      <c r="N356" s="546"/>
      <c r="O356" s="546"/>
      <c r="P356" s="546"/>
      <c r="Q356" s="546"/>
      <c r="R356" s="546"/>
      <c r="S356" s="546">
        <v>354</v>
      </c>
      <c r="T356" s="546">
        <v>150</v>
      </c>
      <c r="U356" s="546"/>
      <c r="V356" s="546"/>
      <c r="W356" s="546"/>
      <c r="X356" s="546"/>
      <c r="Y356" s="185"/>
    </row>
    <row r="357" spans="12:25" x14ac:dyDescent="0.2">
      <c r="L357" s="546"/>
      <c r="M357" s="546"/>
      <c r="N357" s="546"/>
      <c r="O357" s="546"/>
      <c r="P357" s="546"/>
      <c r="Q357" s="546"/>
      <c r="R357" s="546"/>
      <c r="S357" s="546">
        <v>355</v>
      </c>
      <c r="T357" s="546">
        <v>150</v>
      </c>
      <c r="U357" s="546"/>
      <c r="V357" s="546"/>
      <c r="W357" s="546"/>
      <c r="X357" s="546"/>
      <c r="Y357" s="185"/>
    </row>
    <row r="358" spans="12:25" x14ac:dyDescent="0.2">
      <c r="L358" s="546"/>
      <c r="M358" s="546"/>
      <c r="N358" s="546"/>
      <c r="O358" s="546"/>
      <c r="P358" s="546"/>
      <c r="Q358" s="546"/>
      <c r="R358" s="546"/>
      <c r="S358" s="546">
        <v>356</v>
      </c>
      <c r="T358" s="546">
        <v>150</v>
      </c>
      <c r="U358" s="546"/>
      <c r="V358" s="546"/>
      <c r="W358" s="546"/>
      <c r="X358" s="546"/>
      <c r="Y358" s="185"/>
    </row>
    <row r="359" spans="12:25" x14ac:dyDescent="0.2">
      <c r="L359" s="546"/>
      <c r="M359" s="546"/>
      <c r="N359" s="546"/>
      <c r="O359" s="546"/>
      <c r="P359" s="546"/>
      <c r="Q359" s="546"/>
      <c r="R359" s="546"/>
      <c r="S359" s="546">
        <v>357</v>
      </c>
      <c r="T359" s="546">
        <v>150</v>
      </c>
      <c r="U359" s="546"/>
      <c r="V359" s="546"/>
      <c r="W359" s="546"/>
      <c r="X359" s="546"/>
      <c r="Y359" s="185"/>
    </row>
    <row r="360" spans="12:25" x14ac:dyDescent="0.2">
      <c r="L360" s="546"/>
      <c r="M360" s="546"/>
      <c r="N360" s="546"/>
      <c r="O360" s="546"/>
      <c r="P360" s="546"/>
      <c r="Q360" s="546"/>
      <c r="R360" s="546"/>
      <c r="S360" s="546">
        <v>358</v>
      </c>
      <c r="T360" s="546">
        <v>150</v>
      </c>
      <c r="U360" s="546"/>
      <c r="V360" s="546"/>
      <c r="W360" s="546"/>
      <c r="X360" s="546"/>
      <c r="Y360" s="185"/>
    </row>
    <row r="361" spans="12:25" x14ac:dyDescent="0.2">
      <c r="L361" s="546"/>
      <c r="M361" s="546"/>
      <c r="N361" s="546"/>
      <c r="O361" s="546"/>
      <c r="P361" s="546"/>
      <c r="Q361" s="546"/>
      <c r="R361" s="546"/>
      <c r="S361" s="546">
        <v>359</v>
      </c>
      <c r="T361" s="546">
        <v>150</v>
      </c>
      <c r="U361" s="546"/>
      <c r="V361" s="546"/>
      <c r="W361" s="546"/>
      <c r="X361" s="546"/>
      <c r="Y361" s="185"/>
    </row>
    <row r="362" spans="12:25" x14ac:dyDescent="0.2">
      <c r="L362" s="546"/>
      <c r="M362" s="546"/>
      <c r="N362" s="546"/>
      <c r="O362" s="546"/>
      <c r="P362" s="546"/>
      <c r="Q362" s="546"/>
      <c r="R362" s="546"/>
      <c r="S362" s="546">
        <v>360</v>
      </c>
      <c r="T362" s="546">
        <v>150</v>
      </c>
      <c r="U362" s="546">
        <v>360</v>
      </c>
      <c r="V362" s="546"/>
      <c r="W362" s="546"/>
      <c r="X362" s="546"/>
      <c r="Y362" s="185"/>
    </row>
    <row r="363" spans="12:25" x14ac:dyDescent="0.2">
      <c r="L363" s="546"/>
      <c r="M363" s="546"/>
      <c r="N363" s="546"/>
      <c r="O363" s="546"/>
      <c r="P363" s="546"/>
      <c r="Q363" s="546"/>
      <c r="R363" s="546"/>
      <c r="S363" s="546"/>
      <c r="T363" s="546"/>
      <c r="U363" s="546"/>
      <c r="V363" s="546"/>
      <c r="W363" s="546"/>
      <c r="X363" s="546"/>
      <c r="Y363" s="185"/>
    </row>
    <row r="364" spans="12:25" x14ac:dyDescent="0.2">
      <c r="L364" s="546"/>
      <c r="M364" s="546"/>
      <c r="N364" s="546"/>
      <c r="O364" s="546"/>
      <c r="P364" s="546"/>
      <c r="Q364" s="546"/>
      <c r="R364" s="546"/>
      <c r="S364" s="546"/>
      <c r="T364" s="546"/>
      <c r="U364" s="546"/>
      <c r="V364" s="546"/>
      <c r="W364" s="546"/>
      <c r="X364" s="546"/>
      <c r="Y364" s="185"/>
    </row>
    <row r="365" spans="12:25" x14ac:dyDescent="0.2">
      <c r="L365" s="546"/>
      <c r="M365" s="546"/>
      <c r="N365" s="546"/>
      <c r="O365" s="546"/>
      <c r="P365" s="546"/>
      <c r="Q365" s="546"/>
      <c r="R365" s="546"/>
      <c r="S365" s="546"/>
      <c r="T365" s="546"/>
      <c r="U365" s="546"/>
      <c r="V365" s="546"/>
      <c r="W365" s="546"/>
      <c r="X365" s="546"/>
      <c r="Y365" s="185"/>
    </row>
    <row r="366" spans="12:25" x14ac:dyDescent="0.2">
      <c r="L366" s="546"/>
      <c r="M366" s="546"/>
      <c r="N366" s="546"/>
      <c r="O366" s="546"/>
      <c r="P366" s="546"/>
      <c r="Q366" s="546"/>
      <c r="R366" s="546"/>
      <c r="S366" s="546"/>
      <c r="T366" s="546"/>
      <c r="U366" s="546"/>
      <c r="V366" s="546"/>
      <c r="W366" s="546"/>
      <c r="X366" s="546"/>
      <c r="Y366" s="185"/>
    </row>
    <row r="367" spans="12:25" x14ac:dyDescent="0.2">
      <c r="L367" s="546"/>
      <c r="M367" s="546"/>
      <c r="N367" s="546"/>
      <c r="O367" s="546"/>
      <c r="P367" s="546"/>
      <c r="Q367" s="546"/>
      <c r="R367" s="546"/>
      <c r="S367" s="546"/>
      <c r="T367" s="546"/>
      <c r="U367" s="546"/>
      <c r="V367" s="546"/>
      <c r="W367" s="546"/>
      <c r="X367" s="546"/>
      <c r="Y367" s="185"/>
    </row>
    <row r="368" spans="12:25" x14ac:dyDescent="0.2">
      <c r="L368" s="546"/>
      <c r="M368" s="546"/>
      <c r="N368" s="546"/>
      <c r="O368" s="546"/>
      <c r="P368" s="546"/>
      <c r="Q368" s="546"/>
      <c r="R368" s="546"/>
      <c r="S368" s="546"/>
      <c r="T368" s="546"/>
      <c r="U368" s="546"/>
      <c r="V368" s="546"/>
      <c r="W368" s="546"/>
      <c r="X368" s="546"/>
      <c r="Y368" s="185"/>
    </row>
    <row r="369" spans="12:25" x14ac:dyDescent="0.2">
      <c r="L369" s="546"/>
      <c r="M369" s="546"/>
      <c r="N369" s="546"/>
      <c r="O369" s="546"/>
      <c r="P369" s="546"/>
      <c r="Q369" s="546"/>
      <c r="R369" s="546"/>
      <c r="S369" s="546"/>
      <c r="T369" s="546"/>
      <c r="U369" s="546"/>
      <c r="V369" s="546"/>
      <c r="W369" s="546"/>
      <c r="X369" s="546"/>
      <c r="Y369" s="185"/>
    </row>
    <row r="370" spans="12:25" x14ac:dyDescent="0.2">
      <c r="L370" s="546"/>
      <c r="M370" s="546"/>
      <c r="N370" s="546"/>
      <c r="O370" s="546"/>
      <c r="P370" s="546"/>
      <c r="Q370" s="546"/>
      <c r="R370" s="546"/>
      <c r="S370" s="546"/>
      <c r="T370" s="546"/>
      <c r="U370" s="546"/>
      <c r="V370" s="546"/>
      <c r="W370" s="546"/>
      <c r="X370" s="546"/>
      <c r="Y370" s="185"/>
    </row>
    <row r="371" spans="12:25" x14ac:dyDescent="0.2">
      <c r="L371" s="546"/>
      <c r="M371" s="546"/>
      <c r="N371" s="546"/>
      <c r="O371" s="546"/>
      <c r="P371" s="546"/>
      <c r="Q371" s="546"/>
      <c r="R371" s="546"/>
      <c r="S371" s="546"/>
      <c r="T371" s="546"/>
      <c r="U371" s="546"/>
      <c r="V371" s="546"/>
      <c r="W371" s="546"/>
      <c r="X371" s="546"/>
      <c r="Y371" s="185"/>
    </row>
    <row r="372" spans="12:25" x14ac:dyDescent="0.2">
      <c r="L372" s="546"/>
      <c r="M372" s="546"/>
      <c r="N372" s="546"/>
      <c r="O372" s="546"/>
      <c r="P372" s="546"/>
      <c r="Q372" s="546"/>
      <c r="R372" s="546"/>
      <c r="S372" s="546"/>
      <c r="T372" s="546"/>
      <c r="U372" s="546"/>
      <c r="V372" s="546"/>
      <c r="W372" s="546"/>
      <c r="X372" s="546"/>
      <c r="Y372" s="185"/>
    </row>
    <row r="373" spans="12:25" x14ac:dyDescent="0.2">
      <c r="L373" s="546"/>
      <c r="M373" s="546"/>
      <c r="N373" s="546"/>
      <c r="O373" s="546"/>
      <c r="P373" s="546"/>
      <c r="Q373" s="546"/>
      <c r="R373" s="546"/>
      <c r="S373" s="546"/>
      <c r="T373" s="546"/>
      <c r="U373" s="546"/>
      <c r="V373" s="546"/>
      <c r="W373" s="546"/>
      <c r="X373" s="546"/>
      <c r="Y373" s="185"/>
    </row>
    <row r="374" spans="12:25" x14ac:dyDescent="0.2">
      <c r="L374" s="546"/>
      <c r="M374" s="546"/>
      <c r="N374" s="546"/>
      <c r="O374" s="546"/>
      <c r="P374" s="546"/>
      <c r="Q374" s="546"/>
      <c r="R374" s="546"/>
      <c r="S374" s="546"/>
      <c r="T374" s="546"/>
      <c r="U374" s="546"/>
      <c r="V374" s="546"/>
      <c r="W374" s="546"/>
      <c r="X374" s="546"/>
      <c r="Y374" s="185"/>
    </row>
    <row r="375" spans="12:25" x14ac:dyDescent="0.2">
      <c r="L375" s="546"/>
      <c r="M375" s="546"/>
      <c r="N375" s="546"/>
      <c r="O375" s="546"/>
      <c r="P375" s="546"/>
      <c r="Q375" s="546"/>
      <c r="R375" s="546"/>
      <c r="S375" s="546"/>
      <c r="T375" s="546"/>
      <c r="U375" s="546"/>
      <c r="V375" s="546"/>
      <c r="W375" s="546"/>
      <c r="X375" s="546"/>
      <c r="Y375" s="185"/>
    </row>
    <row r="376" spans="12:25" x14ac:dyDescent="0.2">
      <c r="L376" s="546"/>
      <c r="M376" s="546"/>
      <c r="N376" s="546"/>
      <c r="O376" s="546"/>
      <c r="P376" s="546"/>
      <c r="Q376" s="546"/>
      <c r="R376" s="546"/>
      <c r="S376" s="546"/>
      <c r="T376" s="546"/>
      <c r="U376" s="546"/>
      <c r="V376" s="546"/>
      <c r="W376" s="546"/>
      <c r="X376" s="546"/>
      <c r="Y376" s="185"/>
    </row>
    <row r="377" spans="12:25" x14ac:dyDescent="0.2">
      <c r="L377" s="546"/>
      <c r="M377" s="546"/>
      <c r="N377" s="546"/>
      <c r="O377" s="546"/>
      <c r="P377" s="546"/>
      <c r="Q377" s="546"/>
      <c r="R377" s="546"/>
      <c r="S377" s="546"/>
      <c r="T377" s="546"/>
      <c r="U377" s="546"/>
      <c r="V377" s="546"/>
      <c r="W377" s="546"/>
      <c r="X377" s="546"/>
      <c r="Y377" s="185"/>
    </row>
    <row r="378" spans="12:25" x14ac:dyDescent="0.2">
      <c r="L378" s="546"/>
      <c r="M378" s="546"/>
      <c r="N378" s="546"/>
      <c r="O378" s="546"/>
      <c r="P378" s="546"/>
      <c r="Q378" s="546"/>
      <c r="R378" s="546"/>
      <c r="S378" s="546"/>
      <c r="T378" s="546"/>
      <c r="U378" s="546"/>
      <c r="V378" s="546"/>
      <c r="W378" s="546"/>
      <c r="X378" s="546"/>
      <c r="Y378" s="185"/>
    </row>
    <row r="379" spans="12:25" x14ac:dyDescent="0.2">
      <c r="L379" s="546"/>
      <c r="M379" s="546"/>
      <c r="N379" s="546"/>
      <c r="O379" s="546"/>
      <c r="P379" s="546"/>
      <c r="Q379" s="546"/>
      <c r="R379" s="546"/>
      <c r="S379" s="546"/>
      <c r="T379" s="546"/>
      <c r="U379" s="546"/>
      <c r="V379" s="546"/>
      <c r="W379" s="546"/>
      <c r="X379" s="546"/>
      <c r="Y379" s="185"/>
    </row>
    <row r="380" spans="12:25" x14ac:dyDescent="0.2">
      <c r="L380" s="546"/>
      <c r="M380" s="546"/>
      <c r="N380" s="546"/>
      <c r="O380" s="546"/>
      <c r="P380" s="546"/>
      <c r="Q380" s="546"/>
      <c r="R380" s="546"/>
      <c r="S380" s="546"/>
      <c r="T380" s="546"/>
      <c r="U380" s="546"/>
      <c r="V380" s="546"/>
      <c r="W380" s="546"/>
      <c r="X380" s="546"/>
      <c r="Y380" s="185"/>
    </row>
    <row r="381" spans="12:25" x14ac:dyDescent="0.2">
      <c r="L381" s="546"/>
      <c r="M381" s="546"/>
      <c r="N381" s="546"/>
      <c r="O381" s="546"/>
      <c r="P381" s="546"/>
      <c r="Q381" s="546"/>
      <c r="R381" s="546"/>
      <c r="S381" s="546"/>
      <c r="T381" s="546"/>
      <c r="U381" s="546"/>
      <c r="V381" s="546"/>
      <c r="W381" s="546"/>
      <c r="X381" s="546"/>
      <c r="Y381" s="185"/>
    </row>
    <row r="382" spans="12:25" x14ac:dyDescent="0.2">
      <c r="L382" s="546"/>
      <c r="M382" s="546"/>
      <c r="N382" s="546"/>
      <c r="O382" s="546"/>
      <c r="P382" s="546"/>
      <c r="Q382" s="546"/>
      <c r="R382" s="546"/>
      <c r="S382" s="546"/>
      <c r="T382" s="546"/>
      <c r="U382" s="546"/>
      <c r="V382" s="546"/>
      <c r="W382" s="546"/>
      <c r="X382" s="546"/>
      <c r="Y382" s="185"/>
    </row>
    <row r="383" spans="12:25" x14ac:dyDescent="0.2">
      <c r="L383" s="546"/>
      <c r="M383" s="546"/>
      <c r="N383" s="546"/>
      <c r="O383" s="546"/>
      <c r="P383" s="546"/>
      <c r="Q383" s="546"/>
      <c r="R383" s="546"/>
      <c r="S383" s="546"/>
      <c r="T383" s="546"/>
      <c r="U383" s="546"/>
      <c r="V383" s="546"/>
      <c r="W383" s="546"/>
      <c r="X383" s="546"/>
      <c r="Y383" s="185"/>
    </row>
    <row r="384" spans="12:25" x14ac:dyDescent="0.2">
      <c r="L384" s="546"/>
      <c r="M384" s="546"/>
      <c r="N384" s="546"/>
      <c r="O384" s="546"/>
      <c r="P384" s="546"/>
      <c r="Q384" s="546"/>
      <c r="R384" s="546"/>
      <c r="S384" s="546"/>
      <c r="T384" s="546"/>
      <c r="U384" s="546"/>
      <c r="V384" s="546"/>
      <c r="W384" s="546"/>
      <c r="X384" s="546"/>
      <c r="Y384" s="185"/>
    </row>
    <row r="385" spans="12:25" x14ac:dyDescent="0.2">
      <c r="L385" s="546"/>
      <c r="M385" s="546"/>
      <c r="N385" s="546"/>
      <c r="O385" s="546"/>
      <c r="P385" s="546"/>
      <c r="Q385" s="546"/>
      <c r="R385" s="546"/>
      <c r="S385" s="546"/>
      <c r="T385" s="546"/>
      <c r="U385" s="546"/>
      <c r="V385" s="546"/>
      <c r="W385" s="546"/>
      <c r="X385" s="546"/>
      <c r="Y385" s="185"/>
    </row>
    <row r="386" spans="12:25" x14ac:dyDescent="0.2">
      <c r="L386" s="546"/>
      <c r="M386" s="546"/>
      <c r="N386" s="546"/>
      <c r="O386" s="546"/>
      <c r="P386" s="546"/>
      <c r="Q386" s="546"/>
      <c r="R386" s="546"/>
      <c r="S386" s="546"/>
      <c r="T386" s="546"/>
      <c r="U386" s="546"/>
      <c r="V386" s="546"/>
      <c r="W386" s="546"/>
      <c r="X386" s="546"/>
      <c r="Y386" s="185"/>
    </row>
    <row r="387" spans="12:25" x14ac:dyDescent="0.2">
      <c r="L387" s="546"/>
      <c r="M387" s="546"/>
      <c r="N387" s="546"/>
      <c r="O387" s="546"/>
      <c r="P387" s="546"/>
      <c r="Q387" s="546"/>
      <c r="R387" s="546"/>
      <c r="S387" s="546"/>
      <c r="T387" s="546"/>
      <c r="U387" s="546"/>
      <c r="V387" s="546"/>
      <c r="W387" s="546"/>
      <c r="X387" s="546"/>
      <c r="Y387" s="185"/>
    </row>
    <row r="388" spans="12:25" x14ac:dyDescent="0.2">
      <c r="L388" s="546"/>
      <c r="M388" s="546"/>
      <c r="N388" s="546"/>
      <c r="O388" s="546"/>
      <c r="P388" s="546"/>
      <c r="Q388" s="546"/>
      <c r="R388" s="546"/>
      <c r="S388" s="546"/>
      <c r="T388" s="546"/>
      <c r="U388" s="546"/>
      <c r="V388" s="546"/>
      <c r="W388" s="546"/>
      <c r="X388" s="546"/>
      <c r="Y388" s="185"/>
    </row>
    <row r="389" spans="12:25" x14ac:dyDescent="0.2">
      <c r="L389" s="546"/>
      <c r="M389" s="546"/>
      <c r="N389" s="546"/>
      <c r="O389" s="546"/>
      <c r="P389" s="546"/>
      <c r="Q389" s="546"/>
      <c r="R389" s="546"/>
      <c r="S389" s="546"/>
      <c r="T389" s="546"/>
      <c r="U389" s="546"/>
      <c r="V389" s="546"/>
      <c r="W389" s="546"/>
      <c r="X389" s="546"/>
      <c r="Y389" s="185"/>
    </row>
    <row r="390" spans="12:25" x14ac:dyDescent="0.2">
      <c r="L390" s="546"/>
      <c r="M390" s="546"/>
      <c r="N390" s="546"/>
      <c r="O390" s="546"/>
      <c r="P390" s="546"/>
      <c r="Q390" s="546"/>
      <c r="R390" s="546"/>
      <c r="S390" s="546"/>
      <c r="T390" s="546"/>
      <c r="U390" s="546"/>
      <c r="V390" s="546"/>
      <c r="W390" s="546"/>
      <c r="X390" s="546"/>
      <c r="Y390" s="185"/>
    </row>
    <row r="391" spans="12:25" x14ac:dyDescent="0.2">
      <c r="L391" s="546"/>
      <c r="M391" s="546"/>
      <c r="N391" s="546"/>
      <c r="O391" s="546"/>
      <c r="P391" s="546"/>
      <c r="Q391" s="546"/>
      <c r="R391" s="546"/>
      <c r="S391" s="546"/>
      <c r="T391" s="546"/>
      <c r="U391" s="546"/>
      <c r="V391" s="546"/>
      <c r="W391" s="546"/>
      <c r="X391" s="546"/>
      <c r="Y391" s="185"/>
    </row>
    <row r="392" spans="12:25" x14ac:dyDescent="0.2">
      <c r="L392" s="546"/>
      <c r="M392" s="546"/>
      <c r="N392" s="546"/>
      <c r="O392" s="546"/>
      <c r="P392" s="546"/>
      <c r="Q392" s="546"/>
      <c r="R392" s="546"/>
      <c r="S392" s="546"/>
      <c r="T392" s="546"/>
      <c r="U392" s="546"/>
      <c r="V392" s="546"/>
      <c r="W392" s="546"/>
      <c r="X392" s="546"/>
      <c r="Y392" s="185"/>
    </row>
    <row r="393" spans="12:25" x14ac:dyDescent="0.2">
      <c r="L393" s="546"/>
      <c r="M393" s="546"/>
      <c r="N393" s="546"/>
      <c r="O393" s="546"/>
      <c r="P393" s="546"/>
      <c r="Q393" s="546"/>
      <c r="R393" s="546"/>
      <c r="S393" s="546"/>
      <c r="T393" s="546"/>
      <c r="U393" s="546"/>
      <c r="V393" s="546"/>
      <c r="W393" s="546"/>
      <c r="X393" s="546"/>
      <c r="Y393" s="185"/>
    </row>
    <row r="394" spans="12:25" x14ac:dyDescent="0.2">
      <c r="L394" s="546"/>
      <c r="M394" s="546"/>
      <c r="N394" s="546"/>
      <c r="O394" s="546"/>
      <c r="P394" s="546"/>
      <c r="Q394" s="546"/>
      <c r="R394" s="546"/>
      <c r="S394" s="546"/>
      <c r="T394" s="546"/>
      <c r="U394" s="546"/>
      <c r="V394" s="546"/>
      <c r="W394" s="546"/>
      <c r="X394" s="546"/>
      <c r="Y394" s="185"/>
    </row>
    <row r="395" spans="12:25" x14ac:dyDescent="0.2">
      <c r="L395" s="546"/>
      <c r="M395" s="546"/>
      <c r="N395" s="546"/>
      <c r="O395" s="546"/>
      <c r="P395" s="546"/>
      <c r="Q395" s="546"/>
      <c r="R395" s="546"/>
      <c r="S395" s="546"/>
      <c r="T395" s="546"/>
      <c r="U395" s="546"/>
      <c r="V395" s="546"/>
      <c r="W395" s="546"/>
      <c r="X395" s="546"/>
      <c r="Y395" s="185"/>
    </row>
    <row r="396" spans="12:25" x14ac:dyDescent="0.2">
      <c r="L396" s="546"/>
      <c r="M396" s="546"/>
      <c r="N396" s="546"/>
      <c r="O396" s="546"/>
      <c r="P396" s="546"/>
      <c r="Q396" s="546"/>
      <c r="R396" s="546"/>
      <c r="S396" s="546"/>
      <c r="T396" s="546"/>
      <c r="U396" s="546"/>
      <c r="V396" s="546"/>
      <c r="W396" s="546"/>
      <c r="X396" s="546"/>
      <c r="Y396" s="185"/>
    </row>
    <row r="397" spans="12:25" x14ac:dyDescent="0.2">
      <c r="L397" s="546"/>
      <c r="M397" s="546"/>
      <c r="N397" s="546"/>
      <c r="O397" s="546"/>
      <c r="P397" s="546"/>
      <c r="Q397" s="546"/>
      <c r="R397" s="546"/>
      <c r="S397" s="546"/>
      <c r="T397" s="546"/>
      <c r="U397" s="546"/>
      <c r="V397" s="546"/>
      <c r="W397" s="546"/>
      <c r="X397" s="546"/>
      <c r="Y397" s="185"/>
    </row>
    <row r="398" spans="12:25" x14ac:dyDescent="0.2">
      <c r="L398" s="546"/>
      <c r="M398" s="546"/>
      <c r="N398" s="546"/>
      <c r="O398" s="546"/>
      <c r="P398" s="546"/>
      <c r="Q398" s="546"/>
      <c r="R398" s="546"/>
      <c r="S398" s="546"/>
      <c r="T398" s="546"/>
      <c r="U398" s="546"/>
      <c r="V398" s="546"/>
      <c r="W398" s="546"/>
      <c r="X398" s="546"/>
      <c r="Y398" s="185"/>
    </row>
    <row r="399" spans="12:25" x14ac:dyDescent="0.2">
      <c r="L399" s="546"/>
      <c r="M399" s="546"/>
      <c r="N399" s="546"/>
      <c r="O399" s="546"/>
      <c r="P399" s="546"/>
      <c r="Q399" s="546"/>
      <c r="R399" s="546"/>
      <c r="S399" s="546"/>
      <c r="T399" s="546"/>
      <c r="U399" s="546"/>
      <c r="V399" s="546"/>
      <c r="W399" s="546"/>
      <c r="X399" s="546"/>
      <c r="Y399" s="185"/>
    </row>
    <row r="400" spans="12:25" x14ac:dyDescent="0.2">
      <c r="L400" s="546"/>
      <c r="M400" s="546"/>
      <c r="N400" s="546"/>
      <c r="O400" s="546"/>
      <c r="P400" s="546"/>
      <c r="Q400" s="546"/>
      <c r="R400" s="546"/>
      <c r="S400" s="546"/>
      <c r="T400" s="546"/>
      <c r="U400" s="546"/>
      <c r="V400" s="546"/>
      <c r="W400" s="546"/>
      <c r="X400" s="546"/>
      <c r="Y400" s="185"/>
    </row>
    <row r="401" spans="12:25" x14ac:dyDescent="0.2">
      <c r="L401" s="546"/>
      <c r="M401" s="546"/>
      <c r="N401" s="546"/>
      <c r="O401" s="546"/>
      <c r="P401" s="546"/>
      <c r="Q401" s="546"/>
      <c r="R401" s="546"/>
      <c r="S401" s="546"/>
      <c r="T401" s="546"/>
      <c r="U401" s="546"/>
      <c r="V401" s="546"/>
      <c r="W401" s="546"/>
      <c r="X401" s="546"/>
      <c r="Y401" s="185"/>
    </row>
    <row r="402" spans="12:25" x14ac:dyDescent="0.2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2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2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2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2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2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2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2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2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2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2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2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2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2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2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2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2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2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2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2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2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2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2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2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2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2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2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2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2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2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2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2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2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2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2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2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2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2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2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2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2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2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2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2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2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2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2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2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2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2">
      <c r="Y451" s="185"/>
    </row>
    <row r="452" spans="12:25" x14ac:dyDescent="0.2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586" t="s">
        <v>39</v>
      </c>
      <c r="B1" t="s">
        <v>41</v>
      </c>
      <c r="C1" t="s">
        <v>42</v>
      </c>
    </row>
    <row r="2" spans="1:4" x14ac:dyDescent="0.2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5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586" t="s">
        <v>39</v>
      </c>
      <c r="B1" s="25" t="s">
        <v>39</v>
      </c>
      <c r="C1" s="25" t="s">
        <v>40</v>
      </c>
      <c r="I1" t="s">
        <v>41</v>
      </c>
      <c r="P1" t="s">
        <v>42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2">
      <c r="A6" s="5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713" customWidth="1"/>
    <col min="2" max="2" width="2.5703125" style="712" customWidth="1"/>
    <col min="3" max="3" width="14" style="713" customWidth="1"/>
    <col min="4" max="5" width="11.28515625" style="713" customWidth="1"/>
    <col min="6" max="6" width="10.7109375" style="713" customWidth="1"/>
    <col min="7" max="10" width="11.28515625" style="713" customWidth="1"/>
    <col min="11" max="11" width="10.7109375" style="713" customWidth="1"/>
    <col min="12" max="12" width="10.7109375" style="714" customWidth="1"/>
    <col min="13" max="16384" width="10.7109375" style="713"/>
  </cols>
  <sheetData>
    <row r="1" spans="1:12" ht="12.6" customHeight="1" x14ac:dyDescent="0.2">
      <c r="A1" s="711"/>
    </row>
    <row r="2" spans="1:12" ht="12.6" customHeight="1" x14ac:dyDescent="0.2">
      <c r="B2" s="715"/>
      <c r="C2" s="716" t="s">
        <v>938</v>
      </c>
      <c r="D2" s="717">
        <f ca="1">TODAY()</f>
        <v>42703</v>
      </c>
      <c r="E2" s="716" t="s">
        <v>939</v>
      </c>
      <c r="F2" s="847" t="str">
        <f>_AchterNaam&amp;", "&amp;_VoorNaam</f>
        <v>Test, Test</v>
      </c>
      <c r="G2" s="847"/>
      <c r="H2" s="718" t="s">
        <v>573</v>
      </c>
      <c r="I2" s="713" t="str">
        <f>Gewicht/10&amp;" kg"</f>
        <v>10 kg</v>
      </c>
      <c r="J2" s="709"/>
      <c r="L2" s="719"/>
    </row>
    <row r="3" spans="1:12" ht="12.6" customHeight="1" x14ac:dyDescent="0.2">
      <c r="B3" s="715"/>
      <c r="C3" s="716" t="s">
        <v>440</v>
      </c>
      <c r="D3" s="720">
        <f ca="1">AfspraakDatum-OpnDatum+1</f>
        <v>6</v>
      </c>
      <c r="E3" s="716" t="s">
        <v>937</v>
      </c>
      <c r="F3" s="721">
        <f>GebDatum</f>
        <v>42280</v>
      </c>
      <c r="G3" s="709"/>
      <c r="H3" s="718" t="s">
        <v>266</v>
      </c>
      <c r="I3" s="713" t="str">
        <f>Lengte&amp;" cm"</f>
        <v>80 cm</v>
      </c>
      <c r="J3" s="709"/>
      <c r="L3" s="719"/>
    </row>
    <row r="4" spans="1:12" ht="12" customHeight="1" x14ac:dyDescent="0.2">
      <c r="B4" s="715"/>
      <c r="C4" s="716" t="s">
        <v>1003</v>
      </c>
      <c r="D4" s="720" t="str">
        <f>BedNummer</f>
        <v>Unit 2.9</v>
      </c>
      <c r="F4" s="709"/>
      <c r="H4" s="718" t="s">
        <v>267</v>
      </c>
      <c r="I4" s="713" t="str">
        <f>ROUND(POWER(Gewicht/10,0.425)*POWER(((Lengte/100)*100),0.725)*0.007184,2)&amp;" m2"</f>
        <v>0,46 m2</v>
      </c>
    </row>
    <row r="5" spans="1:12" ht="14.1" customHeight="1" x14ac:dyDescent="0.2">
      <c r="A5" s="722"/>
      <c r="B5" s="723" t="str">
        <f>Intake!C8</f>
        <v>Voeding</v>
      </c>
      <c r="C5" s="722"/>
      <c r="D5" s="722"/>
      <c r="E5" s="722"/>
      <c r="F5" s="722"/>
      <c r="G5" s="722"/>
      <c r="H5" s="722"/>
      <c r="I5" s="722"/>
      <c r="J5" s="722"/>
      <c r="K5" s="712"/>
    </row>
    <row r="6" spans="1:12" ht="14.1" customHeight="1" x14ac:dyDescent="0.2">
      <c r="A6" s="711"/>
      <c r="B6" s="715"/>
      <c r="C6" s="718" t="s">
        <v>508</v>
      </c>
      <c r="F6" s="718"/>
      <c r="G6" s="713" t="str">
        <f>INDEX(tblSonde,ber_PO!O2,1)</f>
        <v>Enteraal voeding</v>
      </c>
      <c r="K6" s="712"/>
    </row>
    <row r="7" spans="1:12" ht="14.1" customHeight="1" x14ac:dyDescent="0.2">
      <c r="C7" s="713">
        <f>IF(G7&lt;&gt;"",INDEX(tblVoedingPO,KeuzePO_1,1),)</f>
        <v>0</v>
      </c>
      <c r="F7" s="713" t="str">
        <f>Intake!G9</f>
        <v/>
      </c>
      <c r="G7" s="713" t="str">
        <f>Intake!C9&amp;" "&amp;Intake!D9</f>
        <v xml:space="preserve"> </v>
      </c>
      <c r="K7" s="712"/>
      <c r="L7" s="719"/>
    </row>
    <row r="8" spans="1:12" ht="12.6" customHeight="1" x14ac:dyDescent="0.2">
      <c r="B8" s="715"/>
      <c r="C8" s="718"/>
      <c r="D8" s="724" t="str">
        <f>IF(KeuzePO_2&gt;1,"met "&amp;Intake!C11&amp;" "&amp;Intake!D11&amp;" "&amp;INDEX(tblPO_poederlijst,KeuzePO_2,1),"")</f>
        <v/>
      </c>
      <c r="H8" s="713" t="str">
        <f>Intake!I11</f>
        <v/>
      </c>
      <c r="K8" s="712"/>
      <c r="L8" s="719"/>
    </row>
    <row r="9" spans="1:12" ht="12.6" customHeight="1" x14ac:dyDescent="0.2">
      <c r="B9" s="715"/>
      <c r="C9" s="718"/>
      <c r="D9" s="724" t="str">
        <f>IF(KeuzePO_3&gt;1,"met "&amp;Intake!C12&amp;" "&amp;Intake!D12&amp;" "&amp;INDEX(tblPO_poederlijst,KeuzePO_3,1),"")</f>
        <v/>
      </c>
      <c r="H9" s="713" t="str">
        <f>Intake!I12</f>
        <v/>
      </c>
      <c r="K9" s="712"/>
      <c r="L9" s="719"/>
    </row>
    <row r="10" spans="1:12" ht="12.6" customHeight="1" x14ac:dyDescent="0.2">
      <c r="B10" s="715"/>
      <c r="C10" s="718"/>
      <c r="D10" s="724" t="str">
        <f>IF(KeuzePO_4&gt;1,"met "&amp;Intake!C13&amp;" "&amp;Intake!D13&amp;" "&amp;INDEX(tblPO_poederlijst,KeuzePO_4,1),"")</f>
        <v/>
      </c>
      <c r="H10" s="713" t="str">
        <f>Intake!I13</f>
        <v/>
      </c>
      <c r="K10" s="725"/>
      <c r="L10" s="719"/>
    </row>
    <row r="11" spans="1:12" ht="12.6" customHeight="1" x14ac:dyDescent="0.2">
      <c r="K11" s="725"/>
      <c r="L11" s="719"/>
    </row>
    <row r="12" spans="1:12" ht="12.6" customHeight="1" x14ac:dyDescent="0.2">
      <c r="A12" s="722"/>
      <c r="B12" s="726"/>
      <c r="C12" s="727" t="s">
        <v>597</v>
      </c>
      <c r="D12" s="848">
        <f>ber_Opm!C15</f>
        <v>0</v>
      </c>
      <c r="E12" s="849"/>
      <c r="F12" s="849"/>
      <c r="G12" s="849"/>
      <c r="H12" s="849"/>
      <c r="I12" s="849"/>
      <c r="J12" s="849"/>
      <c r="K12" s="725"/>
      <c r="L12" s="719"/>
    </row>
    <row r="13" spans="1:12" ht="12.6" customHeight="1" x14ac:dyDescent="0.2">
      <c r="L13" s="719"/>
    </row>
    <row r="14" spans="1:12" ht="12.6" customHeight="1" x14ac:dyDescent="0.2">
      <c r="A14" s="722"/>
      <c r="B14" s="723" t="s">
        <v>247</v>
      </c>
      <c r="C14" s="722"/>
      <c r="D14" s="722"/>
      <c r="E14" s="722"/>
      <c r="F14" s="722"/>
      <c r="G14" s="722"/>
      <c r="H14" s="722"/>
      <c r="I14" s="722"/>
      <c r="J14" s="722"/>
      <c r="L14" s="719"/>
    </row>
    <row r="15" spans="1:12" ht="12.6" customHeight="1" x14ac:dyDescent="0.2">
      <c r="B15" s="718"/>
      <c r="C15" s="718" t="s">
        <v>771</v>
      </c>
      <c r="D15" s="856" t="str">
        <f>TRIM(Ber_Lab!B4&amp;" "&amp;Ber_Lab!B5&amp;"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"&amp;Ber_Lab!B31&amp;" "&amp;Ber_Lab!B32&amp;" "&amp;Ber_Lab!B33&amp;" "&amp;Ber_Lab!B34&amp;" "&amp;Ber_Lab!B35)</f>
        <v/>
      </c>
      <c r="E15" s="857"/>
      <c r="F15" s="857"/>
      <c r="G15" s="857"/>
      <c r="H15" s="857"/>
      <c r="I15" s="857"/>
      <c r="J15" s="857"/>
      <c r="L15" s="719"/>
    </row>
    <row r="16" spans="1:12" ht="12.6" customHeight="1" x14ac:dyDescent="0.2">
      <c r="B16" s="718"/>
      <c r="C16" s="718" t="s">
        <v>928</v>
      </c>
      <c r="D16" s="854" t="str">
        <f>TRIM(Ber_Lab!D4&amp;" "&amp;Ber_Lab!D5&amp;"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"&amp;Ber_Lab!D31&amp;" "&amp;Ber_Lab!D32&amp;" "&amp;Ber_Lab!D33&amp;" "&amp;Ber_Lab!D34)</f>
        <v>A</v>
      </c>
      <c r="E16" s="855"/>
      <c r="F16" s="855"/>
      <c r="G16" s="855"/>
      <c r="H16" s="855"/>
      <c r="I16" s="855"/>
      <c r="J16" s="855"/>
      <c r="L16" s="719"/>
    </row>
    <row r="17" spans="1:12" ht="12.6" customHeight="1" x14ac:dyDescent="0.2">
      <c r="B17" s="718"/>
      <c r="C17" s="718" t="s">
        <v>929</v>
      </c>
      <c r="D17" s="854" t="str">
        <f>TRIM(Ber_Lab!F4&amp;" "&amp;Ber_Lab!F5&amp;"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"&amp;Ber_Lab!F31&amp;" "&amp;Ber_Lab!F32&amp;" "&amp;Ber_Lab!F33&amp;" "&amp;Ber_Lab!F34)</f>
        <v/>
      </c>
      <c r="E17" s="858"/>
      <c r="F17" s="858"/>
      <c r="G17" s="858"/>
      <c r="H17" s="858"/>
      <c r="I17" s="858"/>
      <c r="J17" s="858"/>
      <c r="L17" s="719"/>
    </row>
    <row r="18" spans="1:12" ht="12.6" customHeight="1" x14ac:dyDescent="0.2">
      <c r="B18" s="718"/>
      <c r="C18" s="718" t="s">
        <v>287</v>
      </c>
      <c r="D18" s="854" t="str">
        <f>TRIM(Ber_Lab!H4&amp;" "&amp;Ber_Lab!H5&amp;"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"&amp;Ber_Lab!H31&amp;" "&amp;Ber_Lab!H32&amp;" "&amp;Ber_Lab!H33&amp;" "&amp;Ber_Lab!H34)</f>
        <v/>
      </c>
      <c r="E18" s="858"/>
      <c r="F18" s="858"/>
      <c r="G18" s="858"/>
      <c r="H18" s="858"/>
      <c r="I18" s="858"/>
      <c r="J18" s="858"/>
      <c r="L18" s="719"/>
    </row>
    <row r="19" spans="1:12" ht="12.6" customHeight="1" x14ac:dyDescent="0.2">
      <c r="B19" s="718"/>
      <c r="C19" s="728" t="s">
        <v>25</v>
      </c>
      <c r="D19" s="854" t="str">
        <f>TRIM(Ber_Lab!K4&amp;" "&amp;Ber_Lab!K5&amp;" "&amp;Ber_Lab!K6&amp;" "&amp;Ber_Lab!K7&amp;" "&amp;Ber_Lab!K8&amp;" "&amp;Ber_Lab!K9&amp;" "&amp;Ber_Lab!K10&amp;" "&amp;Ber_Lab!K11&amp;" "&amp;Ber_Lab!K12&amp;" "&amp;Ber_Lab!K13&amp;" "&amp;Ber_Lab!K14&amp;" "&amp;Ber_Lab!K15&amp;" "&amp;Ber_Lab!K16&amp;" "&amp;Ber_Lab!K17&amp;" "&amp;Ber_Lab!K18&amp;" "&amp;Ber_Lab!K19&amp;" "&amp;Ber_Lab!K20&amp;" "&amp;Ber_Lab!K21&amp;" "&amp;Ber_Lab!K22&amp;" "&amp;Ber_Lab!K23&amp;" "&amp;Ber_Lab!K24&amp;" "&amp;Ber_Lab!K25&amp;" "&amp;Ber_Lab!K26&amp;" "&amp;Ber_Lab!K27&amp;" "&amp;Ber_Lab!K28&amp;" "&amp;Ber_Lab!K29&amp;" "&amp;Ber_Lab!K30&amp;" "&amp;Ber_Lab!K31&amp;" "&amp;Ber_Lab!K32&amp;" "&amp;Ber_Lab!K33&amp;" "&amp;Ber_Lab!K34)</f>
        <v/>
      </c>
      <c r="E19" s="859"/>
      <c r="F19" s="859"/>
      <c r="G19" s="859"/>
      <c r="H19" s="859"/>
      <c r="I19" s="859"/>
      <c r="J19" s="859"/>
      <c r="L19" s="719"/>
    </row>
    <row r="20" spans="1:12" ht="12.6" customHeight="1" x14ac:dyDescent="0.2">
      <c r="B20" s="718"/>
      <c r="C20" s="728" t="s">
        <v>597</v>
      </c>
      <c r="D20" s="850">
        <f>ber_Opm!C10</f>
        <v>0</v>
      </c>
      <c r="E20" s="851"/>
      <c r="F20" s="851"/>
      <c r="G20" s="851"/>
      <c r="H20" s="851"/>
      <c r="I20" s="851"/>
      <c r="J20" s="851"/>
      <c r="L20" s="719"/>
    </row>
    <row r="21" spans="1:12" ht="12.6" customHeight="1" x14ac:dyDescent="0.2">
      <c r="A21" s="722"/>
      <c r="B21" s="727"/>
      <c r="C21" s="729"/>
      <c r="D21" s="852"/>
      <c r="E21" s="852"/>
      <c r="F21" s="852"/>
      <c r="G21" s="852"/>
      <c r="H21" s="852"/>
      <c r="I21" s="852"/>
      <c r="J21" s="852"/>
      <c r="L21" s="719"/>
    </row>
    <row r="22" spans="1:12" ht="12.6" customHeight="1" x14ac:dyDescent="0.2">
      <c r="L22" s="719"/>
    </row>
    <row r="23" spans="1:12" ht="12.6" customHeight="1" x14ac:dyDescent="0.2">
      <c r="A23" s="722"/>
      <c r="B23" s="723" t="s">
        <v>132</v>
      </c>
      <c r="C23" s="730"/>
      <c r="D23" s="722"/>
      <c r="E23" s="722"/>
      <c r="F23" s="722"/>
      <c r="G23" s="722"/>
      <c r="H23" s="722"/>
      <c r="I23" s="722"/>
      <c r="J23" s="722"/>
      <c r="L23" s="719"/>
    </row>
    <row r="24" spans="1:12" ht="12.6" customHeight="1" x14ac:dyDescent="0.2">
      <c r="B24" s="712" t="s">
        <v>585</v>
      </c>
      <c r="C24" s="731" t="s">
        <v>1477</v>
      </c>
      <c r="D24" s="731" t="str">
        <f>IFERROR(LEFT(_Aanvullend_Controles_Ped,LEN(_Aanvullend_Controles_Ped)-3),"")</f>
        <v/>
      </c>
      <c r="L24" s="719"/>
    </row>
    <row r="25" spans="1:12" ht="12.6" customHeight="1" x14ac:dyDescent="0.2">
      <c r="B25" s="712" t="s">
        <v>586</v>
      </c>
      <c r="C25" s="731" t="s">
        <v>1483</v>
      </c>
      <c r="D25" s="731" t="str">
        <f>IFERROR(LEFT(_Aanvullend_Onderzoek_Ped,LEN(_Aanvullend_Onderzoek_Ped)-3),"")</f>
        <v/>
      </c>
      <c r="L25" s="719"/>
    </row>
    <row r="26" spans="1:12" ht="12.6" customHeight="1" x14ac:dyDescent="0.2">
      <c r="B26" s="712" t="s">
        <v>587</v>
      </c>
      <c r="C26" s="731" t="s">
        <v>1726</v>
      </c>
      <c r="D26" s="731" t="str">
        <f>IFERROR(LEFT(_Aanvullend_Instellingen_Ped,LEN(_Aanvullend_Instellingen_Ped)-3),"")</f>
        <v/>
      </c>
      <c r="L26" s="719"/>
    </row>
    <row r="27" spans="1:12" ht="12.6" customHeight="1" x14ac:dyDescent="0.2">
      <c r="B27" s="712" t="s">
        <v>588</v>
      </c>
      <c r="C27" s="731" t="s">
        <v>1335</v>
      </c>
      <c r="D27" s="731" t="str">
        <f>IFERROR(LEFT(_Aanvullend_Overig_Ped,LEN(_Aanvullend_Overig_Ped)-3),"")</f>
        <v/>
      </c>
      <c r="L27" s="719"/>
    </row>
    <row r="28" spans="1:12" ht="12.6" customHeight="1" x14ac:dyDescent="0.2">
      <c r="C28" s="732"/>
      <c r="D28" s="733"/>
      <c r="E28" s="733"/>
      <c r="F28" s="733"/>
      <c r="G28" s="733"/>
      <c r="H28" s="733"/>
      <c r="I28" s="733"/>
      <c r="J28" s="733"/>
      <c r="L28" s="719"/>
    </row>
    <row r="29" spans="1:12" ht="12.6" customHeight="1" x14ac:dyDescent="0.2">
      <c r="C29" s="734"/>
      <c r="D29" s="733"/>
      <c r="E29" s="733"/>
      <c r="F29" s="733"/>
      <c r="G29" s="733"/>
      <c r="H29" s="733"/>
      <c r="I29" s="733"/>
      <c r="J29" s="733"/>
      <c r="L29" s="719"/>
    </row>
    <row r="30" spans="1:12" ht="12.6" customHeight="1" x14ac:dyDescent="0.2">
      <c r="C30" s="732"/>
      <c r="D30" s="733"/>
      <c r="E30" s="733"/>
      <c r="F30" s="733"/>
      <c r="G30" s="733"/>
      <c r="H30" s="733"/>
      <c r="I30" s="733"/>
      <c r="J30" s="733"/>
      <c r="L30" s="719"/>
    </row>
    <row r="31" spans="1:12" ht="12.6" customHeight="1" x14ac:dyDescent="0.2">
      <c r="C31" s="732"/>
      <c r="D31" s="733"/>
      <c r="E31" s="733"/>
      <c r="F31" s="733"/>
      <c r="G31" s="733"/>
      <c r="H31" s="733"/>
      <c r="I31" s="733"/>
      <c r="J31" s="733"/>
      <c r="L31" s="719"/>
    </row>
    <row r="32" spans="1:12" ht="12.6" customHeight="1" x14ac:dyDescent="0.2">
      <c r="B32" s="735" t="s">
        <v>183</v>
      </c>
      <c r="C32" s="722"/>
      <c r="D32" s="722"/>
      <c r="F32" s="722" t="s">
        <v>927</v>
      </c>
      <c r="G32" s="722"/>
      <c r="H32" s="722"/>
      <c r="I32" s="722"/>
      <c r="L32" s="719"/>
    </row>
    <row r="33" spans="1:12" ht="12.6" customHeight="1" x14ac:dyDescent="0.2">
      <c r="L33" s="719"/>
    </row>
    <row r="34" spans="1:12" ht="12.6" customHeight="1" x14ac:dyDescent="0.2">
      <c r="B34" s="715"/>
      <c r="C34" s="716" t="s">
        <v>938</v>
      </c>
      <c r="D34" s="717">
        <f ca="1">TODAY()</f>
        <v>42703</v>
      </c>
      <c r="E34" s="716" t="s">
        <v>939</v>
      </c>
      <c r="F34" s="847" t="str">
        <f>_AchterNaam&amp;", "&amp;_VoorNaam</f>
        <v>Test, Test</v>
      </c>
      <c r="G34" s="847"/>
      <c r="H34" s="718" t="s">
        <v>573</v>
      </c>
      <c r="I34" s="713" t="str">
        <f>Gewicht/10&amp;" kg"</f>
        <v>10 kg</v>
      </c>
      <c r="J34" s="709"/>
      <c r="L34" s="719"/>
    </row>
    <row r="35" spans="1:12" ht="12.6" customHeight="1" x14ac:dyDescent="0.2">
      <c r="B35" s="715"/>
      <c r="C35" s="716" t="s">
        <v>440</v>
      </c>
      <c r="D35" s="720">
        <f ca="1">AfspraakDatum-OpnDatum+1</f>
        <v>6</v>
      </c>
      <c r="E35" s="716" t="s">
        <v>937</v>
      </c>
      <c r="F35" s="721">
        <f>GebDatum</f>
        <v>42280</v>
      </c>
      <c r="G35" s="709"/>
      <c r="H35" s="718" t="s">
        <v>266</v>
      </c>
      <c r="I35" s="713" t="str">
        <f>Lengte&amp;" cm"</f>
        <v>80 cm</v>
      </c>
      <c r="J35" s="709"/>
      <c r="L35" s="719"/>
    </row>
    <row r="36" spans="1:12" ht="12.6" customHeight="1" x14ac:dyDescent="0.2">
      <c r="D36" s="709"/>
      <c r="F36" s="709"/>
      <c r="H36" s="718" t="s">
        <v>267</v>
      </c>
      <c r="I36" s="713" t="str">
        <f>ROUND(POWER(Gewicht/10,0.425)*POWER(((Lengte/100)*100),0.725)*0.007184,2)&amp;" m2"</f>
        <v>0,46 m2</v>
      </c>
      <c r="L36" s="719"/>
    </row>
    <row r="37" spans="1:12" ht="12.6" customHeight="1" x14ac:dyDescent="0.2">
      <c r="D37" s="709"/>
      <c r="F37" s="709"/>
      <c r="L37" s="719"/>
    </row>
    <row r="38" spans="1:12" ht="12.6" customHeight="1" x14ac:dyDescent="0.2">
      <c r="A38" s="722"/>
      <c r="B38" s="723" t="s">
        <v>47</v>
      </c>
      <c r="C38" s="730"/>
      <c r="D38" s="722"/>
      <c r="E38" s="722"/>
      <c r="F38" s="722"/>
      <c r="G38" s="722"/>
      <c r="H38" s="722"/>
      <c r="I38" s="722"/>
      <c r="J38" s="722"/>
      <c r="L38" s="719"/>
    </row>
    <row r="39" spans="1:12" ht="12.6" customHeight="1" x14ac:dyDescent="0.2">
      <c r="B39" s="712">
        <v>1</v>
      </c>
      <c r="C39" s="713">
        <f>INDEX(tblInfusen,ber_Infusen!B2,1)</f>
        <v>0</v>
      </c>
      <c r="L39" s="719" t="str">
        <f t="shared" ref="L39:L44" si="0">IF(C39=0,"D","")</f>
        <v>D</v>
      </c>
    </row>
    <row r="40" spans="1:12" ht="12.6" customHeight="1" x14ac:dyDescent="0.2">
      <c r="B40" s="712">
        <v>2</v>
      </c>
      <c r="C40" s="713">
        <f>INDEX(tblInfusen,ber_Infusen!B3,1)</f>
        <v>0</v>
      </c>
      <c r="L40" s="719" t="str">
        <f t="shared" si="0"/>
        <v>D</v>
      </c>
    </row>
    <row r="41" spans="1:12" ht="12.6" customHeight="1" x14ac:dyDescent="0.2">
      <c r="B41" s="712">
        <v>3</v>
      </c>
      <c r="C41" s="713">
        <f>INDEX(tblInfusen,ber_Infusen!B4,1)</f>
        <v>0</v>
      </c>
      <c r="L41" s="719" t="str">
        <f t="shared" si="0"/>
        <v>D</v>
      </c>
    </row>
    <row r="42" spans="1:12" ht="12.6" customHeight="1" x14ac:dyDescent="0.2">
      <c r="B42" s="712">
        <v>4</v>
      </c>
      <c r="C42" s="713">
        <f>INDEX(tblInfusen,ber_Infusen!B5,1)</f>
        <v>0</v>
      </c>
      <c r="L42" s="719" t="str">
        <f t="shared" si="0"/>
        <v>D</v>
      </c>
    </row>
    <row r="43" spans="1:12" ht="12.6" customHeight="1" x14ac:dyDescent="0.2">
      <c r="B43" s="712">
        <v>5</v>
      </c>
      <c r="C43" s="713">
        <f>INDEX(tblInfusen,ber_Infusen!B6,1)</f>
        <v>0</v>
      </c>
      <c r="L43" s="719" t="str">
        <f t="shared" si="0"/>
        <v>D</v>
      </c>
    </row>
    <row r="44" spans="1:12" ht="12.6" customHeight="1" x14ac:dyDescent="0.2">
      <c r="B44" s="712">
        <v>6</v>
      </c>
      <c r="C44" s="713">
        <f>INDEX(tblInfusen,ber_Infusen!B7,1)</f>
        <v>0</v>
      </c>
      <c r="L44" s="719" t="str">
        <f t="shared" si="0"/>
        <v>D</v>
      </c>
    </row>
    <row r="45" spans="1:12" ht="12.6" customHeight="1" x14ac:dyDescent="0.2">
      <c r="L45" s="719"/>
    </row>
    <row r="46" spans="1:12" ht="12.6" customHeight="1" x14ac:dyDescent="0.2">
      <c r="A46" s="722"/>
      <c r="B46" s="726"/>
      <c r="C46" s="727" t="s">
        <v>597</v>
      </c>
      <c r="D46" s="848">
        <f>ber_Opm!C3</f>
        <v>0</v>
      </c>
      <c r="E46" s="849"/>
      <c r="F46" s="849"/>
      <c r="G46" s="849"/>
      <c r="H46" s="849"/>
      <c r="I46" s="849"/>
      <c r="J46" s="849"/>
      <c r="L46" s="719"/>
    </row>
    <row r="47" spans="1:12" ht="12.6" customHeight="1" x14ac:dyDescent="0.2">
      <c r="L47" s="719"/>
    </row>
    <row r="48" spans="1:12" ht="12.6" customHeight="1" x14ac:dyDescent="0.2">
      <c r="L48" s="719"/>
    </row>
    <row r="49" spans="1:12" ht="12.6" customHeight="1" x14ac:dyDescent="0.2">
      <c r="A49" s="722"/>
      <c r="B49" s="723" t="s">
        <v>598</v>
      </c>
      <c r="C49" s="722"/>
      <c r="D49" s="722"/>
      <c r="E49" s="722"/>
      <c r="F49" s="722"/>
      <c r="G49" s="722"/>
      <c r="H49" s="722"/>
      <c r="I49" s="722"/>
      <c r="J49" s="722"/>
      <c r="L49" s="719"/>
    </row>
    <row r="50" spans="1:12" ht="12.6" customHeight="1" x14ac:dyDescent="0.2">
      <c r="B50" s="715"/>
      <c r="C50" s="718" t="s">
        <v>618</v>
      </c>
      <c r="D50" s="718"/>
      <c r="E50" s="718" t="s">
        <v>193</v>
      </c>
      <c r="F50" s="718"/>
      <c r="G50" s="718" t="s">
        <v>619</v>
      </c>
      <c r="H50" s="718"/>
      <c r="I50" s="718"/>
      <c r="J50" s="718" t="s">
        <v>421</v>
      </c>
      <c r="L50" s="719"/>
    </row>
    <row r="51" spans="1:12" ht="12.6" customHeight="1" x14ac:dyDescent="0.2">
      <c r="B51" s="712">
        <v>1</v>
      </c>
      <c r="C51" s="713">
        <f>MedicatieIV!C9</f>
        <v>0</v>
      </c>
      <c r="E51" s="713" t="str">
        <f>IF(C51&lt;&gt;0,MedicatieIV!D9&amp;" in "&amp;MedicatieIV!E9&amp;IF(AND(ber_IVmed!D5&lt;&gt;4,MedicatieIV!F9&lt;&gt;0)," "&amp;MedicatieIV!F9,""),"")</f>
        <v/>
      </c>
      <c r="G51" s="713" t="str">
        <f>IF(C51&lt;&gt;0,MedicatieIV!G9&amp;" (="&amp;MedicatieIV!H9&amp;" " &amp; MedicatieIV!I9 &amp;")","")</f>
        <v/>
      </c>
      <c r="J51" s="713" t="str">
        <f>MedicatieIV!J9</f>
        <v/>
      </c>
      <c r="L51" s="719" t="str">
        <f t="shared" ref="L51:L65" si="1">IF(C51=0,"D","")</f>
        <v>D</v>
      </c>
    </row>
    <row r="52" spans="1:12" ht="12.6" customHeight="1" x14ac:dyDescent="0.2">
      <c r="B52" s="712">
        <v>2</v>
      </c>
      <c r="C52" s="713">
        <f>MedicatieIV!C10</f>
        <v>0</v>
      </c>
      <c r="E52" s="713" t="str">
        <f>IF(C52&lt;&gt;0,MedicatieIV!D10&amp;" in "&amp;MedicatieIV!E10&amp;IF(AND(ber_IVmed!D6&lt;&gt;4,MedicatieIV!F10&lt;&gt;0)," "&amp;MedicatieIV!F10,""),"")</f>
        <v/>
      </c>
      <c r="G52" s="713" t="str">
        <f>IF(C52&lt;&gt;0,MedicatieIV!G10&amp;" (="&amp;MedicatieIV!H10&amp;" " &amp; MedicatieIV!I10 &amp;")","")</f>
        <v/>
      </c>
      <c r="J52" s="713" t="str">
        <f>MedicatieIV!J10</f>
        <v/>
      </c>
      <c r="L52" s="719" t="str">
        <f t="shared" si="1"/>
        <v>D</v>
      </c>
    </row>
    <row r="53" spans="1:12" ht="12.6" customHeight="1" x14ac:dyDescent="0.2">
      <c r="B53" s="712">
        <v>3</v>
      </c>
      <c r="C53" s="713">
        <f>MedicatieIV!C11</f>
        <v>0</v>
      </c>
      <c r="E53" s="713" t="str">
        <f>IF(C53&lt;&gt;0,MedicatieIV!D11&amp;" in "&amp;MedicatieIV!E11&amp;IF(AND(ber_IVmed!D7&lt;&gt;4,MedicatieIV!F11&lt;&gt;0)," "&amp;MedicatieIV!F11,""),"")</f>
        <v/>
      </c>
      <c r="G53" s="713" t="str">
        <f>IF(C53&lt;&gt;0,MedicatieIV!G11&amp;" (="&amp;MedicatieIV!H11&amp;" " &amp; MedicatieIV!I11 &amp;")","")</f>
        <v/>
      </c>
      <c r="J53" s="713" t="str">
        <f>MedicatieIV!J11</f>
        <v/>
      </c>
      <c r="L53" s="719" t="str">
        <f t="shared" si="1"/>
        <v>D</v>
      </c>
    </row>
    <row r="54" spans="1:12" ht="12.6" customHeight="1" x14ac:dyDescent="0.2">
      <c r="B54" s="712">
        <v>4</v>
      </c>
      <c r="C54" s="713">
        <f>MedicatieIV!C12</f>
        <v>0</v>
      </c>
      <c r="E54" s="713" t="str">
        <f>IF(C54&lt;&gt;0,MedicatieIV!D12&amp;" in "&amp;MedicatieIV!E12&amp;IF(AND(ber_IVmed!D8&lt;&gt;4,MedicatieIV!F12&lt;&gt;0)," "&amp;MedicatieIV!F12,""),"")</f>
        <v/>
      </c>
      <c r="G54" s="713" t="str">
        <f>IF(C54&lt;&gt;0,MedicatieIV!G12&amp;" (="&amp;MedicatieIV!H12&amp;" " &amp; MedicatieIV!I12 &amp;")","")</f>
        <v/>
      </c>
      <c r="J54" s="713" t="str">
        <f>MedicatieIV!J12</f>
        <v/>
      </c>
      <c r="L54" s="719" t="str">
        <f t="shared" si="1"/>
        <v>D</v>
      </c>
    </row>
    <row r="55" spans="1:12" ht="12.6" customHeight="1" x14ac:dyDescent="0.2">
      <c r="B55" s="712">
        <v>5</v>
      </c>
      <c r="C55" s="713">
        <f>MedicatieIV!C13</f>
        <v>0</v>
      </c>
      <c r="E55" s="713" t="str">
        <f>IF(C55&lt;&gt;0,MedicatieIV!D13&amp;" in "&amp;MedicatieIV!E13&amp;IF(AND(ber_IVmed!D9&lt;&gt;4,MedicatieIV!F13&lt;&gt;0)," "&amp;MedicatieIV!F13,""),"")</f>
        <v/>
      </c>
      <c r="G55" s="713" t="str">
        <f>IF(C55&lt;&gt;0,MedicatieIV!G13&amp;" (="&amp;MedicatieIV!H13&amp;" " &amp; MedicatieIV!I13 &amp;")","")</f>
        <v/>
      </c>
      <c r="J55" s="713" t="str">
        <f>MedicatieIV!J13</f>
        <v/>
      </c>
      <c r="L55" s="719" t="str">
        <f t="shared" si="1"/>
        <v>D</v>
      </c>
    </row>
    <row r="56" spans="1:12" ht="12.6" customHeight="1" x14ac:dyDescent="0.2">
      <c r="B56" s="712">
        <v>6</v>
      </c>
      <c r="C56" s="713">
        <f>MedicatieIV!C14</f>
        <v>0</v>
      </c>
      <c r="E56" s="713" t="str">
        <f>IF(C56&lt;&gt;0,MedicatieIV!D14&amp;" in "&amp;MedicatieIV!E14&amp;IF(AND(ber_IVmed!D10&lt;&gt;4,MedicatieIV!F14&lt;&gt;0)," "&amp;MedicatieIV!F14,""),"")</f>
        <v/>
      </c>
      <c r="G56" s="713" t="str">
        <f>IF(C56&lt;&gt;0,MedicatieIV!G14&amp;" (="&amp;MedicatieIV!H14&amp;" " &amp; MedicatieIV!I14 &amp;")","")</f>
        <v/>
      </c>
      <c r="J56" s="713" t="str">
        <f>MedicatieIV!J14</f>
        <v/>
      </c>
      <c r="L56" s="719" t="str">
        <f t="shared" si="1"/>
        <v>D</v>
      </c>
    </row>
    <row r="57" spans="1:12" ht="12.6" customHeight="1" x14ac:dyDescent="0.2">
      <c r="B57" s="712">
        <v>7</v>
      </c>
      <c r="C57" s="713">
        <f>MedicatieIV!C15</f>
        <v>0</v>
      </c>
      <c r="E57" s="713" t="str">
        <f>IF(C57&lt;&gt;0,MedicatieIV!D15&amp;" in "&amp;MedicatieIV!E15&amp;IF(AND(ber_IVmed!D11&lt;&gt;4,MedicatieIV!F15&lt;&gt;0)," "&amp;MedicatieIV!F15,""),"")</f>
        <v/>
      </c>
      <c r="G57" s="713" t="str">
        <f>IF(C57&lt;&gt;0,MedicatieIV!G15&amp;" (="&amp;MedicatieIV!H15&amp;" " &amp; MedicatieIV!I15 &amp;")","")</f>
        <v/>
      </c>
      <c r="J57" s="713" t="str">
        <f>MedicatieIV!J15</f>
        <v/>
      </c>
      <c r="L57" s="719" t="str">
        <f t="shared" si="1"/>
        <v>D</v>
      </c>
    </row>
    <row r="58" spans="1:12" ht="12.6" customHeight="1" x14ac:dyDescent="0.2">
      <c r="B58" s="712">
        <v>8</v>
      </c>
      <c r="C58" s="713">
        <f>MedicatieIV!C16</f>
        <v>0</v>
      </c>
      <c r="E58" s="713" t="str">
        <f>IF(C58&lt;&gt;0,MedicatieIV!D16&amp;" in "&amp;MedicatieIV!E16&amp;IF(AND(ber_IVmed!D12&lt;&gt;4,MedicatieIV!F16&lt;&gt;0)," "&amp;MedicatieIV!F16,""),"")</f>
        <v/>
      </c>
      <c r="G58" s="713" t="str">
        <f>IF(C58&lt;&gt;0,MedicatieIV!G16&amp;" (="&amp;MedicatieIV!H16&amp;" " &amp; MedicatieIV!I16 &amp;")","")</f>
        <v/>
      </c>
      <c r="J58" s="713" t="str">
        <f>MedicatieIV!J16</f>
        <v/>
      </c>
      <c r="L58" s="719" t="str">
        <f t="shared" si="1"/>
        <v>D</v>
      </c>
    </row>
    <row r="59" spans="1:12" ht="12.6" customHeight="1" x14ac:dyDescent="0.2">
      <c r="B59" s="712">
        <v>9</v>
      </c>
      <c r="C59" s="713">
        <f>MedicatieIV!C17</f>
        <v>0</v>
      </c>
      <c r="E59" s="713" t="str">
        <f>IF(C59&lt;&gt;0,MedicatieIV!D17&amp;" in "&amp;MedicatieIV!E17&amp;IF(AND(ber_IVmed!D13&lt;&gt;4,MedicatieIV!F17&lt;&gt;0)," "&amp;MedicatieIV!F17,""),"")</f>
        <v/>
      </c>
      <c r="G59" s="713" t="str">
        <f>IF(C59&lt;&gt;0,MedicatieIV!G17&amp;" (="&amp;MedicatieIV!H17&amp;" " &amp; MedicatieIV!I17 &amp;")","")</f>
        <v/>
      </c>
      <c r="J59" s="713" t="str">
        <f>MedicatieIV!J17</f>
        <v/>
      </c>
      <c r="L59" s="719" t="str">
        <f t="shared" si="1"/>
        <v>D</v>
      </c>
    </row>
    <row r="60" spans="1:12" ht="12.6" customHeight="1" x14ac:dyDescent="0.2">
      <c r="B60" s="712">
        <v>10</v>
      </c>
      <c r="C60" s="713">
        <f>MedicatieIV!C18</f>
        <v>0</v>
      </c>
      <c r="E60" s="713" t="str">
        <f>IF(C60&lt;&gt;0,MedicatieIV!D18&amp;" in "&amp;MedicatieIV!E18&amp;IF(AND(ber_IVmed!D14&lt;&gt;4,MedicatieIV!F18&lt;&gt;0)," "&amp;MedicatieIV!F18,""),"")</f>
        <v/>
      </c>
      <c r="G60" s="713" t="str">
        <f>IF(C60&lt;&gt;0,MedicatieIV!G18&amp;" (="&amp;MedicatieIV!H18&amp;" " &amp; MedicatieIV!I18 &amp;")","")</f>
        <v/>
      </c>
      <c r="J60" s="713" t="str">
        <f>MedicatieIV!J18</f>
        <v/>
      </c>
      <c r="L60" s="719" t="str">
        <f t="shared" si="1"/>
        <v>D</v>
      </c>
    </row>
    <row r="61" spans="1:12" ht="12.6" customHeight="1" x14ac:dyDescent="0.2">
      <c r="B61" s="712">
        <v>11</v>
      </c>
      <c r="C61" s="713">
        <f>MedicatieIV!C20</f>
        <v>0</v>
      </c>
      <c r="E61" s="713" t="str">
        <f>IF(C61&lt;&gt;0,MedicatieIV!D20&amp;" in "&amp;MedicatieIV!E20&amp;IF(AND(ber_IVmed!D15&lt;&gt;4,MedicatieIV!F20&lt;&gt;0)," "&amp;MedicatieIV!F20,""),"")</f>
        <v/>
      </c>
      <c r="G61" s="713" t="str">
        <f>IF(C61&lt;&gt;0,MedicatieIV!G20,"")</f>
        <v/>
      </c>
      <c r="J61" s="713" t="str">
        <f>MedicatieIV!J20</f>
        <v/>
      </c>
      <c r="L61" s="719" t="str">
        <f t="shared" si="1"/>
        <v>D</v>
      </c>
    </row>
    <row r="62" spans="1:12" ht="12.6" customHeight="1" x14ac:dyDescent="0.2">
      <c r="B62" s="712">
        <v>12</v>
      </c>
      <c r="C62" s="713">
        <f>MedicatieIV!C21</f>
        <v>0</v>
      </c>
      <c r="E62" s="713" t="str">
        <f>IF(C62&lt;&gt;0,MedicatieIV!D21&amp;" in "&amp;MedicatieIV!E21&amp;IF(AND(ber_IVmed!D16&lt;&gt;4,MedicatieIV!F21&lt;&gt;0)," "&amp;MedicatieIV!F21,""),"")</f>
        <v/>
      </c>
      <c r="G62" s="713" t="str">
        <f>IF(C62&lt;&gt;0,MedicatieIV!G21,"")</f>
        <v/>
      </c>
      <c r="J62" s="713" t="str">
        <f>MedicatieIV!J21</f>
        <v/>
      </c>
      <c r="L62" s="719" t="str">
        <f t="shared" si="1"/>
        <v>D</v>
      </c>
    </row>
    <row r="63" spans="1:12" ht="12.6" customHeight="1" x14ac:dyDescent="0.2">
      <c r="B63" s="712">
        <v>13</v>
      </c>
      <c r="C63" s="713">
        <f>MedicatieIV!C22</f>
        <v>0</v>
      </c>
      <c r="E63" s="713" t="str">
        <f>IF(C63&lt;&gt;0,MedicatieIV!D22&amp;" in "&amp;MedicatieIV!E22&amp;IF(AND(ber_IVmed!D17&lt;&gt;4,MedicatieIV!F22&lt;&gt;0)," "&amp;MedicatieIV!F22,""),"")</f>
        <v/>
      </c>
      <c r="G63" s="713" t="str">
        <f>IF(C63&lt;&gt;0,MedicatieIV!G22,"")</f>
        <v/>
      </c>
      <c r="J63" s="713" t="str">
        <f>MedicatieIV!J22</f>
        <v/>
      </c>
      <c r="L63" s="719" t="str">
        <f t="shared" si="1"/>
        <v>D</v>
      </c>
    </row>
    <row r="64" spans="1:12" ht="12.6" customHeight="1" x14ac:dyDescent="0.2">
      <c r="B64" s="712">
        <v>14</v>
      </c>
      <c r="C64" s="713">
        <f>MedicatieIV!C23</f>
        <v>0</v>
      </c>
      <c r="E64" s="713" t="str">
        <f>IF(C64&lt;&gt;0,MedicatieIV!D23&amp;" in "&amp;MedicatieIV!E23&amp;IF(AND(ber_IVmed!D18&lt;&gt;4,MedicatieIV!F23&lt;&gt;0)," "&amp;MedicatieIV!F23,""),"")</f>
        <v/>
      </c>
      <c r="G64" s="713" t="str">
        <f>IF(C64&lt;&gt;0,MedicatieIV!G23,"")</f>
        <v/>
      </c>
      <c r="J64" s="713" t="str">
        <f>MedicatieIV!J23</f>
        <v/>
      </c>
      <c r="L64" s="719" t="str">
        <f t="shared" si="1"/>
        <v>D</v>
      </c>
    </row>
    <row r="65" spans="1:12" ht="12.6" customHeight="1" x14ac:dyDescent="0.2">
      <c r="B65" s="712">
        <v>15</v>
      </c>
      <c r="C65" s="713">
        <f>MedicatieIV!C24</f>
        <v>0</v>
      </c>
      <c r="E65" s="713" t="str">
        <f>IF(C65&lt;&gt;0,MedicatieIV!D24&amp;" in "&amp;MedicatieIV!E24&amp;IF(AND(ber_IVmed!D19&lt;&gt;4,MedicatieIV!F24&lt;&gt;0)," "&amp;MedicatieIV!F24,""),"")</f>
        <v/>
      </c>
      <c r="G65" s="713" t="str">
        <f>IF(C65&lt;&gt;0,MedicatieIV!G24,"")</f>
        <v/>
      </c>
      <c r="J65" s="713" t="str">
        <f>MedicatieIV!J24</f>
        <v/>
      </c>
      <c r="L65" s="719" t="str">
        <f t="shared" si="1"/>
        <v>D</v>
      </c>
    </row>
    <row r="66" spans="1:12" ht="12.6" customHeight="1" x14ac:dyDescent="0.2">
      <c r="L66" s="719"/>
    </row>
    <row r="67" spans="1:12" ht="12.6" customHeight="1" x14ac:dyDescent="0.2">
      <c r="B67" s="715"/>
      <c r="C67" s="718" t="s">
        <v>597</v>
      </c>
      <c r="D67" s="850">
        <f>ber_Opm!C4</f>
        <v>0</v>
      </c>
      <c r="E67" s="850"/>
      <c r="F67" s="850"/>
      <c r="G67" s="850"/>
      <c r="H67" s="850"/>
      <c r="I67" s="850"/>
      <c r="J67" s="850"/>
      <c r="L67" s="719"/>
    </row>
    <row r="68" spans="1:12" ht="12.6" customHeight="1" x14ac:dyDescent="0.2">
      <c r="D68" s="853"/>
      <c r="E68" s="853"/>
      <c r="F68" s="853"/>
      <c r="G68" s="853"/>
      <c r="H68" s="853"/>
      <c r="I68" s="853"/>
      <c r="J68" s="853"/>
      <c r="L68" s="719"/>
    </row>
    <row r="69" spans="1:12" ht="12.6" customHeight="1" x14ac:dyDescent="0.2">
      <c r="A69" s="722"/>
      <c r="B69" s="723" t="str">
        <f>Intake!C16</f>
        <v>Infuus</v>
      </c>
      <c r="C69" s="730"/>
      <c r="D69" s="722"/>
      <c r="E69" s="722"/>
      <c r="F69" s="722"/>
      <c r="G69" s="722"/>
      <c r="H69" s="722"/>
      <c r="I69" s="722"/>
      <c r="J69" s="722"/>
      <c r="L69" s="719"/>
    </row>
    <row r="70" spans="1:12" ht="12.6" customHeight="1" x14ac:dyDescent="0.2">
      <c r="B70" s="715"/>
      <c r="C70" s="718"/>
      <c r="D70" s="736">
        <f>IF(E70&lt;&gt;"",Intake!C17,)</f>
        <v>0</v>
      </c>
      <c r="E70" s="737" t="str">
        <f>IF(TPN2tot6kg!G21&lt;&gt;0,TPN2tot6kg!A14&amp;" ml","")</f>
        <v/>
      </c>
      <c r="F70" s="737" t="str">
        <f>IF(TPN2tot6kg!G21&lt;&gt;0,TPN2tot6kg!G21&amp;" ml","")</f>
        <v/>
      </c>
      <c r="G70" s="738"/>
      <c r="H70" s="736">
        <f>IF(I70&lt;&gt;"",Intake!H17,)</f>
        <v>0</v>
      </c>
      <c r="I70" s="737" t="str">
        <f>Intake!I17</f>
        <v/>
      </c>
      <c r="J70" s="737" t="str">
        <f>Intake!J17</f>
        <v/>
      </c>
      <c r="L70" s="719"/>
    </row>
    <row r="71" spans="1:12" ht="12.6" customHeight="1" x14ac:dyDescent="0.2">
      <c r="B71" s="715"/>
      <c r="C71" s="718"/>
      <c r="D71" s="716" t="str">
        <f>IF(F71&lt;&gt;"",ber_TPN!A28,"")</f>
        <v/>
      </c>
      <c r="E71" s="713" t="str">
        <f>IF(ber_TPN!B4=4,ROUND(ber_TPN!D4,1)&amp;" ml/uur","")</f>
        <v/>
      </c>
      <c r="F71" s="713" t="str">
        <f>Intake!E18</f>
        <v/>
      </c>
      <c r="G71" s="718"/>
      <c r="H71" s="716">
        <f>IF(J71&lt;&gt;"",INDEX(tblSSTGlucose,SSTGlucose_2,1),)</f>
        <v>0</v>
      </c>
      <c r="J71" s="713" t="str">
        <f>Intake!J19</f>
        <v/>
      </c>
      <c r="L71" s="719" t="str">
        <f>IF(AND(D71="",H71=0),"D","")</f>
        <v>D</v>
      </c>
    </row>
    <row r="72" spans="1:12" ht="12.6" customHeight="1" x14ac:dyDescent="0.2">
      <c r="B72" s="715"/>
      <c r="C72" s="718"/>
      <c r="D72" s="716" t="str">
        <f>IF(Intake!G18&lt;&gt;"","Peditrace","")</f>
        <v/>
      </c>
      <c r="E72" s="709" t="str">
        <f>IF(Intake!G18&lt;&gt;"",Intake!G18&amp;" "&amp;Intake!F19,"")</f>
        <v/>
      </c>
      <c r="F72" s="710"/>
      <c r="G72" s="718"/>
      <c r="H72" s="716">
        <f>IF(J72&lt;&gt;"",Intake!H20,)</f>
        <v>0</v>
      </c>
      <c r="J72" s="713" t="str">
        <f>Intake!J20</f>
        <v/>
      </c>
      <c r="L72" s="719" t="str">
        <f>IF(AND(D72="",H72=0),"D","")</f>
        <v>D</v>
      </c>
    </row>
    <row r="73" spans="1:12" ht="12.6" customHeight="1" x14ac:dyDescent="0.2">
      <c r="B73" s="715"/>
      <c r="C73" s="718"/>
      <c r="D73" s="716">
        <f>IF(F73&lt;&gt;"",INDEX(tblSSTGlucose,SSTglucose,1),)</f>
        <v>0</v>
      </c>
      <c r="F73" s="713" t="str">
        <f>IF(AND(TPN=2,SSTglucose&lt;11,Gewicht/10&lt;=50),ROUND(ber_TPN!F6,0)&amp;" ml","")</f>
        <v/>
      </c>
      <c r="G73" s="718"/>
      <c r="H73" s="716">
        <f>IF(J73&lt;&gt;"",Intake!H21,)</f>
        <v>0</v>
      </c>
      <c r="J73" s="713" t="str">
        <f>Intake!J21</f>
        <v/>
      </c>
      <c r="L73" s="719" t="str">
        <f>IF(AND(D73="",H73=0),"D","")</f>
        <v/>
      </c>
    </row>
    <row r="74" spans="1:12" ht="12.6" customHeight="1" x14ac:dyDescent="0.2">
      <c r="B74" s="715"/>
      <c r="C74" s="718"/>
      <c r="D74" s="716">
        <f>IF(F74&lt;&gt;"",Intake!C20,)</f>
        <v>0</v>
      </c>
      <c r="F74" s="713" t="str">
        <f>IF(AND(TPN2tot6kg!G14&lt;&gt;"",ber_TPN!$F$4&gt;0),TPN2tot6kg!G14&amp;" ml","")</f>
        <v/>
      </c>
      <c r="L74" s="719" t="str">
        <f>IF(D74=0,"D","")</f>
        <v>D</v>
      </c>
    </row>
    <row r="75" spans="1:12" ht="12.6" customHeight="1" x14ac:dyDescent="0.2">
      <c r="B75" s="715"/>
      <c r="C75" s="718"/>
      <c r="D75" s="716">
        <f>IF(F75&lt;&gt;"",Intake!C21,)</f>
        <v>0</v>
      </c>
      <c r="F75" s="713" t="str">
        <f>IF(AND(TPN2tot6kg!G15&lt;&gt;"",ber_TPN!$F$4&gt;0),TPN2tot6kg!G15&amp;" ml","")</f>
        <v/>
      </c>
      <c r="L75" s="719" t="str">
        <f>IF(D75=0,"D","")</f>
        <v>D</v>
      </c>
    </row>
    <row r="76" spans="1:12" ht="12.6" customHeight="1" x14ac:dyDescent="0.2">
      <c r="D76" s="739"/>
      <c r="H76" s="739"/>
      <c r="L76" s="719"/>
    </row>
    <row r="77" spans="1:12" ht="12.6" customHeight="1" x14ac:dyDescent="0.2">
      <c r="B77" s="715"/>
      <c r="C77" s="718"/>
      <c r="D77" s="740" t="str">
        <f>IF(F77&lt;&gt;"","Electrolyt/Glucose mengsel","")</f>
        <v/>
      </c>
      <c r="E77" s="722" t="str">
        <f>IF(AND(Gewicht/10&gt;50,TPNboven50kg!A27&lt;&gt;""),TPNboven50kg!A27,TPN2tot6kg!A29)</f>
        <v/>
      </c>
      <c r="F77" s="722" t="str">
        <f>IF(AND(Gewicht/10&gt;50,TPNboven50kg!G35&lt;&gt;0),TPNboven50kg!G35&amp;" ml",IF(TPN2tot6kg!G36&lt;&gt;0,TPN2tot6kg!G36&amp;" ml",""))</f>
        <v/>
      </c>
      <c r="G77" s="722"/>
      <c r="H77" s="741"/>
      <c r="I77" s="722"/>
      <c r="J77" s="722"/>
      <c r="L77" s="719"/>
    </row>
    <row r="78" spans="1:12" ht="12.6" customHeight="1" x14ac:dyDescent="0.2">
      <c r="B78" s="715"/>
      <c r="C78" s="718"/>
      <c r="D78" s="716">
        <f>IF(F78&lt;&gt;"",INDEX(tblSSTGlucose,SSTglucose,1),)</f>
        <v>0</v>
      </c>
      <c r="E78" s="742"/>
      <c r="F78" s="713" t="str">
        <f>IF(AND(OR(TPN=1,AND(TPN=2,SSTglucose&gt;10),Gewicht/10&gt;50),ROUND(ber_TPN!F6,0)&lt;&gt;0,SSTglucose&lt;&gt;2),ROUND(ber_TPN!F6,0)&amp;" ml","")</f>
        <v/>
      </c>
      <c r="L78" s="719" t="str">
        <f>IF(D78=0,"D","")</f>
        <v>D</v>
      </c>
    </row>
    <row r="79" spans="1:12" ht="12.6" customHeight="1" x14ac:dyDescent="0.2">
      <c r="B79" s="715"/>
      <c r="C79" s="718"/>
      <c r="D79" s="716">
        <f>IF(F79&lt;&gt;"","CaGluc 10%",)</f>
        <v>0</v>
      </c>
      <c r="F79" s="713" t="str">
        <f>Intake!E23</f>
        <v/>
      </c>
      <c r="L79" s="719" t="str">
        <f t="shared" ref="L79:L85" si="2">IF(D79=0,"D","")</f>
        <v>D</v>
      </c>
    </row>
    <row r="80" spans="1:12" ht="12.6" customHeight="1" x14ac:dyDescent="0.2">
      <c r="B80" s="715"/>
      <c r="C80" s="718"/>
      <c r="D80" s="716">
        <f>IF(F80&lt;&gt;"","MgCl 10%",)</f>
        <v>0</v>
      </c>
      <c r="F80" s="713" t="str">
        <f>Intake!E24</f>
        <v/>
      </c>
      <c r="L80" s="719" t="str">
        <f t="shared" si="2"/>
        <v>D</v>
      </c>
    </row>
    <row r="81" spans="1:12" ht="12.6" customHeight="1" x14ac:dyDescent="0.2">
      <c r="B81" s="715"/>
      <c r="C81" s="718"/>
      <c r="D81" s="716">
        <f>IF(F81&lt;&gt;"",Intake!C20,)</f>
        <v>0</v>
      </c>
      <c r="F81" s="713" t="str">
        <f>IF(AND(Gewicht/10&gt;50,TPNboven50kg!G27&lt;&gt;0),TPNboven50kg!G27&amp;" ml",IF(OR(AND(TPN2tot6kg!G29&lt;&gt;0,ber_TPN!$F$4=0),AND(TPN2tot6kg!G29&lt;&gt;0,Gewicht/10&gt;50)),TPN2tot6kg!G29&amp;" ml",""))</f>
        <v/>
      </c>
      <c r="H81" s="739"/>
      <c r="L81" s="719" t="str">
        <f t="shared" si="2"/>
        <v>D</v>
      </c>
    </row>
    <row r="82" spans="1:12" ht="12.6" customHeight="1" x14ac:dyDescent="0.2">
      <c r="B82" s="715"/>
      <c r="C82" s="718"/>
      <c r="D82" s="716">
        <f>IF(F82&lt;&gt;"",Intake!C21,)</f>
        <v>0</v>
      </c>
      <c r="F82" s="713" t="str">
        <f>IF(AND(Gewicht/10&gt;51,TPNboven50kg!G28&lt;&gt;0),TPNboven50kg!G28&amp;" ml",IF(OR(AND(TPN2tot6kg!G30&lt;&gt;0,ber_TPN!$F$4=0),AND(TPN2tot6kg!G30&lt;&gt;0,Gewicht/10&gt;50)),TPN2tot6kg!G30&amp;" ml",""))</f>
        <v/>
      </c>
      <c r="H82" s="739"/>
      <c r="L82" s="719" t="str">
        <f t="shared" si="2"/>
        <v>D</v>
      </c>
    </row>
    <row r="83" spans="1:12" ht="12.6" customHeight="1" x14ac:dyDescent="0.2">
      <c r="B83" s="715"/>
      <c r="C83" s="718"/>
      <c r="D83" s="716" t="str">
        <f>IF(F83&lt;&gt;"","Glucose 10%","")</f>
        <v/>
      </c>
      <c r="F83" s="713" t="str">
        <f>IF(AND(Gewicht/10&gt;51,TPNboven50kg!G31&lt;&gt;0),TPNboven50kg!G31&amp;" ml",IF(AND(TPN2tot6kg!G33&lt;&gt;0,Gewicht/10&lt;=50),TPN2tot6kg!G33&amp;" ml",""))</f>
        <v/>
      </c>
      <c r="H83" s="739"/>
      <c r="L83" s="719" t="str">
        <f t="shared" si="2"/>
        <v/>
      </c>
    </row>
    <row r="84" spans="1:12" ht="12.6" customHeight="1" x14ac:dyDescent="0.2">
      <c r="L84" s="719"/>
    </row>
    <row r="85" spans="1:12" ht="12.6" customHeight="1" x14ac:dyDescent="0.2">
      <c r="B85" s="715"/>
      <c r="C85" s="718"/>
      <c r="D85" s="743">
        <f>IF(E85&lt;&gt;" ","KNaFosfaat",)</f>
        <v>0</v>
      </c>
      <c r="E85" s="722" t="str">
        <f>Intake!E26&amp;" "&amp;Intake!H26</f>
        <v xml:space="preserve"> </v>
      </c>
      <c r="F85" s="722"/>
      <c r="L85" s="719" t="str">
        <f t="shared" si="2"/>
        <v>D</v>
      </c>
    </row>
    <row r="86" spans="1:12" ht="12.6" customHeight="1" x14ac:dyDescent="0.2">
      <c r="L86" s="719"/>
    </row>
    <row r="87" spans="1:12" ht="12.6" customHeight="1" x14ac:dyDescent="0.2">
      <c r="B87" s="715"/>
      <c r="C87" s="718"/>
      <c r="D87" s="744">
        <f>IF(E87&lt;&gt;"",Intake!C27,)</f>
        <v>0</v>
      </c>
      <c r="E87" s="722" t="str">
        <f>Intake!D27</f>
        <v/>
      </c>
      <c r="F87" s="722" t="str">
        <f>IF(ROUND(ber_TPN!F12,0)&gt;0,ROUND(ber_TPN!F12,0)&amp;" ml","")</f>
        <v/>
      </c>
      <c r="H87" s="709"/>
      <c r="L87" s="719"/>
    </row>
    <row r="88" spans="1:12" ht="12.6" customHeight="1" x14ac:dyDescent="0.2">
      <c r="B88" s="715"/>
      <c r="C88" s="718"/>
      <c r="D88" s="716">
        <f>IF(F88&lt;&gt;"","Intralipid 20%",)</f>
        <v>0</v>
      </c>
      <c r="F88" s="713" t="str">
        <f>Intake!E28</f>
        <v/>
      </c>
      <c r="H88" s="739"/>
      <c r="L88" s="719" t="str">
        <f>IF(D88=0,"D","")</f>
        <v>D</v>
      </c>
    </row>
    <row r="89" spans="1:12" ht="12.6" customHeight="1" x14ac:dyDescent="0.2">
      <c r="B89" s="715"/>
      <c r="C89" s="718"/>
      <c r="D89" s="716">
        <f>IF(F89&lt;&gt;"","Vitintra Infant",)</f>
        <v>0</v>
      </c>
      <c r="F89" s="713" t="str">
        <f>Intake!E29</f>
        <v/>
      </c>
      <c r="H89" s="739"/>
      <c r="L89" s="719" t="str">
        <f>IF(D89=0,"D","")</f>
        <v>D</v>
      </c>
    </row>
    <row r="90" spans="1:12" ht="12.6" customHeight="1" x14ac:dyDescent="0.2">
      <c r="B90" s="715"/>
      <c r="C90" s="718"/>
      <c r="D90" s="716">
        <f>IF(F90&lt;&gt;"","Soluvit",)</f>
        <v>0</v>
      </c>
      <c r="F90" s="713" t="str">
        <f>Intake!E30</f>
        <v/>
      </c>
      <c r="H90" s="739"/>
      <c r="L90" s="719" t="str">
        <f>IF(D90=0,"D","")</f>
        <v>D</v>
      </c>
    </row>
    <row r="91" spans="1:12" ht="12.6" customHeight="1" x14ac:dyDescent="0.2">
      <c r="C91" s="739"/>
      <c r="L91" s="719"/>
    </row>
    <row r="92" spans="1:12" ht="12.6" customHeight="1" x14ac:dyDescent="0.2">
      <c r="A92" s="722"/>
      <c r="B92" s="726"/>
      <c r="C92" s="727" t="s">
        <v>597</v>
      </c>
      <c r="D92" s="848">
        <f>ber_Opm!C9</f>
        <v>0</v>
      </c>
      <c r="E92" s="849"/>
      <c r="F92" s="849"/>
      <c r="G92" s="849"/>
      <c r="H92" s="849"/>
      <c r="I92" s="849"/>
      <c r="J92" s="849"/>
      <c r="L92" s="719"/>
    </row>
    <row r="93" spans="1:12" ht="12.6" customHeight="1" x14ac:dyDescent="0.2">
      <c r="L93" s="719"/>
    </row>
    <row r="94" spans="1:12" ht="12.6" customHeight="1" x14ac:dyDescent="0.2">
      <c r="L94" s="719"/>
    </row>
    <row r="95" spans="1:12" ht="12.6" customHeight="1" x14ac:dyDescent="0.2">
      <c r="A95" s="722"/>
      <c r="B95" s="723" t="s">
        <v>729</v>
      </c>
      <c r="C95" s="730"/>
      <c r="D95" s="722"/>
      <c r="E95" s="722"/>
      <c r="F95" s="722"/>
      <c r="G95" s="722"/>
      <c r="H95" s="722"/>
      <c r="I95" s="722"/>
      <c r="J95" s="722"/>
      <c r="L95" s="719"/>
    </row>
    <row r="96" spans="1:12" ht="12.6" customHeight="1" x14ac:dyDescent="0.2">
      <c r="B96" s="715"/>
      <c r="C96" s="716" t="str">
        <f>Intake!B34</f>
        <v>Vocht</v>
      </c>
      <c r="D96" s="713" t="str">
        <f>Intake!D34</f>
        <v>0 ml/kg</v>
      </c>
      <c r="E96" s="716" t="str">
        <f>Intake!B35</f>
        <v>Calorieen</v>
      </c>
      <c r="F96" s="713" t="str">
        <f>Intake!D35</f>
        <v>0 kCal/kg</v>
      </c>
      <c r="G96" s="716" t="str">
        <f>Intake!B38</f>
        <v>Kalium</v>
      </c>
      <c r="H96" s="713" t="str">
        <f>Intake!D38</f>
        <v>0 mmol/kg</v>
      </c>
      <c r="I96" s="716" t="str">
        <f>Intake!B37</f>
        <v xml:space="preserve">Natrium </v>
      </c>
      <c r="J96" s="713" t="str">
        <f>Intake!D37</f>
        <v>0 mmol/kg</v>
      </c>
      <c r="L96" s="719"/>
    </row>
    <row r="97" spans="1:12" ht="12.6" customHeight="1" x14ac:dyDescent="0.2">
      <c r="B97" s="715"/>
      <c r="C97" s="716" t="str">
        <f>Intake!H34</f>
        <v>Eiwit</v>
      </c>
      <c r="D97" s="713" t="str">
        <f>Intake!I34</f>
        <v>0  gram/kg</v>
      </c>
      <c r="E97" s="716" t="str">
        <f>Intake!H35</f>
        <v>Vet</v>
      </c>
      <c r="F97" s="713" t="str">
        <f>Intake!I35</f>
        <v>0 gram/kg</v>
      </c>
      <c r="G97" s="716" t="str">
        <f>Intake!H36</f>
        <v>Calcium</v>
      </c>
      <c r="H97" s="713" t="str">
        <f>Intake!I36</f>
        <v>0 mmol/kg</v>
      </c>
      <c r="I97" s="716" t="str">
        <f>Intake!H38</f>
        <v>Fosfaat</v>
      </c>
      <c r="J97" s="713" t="str">
        <f>Intake!I38</f>
        <v>0 mmol/kg</v>
      </c>
      <c r="L97" s="719"/>
    </row>
    <row r="98" spans="1:12" ht="12.6" customHeight="1" x14ac:dyDescent="0.2">
      <c r="A98" s="722"/>
      <c r="B98" s="726"/>
      <c r="C98" s="745" t="str">
        <f>Intake!B36</f>
        <v>Glucose/KH</v>
      </c>
      <c r="D98" s="722" t="str">
        <f>Intake!D36</f>
        <v>0 g/kg</v>
      </c>
      <c r="E98" s="727"/>
      <c r="F98" s="722"/>
      <c r="G98" s="745" t="s">
        <v>644</v>
      </c>
      <c r="H98" s="722" t="str">
        <f>Intake!I37</f>
        <v>0 mmol/kg</v>
      </c>
      <c r="I98" s="727"/>
      <c r="J98" s="722"/>
      <c r="L98" s="719"/>
    </row>
    <row r="99" spans="1:12" ht="12.6" customHeight="1" x14ac:dyDescent="0.2">
      <c r="B99" s="715"/>
      <c r="C99" s="716" t="s">
        <v>938</v>
      </c>
      <c r="D99" s="717">
        <f ca="1">TODAY()</f>
        <v>42703</v>
      </c>
      <c r="E99" s="716" t="s">
        <v>939</v>
      </c>
      <c r="F99" s="847" t="str">
        <f>_AchterNaam&amp;", "&amp;_VoorNaam</f>
        <v>Test, Test</v>
      </c>
      <c r="G99" s="847"/>
      <c r="H99" s="718" t="s">
        <v>573</v>
      </c>
      <c r="I99" s="713" t="str">
        <f>Gewicht/10&amp;" kg"</f>
        <v>10 kg</v>
      </c>
      <c r="J99" s="709"/>
      <c r="L99" s="719"/>
    </row>
    <row r="100" spans="1:12" ht="12.6" customHeight="1" x14ac:dyDescent="0.2">
      <c r="B100" s="715"/>
      <c r="C100" s="716" t="s">
        <v>440</v>
      </c>
      <c r="D100" s="720">
        <f ca="1">AfspraakDatum-OpnDatum+1</f>
        <v>6</v>
      </c>
      <c r="E100" s="716" t="s">
        <v>937</v>
      </c>
      <c r="F100" s="721">
        <f>GebDatum</f>
        <v>42280</v>
      </c>
      <c r="G100" s="709"/>
      <c r="H100" s="718" t="s">
        <v>266</v>
      </c>
      <c r="I100" s="713" t="str">
        <f>Lengte&amp;" cm"</f>
        <v>80 cm</v>
      </c>
      <c r="J100" s="709"/>
      <c r="L100" s="719"/>
    </row>
    <row r="101" spans="1:12" ht="12.6" customHeight="1" x14ac:dyDescent="0.2">
      <c r="D101" s="709"/>
      <c r="F101" s="709"/>
      <c r="H101" s="718" t="s">
        <v>267</v>
      </c>
      <c r="I101" s="713" t="str">
        <f>ROUND(POWER(Gewicht/10,0.425)*POWER(((Lengte/100)*100),0.725)*0.007184,2)&amp;" m2"</f>
        <v>0,46 m2</v>
      </c>
      <c r="L101" s="719"/>
    </row>
    <row r="102" spans="1:12" ht="12.6" customHeight="1" x14ac:dyDescent="0.2">
      <c r="D102" s="709"/>
      <c r="F102" s="709"/>
      <c r="L102" s="719"/>
    </row>
    <row r="103" spans="1:12" ht="12.6" customHeight="1" x14ac:dyDescent="0.2">
      <c r="D103" s="709"/>
      <c r="F103" s="709"/>
      <c r="L103" s="719"/>
    </row>
    <row r="104" spans="1:12" ht="12.6" customHeight="1" x14ac:dyDescent="0.2">
      <c r="D104" s="709"/>
      <c r="F104" s="709"/>
      <c r="L104" s="719"/>
    </row>
    <row r="105" spans="1:12" ht="12.6" customHeight="1" x14ac:dyDescent="0.2">
      <c r="B105" s="723" t="s">
        <v>56</v>
      </c>
      <c r="C105" s="722"/>
      <c r="D105" s="735"/>
      <c r="E105" s="722"/>
      <c r="F105" s="723" t="str">
        <f>IF(Comfort,"Ja","Nee")</f>
        <v>Ja</v>
      </c>
      <c r="L105" s="719"/>
    </row>
    <row r="106" spans="1:12" ht="12.6" customHeight="1" x14ac:dyDescent="0.2">
      <c r="L106" s="719"/>
    </row>
    <row r="107" spans="1:12" ht="12.6" customHeight="1" x14ac:dyDescent="0.2">
      <c r="D107" s="746" t="s">
        <v>570</v>
      </c>
      <c r="G107" s="746" t="s">
        <v>261</v>
      </c>
      <c r="L107" s="719"/>
    </row>
    <row r="108" spans="1:12" ht="24.95" customHeight="1" x14ac:dyDescent="0.2">
      <c r="A108" s="845" t="s">
        <v>259</v>
      </c>
      <c r="B108" s="846"/>
      <c r="C108" s="747" t="s">
        <v>260</v>
      </c>
      <c r="D108" s="747" t="s">
        <v>262</v>
      </c>
      <c r="E108" s="845" t="s">
        <v>264</v>
      </c>
      <c r="F108" s="846"/>
      <c r="G108" s="747" t="s">
        <v>262</v>
      </c>
      <c r="H108" s="845" t="s">
        <v>263</v>
      </c>
      <c r="I108" s="846"/>
      <c r="J108" s="747" t="s">
        <v>512</v>
      </c>
      <c r="K108" s="712"/>
      <c r="L108" s="719"/>
    </row>
    <row r="109" spans="1:12" ht="20.100000000000001" customHeight="1" x14ac:dyDescent="0.2">
      <c r="A109" s="748"/>
      <c r="B109" s="749"/>
      <c r="C109" s="747"/>
      <c r="D109" s="747"/>
      <c r="E109" s="748"/>
      <c r="F109" s="749"/>
      <c r="G109" s="750"/>
      <c r="H109" s="748"/>
      <c r="I109" s="751"/>
      <c r="J109" s="747"/>
      <c r="K109" s="712"/>
      <c r="L109" s="719"/>
    </row>
    <row r="110" spans="1:12" ht="20.100000000000001" customHeight="1" x14ac:dyDescent="0.2">
      <c r="A110" s="748"/>
      <c r="B110" s="749"/>
      <c r="C110" s="747"/>
      <c r="D110" s="747"/>
      <c r="E110" s="748"/>
      <c r="F110" s="749"/>
      <c r="G110" s="750"/>
      <c r="H110" s="748"/>
      <c r="I110" s="751"/>
      <c r="J110" s="747"/>
      <c r="K110" s="712"/>
      <c r="L110" s="719"/>
    </row>
    <row r="111" spans="1:12" ht="20.100000000000001" customHeight="1" x14ac:dyDescent="0.2">
      <c r="A111" s="748"/>
      <c r="B111" s="749"/>
      <c r="C111" s="747"/>
      <c r="D111" s="747"/>
      <c r="E111" s="748"/>
      <c r="F111" s="749"/>
      <c r="G111" s="750"/>
      <c r="H111" s="748"/>
      <c r="I111" s="751"/>
      <c r="J111" s="747"/>
      <c r="K111" s="712"/>
      <c r="L111" s="719"/>
    </row>
    <row r="112" spans="1:12" ht="20.100000000000001" customHeight="1" x14ac:dyDescent="0.2">
      <c r="A112" s="748"/>
      <c r="B112" s="749"/>
      <c r="C112" s="747"/>
      <c r="D112" s="747"/>
      <c r="E112" s="748"/>
      <c r="F112" s="749"/>
      <c r="G112" s="750"/>
      <c r="H112" s="748"/>
      <c r="I112" s="751"/>
      <c r="J112" s="747"/>
      <c r="K112" s="712"/>
      <c r="L112" s="719"/>
    </row>
    <row r="113" spans="1:13" ht="20.100000000000001" customHeight="1" x14ac:dyDescent="0.2">
      <c r="A113" s="748"/>
      <c r="B113" s="749"/>
      <c r="C113" s="747"/>
      <c r="D113" s="747"/>
      <c r="E113" s="748"/>
      <c r="F113" s="749"/>
      <c r="G113" s="750"/>
      <c r="H113" s="748"/>
      <c r="I113" s="751"/>
      <c r="J113" s="747"/>
      <c r="K113" s="712"/>
      <c r="L113" s="719"/>
    </row>
    <row r="114" spans="1:13" ht="20.100000000000001" customHeight="1" x14ac:dyDescent="0.2">
      <c r="A114" s="748"/>
      <c r="B114" s="749"/>
      <c r="C114" s="747"/>
      <c r="D114" s="747"/>
      <c r="E114" s="748"/>
      <c r="F114" s="749"/>
      <c r="G114" s="750"/>
      <c r="H114" s="748"/>
      <c r="I114" s="751"/>
      <c r="J114" s="747"/>
      <c r="K114" s="712"/>
      <c r="L114" s="719"/>
    </row>
    <row r="115" spans="1:13" ht="20.100000000000001" customHeight="1" x14ac:dyDescent="0.2">
      <c r="A115" s="748"/>
      <c r="B115" s="749"/>
      <c r="C115" s="747"/>
      <c r="D115" s="747"/>
      <c r="E115" s="748"/>
      <c r="F115" s="749"/>
      <c r="G115" s="750"/>
      <c r="H115" s="748"/>
      <c r="I115" s="751"/>
      <c r="J115" s="747"/>
      <c r="K115" s="712"/>
      <c r="L115" s="719"/>
    </row>
    <row r="116" spans="1:13" ht="20.100000000000001" customHeight="1" x14ac:dyDescent="0.2">
      <c r="A116" s="748"/>
      <c r="B116" s="749"/>
      <c r="C116" s="747"/>
      <c r="D116" s="747"/>
      <c r="E116" s="748"/>
      <c r="F116" s="749"/>
      <c r="G116" s="750"/>
      <c r="H116" s="748"/>
      <c r="I116" s="751"/>
      <c r="J116" s="747"/>
      <c r="K116" s="712"/>
      <c r="L116" s="719"/>
    </row>
    <row r="117" spans="1:13" ht="20.100000000000001" customHeight="1" x14ac:dyDescent="0.2">
      <c r="A117" s="748"/>
      <c r="B117" s="749"/>
      <c r="C117" s="747"/>
      <c r="D117" s="747"/>
      <c r="E117" s="748"/>
      <c r="F117" s="749"/>
      <c r="G117" s="750"/>
      <c r="H117" s="748"/>
      <c r="I117" s="751"/>
      <c r="J117" s="747"/>
      <c r="K117" s="712"/>
      <c r="L117" s="719"/>
    </row>
    <row r="118" spans="1:13" ht="20.100000000000001" customHeight="1" x14ac:dyDescent="0.2">
      <c r="A118" s="748"/>
      <c r="B118" s="749"/>
      <c r="C118" s="747"/>
      <c r="D118" s="747"/>
      <c r="E118" s="748"/>
      <c r="F118" s="749"/>
      <c r="G118" s="750"/>
      <c r="H118" s="748"/>
      <c r="I118" s="751"/>
      <c r="J118" s="747"/>
      <c r="K118" s="16"/>
      <c r="L118" s="719"/>
      <c r="M118" s="714"/>
    </row>
    <row r="119" spans="1:13" ht="20.100000000000001" customHeight="1" x14ac:dyDescent="0.2">
      <c r="A119" s="748"/>
      <c r="B119" s="749"/>
      <c r="C119" s="747"/>
      <c r="D119" s="747"/>
      <c r="E119" s="748"/>
      <c r="F119" s="749"/>
      <c r="G119" s="750"/>
      <c r="H119" s="748"/>
      <c r="I119" s="751"/>
      <c r="J119" s="747"/>
      <c r="K119" s="16"/>
      <c r="L119" s="719"/>
      <c r="M119" s="714"/>
    </row>
    <row r="120" spans="1:13" ht="20.100000000000001" customHeight="1" x14ac:dyDescent="0.2">
      <c r="A120" s="748"/>
      <c r="B120" s="749"/>
      <c r="C120" s="747"/>
      <c r="D120" s="747"/>
      <c r="E120" s="748"/>
      <c r="F120" s="749"/>
      <c r="G120" s="750"/>
      <c r="H120" s="748"/>
      <c r="I120" s="751"/>
      <c r="J120" s="747"/>
      <c r="K120" s="16"/>
      <c r="L120" s="719"/>
      <c r="M120" s="714"/>
    </row>
    <row r="121" spans="1:13" ht="20.100000000000001" customHeight="1" x14ac:dyDescent="0.2">
      <c r="A121" s="748"/>
      <c r="B121" s="749"/>
      <c r="C121" s="747"/>
      <c r="D121" s="747"/>
      <c r="E121" s="748"/>
      <c r="F121" s="749"/>
      <c r="G121" s="750"/>
      <c r="H121" s="748"/>
      <c r="I121" s="751"/>
      <c r="J121" s="747"/>
      <c r="K121" s="16"/>
      <c r="L121" s="719"/>
      <c r="M121" s="714"/>
    </row>
    <row r="122" spans="1:13" ht="20.100000000000001" customHeight="1" x14ac:dyDescent="0.2">
      <c r="A122" s="748"/>
      <c r="B122" s="749"/>
      <c r="C122" s="747"/>
      <c r="D122" s="747"/>
      <c r="E122" s="748"/>
      <c r="F122" s="749"/>
      <c r="G122" s="750"/>
      <c r="H122" s="748"/>
      <c r="I122" s="751"/>
      <c r="J122" s="747"/>
      <c r="K122" s="16"/>
      <c r="L122" s="719"/>
      <c r="M122" s="714"/>
    </row>
    <row r="123" spans="1:13" ht="20.100000000000001" customHeight="1" x14ac:dyDescent="0.2">
      <c r="A123" s="748"/>
      <c r="B123" s="749"/>
      <c r="C123" s="747"/>
      <c r="D123" s="747"/>
      <c r="E123" s="748"/>
      <c r="F123" s="749"/>
      <c r="G123" s="750"/>
      <c r="H123" s="748"/>
      <c r="I123" s="751"/>
      <c r="J123" s="747"/>
      <c r="K123" s="16"/>
      <c r="L123" s="719"/>
      <c r="M123" s="714"/>
    </row>
    <row r="124" spans="1:13" ht="20.100000000000001" customHeight="1" x14ac:dyDescent="0.2">
      <c r="A124" s="748"/>
      <c r="B124" s="749"/>
      <c r="C124" s="747"/>
      <c r="D124" s="747"/>
      <c r="E124" s="748"/>
      <c r="F124" s="749"/>
      <c r="G124" s="750"/>
      <c r="H124" s="748"/>
      <c r="I124" s="751"/>
      <c r="J124" s="747"/>
      <c r="K124" s="16"/>
      <c r="L124" s="719"/>
      <c r="M124" s="714"/>
    </row>
    <row r="125" spans="1:13" ht="20.100000000000001" customHeight="1" x14ac:dyDescent="0.2">
      <c r="A125" s="748"/>
      <c r="B125" s="749"/>
      <c r="C125" s="747"/>
      <c r="D125" s="747"/>
      <c r="E125" s="748"/>
      <c r="F125" s="749"/>
      <c r="G125" s="750"/>
      <c r="H125" s="748"/>
      <c r="I125" s="751"/>
      <c r="J125" s="747"/>
      <c r="K125" s="16"/>
      <c r="L125" s="719"/>
      <c r="M125" s="714"/>
    </row>
    <row r="126" spans="1:13" ht="30" customHeight="1" x14ac:dyDescent="0.2">
      <c r="A126" s="752" t="s">
        <v>265</v>
      </c>
      <c r="B126" s="753"/>
      <c r="C126" s="752"/>
      <c r="D126" s="752"/>
      <c r="E126" s="752"/>
      <c r="F126" s="753"/>
      <c r="G126" s="753"/>
      <c r="H126" s="752"/>
      <c r="I126" s="752"/>
      <c r="J126" s="752"/>
      <c r="K126" s="16"/>
      <c r="L126" s="719"/>
      <c r="M126" s="714"/>
    </row>
    <row r="127" spans="1:13" ht="30" customHeight="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4"/>
    </row>
    <row r="128" spans="1:13" ht="30" customHeight="1" x14ac:dyDescent="0.2">
      <c r="A128" s="16"/>
      <c r="B128" s="16"/>
      <c r="C128" s="734"/>
      <c r="D128" s="733"/>
      <c r="E128" s="733"/>
      <c r="F128" s="733"/>
      <c r="G128" s="16"/>
      <c r="H128" s="16"/>
      <c r="I128" s="16"/>
      <c r="J128" s="16"/>
      <c r="K128" s="16"/>
      <c r="L128" s="16"/>
      <c r="M128" s="714"/>
    </row>
    <row r="129" spans="1:13" ht="30" customHeight="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4"/>
    </row>
    <row r="130" spans="1:13" ht="30" customHeight="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4"/>
    </row>
    <row r="131" spans="1:13" ht="30" customHeight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4"/>
    </row>
    <row r="132" spans="1:13" ht="30" customHeight="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4"/>
    </row>
    <row r="133" spans="1:13" ht="30" customHeight="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4"/>
    </row>
    <row r="134" spans="1:13" ht="30" customHeight="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2">
      <c r="B140" s="713"/>
      <c r="L140" s="719"/>
    </row>
    <row r="141" spans="1:13" ht="30" customHeight="1" x14ac:dyDescent="0.2">
      <c r="B141" s="713"/>
      <c r="L141" s="719"/>
    </row>
    <row r="142" spans="1:13" ht="30" customHeight="1" x14ac:dyDescent="0.2">
      <c r="B142" s="713"/>
      <c r="L142" s="719"/>
    </row>
    <row r="143" spans="1:13" ht="30" customHeight="1" x14ac:dyDescent="0.2">
      <c r="B143" s="713"/>
      <c r="L143" s="719"/>
    </row>
    <row r="144" spans="1:13" ht="30" customHeight="1" x14ac:dyDescent="0.2">
      <c r="B144" s="713"/>
      <c r="L144" s="719"/>
    </row>
    <row r="145" spans="2:12" ht="30" customHeight="1" x14ac:dyDescent="0.2">
      <c r="B145" s="713"/>
      <c r="L145" s="719"/>
    </row>
    <row r="146" spans="2:12" ht="30" customHeight="1" x14ac:dyDescent="0.2">
      <c r="B146" s="713"/>
      <c r="L146" s="719"/>
    </row>
    <row r="147" spans="2:12" ht="30" customHeight="1" x14ac:dyDescent="0.2">
      <c r="B147" s="713"/>
      <c r="L147" s="719"/>
    </row>
    <row r="148" spans="2:12" ht="30" customHeight="1" x14ac:dyDescent="0.2">
      <c r="B148" s="713"/>
      <c r="L148" s="719"/>
    </row>
    <row r="149" spans="2:12" ht="30" customHeight="1" x14ac:dyDescent="0.2">
      <c r="B149" s="713"/>
      <c r="L149" s="719"/>
    </row>
    <row r="150" spans="2:12" ht="11.25" x14ac:dyDescent="0.2">
      <c r="B150" s="713"/>
      <c r="L150" s="719"/>
    </row>
    <row r="151" spans="2:12" ht="11.25" x14ac:dyDescent="0.2">
      <c r="B151" s="713"/>
      <c r="L151" s="719"/>
    </row>
    <row r="152" spans="2:12" ht="11.25" x14ac:dyDescent="0.2">
      <c r="B152" s="713"/>
      <c r="L152" s="719"/>
    </row>
    <row r="153" spans="2:12" ht="11.25" x14ac:dyDescent="0.2">
      <c r="B153" s="713"/>
      <c r="L153" s="719"/>
    </row>
    <row r="154" spans="2:12" ht="11.25" x14ac:dyDescent="0.2">
      <c r="B154" s="713"/>
      <c r="L154" s="719"/>
    </row>
    <row r="155" spans="2:12" ht="12.6" customHeight="1" x14ac:dyDescent="0.2">
      <c r="B155" s="713"/>
      <c r="L155" s="719"/>
    </row>
    <row r="156" spans="2:12" ht="12.6" customHeight="1" x14ac:dyDescent="0.2">
      <c r="B156" s="713"/>
      <c r="L156" s="719"/>
    </row>
    <row r="157" spans="2:12" ht="12.6" customHeight="1" x14ac:dyDescent="0.2">
      <c r="B157" s="713"/>
      <c r="L157" s="719" t="str">
        <f>IF(C24=0,"D","")</f>
        <v/>
      </c>
    </row>
    <row r="158" spans="2:12" ht="12.6" customHeight="1" x14ac:dyDescent="0.2">
      <c r="B158" s="713"/>
      <c r="L158" s="719" t="str">
        <f>IF(C25=0,"D","")</f>
        <v/>
      </c>
    </row>
    <row r="159" spans="2:12" ht="12.6" customHeight="1" x14ac:dyDescent="0.2">
      <c r="B159" s="713"/>
      <c r="L159" s="719" t="str">
        <f>IF(C26=0,"D","")</f>
        <v/>
      </c>
    </row>
    <row r="160" spans="2:12" ht="12.6" customHeight="1" x14ac:dyDescent="0.2">
      <c r="B160" s="713"/>
      <c r="L160" s="719" t="str">
        <f>IF(C27=0,"D","")</f>
        <v/>
      </c>
    </row>
    <row r="161" spans="2:12" ht="12.6" customHeight="1" x14ac:dyDescent="0.2">
      <c r="B161" s="713"/>
      <c r="L161" s="719" t="e">
        <f>IF(#REF!=0,"D","")</f>
        <v>#REF!</v>
      </c>
    </row>
    <row r="162" spans="2:12" ht="12.6" customHeight="1" x14ac:dyDescent="0.2">
      <c r="B162" s="713"/>
      <c r="L162" s="719" t="e">
        <f>IF(#REF!=0,"D","")</f>
        <v>#REF!</v>
      </c>
    </row>
    <row r="163" spans="2:12" ht="12.6" customHeight="1" x14ac:dyDescent="0.2">
      <c r="B163" s="713"/>
      <c r="L163" s="719"/>
    </row>
    <row r="164" spans="2:12" ht="12.6" customHeight="1" x14ac:dyDescent="0.2">
      <c r="B164" s="713"/>
      <c r="L164" s="719"/>
    </row>
    <row r="165" spans="2:12" ht="12.6" customHeight="1" x14ac:dyDescent="0.2">
      <c r="B165" s="713"/>
      <c r="L165" s="719"/>
    </row>
    <row r="166" spans="2:12" ht="12.6" customHeight="1" x14ac:dyDescent="0.2">
      <c r="L166" s="719"/>
    </row>
    <row r="167" spans="2:12" ht="12.6" customHeight="1" x14ac:dyDescent="0.2">
      <c r="L167" s="719"/>
    </row>
    <row r="168" spans="2:12" ht="12.6" customHeight="1" x14ac:dyDescent="0.2">
      <c r="L168" s="719"/>
    </row>
    <row r="169" spans="2:12" ht="12.6" customHeight="1" x14ac:dyDescent="0.2">
      <c r="L169" s="719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6" customWidth="1"/>
    <col min="24" max="33" width="2.7109375" customWidth="1"/>
  </cols>
  <sheetData>
    <row r="1" spans="1:33" ht="19.5" customHeight="1" thickBot="1" x14ac:dyDescent="0.25">
      <c r="A1" s="579"/>
      <c r="B1" t="str">
        <f>"Naam: "&amp;_AchterNaam&amp;", "&amp;_VoorNaam</f>
        <v>Naam: Test, Test</v>
      </c>
      <c r="D1" t="str">
        <f>"Geboortedatum: "</f>
        <v xml:space="preserve">Geboortedatum: </v>
      </c>
      <c r="F1" s="862">
        <f>GebDatum</f>
        <v>42280</v>
      </c>
      <c r="G1" s="862"/>
      <c r="I1" s="9" t="str">
        <f>"Gewicht: "&amp;ROUND(Gewicht/10,1)&amp;"kg"</f>
        <v>Gewicht: 10kg</v>
      </c>
      <c r="P1" s="9" t="s">
        <v>398</v>
      </c>
      <c r="R1" s="860"/>
      <c r="S1" s="860"/>
      <c r="T1" s="860"/>
      <c r="U1" s="860"/>
      <c r="V1" s="860"/>
      <c r="W1" s="860"/>
      <c r="Y1" t="s">
        <v>624</v>
      </c>
      <c r="AB1" s="861">
        <f ca="1">TODAY()</f>
        <v>42703</v>
      </c>
      <c r="AC1" s="861"/>
      <c r="AD1" s="861"/>
      <c r="AE1" s="861"/>
      <c r="AF1" s="861"/>
    </row>
    <row r="2" spans="1:33" ht="26.1" customHeight="1" x14ac:dyDescent="0.2">
      <c r="B2" s="99"/>
      <c r="C2" s="100" t="s">
        <v>685</v>
      </c>
      <c r="D2" s="101" t="s">
        <v>686</v>
      </c>
      <c r="E2" s="101"/>
      <c r="F2" s="101"/>
      <c r="G2" s="102" t="s">
        <v>632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2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dd",$D3="6 dd",$D3="8 dd",$D3="12 dd",$D3="an",$D3="1 X"),VLOOKUP($D3,ber_tijden!$A$16:$X$26,ber_tijden!B$14,FALSE),"")</f>
        <v/>
      </c>
      <c r="I3" s="15" t="str">
        <f>IF(OR($D3="1 dd",$D3="2 dd",$D3="3 dd",$D3="4 dd",$D3="6 dd",$D3="8 dd",$D3="12 dd",$D3="an",$D3="1 X"),VLOOKUP($D3,ber_tijden!$A$16:$X$26,ber_tijden!C$14,FALSE),"")</f>
        <v/>
      </c>
      <c r="J3" s="106" t="str">
        <f>IF(OR($D3="1 dd",$D3="2 dd",$D3="3 dd",$D3="4 dd",$D3="6 dd",$D3="8 dd",$D3="12 dd",$D3="an",$D3="1 X"),VLOOKUP($D3,ber_tijden!$A$16:$X$26,ber_tijden!D$14,FALSE),"")</f>
        <v/>
      </c>
      <c r="K3" s="15" t="str">
        <f>IF(OR($D3="1 dd",$D3="2 dd",$D3="3 dd",$D3="4 dd",$D3="6 dd",$D3="8 dd",$D3="12 dd",$D3="an",$D3="1 X"),VLOOKUP($D3,ber_tijden!$A$16:$X$26,ber_tijden!E$14,FALSE),"")</f>
        <v/>
      </c>
      <c r="L3" s="106" t="str">
        <f>IF(OR($D3="1 dd",$D3="2 dd",$D3="3 dd",$D3="4 dd",$D3="6 dd",$D3="8 dd",$D3="12 dd",$D3="an",$D3="1 X"),VLOOKUP($D3,ber_tijden!$A$16:$X$26,ber_tijden!F$14,FALSE),"")</f>
        <v/>
      </c>
      <c r="M3" s="15" t="str">
        <f>IF(OR($D3="1 dd",$D3="2 dd",$D3="3 dd",$D3="4 dd",$D3="6 dd",$D3="8 dd",$D3="12 dd",$D3="an",$D3="1 X"),VLOOKUP($D3,ber_tijden!$A$16:$X$26,ber_tijden!G$14,FALSE),"")</f>
        <v/>
      </c>
      <c r="N3" s="106" t="str">
        <f>IF(OR($D3="1 dd",$D3="2 dd",$D3="3 dd",$D3="4 dd",$D3="6 dd",$D3="8 dd",$D3="12 dd",$D3="an",$D3="1 X"),VLOOKUP($D3,ber_tijden!$A$16:$X$26,ber_tijden!H$14,FALSE),"")</f>
        <v/>
      </c>
      <c r="O3" s="15" t="str">
        <f>IF(OR($D3="1 dd",$D3="2 dd",$D3="3 dd",$D3="4 dd",$D3="6 dd",$D3="8 dd",$D3="12 dd",$D3="an",$D3="1 X"),VLOOKUP($D3,ber_tijden!$A$16:$X$26,ber_tijden!I$14,FALSE),"")</f>
        <v/>
      </c>
      <c r="P3" s="106" t="str">
        <f>IF(OR($D3="1 dd",$D3="2 dd",$D3="3 dd",$D3="4 dd",$D3="6 dd",$D3="8 dd",$D3="12 dd",$D3="an",$D3="1 X"),VLOOKUP($D3,ber_tijden!$A$16:$X$26,ber_tijden!J$14,FALSE),"")</f>
        <v/>
      </c>
      <c r="Q3" s="15" t="str">
        <f>IF(OR($D3="1 dd",$D3="2 dd",$D3="3 dd",$D3="4 dd",$D3="6 dd",$D3="8 dd",$D3="12 dd",$D3="an",$D3="1 X"),VLOOKUP($D3,ber_tijden!$A$16:$X$26,ber_tijden!K$14,FALSE),"")</f>
        <v/>
      </c>
      <c r="R3" s="106" t="str">
        <f>IF(OR($D3="1 dd",$D3="2 dd",$D3="3 dd",$D3="4 dd",$D3="6 dd",$D3="8 dd",$D3="12 dd",$D3="an",$D3="1 X"),VLOOKUP($D3,ber_tijden!$A$16:$X$26,ber_tijden!L$14,FALSE),"")</f>
        <v/>
      </c>
      <c r="S3" s="15" t="str">
        <f>IF(OR($D3="1 dd",$D3="2 dd",$D3="3 dd",$D3="4 dd",$D3="6 dd",$D3="8 dd",$D3="12 dd",$D3="an",$D3="1 X"),VLOOKUP($D3,ber_tijden!$A$16:$X$26,ber_tijden!M$14,FALSE),"")</f>
        <v/>
      </c>
      <c r="T3" s="106" t="str">
        <f>IF(OR($D3="1 dd",$D3="2 dd",$D3="3 dd",$D3="4 dd",$D3="6 dd",$D3="8 dd",$D3="12 dd",$D3="an",$D3="1 X"),VLOOKUP($D3,ber_tijden!$A$16:$X$26,ber_tijden!N$14,FALSE),"")</f>
        <v/>
      </c>
      <c r="U3" s="15" t="str">
        <f>IF(OR($D3="1 dd",$D3="2 dd",$D3="3 dd",$D3="4 dd",$D3="6 dd",$D3="8 dd",$D3="12 dd",$D3="an",$D3="1 X"),VLOOKUP($D3,ber_tijden!$A$16:$X$26,ber_tijden!O$14,FALSE),"")</f>
        <v/>
      </c>
      <c r="V3" s="106" t="str">
        <f>IF(OR($D3="1 dd",$D3="2 dd",$D3="3 dd",$D3="4 dd",$D3="6 dd",$D3="8 dd",$D3="12 dd",$D3="an",$D3="1 X"),VLOOKUP($D3,ber_tijden!$A$16:$X$26,ber_tijden!P$14,FALSE),"")</f>
        <v/>
      </c>
      <c r="W3" s="15" t="str">
        <f>IF(OR($D3="1 dd",$D3="2 dd",$D3="3 dd",$D3="4 dd",$D3="6 dd",$D3="8 dd",$D3="12 dd",$D3="an",$D3="1 X"),VLOOKUP($D3,ber_tijden!$A$16:$X$26,ber_tijden!Q$14,FALSE),"")</f>
        <v/>
      </c>
      <c r="X3" s="106" t="str">
        <f>IF(OR($D3="1 dd",$D3="2 dd",$D3="3 dd",$D3="4 dd",$D3="6 dd",$D3="8 dd",$D3="12 dd",$D3="an",$D3="1 X"),VLOOKUP($D3,ber_tijden!$A$16:$X$26,ber_tijden!R$14,FALSE),"")</f>
        <v/>
      </c>
      <c r="Y3" s="15" t="str">
        <f>IF(OR($D3="1 dd",$D3="2 dd",$D3="3 dd",$D3="4 dd",$D3="6 dd",$D3="8 dd",$D3="12 dd",$D3="an",$D3="1 X"),VLOOKUP($D3,ber_tijden!$A$16:$X$26,ber_tijden!S$14,FALSE),"")</f>
        <v/>
      </c>
      <c r="Z3" s="106" t="str">
        <f>IF(OR($D3="1 dd",$D3="2 dd",$D3="3 dd",$D3="4 dd",$D3="6 dd",$D3="8 dd",$D3="12 dd",$D3="an",$D3="1 X"),VLOOKUP($D3,ber_tijden!$A$16:$X$26,ber_tijden!T$14,FALSE),"")</f>
        <v/>
      </c>
      <c r="AA3" s="15" t="str">
        <f>IF(OR($D3="1 dd",$D3="2 dd",$D3="3 dd",$D3="4 dd",$D3="6 dd",$D3="8 dd",$D3="12 dd",$D3="an",$D3="1 X"),VLOOKUP($D3,ber_tijden!$A$16:$X$26,ber_tijden!U$14,FALSE),"")</f>
        <v/>
      </c>
      <c r="AB3" s="106" t="str">
        <f>IF(OR($D3="1 dd",$D3="2 dd",$D3="3 dd",$D3="4 dd",$D3="6 dd",$D3="8 dd",$D3="12 dd",$D3="an",$D3="1 X"),VLOOKUP($D3,ber_tijden!$A$16:$X$26,ber_tijden!V$14,FALSE),"")</f>
        <v/>
      </c>
      <c r="AC3" s="15" t="str">
        <f>IF(OR($D3="1 dd",$D3="2 dd",$D3="3 dd",$D3="4 dd",$D3="6 dd",$D3="8 dd",$D3="12 dd",$D3="an",$D3="1 X"),VLOOKUP($D3,ber_tijden!$A$16:$X$26,ber_tijden!W$14,FALSE),"")</f>
        <v/>
      </c>
      <c r="AD3" s="106" t="str">
        <f>IF(OR($D3="1 dd",$D3="2 dd",$D3="3 dd",$D3="4 dd",$D3="6 dd",$D3="8 dd",$D3="12 dd",$D3="an",$D3="1 X"),VLOOKUP($D3,ber_tijden!$A$16:$X$26,ber_tijden!X$14,FALSE),"")</f>
        <v/>
      </c>
      <c r="AE3" s="17"/>
      <c r="AF3" s="105"/>
      <c r="AG3" s="17"/>
    </row>
    <row r="4" spans="1:33" ht="26.1" customHeight="1" x14ac:dyDescent="0.2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dd",$D4="6 dd",$D4="8 dd",$D4="12 dd",$D4="an",$D4="1 X"),VLOOKUP($D4,ber_tijden!$A$16:$X$26,ber_tijden!B$14,FALSE),"")</f>
        <v/>
      </c>
      <c r="I4" s="15" t="str">
        <f>IF(OR($D4="1 dd",$D4="2 dd",$D4="3 dd",$D4="4 dd",$D4="6 dd",$D4="8 dd",$D4="12 dd",$D4="an",$D4="1 X"),VLOOKUP($D4,ber_tijden!$A$16:$X$26,ber_tijden!C$14,FALSE),"")</f>
        <v/>
      </c>
      <c r="J4" s="106" t="str">
        <f>IF(OR($D4="1 dd",$D4="2 dd",$D4="3 dd",$D4="4 dd",$D4="6 dd",$D4="8 dd",$D4="12 dd",$D4="an",$D4="1 X"),VLOOKUP($D4,ber_tijden!$A$16:$X$26,ber_tijden!D$14,FALSE),"")</f>
        <v/>
      </c>
      <c r="K4" s="15" t="str">
        <f>IF(OR($D4="1 dd",$D4="2 dd",$D4="3 dd",$D4="4 dd",$D4="6 dd",$D4="8 dd",$D4="12 dd",$D4="an",$D4="1 X"),VLOOKUP($D4,ber_tijden!$A$16:$X$26,ber_tijden!E$14,FALSE),"")</f>
        <v/>
      </c>
      <c r="L4" s="106" t="str">
        <f>IF(OR($D4="1 dd",$D4="2 dd",$D4="3 dd",$D4="4 dd",$D4="6 dd",$D4="8 dd",$D4="12 dd",$D4="an",$D4="1 X"),VLOOKUP($D4,ber_tijden!$A$16:$X$26,ber_tijden!F$14,FALSE),"")</f>
        <v/>
      </c>
      <c r="M4" s="15" t="str">
        <f>IF(OR($D4="1 dd",$D4="2 dd",$D4="3 dd",$D4="4 dd",$D4="6 dd",$D4="8 dd",$D4="12 dd",$D4="an",$D4="1 X"),VLOOKUP($D4,ber_tijden!$A$16:$X$26,ber_tijden!G$14,FALSE),"")</f>
        <v/>
      </c>
      <c r="N4" s="106" t="str">
        <f>IF(OR($D4="1 dd",$D4="2 dd",$D4="3 dd",$D4="4 dd",$D4="6 dd",$D4="8 dd",$D4="12 dd",$D4="an",$D4="1 X"),VLOOKUP($D4,ber_tijden!$A$16:$X$26,ber_tijden!H$14,FALSE),"")</f>
        <v/>
      </c>
      <c r="O4" s="15" t="str">
        <f>IF(OR($D4="1 dd",$D4="2 dd",$D4="3 dd",$D4="4 dd",$D4="6 dd",$D4="8 dd",$D4="12 dd",$D4="an",$D4="1 X"),VLOOKUP($D4,ber_tijden!$A$16:$X$26,ber_tijden!I$14,FALSE),"")</f>
        <v/>
      </c>
      <c r="P4" s="106" t="str">
        <f>IF(OR($D4="1 dd",$D4="2 dd",$D4="3 dd",$D4="4 dd",$D4="6 dd",$D4="8 dd",$D4="12 dd",$D4="an",$D4="1 X"),VLOOKUP($D4,ber_tijden!$A$16:$X$26,ber_tijden!J$14,FALSE),"")</f>
        <v/>
      </c>
      <c r="Q4" s="15" t="str">
        <f>IF(OR($D4="1 dd",$D4="2 dd",$D4="3 dd",$D4="4 dd",$D4="6 dd",$D4="8 dd",$D4="12 dd",$D4="an",$D4="1 X"),VLOOKUP($D4,ber_tijden!$A$16:$X$26,ber_tijden!K$14,FALSE),"")</f>
        <v/>
      </c>
      <c r="R4" s="106" t="str">
        <f>IF(OR($D4="1 dd",$D4="2 dd",$D4="3 dd",$D4="4 dd",$D4="6 dd",$D4="8 dd",$D4="12 dd",$D4="an",$D4="1 X"),VLOOKUP($D4,ber_tijden!$A$16:$X$26,ber_tijden!L$14,FALSE),"")</f>
        <v/>
      </c>
      <c r="S4" s="15" t="str">
        <f>IF(OR($D4="1 dd",$D4="2 dd",$D4="3 dd",$D4="4 dd",$D4="6 dd",$D4="8 dd",$D4="12 dd",$D4="an",$D4="1 X"),VLOOKUP($D4,ber_tijden!$A$16:$X$26,ber_tijden!M$14,FALSE),"")</f>
        <v/>
      </c>
      <c r="T4" s="106" t="str">
        <f>IF(OR($D4="1 dd",$D4="2 dd",$D4="3 dd",$D4="4 dd",$D4="6 dd",$D4="8 dd",$D4="12 dd",$D4="an",$D4="1 X"),VLOOKUP($D4,ber_tijden!$A$16:$X$26,ber_tijden!N$14,FALSE),"")</f>
        <v/>
      </c>
      <c r="U4" s="15" t="str">
        <f>IF(OR($D4="1 dd",$D4="2 dd",$D4="3 dd",$D4="4 dd",$D4="6 dd",$D4="8 dd",$D4="12 dd",$D4="an",$D4="1 X"),VLOOKUP($D4,ber_tijden!$A$16:$X$26,ber_tijden!O$14,FALSE),"")</f>
        <v/>
      </c>
      <c r="V4" s="106" t="str">
        <f>IF(OR($D4="1 dd",$D4="2 dd",$D4="3 dd",$D4="4 dd",$D4="6 dd",$D4="8 dd",$D4="12 dd",$D4="an",$D4="1 X"),VLOOKUP($D4,ber_tijden!$A$16:$X$26,ber_tijden!P$14,FALSE),"")</f>
        <v/>
      </c>
      <c r="W4" s="15" t="str">
        <f>IF(OR($D4="1 dd",$D4="2 dd",$D4="3 dd",$D4="4 dd",$D4="6 dd",$D4="8 dd",$D4="12 dd",$D4="an",$D4="1 X"),VLOOKUP($D4,ber_tijden!$A$16:$X$26,ber_tijden!Q$14,FALSE),"")</f>
        <v/>
      </c>
      <c r="X4" s="106" t="str">
        <f>IF(OR($D4="1 dd",$D4="2 dd",$D4="3 dd",$D4="4 dd",$D4="6 dd",$D4="8 dd",$D4="12 dd",$D4="an",$D4="1 X"),VLOOKUP($D4,ber_tijden!$A$16:$X$26,ber_tijden!R$14,FALSE),"")</f>
        <v/>
      </c>
      <c r="Y4" s="15" t="str">
        <f>IF(OR($D4="1 dd",$D4="2 dd",$D4="3 dd",$D4="4 dd",$D4="6 dd",$D4="8 dd",$D4="12 dd",$D4="an",$D4="1 X"),VLOOKUP($D4,ber_tijden!$A$16:$X$26,ber_tijden!S$14,FALSE),"")</f>
        <v/>
      </c>
      <c r="Z4" s="106" t="str">
        <f>IF(OR($D4="1 dd",$D4="2 dd",$D4="3 dd",$D4="4 dd",$D4="6 dd",$D4="8 dd",$D4="12 dd",$D4="an",$D4="1 X"),VLOOKUP($D4,ber_tijden!$A$16:$X$26,ber_tijden!T$14,FALSE),"")</f>
        <v/>
      </c>
      <c r="AA4" s="15" t="str">
        <f>IF(OR($D4="1 dd",$D4="2 dd",$D4="3 dd",$D4="4 dd",$D4="6 dd",$D4="8 dd",$D4="12 dd",$D4="an",$D4="1 X"),VLOOKUP($D4,ber_tijden!$A$16:$X$26,ber_tijden!U$14,FALSE),"")</f>
        <v/>
      </c>
      <c r="AB4" s="106" t="str">
        <f>IF(OR($D4="1 dd",$D4="2 dd",$D4="3 dd",$D4="4 dd",$D4="6 dd",$D4="8 dd",$D4="12 dd",$D4="an",$D4="1 X"),VLOOKUP($D4,ber_tijden!$A$16:$X$26,ber_tijden!V$14,FALSE),"")</f>
        <v/>
      </c>
      <c r="AC4" s="15" t="str">
        <f>IF(OR($D4="1 dd",$D4="2 dd",$D4="3 dd",$D4="4 dd",$D4="6 dd",$D4="8 dd",$D4="12 dd",$D4="an",$D4="1 X"),VLOOKUP($D4,ber_tijden!$A$16:$X$26,ber_tijden!W$14,FALSE),"")</f>
        <v/>
      </c>
      <c r="AD4" s="106" t="str">
        <f>IF(OR($D4="1 dd",$D4="2 dd",$D4="3 dd",$D4="4 dd",$D4="6 dd",$D4="8 dd",$D4="12 dd",$D4="an",$D4="1 X"),VLOOKUP($D4,ber_tijden!$A$16:$X$26,ber_tijden!X$14,FALSE),"")</f>
        <v/>
      </c>
      <c r="AE4" s="17"/>
      <c r="AF4" s="105"/>
      <c r="AG4" s="17"/>
    </row>
    <row r="5" spans="1:33" ht="26.1" customHeight="1" x14ac:dyDescent="0.2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dd",$D5="6 dd",$D5="8 dd",$D5="12 dd",$D5="an",$D5="1 X"),VLOOKUP($D5,ber_tijden!$A$16:$X$26,ber_tijden!B$14,FALSE),"")</f>
        <v/>
      </c>
      <c r="I5" s="15" t="str">
        <f>IF(OR($D5="1 dd",$D5="2 dd",$D5="3 dd",$D5="4 dd",$D5="6 dd",$D5="8 dd",$D5="12 dd",$D5="an",$D5="1 X"),VLOOKUP($D5,ber_tijden!$A$16:$X$26,ber_tijden!C$14,FALSE),"")</f>
        <v/>
      </c>
      <c r="J5" s="106" t="str">
        <f>IF(OR($D5="1 dd",$D5="2 dd",$D5="3 dd",$D5="4 dd",$D5="6 dd",$D5="8 dd",$D5="12 dd",$D5="an",$D5="1 X"),VLOOKUP($D5,ber_tijden!$A$16:$X$26,ber_tijden!D$14,FALSE),"")</f>
        <v/>
      </c>
      <c r="K5" s="15" t="str">
        <f>IF(OR($D5="1 dd",$D5="2 dd",$D5="3 dd",$D5="4 dd",$D5="6 dd",$D5="8 dd",$D5="12 dd",$D5="an",$D5="1 X"),VLOOKUP($D5,ber_tijden!$A$16:$X$26,ber_tijden!E$14,FALSE),"")</f>
        <v/>
      </c>
      <c r="L5" s="106" t="str">
        <f>IF(OR($D5="1 dd",$D5="2 dd",$D5="3 dd",$D5="4 dd",$D5="6 dd",$D5="8 dd",$D5="12 dd",$D5="an",$D5="1 X"),VLOOKUP($D5,ber_tijden!$A$16:$X$26,ber_tijden!F$14,FALSE),"")</f>
        <v/>
      </c>
      <c r="M5" s="15" t="str">
        <f>IF(OR($D5="1 dd",$D5="2 dd",$D5="3 dd",$D5="4 dd",$D5="6 dd",$D5="8 dd",$D5="12 dd",$D5="an",$D5="1 X"),VLOOKUP($D5,ber_tijden!$A$16:$X$26,ber_tijden!G$14,FALSE),"")</f>
        <v/>
      </c>
      <c r="N5" s="106" t="str">
        <f>IF(OR($D5="1 dd",$D5="2 dd",$D5="3 dd",$D5="4 dd",$D5="6 dd",$D5="8 dd",$D5="12 dd",$D5="an",$D5="1 X"),VLOOKUP($D5,ber_tijden!$A$16:$X$26,ber_tijden!H$14,FALSE),"")</f>
        <v/>
      </c>
      <c r="O5" s="15" t="str">
        <f>IF(OR($D5="1 dd",$D5="2 dd",$D5="3 dd",$D5="4 dd",$D5="6 dd",$D5="8 dd",$D5="12 dd",$D5="an",$D5="1 X"),VLOOKUP($D5,ber_tijden!$A$16:$X$26,ber_tijden!I$14,FALSE),"")</f>
        <v/>
      </c>
      <c r="P5" s="106" t="str">
        <f>IF(OR($D5="1 dd",$D5="2 dd",$D5="3 dd",$D5="4 dd",$D5="6 dd",$D5="8 dd",$D5="12 dd",$D5="an",$D5="1 X"),VLOOKUP($D5,ber_tijden!$A$16:$X$26,ber_tijden!J$14,FALSE),"")</f>
        <v/>
      </c>
      <c r="Q5" s="15" t="str">
        <f>IF(OR($D5="1 dd",$D5="2 dd",$D5="3 dd",$D5="4 dd",$D5="6 dd",$D5="8 dd",$D5="12 dd",$D5="an",$D5="1 X"),VLOOKUP($D5,ber_tijden!$A$16:$X$26,ber_tijden!K$14,FALSE),"")</f>
        <v/>
      </c>
      <c r="R5" s="106" t="str">
        <f>IF(OR($D5="1 dd",$D5="2 dd",$D5="3 dd",$D5="4 dd",$D5="6 dd",$D5="8 dd",$D5="12 dd",$D5="an",$D5="1 X"),VLOOKUP($D5,ber_tijden!$A$16:$X$26,ber_tijden!L$14,FALSE),"")</f>
        <v/>
      </c>
      <c r="S5" s="15" t="str">
        <f>IF(OR($D5="1 dd",$D5="2 dd",$D5="3 dd",$D5="4 dd",$D5="6 dd",$D5="8 dd",$D5="12 dd",$D5="an",$D5="1 X"),VLOOKUP($D5,ber_tijden!$A$16:$X$26,ber_tijden!M$14,FALSE),"")</f>
        <v/>
      </c>
      <c r="T5" s="106" t="str">
        <f>IF(OR($D5="1 dd",$D5="2 dd",$D5="3 dd",$D5="4 dd",$D5="6 dd",$D5="8 dd",$D5="12 dd",$D5="an",$D5="1 X"),VLOOKUP($D5,ber_tijden!$A$16:$X$26,ber_tijden!N$14,FALSE),"")</f>
        <v/>
      </c>
      <c r="U5" s="15" t="str">
        <f>IF(OR($D5="1 dd",$D5="2 dd",$D5="3 dd",$D5="4 dd",$D5="6 dd",$D5="8 dd",$D5="12 dd",$D5="an",$D5="1 X"),VLOOKUP($D5,ber_tijden!$A$16:$X$26,ber_tijden!O$14,FALSE),"")</f>
        <v/>
      </c>
      <c r="V5" s="106" t="str">
        <f>IF(OR($D5="1 dd",$D5="2 dd",$D5="3 dd",$D5="4 dd",$D5="6 dd",$D5="8 dd",$D5="12 dd",$D5="an",$D5="1 X"),VLOOKUP($D5,ber_tijden!$A$16:$X$26,ber_tijden!P$14,FALSE),"")</f>
        <v/>
      </c>
      <c r="W5" s="15" t="str">
        <f>IF(OR($D5="1 dd",$D5="2 dd",$D5="3 dd",$D5="4 dd",$D5="6 dd",$D5="8 dd",$D5="12 dd",$D5="an",$D5="1 X"),VLOOKUP($D5,ber_tijden!$A$16:$X$26,ber_tijden!Q$14,FALSE),"")</f>
        <v/>
      </c>
      <c r="X5" s="106" t="str">
        <f>IF(OR($D5="1 dd",$D5="2 dd",$D5="3 dd",$D5="4 dd",$D5="6 dd",$D5="8 dd",$D5="12 dd",$D5="an",$D5="1 X"),VLOOKUP($D5,ber_tijden!$A$16:$X$26,ber_tijden!R$14,FALSE),"")</f>
        <v/>
      </c>
      <c r="Y5" s="15" t="str">
        <f>IF(OR($D5="1 dd",$D5="2 dd",$D5="3 dd",$D5="4 dd",$D5="6 dd",$D5="8 dd",$D5="12 dd",$D5="an",$D5="1 X"),VLOOKUP($D5,ber_tijden!$A$16:$X$26,ber_tijden!S$14,FALSE),"")</f>
        <v/>
      </c>
      <c r="Z5" s="106" t="str">
        <f>IF(OR($D5="1 dd",$D5="2 dd",$D5="3 dd",$D5="4 dd",$D5="6 dd",$D5="8 dd",$D5="12 dd",$D5="an",$D5="1 X"),VLOOKUP($D5,ber_tijden!$A$16:$X$26,ber_tijden!T$14,FALSE),"")</f>
        <v/>
      </c>
      <c r="AA5" s="15" t="str">
        <f>IF(OR($D5="1 dd",$D5="2 dd",$D5="3 dd",$D5="4 dd",$D5="6 dd",$D5="8 dd",$D5="12 dd",$D5="an",$D5="1 X"),VLOOKUP($D5,ber_tijden!$A$16:$X$26,ber_tijden!U$14,FALSE),"")</f>
        <v/>
      </c>
      <c r="AB5" s="106" t="str">
        <f>IF(OR($D5="1 dd",$D5="2 dd",$D5="3 dd",$D5="4 dd",$D5="6 dd",$D5="8 dd",$D5="12 dd",$D5="an",$D5="1 X"),VLOOKUP($D5,ber_tijden!$A$16:$X$26,ber_tijden!V$14,FALSE),"")</f>
        <v/>
      </c>
      <c r="AC5" s="15" t="str">
        <f>IF(OR($D5="1 dd",$D5="2 dd",$D5="3 dd",$D5="4 dd",$D5="6 dd",$D5="8 dd",$D5="12 dd",$D5="an",$D5="1 X"),VLOOKUP($D5,ber_tijden!$A$16:$X$26,ber_tijden!W$14,FALSE),"")</f>
        <v/>
      </c>
      <c r="AD5" s="106" t="str">
        <f>IF(OR($D5="1 dd",$D5="2 dd",$D5="3 dd",$D5="4 dd",$D5="6 dd",$D5="8 dd",$D5="12 dd",$D5="an",$D5="1 X"),VLOOKUP($D5,ber_tijden!$A$16:$X$26,ber_tijden!X$14,FALSE),"")</f>
        <v/>
      </c>
      <c r="AE5" s="17"/>
      <c r="AF5" s="105"/>
      <c r="AG5" s="17"/>
    </row>
    <row r="6" spans="1:33" ht="26.1" customHeight="1" x14ac:dyDescent="0.2">
      <c r="A6" s="579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dd",$D6="6 dd",$D6="8 dd",$D6="12 dd",$D6="an",$D6="1 X"),VLOOKUP($D6,ber_tijden!$A$16:$X$26,ber_tijden!B$14,FALSE),"")</f>
        <v/>
      </c>
      <c r="I6" s="15" t="str">
        <f>IF(OR($D6="1 dd",$D6="2 dd",$D6="3 dd",$D6="4 dd",$D6="6 dd",$D6="8 dd",$D6="12 dd",$D6="an",$D6="1 X"),VLOOKUP($D6,ber_tijden!$A$16:$X$26,ber_tijden!C$14,FALSE),"")</f>
        <v/>
      </c>
      <c r="J6" s="106" t="str">
        <f>IF(OR($D6="1 dd",$D6="2 dd",$D6="3 dd",$D6="4 dd",$D6="6 dd",$D6="8 dd",$D6="12 dd",$D6="an",$D6="1 X"),VLOOKUP($D6,ber_tijden!$A$16:$X$26,ber_tijden!D$14,FALSE),"")</f>
        <v/>
      </c>
      <c r="K6" s="15" t="str">
        <f>IF(OR($D6="1 dd",$D6="2 dd",$D6="3 dd",$D6="4 dd",$D6="6 dd",$D6="8 dd",$D6="12 dd",$D6="an",$D6="1 X"),VLOOKUP($D6,ber_tijden!$A$16:$X$26,ber_tijden!E$14,FALSE),"")</f>
        <v/>
      </c>
      <c r="L6" s="106" t="str">
        <f>IF(OR($D6="1 dd",$D6="2 dd",$D6="3 dd",$D6="4 dd",$D6="6 dd",$D6="8 dd",$D6="12 dd",$D6="an",$D6="1 X"),VLOOKUP($D6,ber_tijden!$A$16:$X$26,ber_tijden!F$14,FALSE),"")</f>
        <v/>
      </c>
      <c r="M6" s="15" t="str">
        <f>IF(OR($D6="1 dd",$D6="2 dd",$D6="3 dd",$D6="4 dd",$D6="6 dd",$D6="8 dd",$D6="12 dd",$D6="an",$D6="1 X"),VLOOKUP($D6,ber_tijden!$A$16:$X$26,ber_tijden!G$14,FALSE),"")</f>
        <v/>
      </c>
      <c r="N6" s="106" t="str">
        <f>IF(OR($D6="1 dd",$D6="2 dd",$D6="3 dd",$D6="4 dd",$D6="6 dd",$D6="8 dd",$D6="12 dd",$D6="an",$D6="1 X"),VLOOKUP($D6,ber_tijden!$A$16:$X$26,ber_tijden!H$14,FALSE),"")</f>
        <v/>
      </c>
      <c r="O6" s="15" t="str">
        <f>IF(OR($D6="1 dd",$D6="2 dd",$D6="3 dd",$D6="4 dd",$D6="6 dd",$D6="8 dd",$D6="12 dd",$D6="an",$D6="1 X"),VLOOKUP($D6,ber_tijden!$A$16:$X$26,ber_tijden!I$14,FALSE),"")</f>
        <v/>
      </c>
      <c r="P6" s="106" t="str">
        <f>IF(OR($D6="1 dd",$D6="2 dd",$D6="3 dd",$D6="4 dd",$D6="6 dd",$D6="8 dd",$D6="12 dd",$D6="an",$D6="1 X"),VLOOKUP($D6,ber_tijden!$A$16:$X$26,ber_tijden!J$14,FALSE),"")</f>
        <v/>
      </c>
      <c r="Q6" s="15" t="str">
        <f>IF(OR($D6="1 dd",$D6="2 dd",$D6="3 dd",$D6="4 dd",$D6="6 dd",$D6="8 dd",$D6="12 dd",$D6="an",$D6="1 X"),VLOOKUP($D6,ber_tijden!$A$16:$X$26,ber_tijden!K$14,FALSE),"")</f>
        <v/>
      </c>
      <c r="R6" s="106" t="str">
        <f>IF(OR($D6="1 dd",$D6="2 dd",$D6="3 dd",$D6="4 dd",$D6="6 dd",$D6="8 dd",$D6="12 dd",$D6="an",$D6="1 X"),VLOOKUP($D6,ber_tijden!$A$16:$X$26,ber_tijden!L$14,FALSE),"")</f>
        <v/>
      </c>
      <c r="S6" s="15" t="str">
        <f>IF(OR($D6="1 dd",$D6="2 dd",$D6="3 dd",$D6="4 dd",$D6="6 dd",$D6="8 dd",$D6="12 dd",$D6="an",$D6="1 X"),VLOOKUP($D6,ber_tijden!$A$16:$X$26,ber_tijden!M$14,FALSE),"")</f>
        <v/>
      </c>
      <c r="T6" s="106" t="str">
        <f>IF(OR($D6="1 dd",$D6="2 dd",$D6="3 dd",$D6="4 dd",$D6="6 dd",$D6="8 dd",$D6="12 dd",$D6="an",$D6="1 X"),VLOOKUP($D6,ber_tijden!$A$16:$X$26,ber_tijden!N$14,FALSE),"")</f>
        <v/>
      </c>
      <c r="U6" s="15" t="str">
        <f>IF(OR($D6="1 dd",$D6="2 dd",$D6="3 dd",$D6="4 dd",$D6="6 dd",$D6="8 dd",$D6="12 dd",$D6="an",$D6="1 X"),VLOOKUP($D6,ber_tijden!$A$16:$X$26,ber_tijden!O$14,FALSE),"")</f>
        <v/>
      </c>
      <c r="V6" s="106" t="str">
        <f>IF(OR($D6="1 dd",$D6="2 dd",$D6="3 dd",$D6="4 dd",$D6="6 dd",$D6="8 dd",$D6="12 dd",$D6="an",$D6="1 X"),VLOOKUP($D6,ber_tijden!$A$16:$X$26,ber_tijden!P$14,FALSE),"")</f>
        <v/>
      </c>
      <c r="W6" s="15" t="str">
        <f>IF(OR($D6="1 dd",$D6="2 dd",$D6="3 dd",$D6="4 dd",$D6="6 dd",$D6="8 dd",$D6="12 dd",$D6="an",$D6="1 X"),VLOOKUP($D6,ber_tijden!$A$16:$X$26,ber_tijden!Q$14,FALSE),"")</f>
        <v/>
      </c>
      <c r="X6" s="106" t="str">
        <f>IF(OR($D6="1 dd",$D6="2 dd",$D6="3 dd",$D6="4 dd",$D6="6 dd",$D6="8 dd",$D6="12 dd",$D6="an",$D6="1 X"),VLOOKUP($D6,ber_tijden!$A$16:$X$26,ber_tijden!R$14,FALSE),"")</f>
        <v/>
      </c>
      <c r="Y6" s="15" t="str">
        <f>IF(OR($D6="1 dd",$D6="2 dd",$D6="3 dd",$D6="4 dd",$D6="6 dd",$D6="8 dd",$D6="12 dd",$D6="an",$D6="1 X"),VLOOKUP($D6,ber_tijden!$A$16:$X$26,ber_tijden!S$14,FALSE),"")</f>
        <v/>
      </c>
      <c r="Z6" s="106" t="str">
        <f>IF(OR($D6="1 dd",$D6="2 dd",$D6="3 dd",$D6="4 dd",$D6="6 dd",$D6="8 dd",$D6="12 dd",$D6="an",$D6="1 X"),VLOOKUP($D6,ber_tijden!$A$16:$X$26,ber_tijden!T$14,FALSE),"")</f>
        <v/>
      </c>
      <c r="AA6" s="15" t="str">
        <f>IF(OR($D6="1 dd",$D6="2 dd",$D6="3 dd",$D6="4 dd",$D6="6 dd",$D6="8 dd",$D6="12 dd",$D6="an",$D6="1 X"),VLOOKUP($D6,ber_tijden!$A$16:$X$26,ber_tijden!U$14,FALSE),"")</f>
        <v/>
      </c>
      <c r="AB6" s="106" t="str">
        <f>IF(OR($D6="1 dd",$D6="2 dd",$D6="3 dd",$D6="4 dd",$D6="6 dd",$D6="8 dd",$D6="12 dd",$D6="an",$D6="1 X"),VLOOKUP($D6,ber_tijden!$A$16:$X$26,ber_tijden!V$14,FALSE),"")</f>
        <v/>
      </c>
      <c r="AC6" s="15" t="str">
        <f>IF(OR($D6="1 dd",$D6="2 dd",$D6="3 dd",$D6="4 dd",$D6="6 dd",$D6="8 dd",$D6="12 dd",$D6="an",$D6="1 X"),VLOOKUP($D6,ber_tijden!$A$16:$X$26,ber_tijden!W$14,FALSE),"")</f>
        <v/>
      </c>
      <c r="AD6" s="106" t="str">
        <f>IF(OR($D6="1 dd",$D6="2 dd",$D6="3 dd",$D6="4 dd",$D6="6 dd",$D6="8 dd",$D6="12 dd",$D6="an",$D6="1 X"),VLOOKUP($D6,ber_tijden!$A$16:$X$26,ber_tijden!X$14,FALSE),"")</f>
        <v/>
      </c>
      <c r="AE6" s="17"/>
      <c r="AF6" s="105"/>
      <c r="AG6" s="17"/>
    </row>
    <row r="7" spans="1:33" ht="26.1" customHeight="1" x14ac:dyDescent="0.2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dd",$D7="6 dd",$D7="8 dd",$D7="12 dd",$D7="an",$D7="1 X"),VLOOKUP($D7,ber_tijden!$A$16:$X$26,ber_tijden!B$14,FALSE),"")</f>
        <v/>
      </c>
      <c r="I7" s="15" t="str">
        <f>IF(OR($D7="1 dd",$D7="2 dd",$D7="3 dd",$D7="4 dd",$D7="6 dd",$D7="8 dd",$D7="12 dd",$D7="an",$D7="1 X"),VLOOKUP($D7,ber_tijden!$A$16:$X$26,ber_tijden!C$14,FALSE),"")</f>
        <v/>
      </c>
      <c r="J7" s="106" t="str">
        <f>IF(OR($D7="1 dd",$D7="2 dd",$D7="3 dd",$D7="4 dd",$D7="6 dd",$D7="8 dd",$D7="12 dd",$D7="an",$D7="1 X"),VLOOKUP($D7,ber_tijden!$A$16:$X$26,ber_tijden!D$14,FALSE),"")</f>
        <v/>
      </c>
      <c r="K7" s="15" t="str">
        <f>IF(OR($D7="1 dd",$D7="2 dd",$D7="3 dd",$D7="4 dd",$D7="6 dd",$D7="8 dd",$D7="12 dd",$D7="an",$D7="1 X"),VLOOKUP($D7,ber_tijden!$A$16:$X$26,ber_tijden!E$14,FALSE),"")</f>
        <v/>
      </c>
      <c r="L7" s="106" t="str">
        <f>IF(OR($D7="1 dd",$D7="2 dd",$D7="3 dd",$D7="4 dd",$D7="6 dd",$D7="8 dd",$D7="12 dd",$D7="an",$D7="1 X"),VLOOKUP($D7,ber_tijden!$A$16:$X$26,ber_tijden!F$14,FALSE),"")</f>
        <v/>
      </c>
      <c r="M7" s="15" t="str">
        <f>IF(OR($D7="1 dd",$D7="2 dd",$D7="3 dd",$D7="4 dd",$D7="6 dd",$D7="8 dd",$D7="12 dd",$D7="an",$D7="1 X"),VLOOKUP($D7,ber_tijden!$A$16:$X$26,ber_tijden!G$14,FALSE),"")</f>
        <v/>
      </c>
      <c r="N7" s="106" t="str">
        <f>IF(OR($D7="1 dd",$D7="2 dd",$D7="3 dd",$D7="4 dd",$D7="6 dd",$D7="8 dd",$D7="12 dd",$D7="an",$D7="1 X"),VLOOKUP($D7,ber_tijden!$A$16:$X$26,ber_tijden!H$14,FALSE),"")</f>
        <v/>
      </c>
      <c r="O7" s="15" t="str">
        <f>IF(OR($D7="1 dd",$D7="2 dd",$D7="3 dd",$D7="4 dd",$D7="6 dd",$D7="8 dd",$D7="12 dd",$D7="an",$D7="1 X"),VLOOKUP($D7,ber_tijden!$A$16:$X$26,ber_tijden!I$14,FALSE),"")</f>
        <v/>
      </c>
      <c r="P7" s="106" t="str">
        <f>IF(OR($D7="1 dd",$D7="2 dd",$D7="3 dd",$D7="4 dd",$D7="6 dd",$D7="8 dd",$D7="12 dd",$D7="an",$D7="1 X"),VLOOKUP($D7,ber_tijden!$A$16:$X$26,ber_tijden!J$14,FALSE),"")</f>
        <v/>
      </c>
      <c r="Q7" s="15" t="str">
        <f>IF(OR($D7="1 dd",$D7="2 dd",$D7="3 dd",$D7="4 dd",$D7="6 dd",$D7="8 dd",$D7="12 dd",$D7="an",$D7="1 X"),VLOOKUP($D7,ber_tijden!$A$16:$X$26,ber_tijden!K$14,FALSE),"")</f>
        <v/>
      </c>
      <c r="R7" s="106" t="str">
        <f>IF(OR($D7="1 dd",$D7="2 dd",$D7="3 dd",$D7="4 dd",$D7="6 dd",$D7="8 dd",$D7="12 dd",$D7="an",$D7="1 X"),VLOOKUP($D7,ber_tijden!$A$16:$X$26,ber_tijden!L$14,FALSE),"")</f>
        <v/>
      </c>
      <c r="S7" s="15" t="str">
        <f>IF(OR($D7="1 dd",$D7="2 dd",$D7="3 dd",$D7="4 dd",$D7="6 dd",$D7="8 dd",$D7="12 dd",$D7="an",$D7="1 X"),VLOOKUP($D7,ber_tijden!$A$16:$X$26,ber_tijden!M$14,FALSE),"")</f>
        <v/>
      </c>
      <c r="T7" s="106" t="str">
        <f>IF(OR($D7="1 dd",$D7="2 dd",$D7="3 dd",$D7="4 dd",$D7="6 dd",$D7="8 dd",$D7="12 dd",$D7="an",$D7="1 X"),VLOOKUP($D7,ber_tijden!$A$16:$X$26,ber_tijden!N$14,FALSE),"")</f>
        <v/>
      </c>
      <c r="U7" s="15" t="str">
        <f>IF(OR($D7="1 dd",$D7="2 dd",$D7="3 dd",$D7="4 dd",$D7="6 dd",$D7="8 dd",$D7="12 dd",$D7="an",$D7="1 X"),VLOOKUP($D7,ber_tijden!$A$16:$X$26,ber_tijden!O$14,FALSE),"")</f>
        <v/>
      </c>
      <c r="V7" s="106" t="str">
        <f>IF(OR($D7="1 dd",$D7="2 dd",$D7="3 dd",$D7="4 dd",$D7="6 dd",$D7="8 dd",$D7="12 dd",$D7="an",$D7="1 X"),VLOOKUP($D7,ber_tijden!$A$16:$X$26,ber_tijden!P$14,FALSE),"")</f>
        <v/>
      </c>
      <c r="W7" s="15" t="str">
        <f>IF(OR($D7="1 dd",$D7="2 dd",$D7="3 dd",$D7="4 dd",$D7="6 dd",$D7="8 dd",$D7="12 dd",$D7="an",$D7="1 X"),VLOOKUP($D7,ber_tijden!$A$16:$X$26,ber_tijden!Q$14,FALSE),"")</f>
        <v/>
      </c>
      <c r="X7" s="106" t="str">
        <f>IF(OR($D7="1 dd",$D7="2 dd",$D7="3 dd",$D7="4 dd",$D7="6 dd",$D7="8 dd",$D7="12 dd",$D7="an",$D7="1 X"),VLOOKUP($D7,ber_tijden!$A$16:$X$26,ber_tijden!R$14,FALSE),"")</f>
        <v/>
      </c>
      <c r="Y7" s="15" t="str">
        <f>IF(OR($D7="1 dd",$D7="2 dd",$D7="3 dd",$D7="4 dd",$D7="6 dd",$D7="8 dd",$D7="12 dd",$D7="an",$D7="1 X"),VLOOKUP($D7,ber_tijden!$A$16:$X$26,ber_tijden!S$14,FALSE),"")</f>
        <v/>
      </c>
      <c r="Z7" s="106" t="str">
        <f>IF(OR($D7="1 dd",$D7="2 dd",$D7="3 dd",$D7="4 dd",$D7="6 dd",$D7="8 dd",$D7="12 dd",$D7="an",$D7="1 X"),VLOOKUP($D7,ber_tijden!$A$16:$X$26,ber_tijden!T$14,FALSE),"")</f>
        <v/>
      </c>
      <c r="AA7" s="15" t="str">
        <f>IF(OR($D7="1 dd",$D7="2 dd",$D7="3 dd",$D7="4 dd",$D7="6 dd",$D7="8 dd",$D7="12 dd",$D7="an",$D7="1 X"),VLOOKUP($D7,ber_tijden!$A$16:$X$26,ber_tijden!U$14,FALSE),"")</f>
        <v/>
      </c>
      <c r="AB7" s="106" t="str">
        <f>IF(OR($D7="1 dd",$D7="2 dd",$D7="3 dd",$D7="4 dd",$D7="6 dd",$D7="8 dd",$D7="12 dd",$D7="an",$D7="1 X"),VLOOKUP($D7,ber_tijden!$A$16:$X$26,ber_tijden!V$14,FALSE),"")</f>
        <v/>
      </c>
      <c r="AC7" s="15" t="str">
        <f>IF(OR($D7="1 dd",$D7="2 dd",$D7="3 dd",$D7="4 dd",$D7="6 dd",$D7="8 dd",$D7="12 dd",$D7="an",$D7="1 X"),VLOOKUP($D7,ber_tijden!$A$16:$X$26,ber_tijden!W$14,FALSE),"")</f>
        <v/>
      </c>
      <c r="AD7" s="106" t="str">
        <f>IF(OR($D7="1 dd",$D7="2 dd",$D7="3 dd",$D7="4 dd",$D7="6 dd",$D7="8 dd",$D7="12 dd",$D7="an",$D7="1 X"),VLOOKUP($D7,ber_tijden!$A$16:$X$26,ber_tijden!X$14,FALSE),"")</f>
        <v/>
      </c>
      <c r="AE7" s="17"/>
      <c r="AF7" s="105"/>
      <c r="AG7" s="17"/>
    </row>
    <row r="8" spans="1:33" ht="26.1" customHeight="1" x14ac:dyDescent="0.2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dd",$D8="6 dd",$D8="8 dd",$D8="12 dd",$D8="an",$D8="1 X"),VLOOKUP($D8,ber_tijden!$A$16:$X$26,ber_tijden!B$14,FALSE),"")</f>
        <v/>
      </c>
      <c r="I8" s="15" t="str">
        <f>IF(OR($D8="1 dd",$D8="2 dd",$D8="3 dd",$D8="4 dd",$D8="6 dd",$D8="8 dd",$D8="12 dd",$D8="an",$D8="1 X"),VLOOKUP($D8,ber_tijden!$A$16:$X$26,ber_tijden!C$14,FALSE),"")</f>
        <v/>
      </c>
      <c r="J8" s="106" t="str">
        <f>IF(OR($D8="1 dd",$D8="2 dd",$D8="3 dd",$D8="4 dd",$D8="6 dd",$D8="8 dd",$D8="12 dd",$D8="an",$D8="1 X"),VLOOKUP($D8,ber_tijden!$A$16:$X$26,ber_tijden!D$14,FALSE),"")</f>
        <v/>
      </c>
      <c r="K8" s="15" t="str">
        <f>IF(OR($D8="1 dd",$D8="2 dd",$D8="3 dd",$D8="4 dd",$D8="6 dd",$D8="8 dd",$D8="12 dd",$D8="an",$D8="1 X"),VLOOKUP($D8,ber_tijden!$A$16:$X$26,ber_tijden!E$14,FALSE),"")</f>
        <v/>
      </c>
      <c r="L8" s="106" t="str">
        <f>IF(OR($D8="1 dd",$D8="2 dd",$D8="3 dd",$D8="4 dd",$D8="6 dd",$D8="8 dd",$D8="12 dd",$D8="an",$D8="1 X"),VLOOKUP($D8,ber_tijden!$A$16:$X$26,ber_tijden!F$14,FALSE),"")</f>
        <v/>
      </c>
      <c r="M8" s="15" t="str">
        <f>IF(OR($D8="1 dd",$D8="2 dd",$D8="3 dd",$D8="4 dd",$D8="6 dd",$D8="8 dd",$D8="12 dd",$D8="an",$D8="1 X"),VLOOKUP($D8,ber_tijden!$A$16:$X$26,ber_tijden!G$14,FALSE),"")</f>
        <v/>
      </c>
      <c r="N8" s="106" t="str">
        <f>IF(OR($D8="1 dd",$D8="2 dd",$D8="3 dd",$D8="4 dd",$D8="6 dd",$D8="8 dd",$D8="12 dd",$D8="an",$D8="1 X"),VLOOKUP($D8,ber_tijden!$A$16:$X$26,ber_tijden!H$14,FALSE),"")</f>
        <v/>
      </c>
      <c r="O8" s="15" t="str">
        <f>IF(OR($D8="1 dd",$D8="2 dd",$D8="3 dd",$D8="4 dd",$D8="6 dd",$D8="8 dd",$D8="12 dd",$D8="an",$D8="1 X"),VLOOKUP($D8,ber_tijden!$A$16:$X$26,ber_tijden!I$14,FALSE),"")</f>
        <v/>
      </c>
      <c r="P8" s="106" t="str">
        <f>IF(OR($D8="1 dd",$D8="2 dd",$D8="3 dd",$D8="4 dd",$D8="6 dd",$D8="8 dd",$D8="12 dd",$D8="an",$D8="1 X"),VLOOKUP($D8,ber_tijden!$A$16:$X$26,ber_tijden!J$14,FALSE),"")</f>
        <v/>
      </c>
      <c r="Q8" s="15" t="str">
        <f>IF(OR($D8="1 dd",$D8="2 dd",$D8="3 dd",$D8="4 dd",$D8="6 dd",$D8="8 dd",$D8="12 dd",$D8="an",$D8="1 X"),VLOOKUP($D8,ber_tijden!$A$16:$X$26,ber_tijden!K$14,FALSE),"")</f>
        <v/>
      </c>
      <c r="R8" s="106" t="str">
        <f>IF(OR($D8="1 dd",$D8="2 dd",$D8="3 dd",$D8="4 dd",$D8="6 dd",$D8="8 dd",$D8="12 dd",$D8="an",$D8="1 X"),VLOOKUP($D8,ber_tijden!$A$16:$X$26,ber_tijden!L$14,FALSE),"")</f>
        <v/>
      </c>
      <c r="S8" s="15" t="str">
        <f>IF(OR($D8="1 dd",$D8="2 dd",$D8="3 dd",$D8="4 dd",$D8="6 dd",$D8="8 dd",$D8="12 dd",$D8="an",$D8="1 X"),VLOOKUP($D8,ber_tijden!$A$16:$X$26,ber_tijden!M$14,FALSE),"")</f>
        <v/>
      </c>
      <c r="T8" s="106" t="str">
        <f>IF(OR($D8="1 dd",$D8="2 dd",$D8="3 dd",$D8="4 dd",$D8="6 dd",$D8="8 dd",$D8="12 dd",$D8="an",$D8="1 X"),VLOOKUP($D8,ber_tijden!$A$16:$X$26,ber_tijden!N$14,FALSE),"")</f>
        <v/>
      </c>
      <c r="U8" s="15" t="str">
        <f>IF(OR($D8="1 dd",$D8="2 dd",$D8="3 dd",$D8="4 dd",$D8="6 dd",$D8="8 dd",$D8="12 dd",$D8="an",$D8="1 X"),VLOOKUP($D8,ber_tijden!$A$16:$X$26,ber_tijden!O$14,FALSE),"")</f>
        <v/>
      </c>
      <c r="V8" s="106" t="str">
        <f>IF(OR($D8="1 dd",$D8="2 dd",$D8="3 dd",$D8="4 dd",$D8="6 dd",$D8="8 dd",$D8="12 dd",$D8="an",$D8="1 X"),VLOOKUP($D8,ber_tijden!$A$16:$X$26,ber_tijden!P$14,FALSE),"")</f>
        <v/>
      </c>
      <c r="W8" s="15" t="str">
        <f>IF(OR($D8="1 dd",$D8="2 dd",$D8="3 dd",$D8="4 dd",$D8="6 dd",$D8="8 dd",$D8="12 dd",$D8="an",$D8="1 X"),VLOOKUP($D8,ber_tijden!$A$16:$X$26,ber_tijden!Q$14,FALSE),"")</f>
        <v/>
      </c>
      <c r="X8" s="106" t="str">
        <f>IF(OR($D8="1 dd",$D8="2 dd",$D8="3 dd",$D8="4 dd",$D8="6 dd",$D8="8 dd",$D8="12 dd",$D8="an",$D8="1 X"),VLOOKUP($D8,ber_tijden!$A$16:$X$26,ber_tijden!R$14,FALSE),"")</f>
        <v/>
      </c>
      <c r="Y8" s="15" t="str">
        <f>IF(OR($D8="1 dd",$D8="2 dd",$D8="3 dd",$D8="4 dd",$D8="6 dd",$D8="8 dd",$D8="12 dd",$D8="an",$D8="1 X"),VLOOKUP($D8,ber_tijden!$A$16:$X$26,ber_tijden!S$14,FALSE),"")</f>
        <v/>
      </c>
      <c r="Z8" s="106" t="str">
        <f>IF(OR($D8="1 dd",$D8="2 dd",$D8="3 dd",$D8="4 dd",$D8="6 dd",$D8="8 dd",$D8="12 dd",$D8="an",$D8="1 X"),VLOOKUP($D8,ber_tijden!$A$16:$X$26,ber_tijden!T$14,FALSE),"")</f>
        <v/>
      </c>
      <c r="AA8" s="15" t="str">
        <f>IF(OR($D8="1 dd",$D8="2 dd",$D8="3 dd",$D8="4 dd",$D8="6 dd",$D8="8 dd",$D8="12 dd",$D8="an",$D8="1 X"),VLOOKUP($D8,ber_tijden!$A$16:$X$26,ber_tijden!U$14,FALSE),"")</f>
        <v/>
      </c>
      <c r="AB8" s="106" t="str">
        <f>IF(OR($D8="1 dd",$D8="2 dd",$D8="3 dd",$D8="4 dd",$D8="6 dd",$D8="8 dd",$D8="12 dd",$D8="an",$D8="1 X"),VLOOKUP($D8,ber_tijden!$A$16:$X$26,ber_tijden!V$14,FALSE),"")</f>
        <v/>
      </c>
      <c r="AC8" s="15" t="str">
        <f>IF(OR($D8="1 dd",$D8="2 dd",$D8="3 dd",$D8="4 dd",$D8="6 dd",$D8="8 dd",$D8="12 dd",$D8="an",$D8="1 X"),VLOOKUP($D8,ber_tijden!$A$16:$X$26,ber_tijden!W$14,FALSE),"")</f>
        <v/>
      </c>
      <c r="AD8" s="106" t="str">
        <f>IF(OR($D8="1 dd",$D8="2 dd",$D8="3 dd",$D8="4 dd",$D8="6 dd",$D8="8 dd",$D8="12 dd",$D8="an",$D8="1 X"),VLOOKUP($D8,ber_tijden!$A$16:$X$26,ber_tijden!X$14,FALSE),"")</f>
        <v/>
      </c>
      <c r="AE8" s="17"/>
      <c r="AF8" s="105"/>
      <c r="AG8" s="17"/>
    </row>
    <row r="9" spans="1:33" ht="26.1" customHeight="1" x14ac:dyDescent="0.2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dd",$D9="6 dd",$D9="8 dd",$D9="12 dd",$D9="an",$D9="1 X"),VLOOKUP($D9,ber_tijden!$A$16:$X$26,ber_tijden!B$14,FALSE),"")</f>
        <v/>
      </c>
      <c r="I9" s="15" t="str">
        <f>IF(OR($D9="1 dd",$D9="2 dd",$D9="3 dd",$D9="4 dd",$D9="6 dd",$D9="8 dd",$D9="12 dd",$D9="an",$D9="1 X"),VLOOKUP($D9,ber_tijden!$A$16:$X$26,ber_tijden!C$14,FALSE),"")</f>
        <v/>
      </c>
      <c r="J9" s="106" t="str">
        <f>IF(OR($D9="1 dd",$D9="2 dd",$D9="3 dd",$D9="4 dd",$D9="6 dd",$D9="8 dd",$D9="12 dd",$D9="an",$D9="1 X"),VLOOKUP($D9,ber_tijden!$A$16:$X$26,ber_tijden!D$14,FALSE),"")</f>
        <v/>
      </c>
      <c r="K9" s="15" t="str">
        <f>IF(OR($D9="1 dd",$D9="2 dd",$D9="3 dd",$D9="4 dd",$D9="6 dd",$D9="8 dd",$D9="12 dd",$D9="an",$D9="1 X"),VLOOKUP($D9,ber_tijden!$A$16:$X$26,ber_tijden!E$14,FALSE),"")</f>
        <v/>
      </c>
      <c r="L9" s="106" t="str">
        <f>IF(OR($D9="1 dd",$D9="2 dd",$D9="3 dd",$D9="4 dd",$D9="6 dd",$D9="8 dd",$D9="12 dd",$D9="an",$D9="1 X"),VLOOKUP($D9,ber_tijden!$A$16:$X$26,ber_tijden!F$14,FALSE),"")</f>
        <v/>
      </c>
      <c r="M9" s="15" t="str">
        <f>IF(OR($D9="1 dd",$D9="2 dd",$D9="3 dd",$D9="4 dd",$D9="6 dd",$D9="8 dd",$D9="12 dd",$D9="an",$D9="1 X"),VLOOKUP($D9,ber_tijden!$A$16:$X$26,ber_tijden!G$14,FALSE),"")</f>
        <v/>
      </c>
      <c r="N9" s="106" t="str">
        <f>IF(OR($D9="1 dd",$D9="2 dd",$D9="3 dd",$D9="4 dd",$D9="6 dd",$D9="8 dd",$D9="12 dd",$D9="an",$D9="1 X"),VLOOKUP($D9,ber_tijden!$A$16:$X$26,ber_tijden!H$14,FALSE),"")</f>
        <v/>
      </c>
      <c r="O9" s="15" t="str">
        <f>IF(OR($D9="1 dd",$D9="2 dd",$D9="3 dd",$D9="4 dd",$D9="6 dd",$D9="8 dd",$D9="12 dd",$D9="an",$D9="1 X"),VLOOKUP($D9,ber_tijden!$A$16:$X$26,ber_tijden!I$14,FALSE),"")</f>
        <v/>
      </c>
      <c r="P9" s="106" t="str">
        <f>IF(OR($D9="1 dd",$D9="2 dd",$D9="3 dd",$D9="4 dd",$D9="6 dd",$D9="8 dd",$D9="12 dd",$D9="an",$D9="1 X"),VLOOKUP($D9,ber_tijden!$A$16:$X$26,ber_tijden!J$14,FALSE),"")</f>
        <v/>
      </c>
      <c r="Q9" s="15" t="str">
        <f>IF(OR($D9="1 dd",$D9="2 dd",$D9="3 dd",$D9="4 dd",$D9="6 dd",$D9="8 dd",$D9="12 dd",$D9="an",$D9="1 X"),VLOOKUP($D9,ber_tijden!$A$16:$X$26,ber_tijden!K$14,FALSE),"")</f>
        <v/>
      </c>
      <c r="R9" s="106" t="str">
        <f>IF(OR($D9="1 dd",$D9="2 dd",$D9="3 dd",$D9="4 dd",$D9="6 dd",$D9="8 dd",$D9="12 dd",$D9="an",$D9="1 X"),VLOOKUP($D9,ber_tijden!$A$16:$X$26,ber_tijden!L$14,FALSE),"")</f>
        <v/>
      </c>
      <c r="S9" s="15" t="str">
        <f>IF(OR($D9="1 dd",$D9="2 dd",$D9="3 dd",$D9="4 dd",$D9="6 dd",$D9="8 dd",$D9="12 dd",$D9="an",$D9="1 X"),VLOOKUP($D9,ber_tijden!$A$16:$X$26,ber_tijden!M$14,FALSE),"")</f>
        <v/>
      </c>
      <c r="T9" s="106" t="str">
        <f>IF(OR($D9="1 dd",$D9="2 dd",$D9="3 dd",$D9="4 dd",$D9="6 dd",$D9="8 dd",$D9="12 dd",$D9="an",$D9="1 X"),VLOOKUP($D9,ber_tijden!$A$16:$X$26,ber_tijden!N$14,FALSE),"")</f>
        <v/>
      </c>
      <c r="U9" s="15" t="str">
        <f>IF(OR($D9="1 dd",$D9="2 dd",$D9="3 dd",$D9="4 dd",$D9="6 dd",$D9="8 dd",$D9="12 dd",$D9="an",$D9="1 X"),VLOOKUP($D9,ber_tijden!$A$16:$X$26,ber_tijden!O$14,FALSE),"")</f>
        <v/>
      </c>
      <c r="V9" s="106" t="str">
        <f>IF(OR($D9="1 dd",$D9="2 dd",$D9="3 dd",$D9="4 dd",$D9="6 dd",$D9="8 dd",$D9="12 dd",$D9="an",$D9="1 X"),VLOOKUP($D9,ber_tijden!$A$16:$X$26,ber_tijden!P$14,FALSE),"")</f>
        <v/>
      </c>
      <c r="W9" s="15" t="str">
        <f>IF(OR($D9="1 dd",$D9="2 dd",$D9="3 dd",$D9="4 dd",$D9="6 dd",$D9="8 dd",$D9="12 dd",$D9="an",$D9="1 X"),VLOOKUP($D9,ber_tijden!$A$16:$X$26,ber_tijden!Q$14,FALSE),"")</f>
        <v/>
      </c>
      <c r="X9" s="106" t="str">
        <f>IF(OR($D9="1 dd",$D9="2 dd",$D9="3 dd",$D9="4 dd",$D9="6 dd",$D9="8 dd",$D9="12 dd",$D9="an",$D9="1 X"),VLOOKUP($D9,ber_tijden!$A$16:$X$26,ber_tijden!R$14,FALSE),"")</f>
        <v/>
      </c>
      <c r="Y9" s="15" t="str">
        <f>IF(OR($D9="1 dd",$D9="2 dd",$D9="3 dd",$D9="4 dd",$D9="6 dd",$D9="8 dd",$D9="12 dd",$D9="an",$D9="1 X"),VLOOKUP($D9,ber_tijden!$A$16:$X$26,ber_tijden!S$14,FALSE),"")</f>
        <v/>
      </c>
      <c r="Z9" s="106" t="str">
        <f>IF(OR($D9="1 dd",$D9="2 dd",$D9="3 dd",$D9="4 dd",$D9="6 dd",$D9="8 dd",$D9="12 dd",$D9="an",$D9="1 X"),VLOOKUP($D9,ber_tijden!$A$16:$X$26,ber_tijden!T$14,FALSE),"")</f>
        <v/>
      </c>
      <c r="AA9" s="15" t="str">
        <f>IF(OR($D9="1 dd",$D9="2 dd",$D9="3 dd",$D9="4 dd",$D9="6 dd",$D9="8 dd",$D9="12 dd",$D9="an",$D9="1 X"),VLOOKUP($D9,ber_tijden!$A$16:$X$26,ber_tijden!U$14,FALSE),"")</f>
        <v/>
      </c>
      <c r="AB9" s="106" t="str">
        <f>IF(OR($D9="1 dd",$D9="2 dd",$D9="3 dd",$D9="4 dd",$D9="6 dd",$D9="8 dd",$D9="12 dd",$D9="an",$D9="1 X"),VLOOKUP($D9,ber_tijden!$A$16:$X$26,ber_tijden!V$14,FALSE),"")</f>
        <v/>
      </c>
      <c r="AC9" s="15" t="str">
        <f>IF(OR($D9="1 dd",$D9="2 dd",$D9="3 dd",$D9="4 dd",$D9="6 dd",$D9="8 dd",$D9="12 dd",$D9="an",$D9="1 X"),VLOOKUP($D9,ber_tijden!$A$16:$X$26,ber_tijden!W$14,FALSE),"")</f>
        <v/>
      </c>
      <c r="AD9" s="106" t="str">
        <f>IF(OR($D9="1 dd",$D9="2 dd",$D9="3 dd",$D9="4 dd",$D9="6 dd",$D9="8 dd",$D9="12 dd",$D9="an",$D9="1 X"),VLOOKUP($D9,ber_tijden!$A$16:$X$26,ber_tijden!X$14,FALSE),"")</f>
        <v/>
      </c>
      <c r="AE9" s="17"/>
      <c r="AF9" s="105"/>
      <c r="AG9" s="17"/>
    </row>
    <row r="10" spans="1:33" ht="26.1" customHeight="1" x14ac:dyDescent="0.2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dd",$D10="6 dd",$D10="8 dd",$D10="12 dd",$D10="an",$D10="1 X"),VLOOKUP($D10,ber_tijden!$A$16:$X$26,ber_tijden!B$14,FALSE),"")</f>
        <v/>
      </c>
      <c r="I10" s="15" t="str">
        <f>IF(OR($D10="1 dd",$D10="2 dd",$D10="3 dd",$D10="4 dd",$D10="6 dd",$D10="8 dd",$D10="12 dd",$D10="an",$D10="1 X"),VLOOKUP($D10,ber_tijden!$A$16:$X$26,ber_tijden!C$14,FALSE),"")</f>
        <v/>
      </c>
      <c r="J10" s="106" t="str">
        <f>IF(OR($D10="1 dd",$D10="2 dd",$D10="3 dd",$D10="4 dd",$D10="6 dd",$D10="8 dd",$D10="12 dd",$D10="an",$D10="1 X"),VLOOKUP($D10,ber_tijden!$A$16:$X$26,ber_tijden!D$14,FALSE),"")</f>
        <v/>
      </c>
      <c r="K10" s="15" t="str">
        <f>IF(OR($D10="1 dd",$D10="2 dd",$D10="3 dd",$D10="4 dd",$D10="6 dd",$D10="8 dd",$D10="12 dd",$D10="an",$D10="1 X"),VLOOKUP($D10,ber_tijden!$A$16:$X$26,ber_tijden!E$14,FALSE),"")</f>
        <v/>
      </c>
      <c r="L10" s="106" t="str">
        <f>IF(OR($D10="1 dd",$D10="2 dd",$D10="3 dd",$D10="4 dd",$D10="6 dd",$D10="8 dd",$D10="12 dd",$D10="an",$D10="1 X"),VLOOKUP($D10,ber_tijden!$A$16:$X$26,ber_tijden!F$14,FALSE),"")</f>
        <v/>
      </c>
      <c r="M10" s="15" t="str">
        <f>IF(OR($D10="1 dd",$D10="2 dd",$D10="3 dd",$D10="4 dd",$D10="6 dd",$D10="8 dd",$D10="12 dd",$D10="an",$D10="1 X"),VLOOKUP($D10,ber_tijden!$A$16:$X$26,ber_tijden!G$14,FALSE),"")</f>
        <v/>
      </c>
      <c r="N10" s="106" t="str">
        <f>IF(OR($D10="1 dd",$D10="2 dd",$D10="3 dd",$D10="4 dd",$D10="6 dd",$D10="8 dd",$D10="12 dd",$D10="an",$D10="1 X"),VLOOKUP($D10,ber_tijden!$A$16:$X$26,ber_tijden!H$14,FALSE),"")</f>
        <v/>
      </c>
      <c r="O10" s="15" t="str">
        <f>IF(OR($D10="1 dd",$D10="2 dd",$D10="3 dd",$D10="4 dd",$D10="6 dd",$D10="8 dd",$D10="12 dd",$D10="an",$D10="1 X"),VLOOKUP($D10,ber_tijden!$A$16:$X$26,ber_tijden!I$14,FALSE),"")</f>
        <v/>
      </c>
      <c r="P10" s="106" t="str">
        <f>IF(OR($D10="1 dd",$D10="2 dd",$D10="3 dd",$D10="4 dd",$D10="6 dd",$D10="8 dd",$D10="12 dd",$D10="an",$D10="1 X"),VLOOKUP($D10,ber_tijden!$A$16:$X$26,ber_tijden!J$14,FALSE),"")</f>
        <v/>
      </c>
      <c r="Q10" s="15" t="str">
        <f>IF(OR($D10="1 dd",$D10="2 dd",$D10="3 dd",$D10="4 dd",$D10="6 dd",$D10="8 dd",$D10="12 dd",$D10="an",$D10="1 X"),VLOOKUP($D10,ber_tijden!$A$16:$X$26,ber_tijden!K$14,FALSE),"")</f>
        <v/>
      </c>
      <c r="R10" s="106" t="str">
        <f>IF(OR($D10="1 dd",$D10="2 dd",$D10="3 dd",$D10="4 dd",$D10="6 dd",$D10="8 dd",$D10="12 dd",$D10="an",$D10="1 X"),VLOOKUP($D10,ber_tijden!$A$16:$X$26,ber_tijden!L$14,FALSE),"")</f>
        <v/>
      </c>
      <c r="S10" s="15" t="str">
        <f>IF(OR($D10="1 dd",$D10="2 dd",$D10="3 dd",$D10="4 dd",$D10="6 dd",$D10="8 dd",$D10="12 dd",$D10="an",$D10="1 X"),VLOOKUP($D10,ber_tijden!$A$16:$X$26,ber_tijden!M$14,FALSE),"")</f>
        <v/>
      </c>
      <c r="T10" s="106" t="str">
        <f>IF(OR($D10="1 dd",$D10="2 dd",$D10="3 dd",$D10="4 dd",$D10="6 dd",$D10="8 dd",$D10="12 dd",$D10="an",$D10="1 X"),VLOOKUP($D10,ber_tijden!$A$16:$X$26,ber_tijden!N$14,FALSE),"")</f>
        <v/>
      </c>
      <c r="U10" s="15" t="str">
        <f>IF(OR($D10="1 dd",$D10="2 dd",$D10="3 dd",$D10="4 dd",$D10="6 dd",$D10="8 dd",$D10="12 dd",$D10="an",$D10="1 X"),VLOOKUP($D10,ber_tijden!$A$16:$X$26,ber_tijden!O$14,FALSE),"")</f>
        <v/>
      </c>
      <c r="V10" s="106" t="str">
        <f>IF(OR($D10="1 dd",$D10="2 dd",$D10="3 dd",$D10="4 dd",$D10="6 dd",$D10="8 dd",$D10="12 dd",$D10="an",$D10="1 X"),VLOOKUP($D10,ber_tijden!$A$16:$X$26,ber_tijden!P$14,FALSE),"")</f>
        <v/>
      </c>
      <c r="W10" s="15" t="str">
        <f>IF(OR($D10="1 dd",$D10="2 dd",$D10="3 dd",$D10="4 dd",$D10="6 dd",$D10="8 dd",$D10="12 dd",$D10="an",$D10="1 X"),VLOOKUP($D10,ber_tijden!$A$16:$X$26,ber_tijden!Q$14,FALSE),"")</f>
        <v/>
      </c>
      <c r="X10" s="106" t="str">
        <f>IF(OR($D10="1 dd",$D10="2 dd",$D10="3 dd",$D10="4 dd",$D10="6 dd",$D10="8 dd",$D10="12 dd",$D10="an",$D10="1 X"),VLOOKUP($D10,ber_tijden!$A$16:$X$26,ber_tijden!R$14,FALSE),"")</f>
        <v/>
      </c>
      <c r="Y10" s="15" t="str">
        <f>IF(OR($D10="1 dd",$D10="2 dd",$D10="3 dd",$D10="4 dd",$D10="6 dd",$D10="8 dd",$D10="12 dd",$D10="an",$D10="1 X"),VLOOKUP($D10,ber_tijden!$A$16:$X$26,ber_tijden!S$14,FALSE),"")</f>
        <v/>
      </c>
      <c r="Z10" s="106" t="str">
        <f>IF(OR($D10="1 dd",$D10="2 dd",$D10="3 dd",$D10="4 dd",$D10="6 dd",$D10="8 dd",$D10="12 dd",$D10="an",$D10="1 X"),VLOOKUP($D10,ber_tijden!$A$16:$X$26,ber_tijden!T$14,FALSE),"")</f>
        <v/>
      </c>
      <c r="AA10" s="15" t="str">
        <f>IF(OR($D10="1 dd",$D10="2 dd",$D10="3 dd",$D10="4 dd",$D10="6 dd",$D10="8 dd",$D10="12 dd",$D10="an",$D10="1 X"),VLOOKUP($D10,ber_tijden!$A$16:$X$26,ber_tijden!U$14,FALSE),"")</f>
        <v/>
      </c>
      <c r="AB10" s="106" t="str">
        <f>IF(OR($D10="1 dd",$D10="2 dd",$D10="3 dd",$D10="4 dd",$D10="6 dd",$D10="8 dd",$D10="12 dd",$D10="an",$D10="1 X"),VLOOKUP($D10,ber_tijden!$A$16:$X$26,ber_tijden!V$14,FALSE),"")</f>
        <v/>
      </c>
      <c r="AC10" s="15" t="str">
        <f>IF(OR($D10="1 dd",$D10="2 dd",$D10="3 dd",$D10="4 dd",$D10="6 dd",$D10="8 dd",$D10="12 dd",$D10="an",$D10="1 X"),VLOOKUP($D10,ber_tijden!$A$16:$X$26,ber_tijden!W$14,FALSE),"")</f>
        <v/>
      </c>
      <c r="AD10" s="106" t="str">
        <f>IF(OR($D10="1 dd",$D10="2 dd",$D10="3 dd",$D10="4 dd",$D10="6 dd",$D10="8 dd",$D10="12 dd",$D10="an",$D10="1 X"),VLOOKUP($D10,ber_tijden!$A$16:$X$26,ber_tijden!X$14,FALSE),"")</f>
        <v/>
      </c>
      <c r="AE10" s="17"/>
      <c r="AF10" s="105"/>
      <c r="AG10" s="17"/>
    </row>
    <row r="11" spans="1:33" ht="26.1" customHeight="1" x14ac:dyDescent="0.2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dd",$D11="6 dd",$D11="8 dd",$D11="12 dd",$D11="an",$D11="1 X"),VLOOKUP($D11,ber_tijden!$A$16:$X$26,ber_tijden!B$14,FALSE),"")</f>
        <v/>
      </c>
      <c r="I11" s="15" t="str">
        <f>IF(OR($D11="1 dd",$D11="2 dd",$D11="3 dd",$D11="4 dd",$D11="6 dd",$D11="8 dd",$D11="12 dd",$D11="an",$D11="1 X"),VLOOKUP($D11,ber_tijden!$A$16:$X$26,ber_tijden!C$14,FALSE),"")</f>
        <v/>
      </c>
      <c r="J11" s="106" t="str">
        <f>IF(OR($D11="1 dd",$D11="2 dd",$D11="3 dd",$D11="4 dd",$D11="6 dd",$D11="8 dd",$D11="12 dd",$D11="an",$D11="1 X"),VLOOKUP($D11,ber_tijden!$A$16:$X$26,ber_tijden!D$14,FALSE),"")</f>
        <v/>
      </c>
      <c r="K11" s="15" t="str">
        <f>IF(OR($D11="1 dd",$D11="2 dd",$D11="3 dd",$D11="4 dd",$D11="6 dd",$D11="8 dd",$D11="12 dd",$D11="an",$D11="1 X"),VLOOKUP($D11,ber_tijden!$A$16:$X$26,ber_tijden!E$14,FALSE),"")</f>
        <v/>
      </c>
      <c r="L11" s="106" t="str">
        <f>IF(OR($D11="1 dd",$D11="2 dd",$D11="3 dd",$D11="4 dd",$D11="6 dd",$D11="8 dd",$D11="12 dd",$D11="an",$D11="1 X"),VLOOKUP($D11,ber_tijden!$A$16:$X$26,ber_tijden!F$14,FALSE),"")</f>
        <v/>
      </c>
      <c r="M11" s="15" t="str">
        <f>IF(OR($D11="1 dd",$D11="2 dd",$D11="3 dd",$D11="4 dd",$D11="6 dd",$D11="8 dd",$D11="12 dd",$D11="an",$D11="1 X"),VLOOKUP($D11,ber_tijden!$A$16:$X$26,ber_tijden!G$14,FALSE),"")</f>
        <v/>
      </c>
      <c r="N11" s="106" t="str">
        <f>IF(OR($D11="1 dd",$D11="2 dd",$D11="3 dd",$D11="4 dd",$D11="6 dd",$D11="8 dd",$D11="12 dd",$D11="an",$D11="1 X"),VLOOKUP($D11,ber_tijden!$A$16:$X$26,ber_tijden!H$14,FALSE),"")</f>
        <v/>
      </c>
      <c r="O11" s="15" t="str">
        <f>IF(OR($D11="1 dd",$D11="2 dd",$D11="3 dd",$D11="4 dd",$D11="6 dd",$D11="8 dd",$D11="12 dd",$D11="an",$D11="1 X"),VLOOKUP($D11,ber_tijden!$A$16:$X$26,ber_tijden!I$14,FALSE),"")</f>
        <v/>
      </c>
      <c r="P11" s="106" t="str">
        <f>IF(OR($D11="1 dd",$D11="2 dd",$D11="3 dd",$D11="4 dd",$D11="6 dd",$D11="8 dd",$D11="12 dd",$D11="an",$D11="1 X"),VLOOKUP($D11,ber_tijden!$A$16:$X$26,ber_tijden!J$14,FALSE),"")</f>
        <v/>
      </c>
      <c r="Q11" s="15" t="str">
        <f>IF(OR($D11="1 dd",$D11="2 dd",$D11="3 dd",$D11="4 dd",$D11="6 dd",$D11="8 dd",$D11="12 dd",$D11="an",$D11="1 X"),VLOOKUP($D11,ber_tijden!$A$16:$X$26,ber_tijden!K$14,FALSE),"")</f>
        <v/>
      </c>
      <c r="R11" s="106" t="str">
        <f>IF(OR($D11="1 dd",$D11="2 dd",$D11="3 dd",$D11="4 dd",$D11="6 dd",$D11="8 dd",$D11="12 dd",$D11="an",$D11="1 X"),VLOOKUP($D11,ber_tijden!$A$16:$X$26,ber_tijden!L$14,FALSE),"")</f>
        <v/>
      </c>
      <c r="S11" s="15" t="str">
        <f>IF(OR($D11="1 dd",$D11="2 dd",$D11="3 dd",$D11="4 dd",$D11="6 dd",$D11="8 dd",$D11="12 dd",$D11="an",$D11="1 X"),VLOOKUP($D11,ber_tijden!$A$16:$X$26,ber_tijden!M$14,FALSE),"")</f>
        <v/>
      </c>
      <c r="T11" s="106" t="str">
        <f>IF(OR($D11="1 dd",$D11="2 dd",$D11="3 dd",$D11="4 dd",$D11="6 dd",$D11="8 dd",$D11="12 dd",$D11="an",$D11="1 X"),VLOOKUP($D11,ber_tijden!$A$16:$X$26,ber_tijden!N$14,FALSE),"")</f>
        <v/>
      </c>
      <c r="U11" s="15" t="str">
        <f>IF(OR($D11="1 dd",$D11="2 dd",$D11="3 dd",$D11="4 dd",$D11="6 dd",$D11="8 dd",$D11="12 dd",$D11="an",$D11="1 X"),VLOOKUP($D11,ber_tijden!$A$16:$X$26,ber_tijden!O$14,FALSE),"")</f>
        <v/>
      </c>
      <c r="V11" s="106" t="str">
        <f>IF(OR($D11="1 dd",$D11="2 dd",$D11="3 dd",$D11="4 dd",$D11="6 dd",$D11="8 dd",$D11="12 dd",$D11="an",$D11="1 X"),VLOOKUP($D11,ber_tijden!$A$16:$X$26,ber_tijden!P$14,FALSE),"")</f>
        <v/>
      </c>
      <c r="W11" s="15" t="str">
        <f>IF(OR($D11="1 dd",$D11="2 dd",$D11="3 dd",$D11="4 dd",$D11="6 dd",$D11="8 dd",$D11="12 dd",$D11="an",$D11="1 X"),VLOOKUP($D11,ber_tijden!$A$16:$X$26,ber_tijden!Q$14,FALSE),"")</f>
        <v/>
      </c>
      <c r="X11" s="106" t="str">
        <f>IF(OR($D11="1 dd",$D11="2 dd",$D11="3 dd",$D11="4 dd",$D11="6 dd",$D11="8 dd",$D11="12 dd",$D11="an",$D11="1 X"),VLOOKUP($D11,ber_tijden!$A$16:$X$26,ber_tijden!R$14,FALSE),"")</f>
        <v/>
      </c>
      <c r="Y11" s="15" t="str">
        <f>IF(OR($D11="1 dd",$D11="2 dd",$D11="3 dd",$D11="4 dd",$D11="6 dd",$D11="8 dd",$D11="12 dd",$D11="an",$D11="1 X"),VLOOKUP($D11,ber_tijden!$A$16:$X$26,ber_tijden!S$14,FALSE),"")</f>
        <v/>
      </c>
      <c r="Z11" s="106" t="str">
        <f>IF(OR($D11="1 dd",$D11="2 dd",$D11="3 dd",$D11="4 dd",$D11="6 dd",$D11="8 dd",$D11="12 dd",$D11="an",$D11="1 X"),VLOOKUP($D11,ber_tijden!$A$16:$X$26,ber_tijden!T$14,FALSE),"")</f>
        <v/>
      </c>
      <c r="AA11" s="15" t="str">
        <f>IF(OR($D11="1 dd",$D11="2 dd",$D11="3 dd",$D11="4 dd",$D11="6 dd",$D11="8 dd",$D11="12 dd",$D11="an",$D11="1 X"),VLOOKUP($D11,ber_tijden!$A$16:$X$26,ber_tijden!U$14,FALSE),"")</f>
        <v/>
      </c>
      <c r="AB11" s="106" t="str">
        <f>IF(OR($D11="1 dd",$D11="2 dd",$D11="3 dd",$D11="4 dd",$D11="6 dd",$D11="8 dd",$D11="12 dd",$D11="an",$D11="1 X"),VLOOKUP($D11,ber_tijden!$A$16:$X$26,ber_tijden!V$14,FALSE),"")</f>
        <v/>
      </c>
      <c r="AC11" s="15" t="str">
        <f>IF(OR($D11="1 dd",$D11="2 dd",$D11="3 dd",$D11="4 dd",$D11="6 dd",$D11="8 dd",$D11="12 dd",$D11="an",$D11="1 X"),VLOOKUP($D11,ber_tijden!$A$16:$X$26,ber_tijden!W$14,FALSE),"")</f>
        <v/>
      </c>
      <c r="AD11" s="106" t="str">
        <f>IF(OR($D11="1 dd",$D11="2 dd",$D11="3 dd",$D11="4 dd",$D11="6 dd",$D11="8 dd",$D11="12 dd",$D11="an",$D11="1 X"),VLOOKUP($D11,ber_tijden!$A$16:$X$26,ber_tijden!X$14,FALSE),"")</f>
        <v/>
      </c>
      <c r="AE11" s="17"/>
      <c r="AF11" s="105"/>
      <c r="AG11" s="17"/>
    </row>
    <row r="12" spans="1:33" ht="26.1" customHeight="1" x14ac:dyDescent="0.2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dd",$D12="6 dd",$D12="8 dd",$D12="12 dd",$D12="an",$D12="1 X"),VLOOKUP($D12,ber_tijden!$A$16:$X$26,ber_tijden!B$14,FALSE),"")</f>
        <v/>
      </c>
      <c r="I12" s="15" t="str">
        <f>IF(OR($D12="1 dd",$D12="2 dd",$D12="3 dd",$D12="4 dd",$D12="6 dd",$D12="8 dd",$D12="12 dd",$D12="an",$D12="1 X"),VLOOKUP($D12,ber_tijden!$A$16:$X$26,ber_tijden!C$14,FALSE),"")</f>
        <v/>
      </c>
      <c r="J12" s="106" t="str">
        <f>IF(OR($D12="1 dd",$D12="2 dd",$D12="3 dd",$D12="4 dd",$D12="6 dd",$D12="8 dd",$D12="12 dd",$D12="an",$D12="1 X"),VLOOKUP($D12,ber_tijden!$A$16:$X$26,ber_tijden!D$14,FALSE),"")</f>
        <v/>
      </c>
      <c r="K12" s="15" t="str">
        <f>IF(OR($D12="1 dd",$D12="2 dd",$D12="3 dd",$D12="4 dd",$D12="6 dd",$D12="8 dd",$D12="12 dd",$D12="an",$D12="1 X"),VLOOKUP($D12,ber_tijden!$A$16:$X$26,ber_tijden!E$14,FALSE),"")</f>
        <v/>
      </c>
      <c r="L12" s="106" t="str">
        <f>IF(OR($D12="1 dd",$D12="2 dd",$D12="3 dd",$D12="4 dd",$D12="6 dd",$D12="8 dd",$D12="12 dd",$D12="an",$D12="1 X"),VLOOKUP($D12,ber_tijden!$A$16:$X$26,ber_tijden!F$14,FALSE),"")</f>
        <v/>
      </c>
      <c r="M12" s="15" t="str">
        <f>IF(OR($D12="1 dd",$D12="2 dd",$D12="3 dd",$D12="4 dd",$D12="6 dd",$D12="8 dd",$D12="12 dd",$D12="an",$D12="1 X"),VLOOKUP($D12,ber_tijden!$A$16:$X$26,ber_tijden!G$14,FALSE),"")</f>
        <v/>
      </c>
      <c r="N12" s="106" t="str">
        <f>IF(OR($D12="1 dd",$D12="2 dd",$D12="3 dd",$D12="4 dd",$D12="6 dd",$D12="8 dd",$D12="12 dd",$D12="an",$D12="1 X"),VLOOKUP($D12,ber_tijden!$A$16:$X$26,ber_tijden!H$14,FALSE),"")</f>
        <v/>
      </c>
      <c r="O12" s="15" t="str">
        <f>IF(OR($D12="1 dd",$D12="2 dd",$D12="3 dd",$D12="4 dd",$D12="6 dd",$D12="8 dd",$D12="12 dd",$D12="an",$D12="1 X"),VLOOKUP($D12,ber_tijden!$A$16:$X$26,ber_tijden!I$14,FALSE),"")</f>
        <v/>
      </c>
      <c r="P12" s="106" t="str">
        <f>IF(OR($D12="1 dd",$D12="2 dd",$D12="3 dd",$D12="4 dd",$D12="6 dd",$D12="8 dd",$D12="12 dd",$D12="an",$D12="1 X"),VLOOKUP($D12,ber_tijden!$A$16:$X$26,ber_tijden!J$14,FALSE),"")</f>
        <v/>
      </c>
      <c r="Q12" s="15" t="str">
        <f>IF(OR($D12="1 dd",$D12="2 dd",$D12="3 dd",$D12="4 dd",$D12="6 dd",$D12="8 dd",$D12="12 dd",$D12="an",$D12="1 X"),VLOOKUP($D12,ber_tijden!$A$16:$X$26,ber_tijden!K$14,FALSE),"")</f>
        <v/>
      </c>
      <c r="R12" s="106" t="str">
        <f>IF(OR($D12="1 dd",$D12="2 dd",$D12="3 dd",$D12="4 dd",$D12="6 dd",$D12="8 dd",$D12="12 dd",$D12="an",$D12="1 X"),VLOOKUP($D12,ber_tijden!$A$16:$X$26,ber_tijden!L$14,FALSE),"")</f>
        <v/>
      </c>
      <c r="S12" s="15" t="str">
        <f>IF(OR($D12="1 dd",$D12="2 dd",$D12="3 dd",$D12="4 dd",$D12="6 dd",$D12="8 dd",$D12="12 dd",$D12="an",$D12="1 X"),VLOOKUP($D12,ber_tijden!$A$16:$X$26,ber_tijden!M$14,FALSE),"")</f>
        <v/>
      </c>
      <c r="T12" s="106" t="str">
        <f>IF(OR($D12="1 dd",$D12="2 dd",$D12="3 dd",$D12="4 dd",$D12="6 dd",$D12="8 dd",$D12="12 dd",$D12="an",$D12="1 X"),VLOOKUP($D12,ber_tijden!$A$16:$X$26,ber_tijden!N$14,FALSE),"")</f>
        <v/>
      </c>
      <c r="U12" s="15" t="str">
        <f>IF(OR($D12="1 dd",$D12="2 dd",$D12="3 dd",$D12="4 dd",$D12="6 dd",$D12="8 dd",$D12="12 dd",$D12="an",$D12="1 X"),VLOOKUP($D12,ber_tijden!$A$16:$X$26,ber_tijden!O$14,FALSE),"")</f>
        <v/>
      </c>
      <c r="V12" s="106" t="str">
        <f>IF(OR($D12="1 dd",$D12="2 dd",$D12="3 dd",$D12="4 dd",$D12="6 dd",$D12="8 dd",$D12="12 dd",$D12="an",$D12="1 X"),VLOOKUP($D12,ber_tijden!$A$16:$X$26,ber_tijden!P$14,FALSE),"")</f>
        <v/>
      </c>
      <c r="W12" s="15" t="str">
        <f>IF(OR($D12="1 dd",$D12="2 dd",$D12="3 dd",$D12="4 dd",$D12="6 dd",$D12="8 dd",$D12="12 dd",$D12="an",$D12="1 X"),VLOOKUP($D12,ber_tijden!$A$16:$X$26,ber_tijden!Q$14,FALSE),"")</f>
        <v/>
      </c>
      <c r="X12" s="106" t="str">
        <f>IF(OR($D12="1 dd",$D12="2 dd",$D12="3 dd",$D12="4 dd",$D12="6 dd",$D12="8 dd",$D12="12 dd",$D12="an",$D12="1 X"),VLOOKUP($D12,ber_tijden!$A$16:$X$26,ber_tijden!R$14,FALSE),"")</f>
        <v/>
      </c>
      <c r="Y12" s="15" t="str">
        <f>IF(OR($D12="1 dd",$D12="2 dd",$D12="3 dd",$D12="4 dd",$D12="6 dd",$D12="8 dd",$D12="12 dd",$D12="an",$D12="1 X"),VLOOKUP($D12,ber_tijden!$A$16:$X$26,ber_tijden!S$14,FALSE),"")</f>
        <v/>
      </c>
      <c r="Z12" s="106" t="str">
        <f>IF(OR($D12="1 dd",$D12="2 dd",$D12="3 dd",$D12="4 dd",$D12="6 dd",$D12="8 dd",$D12="12 dd",$D12="an",$D12="1 X"),VLOOKUP($D12,ber_tijden!$A$16:$X$26,ber_tijden!T$14,FALSE),"")</f>
        <v/>
      </c>
      <c r="AA12" s="15" t="str">
        <f>IF(OR($D12="1 dd",$D12="2 dd",$D12="3 dd",$D12="4 dd",$D12="6 dd",$D12="8 dd",$D12="12 dd",$D12="an",$D12="1 X"),VLOOKUP($D12,ber_tijden!$A$16:$X$26,ber_tijden!U$14,FALSE),"")</f>
        <v/>
      </c>
      <c r="AB12" s="106" t="str">
        <f>IF(OR($D12="1 dd",$D12="2 dd",$D12="3 dd",$D12="4 dd",$D12="6 dd",$D12="8 dd",$D12="12 dd",$D12="an",$D12="1 X"),VLOOKUP($D12,ber_tijden!$A$16:$X$26,ber_tijden!V$14,FALSE),"")</f>
        <v/>
      </c>
      <c r="AC12" s="15" t="str">
        <f>IF(OR($D12="1 dd",$D12="2 dd",$D12="3 dd",$D12="4 dd",$D12="6 dd",$D12="8 dd",$D12="12 dd",$D12="an",$D12="1 X"),VLOOKUP($D12,ber_tijden!$A$16:$X$26,ber_tijden!W$14,FALSE),"")</f>
        <v/>
      </c>
      <c r="AD12" s="106" t="str">
        <f>IF(OR($D12="1 dd",$D12="2 dd",$D12="3 dd",$D12="4 dd",$D12="6 dd",$D12="8 dd",$D12="12 dd",$D12="an",$D12="1 X"),VLOOKUP($D12,ber_tijden!$A$16:$X$26,ber_tijden!X$14,FALSE),"")</f>
        <v/>
      </c>
      <c r="AE12" s="17"/>
      <c r="AF12" s="105"/>
      <c r="AG12" s="17"/>
    </row>
    <row r="13" spans="1:33" ht="26.1" customHeight="1" x14ac:dyDescent="0.2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dd",$D13="6 dd",$D13="8 dd",$D13="12 dd",$D13="an",$D13="1 X"),VLOOKUP($D13,ber_tijden!$A$16:$X$26,ber_tijden!B$14,FALSE),"")</f>
        <v/>
      </c>
      <c r="I13" s="15" t="str">
        <f>IF(OR($D13="1 dd",$D13="2 dd",$D13="3 dd",$D13="4 dd",$D13="6 dd",$D13="8 dd",$D13="12 dd",$D13="an",$D13="1 X"),VLOOKUP($D13,ber_tijden!$A$16:$X$26,ber_tijden!C$14,FALSE),"")</f>
        <v/>
      </c>
      <c r="J13" s="106" t="str">
        <f>IF(OR($D13="1 dd",$D13="2 dd",$D13="3 dd",$D13="4 dd",$D13="6 dd",$D13="8 dd",$D13="12 dd",$D13="an",$D13="1 X"),VLOOKUP($D13,ber_tijden!$A$16:$X$26,ber_tijden!D$14,FALSE),"")</f>
        <v/>
      </c>
      <c r="K13" s="15" t="str">
        <f>IF(OR($D13="1 dd",$D13="2 dd",$D13="3 dd",$D13="4 dd",$D13="6 dd",$D13="8 dd",$D13="12 dd",$D13="an",$D13="1 X"),VLOOKUP($D13,ber_tijden!$A$16:$X$26,ber_tijden!E$14,FALSE),"")</f>
        <v/>
      </c>
      <c r="L13" s="106" t="str">
        <f>IF(OR($D13="1 dd",$D13="2 dd",$D13="3 dd",$D13="4 dd",$D13="6 dd",$D13="8 dd",$D13="12 dd",$D13="an",$D13="1 X"),VLOOKUP($D13,ber_tijden!$A$16:$X$26,ber_tijden!F$14,FALSE),"")</f>
        <v/>
      </c>
      <c r="M13" s="15" t="str">
        <f>IF(OR($D13="1 dd",$D13="2 dd",$D13="3 dd",$D13="4 dd",$D13="6 dd",$D13="8 dd",$D13="12 dd",$D13="an",$D13="1 X"),VLOOKUP($D13,ber_tijden!$A$16:$X$26,ber_tijden!G$14,FALSE),"")</f>
        <v/>
      </c>
      <c r="N13" s="106" t="str">
        <f>IF(OR($D13="1 dd",$D13="2 dd",$D13="3 dd",$D13="4 dd",$D13="6 dd",$D13="8 dd",$D13="12 dd",$D13="an",$D13="1 X"),VLOOKUP($D13,ber_tijden!$A$16:$X$26,ber_tijden!H$14,FALSE),"")</f>
        <v/>
      </c>
      <c r="O13" s="15" t="str">
        <f>IF(OR($D13="1 dd",$D13="2 dd",$D13="3 dd",$D13="4 dd",$D13="6 dd",$D13="8 dd",$D13="12 dd",$D13="an",$D13="1 X"),VLOOKUP($D13,ber_tijden!$A$16:$X$26,ber_tijden!I$14,FALSE),"")</f>
        <v/>
      </c>
      <c r="P13" s="106" t="str">
        <f>IF(OR($D13="1 dd",$D13="2 dd",$D13="3 dd",$D13="4 dd",$D13="6 dd",$D13="8 dd",$D13="12 dd",$D13="an",$D13="1 X"),VLOOKUP($D13,ber_tijden!$A$16:$X$26,ber_tijden!J$14,FALSE),"")</f>
        <v/>
      </c>
      <c r="Q13" s="15" t="str">
        <f>IF(OR($D13="1 dd",$D13="2 dd",$D13="3 dd",$D13="4 dd",$D13="6 dd",$D13="8 dd",$D13="12 dd",$D13="an",$D13="1 X"),VLOOKUP($D13,ber_tijden!$A$16:$X$26,ber_tijden!K$14,FALSE),"")</f>
        <v/>
      </c>
      <c r="R13" s="106" t="str">
        <f>IF(OR($D13="1 dd",$D13="2 dd",$D13="3 dd",$D13="4 dd",$D13="6 dd",$D13="8 dd",$D13="12 dd",$D13="an",$D13="1 X"),VLOOKUP($D13,ber_tijden!$A$16:$X$26,ber_tijden!L$14,FALSE),"")</f>
        <v/>
      </c>
      <c r="S13" s="15" t="str">
        <f>IF(OR($D13="1 dd",$D13="2 dd",$D13="3 dd",$D13="4 dd",$D13="6 dd",$D13="8 dd",$D13="12 dd",$D13="an",$D13="1 X"),VLOOKUP($D13,ber_tijden!$A$16:$X$26,ber_tijden!M$14,FALSE),"")</f>
        <v/>
      </c>
      <c r="T13" s="106" t="str">
        <f>IF(OR($D13="1 dd",$D13="2 dd",$D13="3 dd",$D13="4 dd",$D13="6 dd",$D13="8 dd",$D13="12 dd",$D13="an",$D13="1 X"),VLOOKUP($D13,ber_tijden!$A$16:$X$26,ber_tijden!N$14,FALSE),"")</f>
        <v/>
      </c>
      <c r="U13" s="15" t="str">
        <f>IF(OR($D13="1 dd",$D13="2 dd",$D13="3 dd",$D13="4 dd",$D13="6 dd",$D13="8 dd",$D13="12 dd",$D13="an",$D13="1 X"),VLOOKUP($D13,ber_tijden!$A$16:$X$26,ber_tijden!O$14,FALSE),"")</f>
        <v/>
      </c>
      <c r="V13" s="106" t="str">
        <f>IF(OR($D13="1 dd",$D13="2 dd",$D13="3 dd",$D13="4 dd",$D13="6 dd",$D13="8 dd",$D13="12 dd",$D13="an",$D13="1 X"),VLOOKUP($D13,ber_tijden!$A$16:$X$26,ber_tijden!P$14,FALSE),"")</f>
        <v/>
      </c>
      <c r="W13" s="15" t="str">
        <f>IF(OR($D13="1 dd",$D13="2 dd",$D13="3 dd",$D13="4 dd",$D13="6 dd",$D13="8 dd",$D13="12 dd",$D13="an",$D13="1 X"),VLOOKUP($D13,ber_tijden!$A$16:$X$26,ber_tijden!Q$14,FALSE),"")</f>
        <v/>
      </c>
      <c r="X13" s="106" t="str">
        <f>IF(OR($D13="1 dd",$D13="2 dd",$D13="3 dd",$D13="4 dd",$D13="6 dd",$D13="8 dd",$D13="12 dd",$D13="an",$D13="1 X"),VLOOKUP($D13,ber_tijden!$A$16:$X$26,ber_tijden!R$14,FALSE),"")</f>
        <v/>
      </c>
      <c r="Y13" s="15" t="str">
        <f>IF(OR($D13="1 dd",$D13="2 dd",$D13="3 dd",$D13="4 dd",$D13="6 dd",$D13="8 dd",$D13="12 dd",$D13="an",$D13="1 X"),VLOOKUP($D13,ber_tijden!$A$16:$X$26,ber_tijden!S$14,FALSE),"")</f>
        <v/>
      </c>
      <c r="Z13" s="106" t="str">
        <f>IF(OR($D13="1 dd",$D13="2 dd",$D13="3 dd",$D13="4 dd",$D13="6 dd",$D13="8 dd",$D13="12 dd",$D13="an",$D13="1 X"),VLOOKUP($D13,ber_tijden!$A$16:$X$26,ber_tijden!T$14,FALSE),"")</f>
        <v/>
      </c>
      <c r="AA13" s="15" t="str">
        <f>IF(OR($D13="1 dd",$D13="2 dd",$D13="3 dd",$D13="4 dd",$D13="6 dd",$D13="8 dd",$D13="12 dd",$D13="an",$D13="1 X"),VLOOKUP($D13,ber_tijden!$A$16:$X$26,ber_tijden!U$14,FALSE),"")</f>
        <v/>
      </c>
      <c r="AB13" s="106" t="str">
        <f>IF(OR($D13="1 dd",$D13="2 dd",$D13="3 dd",$D13="4 dd",$D13="6 dd",$D13="8 dd",$D13="12 dd",$D13="an",$D13="1 X"),VLOOKUP($D13,ber_tijden!$A$16:$X$26,ber_tijden!V$14,FALSE),"")</f>
        <v/>
      </c>
      <c r="AC13" s="15" t="str">
        <f>IF(OR($D13="1 dd",$D13="2 dd",$D13="3 dd",$D13="4 dd",$D13="6 dd",$D13="8 dd",$D13="12 dd",$D13="an",$D13="1 X"),VLOOKUP($D13,ber_tijden!$A$16:$X$26,ber_tijden!W$14,FALSE),"")</f>
        <v/>
      </c>
      <c r="AD13" s="106" t="str">
        <f>IF(OR($D13="1 dd",$D13="2 dd",$D13="3 dd",$D13="4 dd",$D13="6 dd",$D13="8 dd",$D13="12 dd",$D13="an",$D13="1 X"),VLOOKUP($D13,ber_tijden!$A$16:$X$26,ber_tijden!X$14,FALSE),"")</f>
        <v/>
      </c>
      <c r="AE13" s="17"/>
      <c r="AF13" s="105"/>
      <c r="AG13" s="17"/>
    </row>
    <row r="14" spans="1:33" ht="26.1" customHeight="1" x14ac:dyDescent="0.2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2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2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2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2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2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2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2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2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  <row r="23" spans="2:33" s="517" customFormat="1" ht="26.1" customHeight="1" x14ac:dyDescent="0.2">
      <c r="B23" s="107"/>
      <c r="C23" s="231" t="str">
        <f>IF(ber_Med_disc!C22&lt;&gt;"",IF(ber_Med_disc!C22&gt;1,TRIM(ber_Med_disc!C22)&amp;", "&amp;ber_Opm!C36&amp;" ("&amp;ber_Med_disc!M22&amp;" "&amp;ber_Med_disc!F22&amp;"/kg/dag)",TRIM(ber_Med_disc!C22)&amp;", "&amp;ber_Opm!C36),"")</f>
        <v/>
      </c>
      <c r="D23" s="232" t="str">
        <f>IF(Med_disc!H46&lt;&gt;"",Med_disc!H46,"")</f>
        <v/>
      </c>
      <c r="E23" s="233" t="str">
        <f>IF(AND(D23&lt;&gt;"",D23&lt;&gt;"STOP"),ber_Med_disc!H22&amp;" "&amp;ber_Med_disc!F22,"")</f>
        <v/>
      </c>
      <c r="F23" s="233" t="str">
        <f>IF(AND(D23&lt;&gt;"",D23&lt;&gt;"STOP"),ber_Med_disc!L22," ")</f>
        <v xml:space="preserve"> </v>
      </c>
      <c r="G23" s="233" t="str">
        <f>IF(Med_disc!L45&lt;&gt;"",Med_disc!L45&amp;" "&amp;Med_disc!M45&amp;" "&amp;INDEX(ber_Med_disc!$B$27:$B$30,ber_Med_disc!O22,1)&amp;" in "&amp;Med_disc!$O$44,"")</f>
        <v/>
      </c>
      <c r="H23" s="106" t="str">
        <f>IF(OR($D23="1 dd",$D23="2 dd",$D23="3 dd",$D23="4 dd",$D23="6 dd",$D23="8 dd",$D23="12 dd",$D23="an",$D23="1 X"),VLOOKUP($D23,ber_tijden!$A$16:$X$26,ber_tijden!B$14,FALSE),"")</f>
        <v/>
      </c>
      <c r="I23" s="15" t="str">
        <f>IF(OR($D23="1 dd",$D23="2 dd",$D23="3 dd",$D23="4 dd",$D23="6 dd",$D23="8 dd",$D23="12 dd",$D23="an",$D23="1 X"),VLOOKUP($D23,ber_tijden!$A$16:$X$26,ber_tijden!C$14,FALSE),"")</f>
        <v/>
      </c>
      <c r="J23" s="106" t="str">
        <f>IF(OR($D23="1 dd",$D23="2 dd",$D23="3 dd",$D23="4 dd",$D23="6 dd",$D23="8 dd",$D23="12 dd",$D23="an",$D23="1 X"),VLOOKUP($D23,ber_tijden!$A$16:$X$26,ber_tijden!D$14,FALSE),"")</f>
        <v/>
      </c>
      <c r="K23" s="15" t="str">
        <f>IF(OR($D23="1 dd",$D23="2 dd",$D23="3 dd",$D23="4 dd",$D23="6 dd",$D23="8 dd",$D23="12 dd",$D23="an",$D23="1 X"),VLOOKUP($D23,ber_tijden!$A$16:$X$26,ber_tijden!E$14,FALSE),"")</f>
        <v/>
      </c>
      <c r="L23" s="106" t="str">
        <f>IF(OR($D23="1 dd",$D23="2 dd",$D23="3 dd",$D23="4 dd",$D23="6 dd",$D23="8 dd",$D23="12 dd",$D23="an",$D23="1 X"),VLOOKUP($D23,ber_tijden!$A$16:$X$26,ber_tijden!F$14,FALSE),"")</f>
        <v/>
      </c>
      <c r="M23" s="15" t="str">
        <f>IF(OR($D23="1 dd",$D23="2 dd",$D23="3 dd",$D23="4 dd",$D23="6 dd",$D23="8 dd",$D23="12 dd",$D23="an",$D23="1 X"),VLOOKUP($D23,ber_tijden!$A$16:$X$26,ber_tijden!G$14,FALSE),"")</f>
        <v/>
      </c>
      <c r="N23" s="106" t="str">
        <f>IF(OR($D23="1 dd",$D23="2 dd",$D23="3 dd",$D23="4 dd",$D23="6 dd",$D23="8 dd",$D23="12 dd",$D23="an",$D23="1 X"),VLOOKUP($D23,ber_tijden!$A$16:$X$26,ber_tijden!H$14,FALSE),"")</f>
        <v/>
      </c>
      <c r="O23" s="15" t="str">
        <f>IF(OR($D23="1 dd",$D23="2 dd",$D23="3 dd",$D23="4 dd",$D23="6 dd",$D23="8 dd",$D23="12 dd",$D23="an",$D23="1 X"),VLOOKUP($D23,ber_tijden!$A$16:$X$26,ber_tijden!I$14,FALSE),"")</f>
        <v/>
      </c>
      <c r="P23" s="106" t="str">
        <f>IF(OR($D23="1 dd",$D23="2 dd",$D23="3 dd",$D23="4 dd",$D23="6 dd",$D23="8 dd",$D23="12 dd",$D23="an",$D23="1 X"),VLOOKUP($D23,ber_tijden!$A$16:$X$26,ber_tijden!J$14,FALSE),"")</f>
        <v/>
      </c>
      <c r="Q23" s="15" t="str">
        <f>IF(OR($D23="1 dd",$D23="2 dd",$D23="3 dd",$D23="4 dd",$D23="6 dd",$D23="8 dd",$D23="12 dd",$D23="an",$D23="1 X"),VLOOKUP($D23,ber_tijden!$A$16:$X$26,ber_tijden!K$14,FALSE),"")</f>
        <v/>
      </c>
      <c r="R23" s="106" t="str">
        <f>IF(OR($D23="1 dd",$D23="2 dd",$D23="3 dd",$D23="4 dd",$D23="6 dd",$D23="8 dd",$D23="12 dd",$D23="an",$D23="1 X"),VLOOKUP($D23,ber_tijden!$A$16:$X$26,ber_tijden!L$14,FALSE),"")</f>
        <v/>
      </c>
      <c r="S23" s="15" t="str">
        <f>IF(OR($D23="1 dd",$D23="2 dd",$D23="3 dd",$D23="4 dd",$D23="6 dd",$D23="8 dd",$D23="12 dd",$D23="an",$D23="1 X"),VLOOKUP($D23,ber_tijden!$A$16:$X$26,ber_tijden!M$14,FALSE),"")</f>
        <v/>
      </c>
      <c r="T23" s="106" t="str">
        <f>IF(OR($D23="1 dd",$D23="2 dd",$D23="3 dd",$D23="4 dd",$D23="6 dd",$D23="8 dd",$D23="12 dd",$D23="an",$D23="1 X"),VLOOKUP($D23,ber_tijden!$A$16:$X$26,ber_tijden!N$14,FALSE),"")</f>
        <v/>
      </c>
      <c r="U23" s="15" t="str">
        <f>IF(OR($D23="1 dd",$D23="2 dd",$D23="3 dd",$D23="4 dd",$D23="6 dd",$D23="8 dd",$D23="12 dd",$D23="an",$D23="1 X"),VLOOKUP($D23,ber_tijden!$A$16:$X$26,ber_tijden!O$14,FALSE),"")</f>
        <v/>
      </c>
      <c r="V23" s="106" t="str">
        <f>IF(OR($D23="1 dd",$D23="2 dd",$D23="3 dd",$D23="4 dd",$D23="6 dd",$D23="8 dd",$D23="12 dd",$D23="an",$D23="1 X"),VLOOKUP($D23,ber_tijden!$A$16:$X$26,ber_tijden!P$14,FALSE),"")</f>
        <v/>
      </c>
      <c r="W23" s="15" t="str">
        <f>IF(OR($D23="1 dd",$D23="2 dd",$D23="3 dd",$D23="4 dd",$D23="6 dd",$D23="8 dd",$D23="12 dd",$D23="an",$D23="1 X"),VLOOKUP($D23,ber_tijden!$A$16:$X$26,ber_tijden!Q$14,FALSE),"")</f>
        <v/>
      </c>
      <c r="X23" s="106" t="str">
        <f>IF(OR($D23="1 dd",$D23="2 dd",$D23="3 dd",$D23="4 dd",$D23="6 dd",$D23="8 dd",$D23="12 dd",$D23="an",$D23="1 X"),VLOOKUP($D23,ber_tijden!$A$16:$X$26,ber_tijden!R$14,FALSE),"")</f>
        <v/>
      </c>
      <c r="Y23" s="15" t="str">
        <f>IF(OR($D23="1 dd",$D23="2 dd",$D23="3 dd",$D23="4 dd",$D23="6 dd",$D23="8 dd",$D23="12 dd",$D23="an",$D23="1 X"),VLOOKUP($D23,ber_tijden!$A$16:$X$26,ber_tijden!S$14,FALSE),"")</f>
        <v/>
      </c>
      <c r="Z23" s="106" t="str">
        <f>IF(OR($D23="1 dd",$D23="2 dd",$D23="3 dd",$D23="4 dd",$D23="6 dd",$D23="8 dd",$D23="12 dd",$D23="an",$D23="1 X"),VLOOKUP($D23,ber_tijden!$A$16:$X$26,ber_tijden!T$14,FALSE),"")</f>
        <v/>
      </c>
      <c r="AA23" s="15" t="str">
        <f>IF(OR($D23="1 dd",$D23="2 dd",$D23="3 dd",$D23="4 dd",$D23="6 dd",$D23="8 dd",$D23="12 dd",$D23="an",$D23="1 X"),VLOOKUP($D23,ber_tijden!$A$16:$X$26,ber_tijden!U$14,FALSE),"")</f>
        <v/>
      </c>
      <c r="AB23" s="106" t="str">
        <f>IF(OR($D23="1 dd",$D23="2 dd",$D23="3 dd",$D23="4 dd",$D23="6 dd",$D23="8 dd",$D23="12 dd",$D23="an",$D23="1 X"),VLOOKUP($D23,ber_tijden!$A$16:$X$26,ber_tijden!V$14,FALSE),"")</f>
        <v/>
      </c>
      <c r="AC23" s="15" t="str">
        <f>IF(OR($D23="1 dd",$D23="2 dd",$D23="3 dd",$D23="4 dd",$D23="6 dd",$D23="8 dd",$D23="12 dd",$D23="an",$D23="1 X"),VLOOKUP($D23,ber_tijden!$A$16:$X$26,ber_tijden!W$14,FALSE),"")</f>
        <v/>
      </c>
      <c r="AD23" s="106" t="str">
        <f>IF(OR($D23="1 dd",$D23="2 dd",$D23="3 dd",$D23="4 dd",$D23="6 dd",$D23="8 dd",$D23="12 dd",$D23="an",$D23="1 X"),VLOOKUP($D23,ber_tijden!$A$16:$X$26,ber_tijden!X$14,FALSE),"")</f>
        <v/>
      </c>
      <c r="AE23" s="17"/>
      <c r="AF23" s="105"/>
      <c r="AG23" s="17"/>
    </row>
    <row r="24" spans="2:33" s="517" customFormat="1" ht="26.1" customHeight="1" x14ac:dyDescent="0.2">
      <c r="B24" s="107"/>
      <c r="C24" s="231" t="str">
        <f>IF(ber_Med_disc!C23&lt;&gt;"",IF(ber_Med_disc!C23&gt;1,TRIM(ber_Med_disc!C23)&amp;", "&amp;ber_Opm!C37&amp;" ("&amp;ber_Med_disc!M23&amp;" "&amp;ber_Med_disc!F23&amp;"/kg/dag)",TRIM(ber_Med_disc!C23)&amp;", "&amp;ber_Opm!C37),"")</f>
        <v/>
      </c>
      <c r="D24" s="232" t="str">
        <f>IF(Med_disc!H48&lt;&gt;"",Med_disc!H48,"")</f>
        <v/>
      </c>
      <c r="E24" s="233" t="str">
        <f>IF(AND(D24&lt;&gt;"",D24&lt;&gt;"STOP"),ber_Med_disc!H23&amp;" "&amp;ber_Med_disc!F23,"")</f>
        <v/>
      </c>
      <c r="F24" s="233" t="str">
        <f>IF(AND(D24&lt;&gt;"",D24&lt;&gt;"STOP"),ber_Med_disc!L23," ")</f>
        <v xml:space="preserve"> </v>
      </c>
      <c r="G24" s="233" t="str">
        <f>IF(Med_disc!L46&lt;&gt;"",Med_disc!L46&amp;" "&amp;Med_disc!M46&amp;" "&amp;INDEX(ber_Med_disc!$B$27:$B$30,ber_Med_disc!O23,1)&amp;" in "&amp;Med_disc!$O$44,"")</f>
        <v/>
      </c>
      <c r="H24" s="106" t="str">
        <f>IF(OR($D24="1 dd",$D24="2 dd",$D24="3 dd",$D24="4 dd",$D24="6 dd",$D24="8 dd",$D24="12 dd",$D24="an",$D24="1 X"),VLOOKUP($D24,ber_tijden!$A$16:$X$26,ber_tijden!B$14,FALSE),"")</f>
        <v/>
      </c>
      <c r="I24" s="15" t="str">
        <f>IF(OR($D24="1 dd",$D24="2 dd",$D24="3 dd",$D24="4 dd",$D24="6 dd",$D24="8 dd",$D24="12 dd",$D24="an",$D24="1 X"),VLOOKUP($D24,ber_tijden!$A$16:$X$26,ber_tijden!C$14,FALSE),"")</f>
        <v/>
      </c>
      <c r="J24" s="106" t="str">
        <f>IF(OR($D24="1 dd",$D24="2 dd",$D24="3 dd",$D24="4 dd",$D24="6 dd",$D24="8 dd",$D24="12 dd",$D24="an",$D24="1 X"),VLOOKUP($D24,ber_tijden!$A$16:$X$26,ber_tijden!D$14,FALSE),"")</f>
        <v/>
      </c>
      <c r="K24" s="15" t="str">
        <f>IF(OR($D24="1 dd",$D24="2 dd",$D24="3 dd",$D24="4 dd",$D24="6 dd",$D24="8 dd",$D24="12 dd",$D24="an",$D24="1 X"),VLOOKUP($D24,ber_tijden!$A$16:$X$26,ber_tijden!E$14,FALSE),"")</f>
        <v/>
      </c>
      <c r="L24" s="106" t="str">
        <f>IF(OR($D24="1 dd",$D24="2 dd",$D24="3 dd",$D24="4 dd",$D24="6 dd",$D24="8 dd",$D24="12 dd",$D24="an",$D24="1 X"),VLOOKUP($D24,ber_tijden!$A$16:$X$26,ber_tijden!F$14,FALSE),"")</f>
        <v/>
      </c>
      <c r="M24" s="15" t="str">
        <f>IF(OR($D24="1 dd",$D24="2 dd",$D24="3 dd",$D24="4 dd",$D24="6 dd",$D24="8 dd",$D24="12 dd",$D24="an",$D24="1 X"),VLOOKUP($D24,ber_tijden!$A$16:$X$26,ber_tijden!G$14,FALSE),"")</f>
        <v/>
      </c>
      <c r="N24" s="106" t="str">
        <f>IF(OR($D24="1 dd",$D24="2 dd",$D24="3 dd",$D24="4 dd",$D24="6 dd",$D24="8 dd",$D24="12 dd",$D24="an",$D24="1 X"),VLOOKUP($D24,ber_tijden!$A$16:$X$26,ber_tijden!H$14,FALSE),"")</f>
        <v/>
      </c>
      <c r="O24" s="15" t="str">
        <f>IF(OR($D24="1 dd",$D24="2 dd",$D24="3 dd",$D24="4 dd",$D24="6 dd",$D24="8 dd",$D24="12 dd",$D24="an",$D24="1 X"),VLOOKUP($D24,ber_tijden!$A$16:$X$26,ber_tijden!I$14,FALSE),"")</f>
        <v/>
      </c>
      <c r="P24" s="106" t="str">
        <f>IF(OR($D24="1 dd",$D24="2 dd",$D24="3 dd",$D24="4 dd",$D24="6 dd",$D24="8 dd",$D24="12 dd",$D24="an",$D24="1 X"),VLOOKUP($D24,ber_tijden!$A$16:$X$26,ber_tijden!J$14,FALSE),"")</f>
        <v/>
      </c>
      <c r="Q24" s="15" t="str">
        <f>IF(OR($D24="1 dd",$D24="2 dd",$D24="3 dd",$D24="4 dd",$D24="6 dd",$D24="8 dd",$D24="12 dd",$D24="an",$D24="1 X"),VLOOKUP($D24,ber_tijden!$A$16:$X$26,ber_tijden!K$14,FALSE),"")</f>
        <v/>
      </c>
      <c r="R24" s="106" t="str">
        <f>IF(OR($D24="1 dd",$D24="2 dd",$D24="3 dd",$D24="4 dd",$D24="6 dd",$D24="8 dd",$D24="12 dd",$D24="an",$D24="1 X"),VLOOKUP($D24,ber_tijden!$A$16:$X$26,ber_tijden!L$14,FALSE),"")</f>
        <v/>
      </c>
      <c r="S24" s="15" t="str">
        <f>IF(OR($D24="1 dd",$D24="2 dd",$D24="3 dd",$D24="4 dd",$D24="6 dd",$D24="8 dd",$D24="12 dd",$D24="an",$D24="1 X"),VLOOKUP($D24,ber_tijden!$A$16:$X$26,ber_tijden!M$14,FALSE),"")</f>
        <v/>
      </c>
      <c r="T24" s="106" t="str">
        <f>IF(OR($D24="1 dd",$D24="2 dd",$D24="3 dd",$D24="4 dd",$D24="6 dd",$D24="8 dd",$D24="12 dd",$D24="an",$D24="1 X"),VLOOKUP($D24,ber_tijden!$A$16:$X$26,ber_tijden!N$14,FALSE),"")</f>
        <v/>
      </c>
      <c r="U24" s="15" t="str">
        <f>IF(OR($D24="1 dd",$D24="2 dd",$D24="3 dd",$D24="4 dd",$D24="6 dd",$D24="8 dd",$D24="12 dd",$D24="an",$D24="1 X"),VLOOKUP($D24,ber_tijden!$A$16:$X$26,ber_tijden!O$14,FALSE),"")</f>
        <v/>
      </c>
      <c r="V24" s="106" t="str">
        <f>IF(OR($D24="1 dd",$D24="2 dd",$D24="3 dd",$D24="4 dd",$D24="6 dd",$D24="8 dd",$D24="12 dd",$D24="an",$D24="1 X"),VLOOKUP($D24,ber_tijden!$A$16:$X$26,ber_tijden!P$14,FALSE),"")</f>
        <v/>
      </c>
      <c r="W24" s="15" t="str">
        <f>IF(OR($D24="1 dd",$D24="2 dd",$D24="3 dd",$D24="4 dd",$D24="6 dd",$D24="8 dd",$D24="12 dd",$D24="an",$D24="1 X"),VLOOKUP($D24,ber_tijden!$A$16:$X$26,ber_tijden!Q$14,FALSE),"")</f>
        <v/>
      </c>
      <c r="X24" s="106" t="str">
        <f>IF(OR($D24="1 dd",$D24="2 dd",$D24="3 dd",$D24="4 dd",$D24="6 dd",$D24="8 dd",$D24="12 dd",$D24="an",$D24="1 X"),VLOOKUP($D24,ber_tijden!$A$16:$X$26,ber_tijden!R$14,FALSE),"")</f>
        <v/>
      </c>
      <c r="Y24" s="15" t="str">
        <f>IF(OR($D24="1 dd",$D24="2 dd",$D24="3 dd",$D24="4 dd",$D24="6 dd",$D24="8 dd",$D24="12 dd",$D24="an",$D24="1 X"),VLOOKUP($D24,ber_tijden!$A$16:$X$26,ber_tijden!S$14,FALSE),"")</f>
        <v/>
      </c>
      <c r="Z24" s="106" t="str">
        <f>IF(OR($D24="1 dd",$D24="2 dd",$D24="3 dd",$D24="4 dd",$D24="6 dd",$D24="8 dd",$D24="12 dd",$D24="an",$D24="1 X"),VLOOKUP($D24,ber_tijden!$A$16:$X$26,ber_tijden!T$14,FALSE),"")</f>
        <v/>
      </c>
      <c r="AA24" s="15" t="str">
        <f>IF(OR($D24="1 dd",$D24="2 dd",$D24="3 dd",$D24="4 dd",$D24="6 dd",$D24="8 dd",$D24="12 dd",$D24="an",$D24="1 X"),VLOOKUP($D24,ber_tijden!$A$16:$X$26,ber_tijden!U$14,FALSE),"")</f>
        <v/>
      </c>
      <c r="AB24" s="106" t="str">
        <f>IF(OR($D24="1 dd",$D24="2 dd",$D24="3 dd",$D24="4 dd",$D24="6 dd",$D24="8 dd",$D24="12 dd",$D24="an",$D24="1 X"),VLOOKUP($D24,ber_tijden!$A$16:$X$26,ber_tijden!V$14,FALSE),"")</f>
        <v/>
      </c>
      <c r="AC24" s="15" t="str">
        <f>IF(OR($D24="1 dd",$D24="2 dd",$D24="3 dd",$D24="4 dd",$D24="6 dd",$D24="8 dd",$D24="12 dd",$D24="an",$D24="1 X"),VLOOKUP($D24,ber_tijden!$A$16:$X$26,ber_tijden!W$14,FALSE),"")</f>
        <v/>
      </c>
      <c r="AD24" s="106" t="str">
        <f>IF(OR($D24="1 dd",$D24="2 dd",$D24="3 dd",$D24="4 dd",$D24="6 dd",$D24="8 dd",$D24="12 dd",$D24="an",$D24="1 X"),VLOOKUP($D24,ber_tijden!$A$16:$X$26,ber_tijden!X$14,FALSE),"")</f>
        <v/>
      </c>
      <c r="AE24" s="17"/>
      <c r="AF24" s="105"/>
      <c r="AG24" s="17"/>
    </row>
    <row r="25" spans="2:33" s="517" customFormat="1" ht="26.1" customHeight="1" x14ac:dyDescent="0.2">
      <c r="B25" s="107"/>
      <c r="C25" s="231" t="str">
        <f>IF(ber_Med_disc!C24&lt;&gt;"",IF(ber_Med_disc!C24&gt;1,TRIM(ber_Med_disc!C24)&amp;", "&amp;ber_Opm!C38&amp;" ("&amp;ber_Med_disc!M24&amp;" "&amp;ber_Med_disc!F24&amp;"/kg/dag)",TRIM(ber_Med_disc!C24)&amp;", "&amp;ber_Opm!C38),"")</f>
        <v/>
      </c>
      <c r="D25" s="232" t="str">
        <f>IF(Med_disc!H50&lt;&gt;"",Med_disc!H50,"")</f>
        <v/>
      </c>
      <c r="E25" s="233" t="str">
        <f>IF(AND(D25&lt;&gt;"",D25&lt;&gt;"STOP"),ber_Med_disc!H24&amp;" "&amp;ber_Med_disc!F24,"")</f>
        <v/>
      </c>
      <c r="F25" s="233" t="str">
        <f>IF(AND(D25&lt;&gt;"",D25&lt;&gt;"STOP"),ber_Med_disc!L24," ")</f>
        <v xml:space="preserve"> </v>
      </c>
      <c r="G25" s="233" t="str">
        <f>IF(Med_disc!L47&lt;&gt;"",Med_disc!L47&amp;" "&amp;Med_disc!M47&amp;" "&amp;INDEX(ber_Med_disc!$B$27:$B$30,ber_Med_disc!O24,1)&amp;" in "&amp;Med_disc!$O$44,"")</f>
        <v/>
      </c>
      <c r="H25" s="106" t="str">
        <f>IF(OR($D25="1 dd",$D25="2 dd",$D25="3 dd",$D25="4 dd",$D25="6 dd",$D25="8 dd",$D25="12 dd",$D25="an",$D25="1 X"),VLOOKUP($D25,ber_tijden!$A$16:$X$26,ber_tijden!B$14,FALSE),"")</f>
        <v/>
      </c>
      <c r="I25" s="15" t="str">
        <f>IF(OR($D25="1 dd",$D25="2 dd",$D25="3 dd",$D25="4 dd",$D25="6 dd",$D25="8 dd",$D25="12 dd",$D25="an",$D25="1 X"),VLOOKUP($D25,ber_tijden!$A$16:$X$26,ber_tijden!C$14,FALSE),"")</f>
        <v/>
      </c>
      <c r="J25" s="106" t="str">
        <f>IF(OR($D25="1 dd",$D25="2 dd",$D25="3 dd",$D25="4 dd",$D25="6 dd",$D25="8 dd",$D25="12 dd",$D25="an",$D25="1 X"),VLOOKUP($D25,ber_tijden!$A$16:$X$26,ber_tijden!D$14,FALSE),"")</f>
        <v/>
      </c>
      <c r="K25" s="15" t="str">
        <f>IF(OR($D25="1 dd",$D25="2 dd",$D25="3 dd",$D25="4 dd",$D25="6 dd",$D25="8 dd",$D25="12 dd",$D25="an",$D25="1 X"),VLOOKUP($D25,ber_tijden!$A$16:$X$26,ber_tijden!E$14,FALSE),"")</f>
        <v/>
      </c>
      <c r="L25" s="106" t="str">
        <f>IF(OR($D25="1 dd",$D25="2 dd",$D25="3 dd",$D25="4 dd",$D25="6 dd",$D25="8 dd",$D25="12 dd",$D25="an",$D25="1 X"),VLOOKUP($D25,ber_tijden!$A$16:$X$26,ber_tijden!F$14,FALSE),"")</f>
        <v/>
      </c>
      <c r="M25" s="15" t="str">
        <f>IF(OR($D25="1 dd",$D25="2 dd",$D25="3 dd",$D25="4 dd",$D25="6 dd",$D25="8 dd",$D25="12 dd",$D25="an",$D25="1 X"),VLOOKUP($D25,ber_tijden!$A$16:$X$26,ber_tijden!G$14,FALSE),"")</f>
        <v/>
      </c>
      <c r="N25" s="106" t="str">
        <f>IF(OR($D25="1 dd",$D25="2 dd",$D25="3 dd",$D25="4 dd",$D25="6 dd",$D25="8 dd",$D25="12 dd",$D25="an",$D25="1 X"),VLOOKUP($D25,ber_tijden!$A$16:$X$26,ber_tijden!H$14,FALSE),"")</f>
        <v/>
      </c>
      <c r="O25" s="15" t="str">
        <f>IF(OR($D25="1 dd",$D25="2 dd",$D25="3 dd",$D25="4 dd",$D25="6 dd",$D25="8 dd",$D25="12 dd",$D25="an",$D25="1 X"),VLOOKUP($D25,ber_tijden!$A$16:$X$26,ber_tijden!I$14,FALSE),"")</f>
        <v/>
      </c>
      <c r="P25" s="106" t="str">
        <f>IF(OR($D25="1 dd",$D25="2 dd",$D25="3 dd",$D25="4 dd",$D25="6 dd",$D25="8 dd",$D25="12 dd",$D25="an",$D25="1 X"),VLOOKUP($D25,ber_tijden!$A$16:$X$26,ber_tijden!J$14,FALSE),"")</f>
        <v/>
      </c>
      <c r="Q25" s="15" t="str">
        <f>IF(OR($D25="1 dd",$D25="2 dd",$D25="3 dd",$D25="4 dd",$D25="6 dd",$D25="8 dd",$D25="12 dd",$D25="an",$D25="1 X"),VLOOKUP($D25,ber_tijden!$A$16:$X$26,ber_tijden!K$14,FALSE),"")</f>
        <v/>
      </c>
      <c r="R25" s="106" t="str">
        <f>IF(OR($D25="1 dd",$D25="2 dd",$D25="3 dd",$D25="4 dd",$D25="6 dd",$D25="8 dd",$D25="12 dd",$D25="an",$D25="1 X"),VLOOKUP($D25,ber_tijden!$A$16:$X$26,ber_tijden!L$14,FALSE),"")</f>
        <v/>
      </c>
      <c r="S25" s="15" t="str">
        <f>IF(OR($D25="1 dd",$D25="2 dd",$D25="3 dd",$D25="4 dd",$D25="6 dd",$D25="8 dd",$D25="12 dd",$D25="an",$D25="1 X"),VLOOKUP($D25,ber_tijden!$A$16:$X$26,ber_tijden!M$14,FALSE),"")</f>
        <v/>
      </c>
      <c r="T25" s="106" t="str">
        <f>IF(OR($D25="1 dd",$D25="2 dd",$D25="3 dd",$D25="4 dd",$D25="6 dd",$D25="8 dd",$D25="12 dd",$D25="an",$D25="1 X"),VLOOKUP($D25,ber_tijden!$A$16:$X$26,ber_tijden!N$14,FALSE),"")</f>
        <v/>
      </c>
      <c r="U25" s="15" t="str">
        <f>IF(OR($D25="1 dd",$D25="2 dd",$D25="3 dd",$D25="4 dd",$D25="6 dd",$D25="8 dd",$D25="12 dd",$D25="an",$D25="1 X"),VLOOKUP($D25,ber_tijden!$A$16:$X$26,ber_tijden!O$14,FALSE),"")</f>
        <v/>
      </c>
      <c r="V25" s="106" t="str">
        <f>IF(OR($D25="1 dd",$D25="2 dd",$D25="3 dd",$D25="4 dd",$D25="6 dd",$D25="8 dd",$D25="12 dd",$D25="an",$D25="1 X"),VLOOKUP($D25,ber_tijden!$A$16:$X$26,ber_tijden!P$14,FALSE),"")</f>
        <v/>
      </c>
      <c r="W25" s="15" t="str">
        <f>IF(OR($D25="1 dd",$D25="2 dd",$D25="3 dd",$D25="4 dd",$D25="6 dd",$D25="8 dd",$D25="12 dd",$D25="an",$D25="1 X"),VLOOKUP($D25,ber_tijden!$A$16:$X$26,ber_tijden!Q$14,FALSE),"")</f>
        <v/>
      </c>
      <c r="X25" s="106" t="str">
        <f>IF(OR($D25="1 dd",$D25="2 dd",$D25="3 dd",$D25="4 dd",$D25="6 dd",$D25="8 dd",$D25="12 dd",$D25="an",$D25="1 X"),VLOOKUP($D25,ber_tijden!$A$16:$X$26,ber_tijden!R$14,FALSE),"")</f>
        <v/>
      </c>
      <c r="Y25" s="15" t="str">
        <f>IF(OR($D25="1 dd",$D25="2 dd",$D25="3 dd",$D25="4 dd",$D25="6 dd",$D25="8 dd",$D25="12 dd",$D25="an",$D25="1 X"),VLOOKUP($D25,ber_tijden!$A$16:$X$26,ber_tijden!S$14,FALSE),"")</f>
        <v/>
      </c>
      <c r="Z25" s="106" t="str">
        <f>IF(OR($D25="1 dd",$D25="2 dd",$D25="3 dd",$D25="4 dd",$D25="6 dd",$D25="8 dd",$D25="12 dd",$D25="an",$D25="1 X"),VLOOKUP($D25,ber_tijden!$A$16:$X$26,ber_tijden!T$14,FALSE),"")</f>
        <v/>
      </c>
      <c r="AA25" s="15" t="str">
        <f>IF(OR($D25="1 dd",$D25="2 dd",$D25="3 dd",$D25="4 dd",$D25="6 dd",$D25="8 dd",$D25="12 dd",$D25="an",$D25="1 X"),VLOOKUP($D25,ber_tijden!$A$16:$X$26,ber_tijden!U$14,FALSE),"")</f>
        <v/>
      </c>
      <c r="AB25" s="106" t="str">
        <f>IF(OR($D25="1 dd",$D25="2 dd",$D25="3 dd",$D25="4 dd",$D25="6 dd",$D25="8 dd",$D25="12 dd",$D25="an",$D25="1 X"),VLOOKUP($D25,ber_tijden!$A$16:$X$26,ber_tijden!V$14,FALSE),"")</f>
        <v/>
      </c>
      <c r="AC25" s="15" t="str">
        <f>IF(OR($D25="1 dd",$D25="2 dd",$D25="3 dd",$D25="4 dd",$D25="6 dd",$D25="8 dd",$D25="12 dd",$D25="an",$D25="1 X"),VLOOKUP($D25,ber_tijden!$A$16:$X$26,ber_tijden!W$14,FALSE),"")</f>
        <v/>
      </c>
      <c r="AD25" s="106" t="str">
        <f>IF(OR($D25="1 dd",$D25="2 dd",$D25="3 dd",$D25="4 dd",$D25="6 dd",$D25="8 dd",$D25="12 dd",$D25="an",$D25="1 X"),VLOOKUP($D25,ber_tijden!$A$16:$X$26,ber_tijden!X$14,FALSE),"")</f>
        <v/>
      </c>
      <c r="AE25" s="17"/>
      <c r="AF25" s="105"/>
      <c r="AG25" s="17"/>
    </row>
    <row r="26" spans="2:33" s="517" customFormat="1" ht="26.1" customHeight="1" x14ac:dyDescent="0.2">
      <c r="B26" s="107"/>
      <c r="C26" s="231" t="str">
        <f>IF(ber_Med_disc!C25&lt;&gt;"",IF(ber_Med_disc!C25&gt;1,TRIM(ber_Med_disc!C25)&amp;", "&amp;ber_Opm!C39&amp;" ("&amp;ber_Med_disc!M25&amp;" "&amp;ber_Med_disc!F25&amp;"/kg/dag)",TRIM(ber_Med_disc!C25)&amp;", "&amp;ber_Opm!C39),"")</f>
        <v/>
      </c>
      <c r="D26" s="232" t="str">
        <f>IF(Med_disc!H52&lt;&gt;"",Med_disc!H52,"")</f>
        <v/>
      </c>
      <c r="E26" s="233" t="str">
        <f>IF(AND(D26&lt;&gt;"",D26&lt;&gt;"STOP"),ber_Med_disc!H25&amp;" "&amp;ber_Med_disc!F25,"")</f>
        <v/>
      </c>
      <c r="F26" s="233" t="str">
        <f>IF(AND(D26&lt;&gt;"",D26&lt;&gt;"STOP"),ber_Med_disc!L25," ")</f>
        <v xml:space="preserve"> </v>
      </c>
      <c r="G26" s="233" t="str">
        <f>IF(Med_disc!L48&lt;&gt;"",Med_disc!L48&amp;" "&amp;Med_disc!M48&amp;" "&amp;INDEX(ber_Med_disc!$B$27:$B$30,ber_Med_disc!O25,1)&amp;" in "&amp;Med_disc!$O$44,"")</f>
        <v/>
      </c>
      <c r="H26" s="106" t="str">
        <f>IF(OR($D26="1 dd",$D26="2 dd",$D26="3 dd",$D26="4 dd",$D26="6 dd",$D26="8 dd",$D26="12 dd",$D26="an",$D26="1 X"),VLOOKUP($D26,ber_tijden!$A$16:$X$26,ber_tijden!B$14,FALSE),"")</f>
        <v/>
      </c>
      <c r="I26" s="15" t="str">
        <f>IF(OR($D26="1 dd",$D26="2 dd",$D26="3 dd",$D26="4 dd",$D26="6 dd",$D26="8 dd",$D26="12 dd",$D26="an",$D26="1 X"),VLOOKUP($D26,ber_tijden!$A$16:$X$26,ber_tijden!C$14,FALSE),"")</f>
        <v/>
      </c>
      <c r="J26" s="106" t="str">
        <f>IF(OR($D26="1 dd",$D26="2 dd",$D26="3 dd",$D26="4 dd",$D26="6 dd",$D26="8 dd",$D26="12 dd",$D26="an",$D26="1 X"),VLOOKUP($D26,ber_tijden!$A$16:$X$26,ber_tijden!D$14,FALSE),"")</f>
        <v/>
      </c>
      <c r="K26" s="15" t="str">
        <f>IF(OR($D26="1 dd",$D26="2 dd",$D26="3 dd",$D26="4 dd",$D26="6 dd",$D26="8 dd",$D26="12 dd",$D26="an",$D26="1 X"),VLOOKUP($D26,ber_tijden!$A$16:$X$26,ber_tijden!E$14,FALSE),"")</f>
        <v/>
      </c>
      <c r="L26" s="106" t="str">
        <f>IF(OR($D26="1 dd",$D26="2 dd",$D26="3 dd",$D26="4 dd",$D26="6 dd",$D26="8 dd",$D26="12 dd",$D26="an",$D26="1 X"),VLOOKUP($D26,ber_tijden!$A$16:$X$26,ber_tijden!F$14,FALSE),"")</f>
        <v/>
      </c>
      <c r="M26" s="15" t="str">
        <f>IF(OR($D26="1 dd",$D26="2 dd",$D26="3 dd",$D26="4 dd",$D26="6 dd",$D26="8 dd",$D26="12 dd",$D26="an",$D26="1 X"),VLOOKUP($D26,ber_tijden!$A$16:$X$26,ber_tijden!G$14,FALSE),"")</f>
        <v/>
      </c>
      <c r="N26" s="106" t="str">
        <f>IF(OR($D26="1 dd",$D26="2 dd",$D26="3 dd",$D26="4 dd",$D26="6 dd",$D26="8 dd",$D26="12 dd",$D26="an",$D26="1 X"),VLOOKUP($D26,ber_tijden!$A$16:$X$26,ber_tijden!H$14,FALSE),"")</f>
        <v/>
      </c>
      <c r="O26" s="15" t="str">
        <f>IF(OR($D26="1 dd",$D26="2 dd",$D26="3 dd",$D26="4 dd",$D26="6 dd",$D26="8 dd",$D26="12 dd",$D26="an",$D26="1 X"),VLOOKUP($D26,ber_tijden!$A$16:$X$26,ber_tijden!I$14,FALSE),"")</f>
        <v/>
      </c>
      <c r="P26" s="106" t="str">
        <f>IF(OR($D26="1 dd",$D26="2 dd",$D26="3 dd",$D26="4 dd",$D26="6 dd",$D26="8 dd",$D26="12 dd",$D26="an",$D26="1 X"),VLOOKUP($D26,ber_tijden!$A$16:$X$26,ber_tijden!J$14,FALSE),"")</f>
        <v/>
      </c>
      <c r="Q26" s="15" t="str">
        <f>IF(OR($D26="1 dd",$D26="2 dd",$D26="3 dd",$D26="4 dd",$D26="6 dd",$D26="8 dd",$D26="12 dd",$D26="an",$D26="1 X"),VLOOKUP($D26,ber_tijden!$A$16:$X$26,ber_tijden!K$14,FALSE),"")</f>
        <v/>
      </c>
      <c r="R26" s="106" t="str">
        <f>IF(OR($D26="1 dd",$D26="2 dd",$D26="3 dd",$D26="4 dd",$D26="6 dd",$D26="8 dd",$D26="12 dd",$D26="an",$D26="1 X"),VLOOKUP($D26,ber_tijden!$A$16:$X$26,ber_tijden!L$14,FALSE),"")</f>
        <v/>
      </c>
      <c r="S26" s="15" t="str">
        <f>IF(OR($D26="1 dd",$D26="2 dd",$D26="3 dd",$D26="4 dd",$D26="6 dd",$D26="8 dd",$D26="12 dd",$D26="an",$D26="1 X"),VLOOKUP($D26,ber_tijden!$A$16:$X$26,ber_tijden!M$14,FALSE),"")</f>
        <v/>
      </c>
      <c r="T26" s="106" t="str">
        <f>IF(OR($D26="1 dd",$D26="2 dd",$D26="3 dd",$D26="4 dd",$D26="6 dd",$D26="8 dd",$D26="12 dd",$D26="an",$D26="1 X"),VLOOKUP($D26,ber_tijden!$A$16:$X$26,ber_tijden!N$14,FALSE),"")</f>
        <v/>
      </c>
      <c r="U26" s="15" t="str">
        <f>IF(OR($D26="1 dd",$D26="2 dd",$D26="3 dd",$D26="4 dd",$D26="6 dd",$D26="8 dd",$D26="12 dd",$D26="an",$D26="1 X"),VLOOKUP($D26,ber_tijden!$A$16:$X$26,ber_tijden!O$14,FALSE),"")</f>
        <v/>
      </c>
      <c r="V26" s="106" t="str">
        <f>IF(OR($D26="1 dd",$D26="2 dd",$D26="3 dd",$D26="4 dd",$D26="6 dd",$D26="8 dd",$D26="12 dd",$D26="an",$D26="1 X"),VLOOKUP($D26,ber_tijden!$A$16:$X$26,ber_tijden!P$14,FALSE),"")</f>
        <v/>
      </c>
      <c r="W26" s="15" t="str">
        <f>IF(OR($D26="1 dd",$D26="2 dd",$D26="3 dd",$D26="4 dd",$D26="6 dd",$D26="8 dd",$D26="12 dd",$D26="an",$D26="1 X"),VLOOKUP($D26,ber_tijden!$A$16:$X$26,ber_tijden!Q$14,FALSE),"")</f>
        <v/>
      </c>
      <c r="X26" s="106" t="str">
        <f>IF(OR($D26="1 dd",$D26="2 dd",$D26="3 dd",$D26="4 dd",$D26="6 dd",$D26="8 dd",$D26="12 dd",$D26="an",$D26="1 X"),VLOOKUP($D26,ber_tijden!$A$16:$X$26,ber_tijden!R$14,FALSE),"")</f>
        <v/>
      </c>
      <c r="Y26" s="15" t="str">
        <f>IF(OR($D26="1 dd",$D26="2 dd",$D26="3 dd",$D26="4 dd",$D26="6 dd",$D26="8 dd",$D26="12 dd",$D26="an",$D26="1 X"),VLOOKUP($D26,ber_tijden!$A$16:$X$26,ber_tijden!S$14,FALSE),"")</f>
        <v/>
      </c>
      <c r="Z26" s="106" t="str">
        <f>IF(OR($D26="1 dd",$D26="2 dd",$D26="3 dd",$D26="4 dd",$D26="6 dd",$D26="8 dd",$D26="12 dd",$D26="an",$D26="1 X"),VLOOKUP($D26,ber_tijden!$A$16:$X$26,ber_tijden!T$14,FALSE),"")</f>
        <v/>
      </c>
      <c r="AA26" s="15" t="str">
        <f>IF(OR($D26="1 dd",$D26="2 dd",$D26="3 dd",$D26="4 dd",$D26="6 dd",$D26="8 dd",$D26="12 dd",$D26="an",$D26="1 X"),VLOOKUP($D26,ber_tijden!$A$16:$X$26,ber_tijden!U$14,FALSE),"")</f>
        <v/>
      </c>
      <c r="AB26" s="106" t="str">
        <f>IF(OR($D26="1 dd",$D26="2 dd",$D26="3 dd",$D26="4 dd",$D26="6 dd",$D26="8 dd",$D26="12 dd",$D26="an",$D26="1 X"),VLOOKUP($D26,ber_tijden!$A$16:$X$26,ber_tijden!V$14,FALSE),"")</f>
        <v/>
      </c>
      <c r="AC26" s="15" t="str">
        <f>IF(OR($D26="1 dd",$D26="2 dd",$D26="3 dd",$D26="4 dd",$D26="6 dd",$D26="8 dd",$D26="12 dd",$D26="an",$D26="1 X"),VLOOKUP($D26,ber_tijden!$A$16:$X$26,ber_tijden!W$14,FALSE),"")</f>
        <v/>
      </c>
      <c r="AD26" s="106" t="str">
        <f>IF(OR($D26="1 dd",$D26="2 dd",$D26="3 dd",$D26="4 dd",$D26="6 dd",$D26="8 dd",$D26="12 dd",$D26="an",$D26="1 X"),VLOOKUP($D26,ber_tijden!$A$16:$X$26,ber_tijden!X$14,FALSE),"")</f>
        <v/>
      </c>
      <c r="AE26" s="17"/>
      <c r="AF26" s="105"/>
      <c r="AG26" s="17"/>
    </row>
    <row r="27" spans="2:33" s="517" customFormat="1" ht="26.1" customHeight="1" x14ac:dyDescent="0.2">
      <c r="B27" s="107"/>
      <c r="C27" s="231" t="str">
        <f>IF(ber_Med_disc!C26&lt;&gt;"",IF(ber_Med_disc!C26&gt;1,TRIM(ber_Med_disc!C26)&amp;", "&amp;ber_Opm!C40&amp;" ("&amp;ber_Med_disc!M26&amp;" "&amp;ber_Med_disc!F26&amp;"/kg/dag)",TRIM(ber_Med_disc!C26)&amp;", "&amp;ber_Opm!C40),"")</f>
        <v/>
      </c>
      <c r="D27" s="232" t="str">
        <f>IF(Med_disc!H54&lt;&gt;"",Med_disc!H54,"")</f>
        <v/>
      </c>
      <c r="E27" s="233" t="str">
        <f>IF(AND(D27&lt;&gt;"",D27&lt;&gt;"STOP"),ber_Med_disc!H26&amp;" "&amp;ber_Med_disc!F26,"")</f>
        <v/>
      </c>
      <c r="F27" s="233" t="str">
        <f>IF(AND(D27&lt;&gt;"",D27&lt;&gt;"STOP"),ber_Med_disc!L26," ")</f>
        <v xml:space="preserve"> </v>
      </c>
      <c r="G27" s="233" t="str">
        <f>IF(Med_disc!L49&lt;&gt;"",Med_disc!L49&amp;" "&amp;Med_disc!M49&amp;" "&amp;INDEX(ber_Med_disc!$B$27:$B$30,ber_Med_disc!O26,1)&amp;" in "&amp;Med_disc!$O$44,"")</f>
        <v/>
      </c>
      <c r="H27" s="106" t="str">
        <f>IF(OR($D27="1 dd",$D27="2 dd",$D27="3 dd",$D27="4 dd",$D27="6 dd",$D27="8 dd",$D27="12 dd",$D27="an",$D27="1 X"),VLOOKUP($D27,ber_tijden!$A$16:$X$26,ber_tijden!B$14,FALSE),"")</f>
        <v/>
      </c>
      <c r="I27" s="15" t="str">
        <f>IF(OR($D27="1 dd",$D27="2 dd",$D27="3 dd",$D27="4 dd",$D27="6 dd",$D27="8 dd",$D27="12 dd",$D27="an",$D27="1 X"),VLOOKUP($D27,ber_tijden!$A$16:$X$26,ber_tijden!C$14,FALSE),"")</f>
        <v/>
      </c>
      <c r="J27" s="106" t="str">
        <f>IF(OR($D27="1 dd",$D27="2 dd",$D27="3 dd",$D27="4 dd",$D27="6 dd",$D27="8 dd",$D27="12 dd",$D27="an",$D27="1 X"),VLOOKUP($D27,ber_tijden!$A$16:$X$26,ber_tijden!D$14,FALSE),"")</f>
        <v/>
      </c>
      <c r="K27" s="15" t="str">
        <f>IF(OR($D27="1 dd",$D27="2 dd",$D27="3 dd",$D27="4 dd",$D27="6 dd",$D27="8 dd",$D27="12 dd",$D27="an",$D27="1 X"),VLOOKUP($D27,ber_tijden!$A$16:$X$26,ber_tijden!E$14,FALSE),"")</f>
        <v/>
      </c>
      <c r="L27" s="106" t="str">
        <f>IF(OR($D27="1 dd",$D27="2 dd",$D27="3 dd",$D27="4 dd",$D27="6 dd",$D27="8 dd",$D27="12 dd",$D27="an",$D27="1 X"),VLOOKUP($D27,ber_tijden!$A$16:$X$26,ber_tijden!F$14,FALSE),"")</f>
        <v/>
      </c>
      <c r="M27" s="15" t="str">
        <f>IF(OR($D27="1 dd",$D27="2 dd",$D27="3 dd",$D27="4 dd",$D27="6 dd",$D27="8 dd",$D27="12 dd",$D27="an",$D27="1 X"),VLOOKUP($D27,ber_tijden!$A$16:$X$26,ber_tijden!G$14,FALSE),"")</f>
        <v/>
      </c>
      <c r="N27" s="106" t="str">
        <f>IF(OR($D27="1 dd",$D27="2 dd",$D27="3 dd",$D27="4 dd",$D27="6 dd",$D27="8 dd",$D27="12 dd",$D27="an",$D27="1 X"),VLOOKUP($D27,ber_tijden!$A$16:$X$26,ber_tijden!H$14,FALSE),"")</f>
        <v/>
      </c>
      <c r="O27" s="15" t="str">
        <f>IF(OR($D27="1 dd",$D27="2 dd",$D27="3 dd",$D27="4 dd",$D27="6 dd",$D27="8 dd",$D27="12 dd",$D27="an",$D27="1 X"),VLOOKUP($D27,ber_tijden!$A$16:$X$26,ber_tijden!I$14,FALSE),"")</f>
        <v/>
      </c>
      <c r="P27" s="106" t="str">
        <f>IF(OR($D27="1 dd",$D27="2 dd",$D27="3 dd",$D27="4 dd",$D27="6 dd",$D27="8 dd",$D27="12 dd",$D27="an",$D27="1 X"),VLOOKUP($D27,ber_tijden!$A$16:$X$26,ber_tijden!J$14,FALSE),"")</f>
        <v/>
      </c>
      <c r="Q27" s="15" t="str">
        <f>IF(OR($D27="1 dd",$D27="2 dd",$D27="3 dd",$D27="4 dd",$D27="6 dd",$D27="8 dd",$D27="12 dd",$D27="an",$D27="1 X"),VLOOKUP($D27,ber_tijden!$A$16:$X$26,ber_tijden!K$14,FALSE),"")</f>
        <v/>
      </c>
      <c r="R27" s="106" t="str">
        <f>IF(OR($D27="1 dd",$D27="2 dd",$D27="3 dd",$D27="4 dd",$D27="6 dd",$D27="8 dd",$D27="12 dd",$D27="an",$D27="1 X"),VLOOKUP($D27,ber_tijden!$A$16:$X$26,ber_tijden!L$14,FALSE),"")</f>
        <v/>
      </c>
      <c r="S27" s="15" t="str">
        <f>IF(OR($D27="1 dd",$D27="2 dd",$D27="3 dd",$D27="4 dd",$D27="6 dd",$D27="8 dd",$D27="12 dd",$D27="an",$D27="1 X"),VLOOKUP($D27,ber_tijden!$A$16:$X$26,ber_tijden!M$14,FALSE),"")</f>
        <v/>
      </c>
      <c r="T27" s="106" t="str">
        <f>IF(OR($D27="1 dd",$D27="2 dd",$D27="3 dd",$D27="4 dd",$D27="6 dd",$D27="8 dd",$D27="12 dd",$D27="an",$D27="1 X"),VLOOKUP($D27,ber_tijden!$A$16:$X$26,ber_tijden!N$14,FALSE),"")</f>
        <v/>
      </c>
      <c r="U27" s="15" t="str">
        <f>IF(OR($D27="1 dd",$D27="2 dd",$D27="3 dd",$D27="4 dd",$D27="6 dd",$D27="8 dd",$D27="12 dd",$D27="an",$D27="1 X"),VLOOKUP($D27,ber_tijden!$A$16:$X$26,ber_tijden!O$14,FALSE),"")</f>
        <v/>
      </c>
      <c r="V27" s="106" t="str">
        <f>IF(OR($D27="1 dd",$D27="2 dd",$D27="3 dd",$D27="4 dd",$D27="6 dd",$D27="8 dd",$D27="12 dd",$D27="an",$D27="1 X"),VLOOKUP($D27,ber_tijden!$A$16:$X$26,ber_tijden!P$14,FALSE),"")</f>
        <v/>
      </c>
      <c r="W27" s="15" t="str">
        <f>IF(OR($D27="1 dd",$D27="2 dd",$D27="3 dd",$D27="4 dd",$D27="6 dd",$D27="8 dd",$D27="12 dd",$D27="an",$D27="1 X"),VLOOKUP($D27,ber_tijden!$A$16:$X$26,ber_tijden!Q$14,FALSE),"")</f>
        <v/>
      </c>
      <c r="X27" s="106" t="str">
        <f>IF(OR($D27="1 dd",$D27="2 dd",$D27="3 dd",$D27="4 dd",$D27="6 dd",$D27="8 dd",$D27="12 dd",$D27="an",$D27="1 X"),VLOOKUP($D27,ber_tijden!$A$16:$X$26,ber_tijden!R$14,FALSE),"")</f>
        <v/>
      </c>
      <c r="Y27" s="15" t="str">
        <f>IF(OR($D27="1 dd",$D27="2 dd",$D27="3 dd",$D27="4 dd",$D27="6 dd",$D27="8 dd",$D27="12 dd",$D27="an",$D27="1 X"),VLOOKUP($D27,ber_tijden!$A$16:$X$26,ber_tijden!S$14,FALSE),"")</f>
        <v/>
      </c>
      <c r="Z27" s="106" t="str">
        <f>IF(OR($D27="1 dd",$D27="2 dd",$D27="3 dd",$D27="4 dd",$D27="6 dd",$D27="8 dd",$D27="12 dd",$D27="an",$D27="1 X"),VLOOKUP($D27,ber_tijden!$A$16:$X$26,ber_tijden!T$14,FALSE),"")</f>
        <v/>
      </c>
      <c r="AA27" s="15" t="str">
        <f>IF(OR($D27="1 dd",$D27="2 dd",$D27="3 dd",$D27="4 dd",$D27="6 dd",$D27="8 dd",$D27="12 dd",$D27="an",$D27="1 X"),VLOOKUP($D27,ber_tijden!$A$16:$X$26,ber_tijden!U$14,FALSE),"")</f>
        <v/>
      </c>
      <c r="AB27" s="106" t="str">
        <f>IF(OR($D27="1 dd",$D27="2 dd",$D27="3 dd",$D27="4 dd",$D27="6 dd",$D27="8 dd",$D27="12 dd",$D27="an",$D27="1 X"),VLOOKUP($D27,ber_tijden!$A$16:$X$26,ber_tijden!V$14,FALSE),"")</f>
        <v/>
      </c>
      <c r="AC27" s="15" t="str">
        <f>IF(OR($D27="1 dd",$D27="2 dd",$D27="3 dd",$D27="4 dd",$D27="6 dd",$D27="8 dd",$D27="12 dd",$D27="an",$D27="1 X"),VLOOKUP($D27,ber_tijden!$A$16:$X$26,ber_tijden!W$14,FALSE),"")</f>
        <v/>
      </c>
      <c r="AD27" s="106" t="str">
        <f>IF(OR($D27="1 dd",$D27="2 dd",$D27="3 dd",$D27="4 dd",$D27="6 dd",$D27="8 dd",$D27="12 dd",$D27="an",$D27="1 X"),VLOOKUP($D27,ber_tijden!$A$16:$X$26,ber_tijden!X$14,FALSE),"")</f>
        <v/>
      </c>
      <c r="AE27" s="17"/>
      <c r="AF27" s="105"/>
      <c r="AG27" s="17"/>
    </row>
    <row r="28" spans="2:33" s="517" customFormat="1" ht="26.1" customHeight="1" x14ac:dyDescent="0.2">
      <c r="B28" s="107"/>
      <c r="C28" s="231" t="str">
        <f>IF(ber_Med_disc!C27&lt;&gt;"",IF(ber_Med_disc!C27&gt;1,TRIM(ber_Med_disc!C27)&amp;", "&amp;ber_Opm!C41&amp;" ("&amp;ber_Med_disc!M27&amp;" "&amp;ber_Med_disc!F27&amp;"/kg/dag)",TRIM(ber_Med_disc!C27)&amp;", "&amp;ber_Opm!C41),"")</f>
        <v/>
      </c>
      <c r="D28" s="232" t="str">
        <f>IF(Med_disc!H56&lt;&gt;"",Med_disc!H56,"")</f>
        <v/>
      </c>
      <c r="E28" s="233" t="str">
        <f>IF(AND(D28&lt;&gt;"",D28&lt;&gt;"STOP"),ber_Med_disc!H27&amp;" "&amp;ber_Med_disc!F27,"")</f>
        <v/>
      </c>
      <c r="F28" s="233" t="str">
        <f>IF(AND(D28&lt;&gt;"",D28&lt;&gt;"STOP"),ber_Med_disc!L27," ")</f>
        <v xml:space="preserve"> </v>
      </c>
      <c r="G28" s="233" t="str">
        <f>IF(Med_disc!L50&lt;&gt;"",Med_disc!L50&amp;" "&amp;Med_disc!M50&amp;" "&amp;INDEX(ber_Med_disc!$B$27:$B$30,ber_Med_disc!O27,1)&amp;" in "&amp;Med_disc!$O$44,"")</f>
        <v/>
      </c>
      <c r="H28" s="106" t="str">
        <f>IF(OR($D28="1 dd",$D28="2 dd",$D28="3 dd",$D28="4 dd",$D28="6 dd",$D28="8 dd",$D28="12 dd",$D28="an",$D28="1 X"),VLOOKUP($D28,ber_tijden!$A$16:$X$26,ber_tijden!B$14,FALSE),"")</f>
        <v/>
      </c>
      <c r="I28" s="15" t="str">
        <f>IF(OR($D28="1 dd",$D28="2 dd",$D28="3 dd",$D28="4 dd",$D28="6 dd",$D28="8 dd",$D28="12 dd",$D28="an",$D28="1 X"),VLOOKUP($D28,ber_tijden!$A$16:$X$26,ber_tijden!C$14,FALSE),"")</f>
        <v/>
      </c>
      <c r="J28" s="106" t="str">
        <f>IF(OR($D28="1 dd",$D28="2 dd",$D28="3 dd",$D28="4 dd",$D28="6 dd",$D28="8 dd",$D28="12 dd",$D28="an",$D28="1 X"),VLOOKUP($D28,ber_tijden!$A$16:$X$26,ber_tijden!D$14,FALSE),"")</f>
        <v/>
      </c>
      <c r="K28" s="15" t="str">
        <f>IF(OR($D28="1 dd",$D28="2 dd",$D28="3 dd",$D28="4 dd",$D28="6 dd",$D28="8 dd",$D28="12 dd",$D28="an",$D28="1 X"),VLOOKUP($D28,ber_tijden!$A$16:$X$26,ber_tijden!E$14,FALSE),"")</f>
        <v/>
      </c>
      <c r="L28" s="106" t="str">
        <f>IF(OR($D28="1 dd",$D28="2 dd",$D28="3 dd",$D28="4 dd",$D28="6 dd",$D28="8 dd",$D28="12 dd",$D28="an",$D28="1 X"),VLOOKUP($D28,ber_tijden!$A$16:$X$26,ber_tijden!F$14,FALSE),"")</f>
        <v/>
      </c>
      <c r="M28" s="15" t="str">
        <f>IF(OR($D28="1 dd",$D28="2 dd",$D28="3 dd",$D28="4 dd",$D28="6 dd",$D28="8 dd",$D28="12 dd",$D28="an",$D28="1 X"),VLOOKUP($D28,ber_tijden!$A$16:$X$26,ber_tijden!G$14,FALSE),"")</f>
        <v/>
      </c>
      <c r="N28" s="106" t="str">
        <f>IF(OR($D28="1 dd",$D28="2 dd",$D28="3 dd",$D28="4 dd",$D28="6 dd",$D28="8 dd",$D28="12 dd",$D28="an",$D28="1 X"),VLOOKUP($D28,ber_tijden!$A$16:$X$26,ber_tijden!H$14,FALSE),"")</f>
        <v/>
      </c>
      <c r="O28" s="15" t="str">
        <f>IF(OR($D28="1 dd",$D28="2 dd",$D28="3 dd",$D28="4 dd",$D28="6 dd",$D28="8 dd",$D28="12 dd",$D28="an",$D28="1 X"),VLOOKUP($D28,ber_tijden!$A$16:$X$26,ber_tijden!I$14,FALSE),"")</f>
        <v/>
      </c>
      <c r="P28" s="106" t="str">
        <f>IF(OR($D28="1 dd",$D28="2 dd",$D28="3 dd",$D28="4 dd",$D28="6 dd",$D28="8 dd",$D28="12 dd",$D28="an",$D28="1 X"),VLOOKUP($D28,ber_tijden!$A$16:$X$26,ber_tijden!J$14,FALSE),"")</f>
        <v/>
      </c>
      <c r="Q28" s="15" t="str">
        <f>IF(OR($D28="1 dd",$D28="2 dd",$D28="3 dd",$D28="4 dd",$D28="6 dd",$D28="8 dd",$D28="12 dd",$D28="an",$D28="1 X"),VLOOKUP($D28,ber_tijden!$A$16:$X$26,ber_tijden!K$14,FALSE),"")</f>
        <v/>
      </c>
      <c r="R28" s="106" t="str">
        <f>IF(OR($D28="1 dd",$D28="2 dd",$D28="3 dd",$D28="4 dd",$D28="6 dd",$D28="8 dd",$D28="12 dd",$D28="an",$D28="1 X"),VLOOKUP($D28,ber_tijden!$A$16:$X$26,ber_tijden!L$14,FALSE),"")</f>
        <v/>
      </c>
      <c r="S28" s="15" t="str">
        <f>IF(OR($D28="1 dd",$D28="2 dd",$D28="3 dd",$D28="4 dd",$D28="6 dd",$D28="8 dd",$D28="12 dd",$D28="an",$D28="1 X"),VLOOKUP($D28,ber_tijden!$A$16:$X$26,ber_tijden!M$14,FALSE),"")</f>
        <v/>
      </c>
      <c r="T28" s="106" t="str">
        <f>IF(OR($D28="1 dd",$D28="2 dd",$D28="3 dd",$D28="4 dd",$D28="6 dd",$D28="8 dd",$D28="12 dd",$D28="an",$D28="1 X"),VLOOKUP($D28,ber_tijden!$A$16:$X$26,ber_tijden!N$14,FALSE),"")</f>
        <v/>
      </c>
      <c r="U28" s="15" t="str">
        <f>IF(OR($D28="1 dd",$D28="2 dd",$D28="3 dd",$D28="4 dd",$D28="6 dd",$D28="8 dd",$D28="12 dd",$D28="an",$D28="1 X"),VLOOKUP($D28,ber_tijden!$A$16:$X$26,ber_tijden!O$14,FALSE),"")</f>
        <v/>
      </c>
      <c r="V28" s="106" t="str">
        <f>IF(OR($D28="1 dd",$D28="2 dd",$D28="3 dd",$D28="4 dd",$D28="6 dd",$D28="8 dd",$D28="12 dd",$D28="an",$D28="1 X"),VLOOKUP($D28,ber_tijden!$A$16:$X$26,ber_tijden!P$14,FALSE),"")</f>
        <v/>
      </c>
      <c r="W28" s="15" t="str">
        <f>IF(OR($D28="1 dd",$D28="2 dd",$D28="3 dd",$D28="4 dd",$D28="6 dd",$D28="8 dd",$D28="12 dd",$D28="an",$D28="1 X"),VLOOKUP($D28,ber_tijden!$A$16:$X$26,ber_tijden!Q$14,FALSE),"")</f>
        <v/>
      </c>
      <c r="X28" s="106" t="str">
        <f>IF(OR($D28="1 dd",$D28="2 dd",$D28="3 dd",$D28="4 dd",$D28="6 dd",$D28="8 dd",$D28="12 dd",$D28="an",$D28="1 X"),VLOOKUP($D28,ber_tijden!$A$16:$X$26,ber_tijden!R$14,FALSE),"")</f>
        <v/>
      </c>
      <c r="Y28" s="15" t="str">
        <f>IF(OR($D28="1 dd",$D28="2 dd",$D28="3 dd",$D28="4 dd",$D28="6 dd",$D28="8 dd",$D28="12 dd",$D28="an",$D28="1 X"),VLOOKUP($D28,ber_tijden!$A$16:$X$26,ber_tijden!S$14,FALSE),"")</f>
        <v/>
      </c>
      <c r="Z28" s="106" t="str">
        <f>IF(OR($D28="1 dd",$D28="2 dd",$D28="3 dd",$D28="4 dd",$D28="6 dd",$D28="8 dd",$D28="12 dd",$D28="an",$D28="1 X"),VLOOKUP($D28,ber_tijden!$A$16:$X$26,ber_tijden!T$14,FALSE),"")</f>
        <v/>
      </c>
      <c r="AA28" s="15" t="str">
        <f>IF(OR($D28="1 dd",$D28="2 dd",$D28="3 dd",$D28="4 dd",$D28="6 dd",$D28="8 dd",$D28="12 dd",$D28="an",$D28="1 X"),VLOOKUP($D28,ber_tijden!$A$16:$X$26,ber_tijden!U$14,FALSE),"")</f>
        <v/>
      </c>
      <c r="AB28" s="106" t="str">
        <f>IF(OR($D28="1 dd",$D28="2 dd",$D28="3 dd",$D28="4 dd",$D28="6 dd",$D28="8 dd",$D28="12 dd",$D28="an",$D28="1 X"),VLOOKUP($D28,ber_tijden!$A$16:$X$26,ber_tijden!V$14,FALSE),"")</f>
        <v/>
      </c>
      <c r="AC28" s="15" t="str">
        <f>IF(OR($D28="1 dd",$D28="2 dd",$D28="3 dd",$D28="4 dd",$D28="6 dd",$D28="8 dd",$D28="12 dd",$D28="an",$D28="1 X"),VLOOKUP($D28,ber_tijden!$A$16:$X$26,ber_tijden!W$14,FALSE),"")</f>
        <v/>
      </c>
      <c r="AD28" s="106" t="str">
        <f>IF(OR($D28="1 dd",$D28="2 dd",$D28="3 dd",$D28="4 dd",$D28="6 dd",$D28="8 dd",$D28="12 dd",$D28="an",$D28="1 X"),VLOOKUP($D28,ber_tijden!$A$16:$X$26,ber_tijden!X$14,FALSE),"")</f>
        <v/>
      </c>
      <c r="AE28" s="17"/>
      <c r="AF28" s="105"/>
      <c r="AG28" s="17"/>
    </row>
    <row r="29" spans="2:33" s="517" customFormat="1" ht="26.1" customHeight="1" x14ac:dyDescent="0.2">
      <c r="B29" s="107"/>
      <c r="C29" s="231" t="str">
        <f>IF(ber_Med_disc!C28&lt;&gt;"",IF(ber_Med_disc!C28&gt;1,TRIM(ber_Med_disc!C28)&amp;", "&amp;ber_Opm!C42&amp;" ("&amp;ber_Med_disc!M28&amp;" "&amp;ber_Med_disc!F28&amp;"/kg/dag)",TRIM(ber_Med_disc!C28)&amp;", "&amp;ber_Opm!C42),"")</f>
        <v/>
      </c>
      <c r="D29" s="232" t="str">
        <f>IF(Med_disc!H58&lt;&gt;"",Med_disc!H58,"")</f>
        <v/>
      </c>
      <c r="E29" s="233" t="str">
        <f>IF(AND(D29&lt;&gt;"",D29&lt;&gt;"STOP"),ber_Med_disc!H28&amp;" "&amp;ber_Med_disc!F28,"")</f>
        <v/>
      </c>
      <c r="F29" s="233" t="str">
        <f>IF(AND(D29&lt;&gt;"",D29&lt;&gt;"STOP"),ber_Med_disc!L28," ")</f>
        <v xml:space="preserve"> </v>
      </c>
      <c r="G29" s="233" t="str">
        <f>IF(Med_disc!L51&lt;&gt;"",Med_disc!L51&amp;" "&amp;Med_disc!M51&amp;" "&amp;INDEX(ber_Med_disc!$B$27:$B$30,ber_Med_disc!O28,1)&amp;" in "&amp;Med_disc!$O$44,"")</f>
        <v/>
      </c>
      <c r="H29" s="106" t="str">
        <f>IF(OR($D29="1 dd",$D29="2 dd",$D29="3 dd",$D29="4 dd",$D29="6 dd",$D29="8 dd",$D29="12 dd",$D29="an",$D29="1 X"),VLOOKUP($D29,ber_tijden!$A$16:$X$26,ber_tijden!B$14,FALSE),"")</f>
        <v/>
      </c>
      <c r="I29" s="15" t="str">
        <f>IF(OR($D29="1 dd",$D29="2 dd",$D29="3 dd",$D29="4 dd",$D29="6 dd",$D29="8 dd",$D29="12 dd",$D29="an",$D29="1 X"),VLOOKUP($D29,ber_tijden!$A$16:$X$26,ber_tijden!C$14,FALSE),"")</f>
        <v/>
      </c>
      <c r="J29" s="106" t="str">
        <f>IF(OR($D29="1 dd",$D29="2 dd",$D29="3 dd",$D29="4 dd",$D29="6 dd",$D29="8 dd",$D29="12 dd",$D29="an",$D29="1 X"),VLOOKUP($D29,ber_tijden!$A$16:$X$26,ber_tijden!D$14,FALSE),"")</f>
        <v/>
      </c>
      <c r="K29" s="15" t="str">
        <f>IF(OR($D29="1 dd",$D29="2 dd",$D29="3 dd",$D29="4 dd",$D29="6 dd",$D29="8 dd",$D29="12 dd",$D29="an",$D29="1 X"),VLOOKUP($D29,ber_tijden!$A$16:$X$26,ber_tijden!E$14,FALSE),"")</f>
        <v/>
      </c>
      <c r="L29" s="106" t="str">
        <f>IF(OR($D29="1 dd",$D29="2 dd",$D29="3 dd",$D29="4 dd",$D29="6 dd",$D29="8 dd",$D29="12 dd",$D29="an",$D29="1 X"),VLOOKUP($D29,ber_tijden!$A$16:$X$26,ber_tijden!F$14,FALSE),"")</f>
        <v/>
      </c>
      <c r="M29" s="15" t="str">
        <f>IF(OR($D29="1 dd",$D29="2 dd",$D29="3 dd",$D29="4 dd",$D29="6 dd",$D29="8 dd",$D29="12 dd",$D29="an",$D29="1 X"),VLOOKUP($D29,ber_tijden!$A$16:$X$26,ber_tijden!G$14,FALSE),"")</f>
        <v/>
      </c>
      <c r="N29" s="106" t="str">
        <f>IF(OR($D29="1 dd",$D29="2 dd",$D29="3 dd",$D29="4 dd",$D29="6 dd",$D29="8 dd",$D29="12 dd",$D29="an",$D29="1 X"),VLOOKUP($D29,ber_tijden!$A$16:$X$26,ber_tijden!H$14,FALSE),"")</f>
        <v/>
      </c>
      <c r="O29" s="15" t="str">
        <f>IF(OR($D29="1 dd",$D29="2 dd",$D29="3 dd",$D29="4 dd",$D29="6 dd",$D29="8 dd",$D29="12 dd",$D29="an",$D29="1 X"),VLOOKUP($D29,ber_tijden!$A$16:$X$26,ber_tijden!I$14,FALSE),"")</f>
        <v/>
      </c>
      <c r="P29" s="106" t="str">
        <f>IF(OR($D29="1 dd",$D29="2 dd",$D29="3 dd",$D29="4 dd",$D29="6 dd",$D29="8 dd",$D29="12 dd",$D29="an",$D29="1 X"),VLOOKUP($D29,ber_tijden!$A$16:$X$26,ber_tijden!J$14,FALSE),"")</f>
        <v/>
      </c>
      <c r="Q29" s="15" t="str">
        <f>IF(OR($D29="1 dd",$D29="2 dd",$D29="3 dd",$D29="4 dd",$D29="6 dd",$D29="8 dd",$D29="12 dd",$D29="an",$D29="1 X"),VLOOKUP($D29,ber_tijden!$A$16:$X$26,ber_tijden!K$14,FALSE),"")</f>
        <v/>
      </c>
      <c r="R29" s="106" t="str">
        <f>IF(OR($D29="1 dd",$D29="2 dd",$D29="3 dd",$D29="4 dd",$D29="6 dd",$D29="8 dd",$D29="12 dd",$D29="an",$D29="1 X"),VLOOKUP($D29,ber_tijden!$A$16:$X$26,ber_tijden!L$14,FALSE),"")</f>
        <v/>
      </c>
      <c r="S29" s="15" t="str">
        <f>IF(OR($D29="1 dd",$D29="2 dd",$D29="3 dd",$D29="4 dd",$D29="6 dd",$D29="8 dd",$D29="12 dd",$D29="an",$D29="1 X"),VLOOKUP($D29,ber_tijden!$A$16:$X$26,ber_tijden!M$14,FALSE),"")</f>
        <v/>
      </c>
      <c r="T29" s="106" t="str">
        <f>IF(OR($D29="1 dd",$D29="2 dd",$D29="3 dd",$D29="4 dd",$D29="6 dd",$D29="8 dd",$D29="12 dd",$D29="an",$D29="1 X"),VLOOKUP($D29,ber_tijden!$A$16:$X$26,ber_tijden!N$14,FALSE),"")</f>
        <v/>
      </c>
      <c r="U29" s="15" t="str">
        <f>IF(OR($D29="1 dd",$D29="2 dd",$D29="3 dd",$D29="4 dd",$D29="6 dd",$D29="8 dd",$D29="12 dd",$D29="an",$D29="1 X"),VLOOKUP($D29,ber_tijden!$A$16:$X$26,ber_tijden!O$14,FALSE),"")</f>
        <v/>
      </c>
      <c r="V29" s="106" t="str">
        <f>IF(OR($D29="1 dd",$D29="2 dd",$D29="3 dd",$D29="4 dd",$D29="6 dd",$D29="8 dd",$D29="12 dd",$D29="an",$D29="1 X"),VLOOKUP($D29,ber_tijden!$A$16:$X$26,ber_tijden!P$14,FALSE),"")</f>
        <v/>
      </c>
      <c r="W29" s="15" t="str">
        <f>IF(OR($D29="1 dd",$D29="2 dd",$D29="3 dd",$D29="4 dd",$D29="6 dd",$D29="8 dd",$D29="12 dd",$D29="an",$D29="1 X"),VLOOKUP($D29,ber_tijden!$A$16:$X$26,ber_tijden!Q$14,FALSE),"")</f>
        <v/>
      </c>
      <c r="X29" s="106" t="str">
        <f>IF(OR($D29="1 dd",$D29="2 dd",$D29="3 dd",$D29="4 dd",$D29="6 dd",$D29="8 dd",$D29="12 dd",$D29="an",$D29="1 X"),VLOOKUP($D29,ber_tijden!$A$16:$X$26,ber_tijden!R$14,FALSE),"")</f>
        <v/>
      </c>
      <c r="Y29" s="15" t="str">
        <f>IF(OR($D29="1 dd",$D29="2 dd",$D29="3 dd",$D29="4 dd",$D29="6 dd",$D29="8 dd",$D29="12 dd",$D29="an",$D29="1 X"),VLOOKUP($D29,ber_tijden!$A$16:$X$26,ber_tijden!S$14,FALSE),"")</f>
        <v/>
      </c>
      <c r="Z29" s="106" t="str">
        <f>IF(OR($D29="1 dd",$D29="2 dd",$D29="3 dd",$D29="4 dd",$D29="6 dd",$D29="8 dd",$D29="12 dd",$D29="an",$D29="1 X"),VLOOKUP($D29,ber_tijden!$A$16:$X$26,ber_tijden!T$14,FALSE),"")</f>
        <v/>
      </c>
      <c r="AA29" s="15" t="str">
        <f>IF(OR($D29="1 dd",$D29="2 dd",$D29="3 dd",$D29="4 dd",$D29="6 dd",$D29="8 dd",$D29="12 dd",$D29="an",$D29="1 X"),VLOOKUP($D29,ber_tijden!$A$16:$X$26,ber_tijden!U$14,FALSE),"")</f>
        <v/>
      </c>
      <c r="AB29" s="106" t="str">
        <f>IF(OR($D29="1 dd",$D29="2 dd",$D29="3 dd",$D29="4 dd",$D29="6 dd",$D29="8 dd",$D29="12 dd",$D29="an",$D29="1 X"),VLOOKUP($D29,ber_tijden!$A$16:$X$26,ber_tijden!V$14,FALSE),"")</f>
        <v/>
      </c>
      <c r="AC29" s="15" t="str">
        <f>IF(OR($D29="1 dd",$D29="2 dd",$D29="3 dd",$D29="4 dd",$D29="6 dd",$D29="8 dd",$D29="12 dd",$D29="an",$D29="1 X"),VLOOKUP($D29,ber_tijden!$A$16:$X$26,ber_tijden!W$14,FALSE),"")</f>
        <v/>
      </c>
      <c r="AD29" s="106" t="str">
        <f>IF(OR($D29="1 dd",$D29="2 dd",$D29="3 dd",$D29="4 dd",$D29="6 dd",$D29="8 dd",$D29="12 dd",$D29="an",$D29="1 X"),VLOOKUP($D29,ber_tijden!$A$16:$X$26,ber_tijden!X$14,FALSE),"")</f>
        <v/>
      </c>
      <c r="AE29" s="17"/>
      <c r="AF29" s="105"/>
      <c r="AG29" s="17"/>
    </row>
    <row r="30" spans="2:33" s="517" customFormat="1" ht="26.1" customHeight="1" x14ac:dyDescent="0.2">
      <c r="B30" s="107"/>
      <c r="C30" s="231" t="str">
        <f>IF(ber_Med_disc!C29&lt;&gt;"",IF(ber_Med_disc!C29&gt;1,TRIM(ber_Med_disc!C29)&amp;", "&amp;ber_Opm!C43&amp;" ("&amp;ber_Med_disc!M29&amp;" "&amp;ber_Med_disc!F29&amp;"/kg/dag)",TRIM(ber_Med_disc!C29)&amp;", "&amp;ber_Opm!C43),"")</f>
        <v/>
      </c>
      <c r="D30" s="232" t="str">
        <f>IF(Med_disc!H60&lt;&gt;"",Med_disc!H60,"")</f>
        <v/>
      </c>
      <c r="E30" s="233" t="str">
        <f>IF(AND(D30&lt;&gt;"",D30&lt;&gt;"STOP"),ber_Med_disc!H29&amp;" "&amp;ber_Med_disc!F29,"")</f>
        <v/>
      </c>
      <c r="F30" s="233" t="str">
        <f>IF(AND(D30&lt;&gt;"",D30&lt;&gt;"STOP"),ber_Med_disc!L29," ")</f>
        <v xml:space="preserve"> </v>
      </c>
      <c r="G30" s="233" t="str">
        <f>IF(Med_disc!L52&lt;&gt;"",Med_disc!L52&amp;" "&amp;Med_disc!M52&amp;" "&amp;INDEX(ber_Med_disc!$B$27:$B$30,ber_Med_disc!O29,1)&amp;" in "&amp;Med_disc!$O$44,"")</f>
        <v/>
      </c>
      <c r="H30" s="106" t="str">
        <f>IF(OR($D30="1 dd",$D30="2 dd",$D30="3 dd",$D30="4 dd",$D30="6 dd",$D30="8 dd",$D30="12 dd",$D30="an",$D30="1 X"),VLOOKUP($D30,ber_tijden!$A$16:$X$26,ber_tijden!B$14,FALSE),"")</f>
        <v/>
      </c>
      <c r="I30" s="15" t="str">
        <f>IF(OR($D30="1 dd",$D30="2 dd",$D30="3 dd",$D30="4 dd",$D30="6 dd",$D30="8 dd",$D30="12 dd",$D30="an",$D30="1 X"),VLOOKUP($D30,ber_tijden!$A$16:$X$26,ber_tijden!C$14,FALSE),"")</f>
        <v/>
      </c>
      <c r="J30" s="106" t="str">
        <f>IF(OR($D30="1 dd",$D30="2 dd",$D30="3 dd",$D30="4 dd",$D30="6 dd",$D30="8 dd",$D30="12 dd",$D30="an",$D30="1 X"),VLOOKUP($D30,ber_tijden!$A$16:$X$26,ber_tijden!D$14,FALSE),"")</f>
        <v/>
      </c>
      <c r="K30" s="15" t="str">
        <f>IF(OR($D30="1 dd",$D30="2 dd",$D30="3 dd",$D30="4 dd",$D30="6 dd",$D30="8 dd",$D30="12 dd",$D30="an",$D30="1 X"),VLOOKUP($D30,ber_tijden!$A$16:$X$26,ber_tijden!E$14,FALSE),"")</f>
        <v/>
      </c>
      <c r="L30" s="106" t="str">
        <f>IF(OR($D30="1 dd",$D30="2 dd",$D30="3 dd",$D30="4 dd",$D30="6 dd",$D30="8 dd",$D30="12 dd",$D30="an",$D30="1 X"),VLOOKUP($D30,ber_tijden!$A$16:$X$26,ber_tijden!F$14,FALSE),"")</f>
        <v/>
      </c>
      <c r="M30" s="15" t="str">
        <f>IF(OR($D30="1 dd",$D30="2 dd",$D30="3 dd",$D30="4 dd",$D30="6 dd",$D30="8 dd",$D30="12 dd",$D30="an",$D30="1 X"),VLOOKUP($D30,ber_tijden!$A$16:$X$26,ber_tijden!G$14,FALSE),"")</f>
        <v/>
      </c>
      <c r="N30" s="106" t="str">
        <f>IF(OR($D30="1 dd",$D30="2 dd",$D30="3 dd",$D30="4 dd",$D30="6 dd",$D30="8 dd",$D30="12 dd",$D30="an",$D30="1 X"),VLOOKUP($D30,ber_tijden!$A$16:$X$26,ber_tijden!H$14,FALSE),"")</f>
        <v/>
      </c>
      <c r="O30" s="15" t="str">
        <f>IF(OR($D30="1 dd",$D30="2 dd",$D30="3 dd",$D30="4 dd",$D30="6 dd",$D30="8 dd",$D30="12 dd",$D30="an",$D30="1 X"),VLOOKUP($D30,ber_tijden!$A$16:$X$26,ber_tijden!I$14,FALSE),"")</f>
        <v/>
      </c>
      <c r="P30" s="106" t="str">
        <f>IF(OR($D30="1 dd",$D30="2 dd",$D30="3 dd",$D30="4 dd",$D30="6 dd",$D30="8 dd",$D30="12 dd",$D30="an",$D30="1 X"),VLOOKUP($D30,ber_tijden!$A$16:$X$26,ber_tijden!J$14,FALSE),"")</f>
        <v/>
      </c>
      <c r="Q30" s="15" t="str">
        <f>IF(OR($D30="1 dd",$D30="2 dd",$D30="3 dd",$D30="4 dd",$D30="6 dd",$D30="8 dd",$D30="12 dd",$D30="an",$D30="1 X"),VLOOKUP($D30,ber_tijden!$A$16:$X$26,ber_tijden!K$14,FALSE),"")</f>
        <v/>
      </c>
      <c r="R30" s="106" t="str">
        <f>IF(OR($D30="1 dd",$D30="2 dd",$D30="3 dd",$D30="4 dd",$D30="6 dd",$D30="8 dd",$D30="12 dd",$D30="an",$D30="1 X"),VLOOKUP($D30,ber_tijden!$A$16:$X$26,ber_tijden!L$14,FALSE),"")</f>
        <v/>
      </c>
      <c r="S30" s="15" t="str">
        <f>IF(OR($D30="1 dd",$D30="2 dd",$D30="3 dd",$D30="4 dd",$D30="6 dd",$D30="8 dd",$D30="12 dd",$D30="an",$D30="1 X"),VLOOKUP($D30,ber_tijden!$A$16:$X$26,ber_tijden!M$14,FALSE),"")</f>
        <v/>
      </c>
      <c r="T30" s="106" t="str">
        <f>IF(OR($D30="1 dd",$D30="2 dd",$D30="3 dd",$D30="4 dd",$D30="6 dd",$D30="8 dd",$D30="12 dd",$D30="an",$D30="1 X"),VLOOKUP($D30,ber_tijden!$A$16:$X$26,ber_tijden!N$14,FALSE),"")</f>
        <v/>
      </c>
      <c r="U30" s="15" t="str">
        <f>IF(OR($D30="1 dd",$D30="2 dd",$D30="3 dd",$D30="4 dd",$D30="6 dd",$D30="8 dd",$D30="12 dd",$D30="an",$D30="1 X"),VLOOKUP($D30,ber_tijden!$A$16:$X$26,ber_tijden!O$14,FALSE),"")</f>
        <v/>
      </c>
      <c r="V30" s="106" t="str">
        <f>IF(OR($D30="1 dd",$D30="2 dd",$D30="3 dd",$D30="4 dd",$D30="6 dd",$D30="8 dd",$D30="12 dd",$D30="an",$D30="1 X"),VLOOKUP($D30,ber_tijden!$A$16:$X$26,ber_tijden!P$14,FALSE),"")</f>
        <v/>
      </c>
      <c r="W30" s="15" t="str">
        <f>IF(OR($D30="1 dd",$D30="2 dd",$D30="3 dd",$D30="4 dd",$D30="6 dd",$D30="8 dd",$D30="12 dd",$D30="an",$D30="1 X"),VLOOKUP($D30,ber_tijden!$A$16:$X$26,ber_tijden!Q$14,FALSE),"")</f>
        <v/>
      </c>
      <c r="X30" s="106" t="str">
        <f>IF(OR($D30="1 dd",$D30="2 dd",$D30="3 dd",$D30="4 dd",$D30="6 dd",$D30="8 dd",$D30="12 dd",$D30="an",$D30="1 X"),VLOOKUP($D30,ber_tijden!$A$16:$X$26,ber_tijden!R$14,FALSE),"")</f>
        <v/>
      </c>
      <c r="Y30" s="15" t="str">
        <f>IF(OR($D30="1 dd",$D30="2 dd",$D30="3 dd",$D30="4 dd",$D30="6 dd",$D30="8 dd",$D30="12 dd",$D30="an",$D30="1 X"),VLOOKUP($D30,ber_tijden!$A$16:$X$26,ber_tijden!S$14,FALSE),"")</f>
        <v/>
      </c>
      <c r="Z30" s="106" t="str">
        <f>IF(OR($D30="1 dd",$D30="2 dd",$D30="3 dd",$D30="4 dd",$D30="6 dd",$D30="8 dd",$D30="12 dd",$D30="an",$D30="1 X"),VLOOKUP($D30,ber_tijden!$A$16:$X$26,ber_tijden!T$14,FALSE),"")</f>
        <v/>
      </c>
      <c r="AA30" s="15" t="str">
        <f>IF(OR($D30="1 dd",$D30="2 dd",$D30="3 dd",$D30="4 dd",$D30="6 dd",$D30="8 dd",$D30="12 dd",$D30="an",$D30="1 X"),VLOOKUP($D30,ber_tijden!$A$16:$X$26,ber_tijden!U$14,FALSE),"")</f>
        <v/>
      </c>
      <c r="AB30" s="106" t="str">
        <f>IF(OR($D30="1 dd",$D30="2 dd",$D30="3 dd",$D30="4 dd",$D30="6 dd",$D30="8 dd",$D30="12 dd",$D30="an",$D30="1 X"),VLOOKUP($D30,ber_tijden!$A$16:$X$26,ber_tijden!V$14,FALSE),"")</f>
        <v/>
      </c>
      <c r="AC30" s="15" t="str">
        <f>IF(OR($D30="1 dd",$D30="2 dd",$D30="3 dd",$D30="4 dd",$D30="6 dd",$D30="8 dd",$D30="12 dd",$D30="an",$D30="1 X"),VLOOKUP($D30,ber_tijden!$A$16:$X$26,ber_tijden!W$14,FALSE),"")</f>
        <v/>
      </c>
      <c r="AD30" s="106" t="str">
        <f>IF(OR($D30="1 dd",$D30="2 dd",$D30="3 dd",$D30="4 dd",$D30="6 dd",$D30="8 dd",$D30="12 dd",$D30="an",$D30="1 X"),VLOOKUP($D30,ber_tijden!$A$16:$X$26,ber_tijden!X$14,FALSE),"")</f>
        <v/>
      </c>
      <c r="AE30" s="17"/>
      <c r="AF30" s="105"/>
      <c r="AG30" s="17"/>
    </row>
    <row r="31" spans="2:33" s="517" customFormat="1" ht="26.1" customHeight="1" x14ac:dyDescent="0.2">
      <c r="B31" s="107"/>
      <c r="C31" s="231" t="str">
        <f>IF(ber_Med_disc!C30&lt;&gt;"",IF(ber_Med_disc!C30&gt;1,TRIM(ber_Med_disc!C30)&amp;", "&amp;ber_Opm!C44&amp;" ("&amp;ber_Med_disc!M30&amp;" "&amp;ber_Med_disc!F30&amp;"/kg/dag)",TRIM(ber_Med_disc!C30)&amp;", "&amp;ber_Opm!C44),"")</f>
        <v/>
      </c>
      <c r="D31" s="232" t="str">
        <f>IF(Med_disc!H62&lt;&gt;"",Med_disc!H62,"")</f>
        <v/>
      </c>
      <c r="E31" s="233" t="str">
        <f>IF(AND(D31&lt;&gt;"",D31&lt;&gt;"STOP"),ber_Med_disc!H30&amp;" "&amp;ber_Med_disc!F30,"")</f>
        <v/>
      </c>
      <c r="F31" s="233" t="str">
        <f>IF(AND(D31&lt;&gt;"",D31&lt;&gt;"STOP"),ber_Med_disc!L30," ")</f>
        <v xml:space="preserve"> </v>
      </c>
      <c r="G31" s="233" t="str">
        <f>IF(Med_disc!L53&lt;&gt;"",Med_disc!L53&amp;" "&amp;Med_disc!M53&amp;" "&amp;INDEX(ber_Med_disc!$B$27:$B$30,ber_Med_disc!O30,1)&amp;" in "&amp;Med_disc!$O$44,"")</f>
        <v/>
      </c>
      <c r="H31" s="106" t="str">
        <f>IF(OR($D31="1 dd",$D31="2 dd",$D31="3 dd",$D31="4 dd",$D31="6 dd",$D31="8 dd",$D31="12 dd",$D31="an",$D31="1 X"),VLOOKUP($D31,ber_tijden!$A$16:$X$26,ber_tijden!B$14,FALSE),"")</f>
        <v/>
      </c>
      <c r="I31" s="15" t="str">
        <f>IF(OR($D31="1 dd",$D31="2 dd",$D31="3 dd",$D31="4 dd",$D31="6 dd",$D31="8 dd",$D31="12 dd",$D31="an",$D31="1 X"),VLOOKUP($D31,ber_tijden!$A$16:$X$26,ber_tijden!C$14,FALSE),"")</f>
        <v/>
      </c>
      <c r="J31" s="106" t="str">
        <f>IF(OR($D31="1 dd",$D31="2 dd",$D31="3 dd",$D31="4 dd",$D31="6 dd",$D31="8 dd",$D31="12 dd",$D31="an",$D31="1 X"),VLOOKUP($D31,ber_tijden!$A$16:$X$26,ber_tijden!D$14,FALSE),"")</f>
        <v/>
      </c>
      <c r="K31" s="15" t="str">
        <f>IF(OR($D31="1 dd",$D31="2 dd",$D31="3 dd",$D31="4 dd",$D31="6 dd",$D31="8 dd",$D31="12 dd",$D31="an",$D31="1 X"),VLOOKUP($D31,ber_tijden!$A$16:$X$26,ber_tijden!E$14,FALSE),"")</f>
        <v/>
      </c>
      <c r="L31" s="106" t="str">
        <f>IF(OR($D31="1 dd",$D31="2 dd",$D31="3 dd",$D31="4 dd",$D31="6 dd",$D31="8 dd",$D31="12 dd",$D31="an",$D31="1 X"),VLOOKUP($D31,ber_tijden!$A$16:$X$26,ber_tijden!F$14,FALSE),"")</f>
        <v/>
      </c>
      <c r="M31" s="15" t="str">
        <f>IF(OR($D31="1 dd",$D31="2 dd",$D31="3 dd",$D31="4 dd",$D31="6 dd",$D31="8 dd",$D31="12 dd",$D31="an",$D31="1 X"),VLOOKUP($D31,ber_tijden!$A$16:$X$26,ber_tijden!G$14,FALSE),"")</f>
        <v/>
      </c>
      <c r="N31" s="106" t="str">
        <f>IF(OR($D31="1 dd",$D31="2 dd",$D31="3 dd",$D31="4 dd",$D31="6 dd",$D31="8 dd",$D31="12 dd",$D31="an",$D31="1 X"),VLOOKUP($D31,ber_tijden!$A$16:$X$26,ber_tijden!H$14,FALSE),"")</f>
        <v/>
      </c>
      <c r="O31" s="15" t="str">
        <f>IF(OR($D31="1 dd",$D31="2 dd",$D31="3 dd",$D31="4 dd",$D31="6 dd",$D31="8 dd",$D31="12 dd",$D31="an",$D31="1 X"),VLOOKUP($D31,ber_tijden!$A$16:$X$26,ber_tijden!I$14,FALSE),"")</f>
        <v/>
      </c>
      <c r="P31" s="106" t="str">
        <f>IF(OR($D31="1 dd",$D31="2 dd",$D31="3 dd",$D31="4 dd",$D31="6 dd",$D31="8 dd",$D31="12 dd",$D31="an",$D31="1 X"),VLOOKUP($D31,ber_tijden!$A$16:$X$26,ber_tijden!J$14,FALSE),"")</f>
        <v/>
      </c>
      <c r="Q31" s="15" t="str">
        <f>IF(OR($D31="1 dd",$D31="2 dd",$D31="3 dd",$D31="4 dd",$D31="6 dd",$D31="8 dd",$D31="12 dd",$D31="an",$D31="1 X"),VLOOKUP($D31,ber_tijden!$A$16:$X$26,ber_tijden!K$14,FALSE),"")</f>
        <v/>
      </c>
      <c r="R31" s="106" t="str">
        <f>IF(OR($D31="1 dd",$D31="2 dd",$D31="3 dd",$D31="4 dd",$D31="6 dd",$D31="8 dd",$D31="12 dd",$D31="an",$D31="1 X"),VLOOKUP($D31,ber_tijden!$A$16:$X$26,ber_tijden!L$14,FALSE),"")</f>
        <v/>
      </c>
      <c r="S31" s="15" t="str">
        <f>IF(OR($D31="1 dd",$D31="2 dd",$D31="3 dd",$D31="4 dd",$D31="6 dd",$D31="8 dd",$D31="12 dd",$D31="an",$D31="1 X"),VLOOKUP($D31,ber_tijden!$A$16:$X$26,ber_tijden!M$14,FALSE),"")</f>
        <v/>
      </c>
      <c r="T31" s="106" t="str">
        <f>IF(OR($D31="1 dd",$D31="2 dd",$D31="3 dd",$D31="4 dd",$D31="6 dd",$D31="8 dd",$D31="12 dd",$D31="an",$D31="1 X"),VLOOKUP($D31,ber_tijden!$A$16:$X$26,ber_tijden!N$14,FALSE),"")</f>
        <v/>
      </c>
      <c r="U31" s="15" t="str">
        <f>IF(OR($D31="1 dd",$D31="2 dd",$D31="3 dd",$D31="4 dd",$D31="6 dd",$D31="8 dd",$D31="12 dd",$D31="an",$D31="1 X"),VLOOKUP($D31,ber_tijden!$A$16:$X$26,ber_tijden!O$14,FALSE),"")</f>
        <v/>
      </c>
      <c r="V31" s="106" t="str">
        <f>IF(OR($D31="1 dd",$D31="2 dd",$D31="3 dd",$D31="4 dd",$D31="6 dd",$D31="8 dd",$D31="12 dd",$D31="an",$D31="1 X"),VLOOKUP($D31,ber_tijden!$A$16:$X$26,ber_tijden!P$14,FALSE),"")</f>
        <v/>
      </c>
      <c r="W31" s="15" t="str">
        <f>IF(OR($D31="1 dd",$D31="2 dd",$D31="3 dd",$D31="4 dd",$D31="6 dd",$D31="8 dd",$D31="12 dd",$D31="an",$D31="1 X"),VLOOKUP($D31,ber_tijden!$A$16:$X$26,ber_tijden!Q$14,FALSE),"")</f>
        <v/>
      </c>
      <c r="X31" s="106" t="str">
        <f>IF(OR($D31="1 dd",$D31="2 dd",$D31="3 dd",$D31="4 dd",$D31="6 dd",$D31="8 dd",$D31="12 dd",$D31="an",$D31="1 X"),VLOOKUP($D31,ber_tijden!$A$16:$X$26,ber_tijden!R$14,FALSE),"")</f>
        <v/>
      </c>
      <c r="Y31" s="15" t="str">
        <f>IF(OR($D31="1 dd",$D31="2 dd",$D31="3 dd",$D31="4 dd",$D31="6 dd",$D31="8 dd",$D31="12 dd",$D31="an",$D31="1 X"),VLOOKUP($D31,ber_tijden!$A$16:$X$26,ber_tijden!S$14,FALSE),"")</f>
        <v/>
      </c>
      <c r="Z31" s="106" t="str">
        <f>IF(OR($D31="1 dd",$D31="2 dd",$D31="3 dd",$D31="4 dd",$D31="6 dd",$D31="8 dd",$D31="12 dd",$D31="an",$D31="1 X"),VLOOKUP($D31,ber_tijden!$A$16:$X$26,ber_tijden!T$14,FALSE),"")</f>
        <v/>
      </c>
      <c r="AA31" s="15" t="str">
        <f>IF(OR($D31="1 dd",$D31="2 dd",$D31="3 dd",$D31="4 dd",$D31="6 dd",$D31="8 dd",$D31="12 dd",$D31="an",$D31="1 X"),VLOOKUP($D31,ber_tijden!$A$16:$X$26,ber_tijden!U$14,FALSE),"")</f>
        <v/>
      </c>
      <c r="AB31" s="106" t="str">
        <f>IF(OR($D31="1 dd",$D31="2 dd",$D31="3 dd",$D31="4 dd",$D31="6 dd",$D31="8 dd",$D31="12 dd",$D31="an",$D31="1 X"),VLOOKUP($D31,ber_tijden!$A$16:$X$26,ber_tijden!V$14,FALSE),"")</f>
        <v/>
      </c>
      <c r="AC31" s="15" t="str">
        <f>IF(OR($D31="1 dd",$D31="2 dd",$D31="3 dd",$D31="4 dd",$D31="6 dd",$D31="8 dd",$D31="12 dd",$D31="an",$D31="1 X"),VLOOKUP($D31,ber_tijden!$A$16:$X$26,ber_tijden!W$14,FALSE),"")</f>
        <v/>
      </c>
      <c r="AD31" s="106" t="str">
        <f>IF(OR($D31="1 dd",$D31="2 dd",$D31="3 dd",$D31="4 dd",$D31="6 dd",$D31="8 dd",$D31="12 dd",$D31="an",$D31="1 X"),VLOOKUP($D31,ber_tijden!$A$16:$X$26,ber_tijden!X$14,FALSE),"")</f>
        <v/>
      </c>
      <c r="AE31" s="17"/>
      <c r="AF31" s="105"/>
      <c r="AG31" s="17"/>
    </row>
    <row r="32" spans="2:33" s="517" customFormat="1" ht="26.1" customHeight="1" x14ac:dyDescent="0.2">
      <c r="B32" s="107"/>
      <c r="C32" s="231" t="str">
        <f>IF(ber_Med_disc!C31&lt;&gt;"",IF(ber_Med_disc!C31&gt;1,TRIM(ber_Med_disc!C31)&amp;", "&amp;ber_Opm!C45&amp;" ("&amp;ber_Med_disc!M31&amp;" "&amp;ber_Med_disc!F31&amp;"/kg/dag)",TRIM(ber_Med_disc!C31)&amp;", "&amp;ber_Opm!C45),"")</f>
        <v/>
      </c>
      <c r="D32" s="232" t="str">
        <f>IF(Med_disc!H64&lt;&gt;"",Med_disc!H64,"")</f>
        <v/>
      </c>
      <c r="E32" s="233" t="str">
        <f>IF(AND(D32&lt;&gt;"",D32&lt;&gt;"STOP"),ber_Med_disc!H31&amp;" "&amp;ber_Med_disc!F31,"")</f>
        <v/>
      </c>
      <c r="F32" s="233" t="str">
        <f>IF(AND(D32&lt;&gt;"",D32&lt;&gt;"STOP"),ber_Med_disc!L31," ")</f>
        <v xml:space="preserve"> </v>
      </c>
      <c r="G32" s="233" t="str">
        <f>IF(Med_disc!L54&lt;&gt;"",Med_disc!L54&amp;" "&amp;Med_disc!M54&amp;" "&amp;INDEX(ber_Med_disc!$B$27:$B$30,ber_Med_disc!O31,1)&amp;" in "&amp;Med_disc!$O$44,"")</f>
        <v/>
      </c>
      <c r="H32" s="106" t="str">
        <f>IF(OR($D32="1 dd",$D32="2 dd",$D32="3 dd",$D32="4 dd",$D32="6 dd",$D32="8 dd",$D32="12 dd",$D32="an",$D32="1 X"),VLOOKUP($D32,ber_tijden!$A$16:$X$26,ber_tijden!B$14,FALSE),"")</f>
        <v/>
      </c>
      <c r="I32" s="15" t="str">
        <f>IF(OR($D32="1 dd",$D32="2 dd",$D32="3 dd",$D32="4 dd",$D32="6 dd",$D32="8 dd",$D32="12 dd",$D32="an",$D32="1 X"),VLOOKUP($D32,ber_tijden!$A$16:$X$26,ber_tijden!C$14,FALSE),"")</f>
        <v/>
      </c>
      <c r="J32" s="106" t="str">
        <f>IF(OR($D32="1 dd",$D32="2 dd",$D32="3 dd",$D32="4 dd",$D32="6 dd",$D32="8 dd",$D32="12 dd",$D32="an",$D32="1 X"),VLOOKUP($D32,ber_tijden!$A$16:$X$26,ber_tijden!D$14,FALSE),"")</f>
        <v/>
      </c>
      <c r="K32" s="15" t="str">
        <f>IF(OR($D32="1 dd",$D32="2 dd",$D32="3 dd",$D32="4 dd",$D32="6 dd",$D32="8 dd",$D32="12 dd",$D32="an",$D32="1 X"),VLOOKUP($D32,ber_tijden!$A$16:$X$26,ber_tijden!E$14,FALSE),"")</f>
        <v/>
      </c>
      <c r="L32" s="106" t="str">
        <f>IF(OR($D32="1 dd",$D32="2 dd",$D32="3 dd",$D32="4 dd",$D32="6 dd",$D32="8 dd",$D32="12 dd",$D32="an",$D32="1 X"),VLOOKUP($D32,ber_tijden!$A$16:$X$26,ber_tijden!F$14,FALSE),"")</f>
        <v/>
      </c>
      <c r="M32" s="15" t="str">
        <f>IF(OR($D32="1 dd",$D32="2 dd",$D32="3 dd",$D32="4 dd",$D32="6 dd",$D32="8 dd",$D32="12 dd",$D32="an",$D32="1 X"),VLOOKUP($D32,ber_tijden!$A$16:$X$26,ber_tijden!G$14,FALSE),"")</f>
        <v/>
      </c>
      <c r="N32" s="106" t="str">
        <f>IF(OR($D32="1 dd",$D32="2 dd",$D32="3 dd",$D32="4 dd",$D32="6 dd",$D32="8 dd",$D32="12 dd",$D32="an",$D32="1 X"),VLOOKUP($D32,ber_tijden!$A$16:$X$26,ber_tijden!H$14,FALSE),"")</f>
        <v/>
      </c>
      <c r="O32" s="15" t="str">
        <f>IF(OR($D32="1 dd",$D32="2 dd",$D32="3 dd",$D32="4 dd",$D32="6 dd",$D32="8 dd",$D32="12 dd",$D32="an",$D32="1 X"),VLOOKUP($D32,ber_tijden!$A$16:$X$26,ber_tijden!I$14,FALSE),"")</f>
        <v/>
      </c>
      <c r="P32" s="106" t="str">
        <f>IF(OR($D32="1 dd",$D32="2 dd",$D32="3 dd",$D32="4 dd",$D32="6 dd",$D32="8 dd",$D32="12 dd",$D32="an",$D32="1 X"),VLOOKUP($D32,ber_tijden!$A$16:$X$26,ber_tijden!J$14,FALSE),"")</f>
        <v/>
      </c>
      <c r="Q32" s="15" t="str">
        <f>IF(OR($D32="1 dd",$D32="2 dd",$D32="3 dd",$D32="4 dd",$D32="6 dd",$D32="8 dd",$D32="12 dd",$D32="an",$D32="1 X"),VLOOKUP($D32,ber_tijden!$A$16:$X$26,ber_tijden!K$14,FALSE),"")</f>
        <v/>
      </c>
      <c r="R32" s="106" t="str">
        <f>IF(OR($D32="1 dd",$D32="2 dd",$D32="3 dd",$D32="4 dd",$D32="6 dd",$D32="8 dd",$D32="12 dd",$D32="an",$D32="1 X"),VLOOKUP($D32,ber_tijden!$A$16:$X$26,ber_tijden!L$14,FALSE),"")</f>
        <v/>
      </c>
      <c r="S32" s="15" t="str">
        <f>IF(OR($D32="1 dd",$D32="2 dd",$D32="3 dd",$D32="4 dd",$D32="6 dd",$D32="8 dd",$D32="12 dd",$D32="an",$D32="1 X"),VLOOKUP($D32,ber_tijden!$A$16:$X$26,ber_tijden!M$14,FALSE),"")</f>
        <v/>
      </c>
      <c r="T32" s="106" t="str">
        <f>IF(OR($D32="1 dd",$D32="2 dd",$D32="3 dd",$D32="4 dd",$D32="6 dd",$D32="8 dd",$D32="12 dd",$D32="an",$D32="1 X"),VLOOKUP($D32,ber_tijden!$A$16:$X$26,ber_tijden!N$14,FALSE),"")</f>
        <v/>
      </c>
      <c r="U32" s="15" t="str">
        <f>IF(OR($D32="1 dd",$D32="2 dd",$D32="3 dd",$D32="4 dd",$D32="6 dd",$D32="8 dd",$D32="12 dd",$D32="an",$D32="1 X"),VLOOKUP($D32,ber_tijden!$A$16:$X$26,ber_tijden!O$14,FALSE),"")</f>
        <v/>
      </c>
      <c r="V32" s="106" t="str">
        <f>IF(OR($D32="1 dd",$D32="2 dd",$D32="3 dd",$D32="4 dd",$D32="6 dd",$D32="8 dd",$D32="12 dd",$D32="an",$D32="1 X"),VLOOKUP($D32,ber_tijden!$A$16:$X$26,ber_tijden!P$14,FALSE),"")</f>
        <v/>
      </c>
      <c r="W32" s="15" t="str">
        <f>IF(OR($D32="1 dd",$D32="2 dd",$D32="3 dd",$D32="4 dd",$D32="6 dd",$D32="8 dd",$D32="12 dd",$D32="an",$D32="1 X"),VLOOKUP($D32,ber_tijden!$A$16:$X$26,ber_tijden!Q$14,FALSE),"")</f>
        <v/>
      </c>
      <c r="X32" s="106" t="str">
        <f>IF(OR($D32="1 dd",$D32="2 dd",$D32="3 dd",$D32="4 dd",$D32="6 dd",$D32="8 dd",$D32="12 dd",$D32="an",$D32="1 X"),VLOOKUP($D32,ber_tijden!$A$16:$X$26,ber_tijden!R$14,FALSE),"")</f>
        <v/>
      </c>
      <c r="Y32" s="15" t="str">
        <f>IF(OR($D32="1 dd",$D32="2 dd",$D32="3 dd",$D32="4 dd",$D32="6 dd",$D32="8 dd",$D32="12 dd",$D32="an",$D32="1 X"),VLOOKUP($D32,ber_tijden!$A$16:$X$26,ber_tijden!S$14,FALSE),"")</f>
        <v/>
      </c>
      <c r="Z32" s="106" t="str">
        <f>IF(OR($D32="1 dd",$D32="2 dd",$D32="3 dd",$D32="4 dd",$D32="6 dd",$D32="8 dd",$D32="12 dd",$D32="an",$D32="1 X"),VLOOKUP($D32,ber_tijden!$A$16:$X$26,ber_tijden!T$14,FALSE),"")</f>
        <v/>
      </c>
      <c r="AA32" s="15" t="str">
        <f>IF(OR($D32="1 dd",$D32="2 dd",$D32="3 dd",$D32="4 dd",$D32="6 dd",$D32="8 dd",$D32="12 dd",$D32="an",$D32="1 X"),VLOOKUP($D32,ber_tijden!$A$16:$X$26,ber_tijden!U$14,FALSE),"")</f>
        <v/>
      </c>
      <c r="AB32" s="106" t="str">
        <f>IF(OR($D32="1 dd",$D32="2 dd",$D32="3 dd",$D32="4 dd",$D32="6 dd",$D32="8 dd",$D32="12 dd",$D32="an",$D32="1 X"),VLOOKUP($D32,ber_tijden!$A$16:$X$26,ber_tijden!V$14,FALSE),"")</f>
        <v/>
      </c>
      <c r="AC32" s="15" t="str">
        <f>IF(OR($D32="1 dd",$D32="2 dd",$D32="3 dd",$D32="4 dd",$D32="6 dd",$D32="8 dd",$D32="12 dd",$D32="an",$D32="1 X"),VLOOKUP($D32,ber_tijden!$A$16:$X$26,ber_tijden!W$14,FALSE),"")</f>
        <v/>
      </c>
      <c r="AD32" s="106" t="str">
        <f>IF(OR($D32="1 dd",$D32="2 dd",$D32="3 dd",$D32="4 dd",$D32="6 dd",$D32="8 dd",$D32="12 dd",$D32="an",$D32="1 X"),VLOOKUP($D32,ber_tijden!$A$16:$X$26,ber_tijden!X$14,FALSE),"")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>
    <tabColor rgb="FF92D050"/>
  </sheetPr>
  <dimension ref="A1:X29"/>
  <sheetViews>
    <sheetView workbookViewId="0"/>
  </sheetViews>
  <sheetFormatPr defaultRowHeight="12.75" x14ac:dyDescent="0.2"/>
  <cols>
    <col min="2" max="24" width="4.7109375" customWidth="1"/>
  </cols>
  <sheetData>
    <row r="1" spans="1:24" x14ac:dyDescent="0.2">
      <c r="A1" s="579" t="s">
        <v>853</v>
      </c>
    </row>
    <row r="2" spans="1:24" x14ac:dyDescent="0.2">
      <c r="A2" t="s">
        <v>806</v>
      </c>
      <c r="B2">
        <v>20</v>
      </c>
    </row>
    <row r="3" spans="1:24" x14ac:dyDescent="0.2">
      <c r="A3" t="s">
        <v>854</v>
      </c>
      <c r="B3">
        <v>10</v>
      </c>
    </row>
    <row r="4" spans="1:24" x14ac:dyDescent="0.2">
      <c r="A4" t="s">
        <v>855</v>
      </c>
      <c r="B4">
        <v>10</v>
      </c>
      <c r="C4">
        <v>22</v>
      </c>
    </row>
    <row r="5" spans="1:24" x14ac:dyDescent="0.2">
      <c r="A5" t="s">
        <v>856</v>
      </c>
      <c r="B5">
        <v>10</v>
      </c>
      <c r="C5">
        <v>18</v>
      </c>
      <c r="D5">
        <v>2</v>
      </c>
    </row>
    <row r="6" spans="1:24" x14ac:dyDescent="0.2">
      <c r="A6" s="579" t="s">
        <v>857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394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395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396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50</v>
      </c>
    </row>
    <row r="12" spans="1:24" x14ac:dyDescent="0.2">
      <c r="A12">
        <v>10</v>
      </c>
      <c r="B12" t="s">
        <v>854</v>
      </c>
      <c r="C12" t="s">
        <v>855</v>
      </c>
      <c r="D12" t="s">
        <v>856</v>
      </c>
      <c r="E12" t="s">
        <v>857</v>
      </c>
      <c r="F12" t="s">
        <v>394</v>
      </c>
      <c r="G12" t="s">
        <v>396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2">
      <c r="A16" t="s">
        <v>921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2">
      <c r="A17" s="517" t="s">
        <v>767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397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2">
      <c r="A18" t="s">
        <v>1777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2">
      <c r="A19" t="s">
        <v>854</v>
      </c>
      <c r="B19" s="15" t="s">
        <v>397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2">
      <c r="A20" t="s">
        <v>855</v>
      </c>
      <c r="B20" s="15" t="s">
        <v>397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397</v>
      </c>
      <c r="O20" s="15"/>
      <c r="P20" s="15"/>
      <c r="Q20" s="15"/>
    </row>
    <row r="21" spans="1:24" x14ac:dyDescent="0.2">
      <c r="A21" t="s">
        <v>856</v>
      </c>
      <c r="B21" s="15" t="s">
        <v>397</v>
      </c>
      <c r="C21" s="15"/>
      <c r="D21" s="15"/>
      <c r="E21" s="15"/>
      <c r="F21" s="15"/>
      <c r="G21" s="15"/>
      <c r="H21" s="15"/>
      <c r="I21" s="15"/>
      <c r="J21" s="15" t="s">
        <v>397</v>
      </c>
      <c r="K21" s="15"/>
      <c r="L21" s="15"/>
      <c r="M21" s="15"/>
      <c r="N21" s="15"/>
      <c r="O21" s="15"/>
      <c r="P21" s="15"/>
      <c r="Q21" s="15"/>
      <c r="R21" t="s">
        <v>397</v>
      </c>
    </row>
    <row r="22" spans="1:24" x14ac:dyDescent="0.2">
      <c r="A22" t="s">
        <v>857</v>
      </c>
      <c r="B22" s="15"/>
      <c r="C22" s="15"/>
      <c r="D22" s="15" t="s">
        <v>397</v>
      </c>
      <c r="E22" s="15"/>
      <c r="F22" s="15"/>
      <c r="G22" s="15"/>
      <c r="H22" s="15"/>
      <c r="I22" s="15"/>
      <c r="J22" s="15" t="s">
        <v>397</v>
      </c>
      <c r="K22" s="15"/>
      <c r="L22" s="15"/>
      <c r="M22" s="15"/>
      <c r="N22" s="15"/>
      <c r="O22" s="15"/>
      <c r="P22" s="15" t="s">
        <v>397</v>
      </c>
      <c r="Q22" s="15"/>
      <c r="V22" t="s">
        <v>397</v>
      </c>
    </row>
    <row r="23" spans="1:24" x14ac:dyDescent="0.2">
      <c r="A23" t="s">
        <v>394</v>
      </c>
      <c r="B23" s="15" t="s">
        <v>397</v>
      </c>
      <c r="C23" s="15"/>
      <c r="D23" s="15"/>
      <c r="E23" s="15"/>
      <c r="F23" s="15" t="s">
        <v>397</v>
      </c>
      <c r="G23" s="15"/>
      <c r="H23" s="15"/>
      <c r="I23" s="15"/>
      <c r="J23" s="15" t="s">
        <v>397</v>
      </c>
      <c r="K23" s="15"/>
      <c r="L23" s="15"/>
      <c r="M23" s="15"/>
      <c r="N23" s="15" t="s">
        <v>397</v>
      </c>
      <c r="O23" s="15"/>
      <c r="P23" s="15"/>
      <c r="Q23" s="15"/>
      <c r="R23" t="s">
        <v>397</v>
      </c>
      <c r="V23" t="s">
        <v>397</v>
      </c>
    </row>
    <row r="24" spans="1:24" x14ac:dyDescent="0.2">
      <c r="A24" t="s">
        <v>395</v>
      </c>
      <c r="B24" s="15"/>
      <c r="C24" s="15" t="s">
        <v>397</v>
      </c>
      <c r="D24" s="15"/>
      <c r="E24" s="15"/>
      <c r="F24" s="15" t="s">
        <v>397</v>
      </c>
      <c r="G24" s="15"/>
      <c r="H24" s="15"/>
      <c r="I24" s="15" t="s">
        <v>397</v>
      </c>
      <c r="J24" s="15"/>
      <c r="K24" s="15"/>
      <c r="L24" s="15" t="s">
        <v>397</v>
      </c>
      <c r="M24" s="15"/>
      <c r="N24" s="15"/>
      <c r="O24" s="15" t="s">
        <v>397</v>
      </c>
      <c r="P24" s="15"/>
      <c r="Q24" s="15"/>
      <c r="R24" t="s">
        <v>397</v>
      </c>
      <c r="U24" t="s">
        <v>397</v>
      </c>
      <c r="X24" t="s">
        <v>397</v>
      </c>
    </row>
    <row r="25" spans="1:24" x14ac:dyDescent="0.2">
      <c r="A25" t="s">
        <v>396</v>
      </c>
      <c r="B25" s="15" t="s">
        <v>397</v>
      </c>
      <c r="C25" s="15"/>
      <c r="D25" s="15" t="s">
        <v>397</v>
      </c>
      <c r="E25" s="15"/>
      <c r="F25" s="15" t="s">
        <v>397</v>
      </c>
      <c r="G25" s="15"/>
      <c r="H25" s="15" t="s">
        <v>397</v>
      </c>
      <c r="I25" s="15"/>
      <c r="J25" s="15" t="s">
        <v>397</v>
      </c>
      <c r="K25" s="15"/>
      <c r="L25" s="15" t="s">
        <v>397</v>
      </c>
      <c r="M25" s="15"/>
      <c r="N25" s="15" t="s">
        <v>397</v>
      </c>
      <c r="O25" s="15"/>
      <c r="P25" s="15" t="s">
        <v>397</v>
      </c>
      <c r="Q25" s="15"/>
      <c r="R25" t="s">
        <v>397</v>
      </c>
      <c r="T25" t="s">
        <v>397</v>
      </c>
      <c r="V25" t="s">
        <v>397</v>
      </c>
      <c r="X25" t="s">
        <v>397</v>
      </c>
    </row>
    <row r="26" spans="1:24" x14ac:dyDescent="0.2">
      <c r="A26" t="s">
        <v>50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2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2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2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tabColor rgb="FF7030A0"/>
  </sheetPr>
  <dimension ref="A1:H49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7" t="s">
        <v>536</v>
      </c>
      <c r="F1" s="3" t="s">
        <v>92</v>
      </c>
    </row>
    <row r="3" spans="1:8" x14ac:dyDescent="0.2">
      <c r="A3" s="9" t="s">
        <v>537</v>
      </c>
      <c r="B3" s="43">
        <f ca="1">TODAY()</f>
        <v>42703</v>
      </c>
      <c r="F3" s="51">
        <f>PatNummer</f>
        <v>123456</v>
      </c>
      <c r="G3" s="52"/>
      <c r="H3" s="53"/>
    </row>
    <row r="4" spans="1:8" x14ac:dyDescent="0.2">
      <c r="F4" s="54" t="str">
        <f>_AchterNaam&amp;",  "&amp;_VoorNaam</f>
        <v>Test,  Test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42280</v>
      </c>
      <c r="G5" s="55"/>
      <c r="H5" s="56"/>
    </row>
    <row r="6" spans="1:8" x14ac:dyDescent="0.2">
      <c r="A6" s="585" t="s">
        <v>1003</v>
      </c>
      <c r="B6" s="9" t="str">
        <f>BedNummer</f>
        <v>Unit 2.9</v>
      </c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10" spans="1:8" ht="13.5" thickBot="1" x14ac:dyDescent="0.25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650</v>
      </c>
    </row>
    <row r="11" spans="1:8" ht="13.5" thickTop="1" x14ac:dyDescent="0.2">
      <c r="A11" s="863" t="s">
        <v>23</v>
      </c>
      <c r="B11" s="864"/>
      <c r="C11" s="864"/>
      <c r="D11" s="864"/>
      <c r="E11" s="864"/>
      <c r="F11" s="864"/>
      <c r="G11" s="864"/>
      <c r="H11" s="865"/>
    </row>
    <row r="12" spans="1:8" ht="25.5" x14ac:dyDescent="0.2">
      <c r="A12" s="32" t="s">
        <v>628</v>
      </c>
      <c r="B12" s="866" t="s">
        <v>384</v>
      </c>
      <c r="C12" s="868"/>
      <c r="D12" s="870" t="s">
        <v>385</v>
      </c>
      <c r="E12" s="870" t="s">
        <v>386</v>
      </c>
      <c r="F12" s="870" t="s">
        <v>387</v>
      </c>
      <c r="G12" s="33"/>
      <c r="H12" s="33" t="s">
        <v>388</v>
      </c>
    </row>
    <row r="13" spans="1:8" ht="25.5" x14ac:dyDescent="0.2">
      <c r="A13" s="34" t="s">
        <v>389</v>
      </c>
      <c r="B13" s="867"/>
      <c r="C13" s="869"/>
      <c r="D13" s="871"/>
      <c r="E13" s="871"/>
      <c r="F13" s="871"/>
      <c r="G13" s="33" t="s">
        <v>390</v>
      </c>
      <c r="H13" s="35" t="s">
        <v>391</v>
      </c>
    </row>
    <row r="14" spans="1:8" ht="20.100000000000001" customHeight="1" x14ac:dyDescent="0.2">
      <c r="A14" s="877" t="str">
        <f>IF(TPN&lt;&gt;1,ROUND(G21/24,1)&amp;" ml/u","")</f>
        <v/>
      </c>
      <c r="B14" s="72" t="s">
        <v>66</v>
      </c>
      <c r="C14" s="73"/>
      <c r="D14" s="73" t="s">
        <v>392</v>
      </c>
      <c r="E14" s="73" t="s">
        <v>392</v>
      </c>
      <c r="F14" s="74" t="s">
        <v>392</v>
      </c>
      <c r="G14" s="75" t="str">
        <f>IF(AND(TPN&lt;&gt;1,G16&lt;&gt;0,Gewicht/10&lt;=50),ROUND(ber_TPN!F7,0),"")</f>
        <v/>
      </c>
      <c r="H14" s="66"/>
    </row>
    <row r="15" spans="1:8" ht="20.100000000000001" customHeight="1" x14ac:dyDescent="0.2">
      <c r="A15" s="878"/>
      <c r="B15" s="76" t="s">
        <v>869</v>
      </c>
      <c r="C15" s="77"/>
      <c r="D15" s="77" t="s">
        <v>88</v>
      </c>
      <c r="E15" s="77" t="s">
        <v>184</v>
      </c>
      <c r="F15" s="78" t="s">
        <v>184</v>
      </c>
      <c r="G15" s="75" t="str">
        <f>IF(AND(TPN&lt;&gt;1,G16&lt;&gt;0,Gewicht/10&lt;=50),ROUND(ber_TPN!F8,0),"")</f>
        <v/>
      </c>
      <c r="H15" s="66"/>
    </row>
    <row r="16" spans="1:8" ht="20.100000000000001" customHeight="1" x14ac:dyDescent="0.2">
      <c r="A16" s="32"/>
      <c r="B16" s="76" t="s">
        <v>870</v>
      </c>
      <c r="C16" s="77"/>
      <c r="D16" s="77" t="s">
        <v>393</v>
      </c>
      <c r="E16" s="77" t="s">
        <v>89</v>
      </c>
      <c r="F16" s="78" t="s">
        <v>90</v>
      </c>
      <c r="G16" s="79" t="str">
        <f>IF(TPN&lt;&gt;1,ber_TPN!F4,"")</f>
        <v/>
      </c>
      <c r="H16" s="66"/>
    </row>
    <row r="17" spans="1:8" ht="20.100000000000001" customHeight="1" x14ac:dyDescent="0.2">
      <c r="A17" s="32"/>
      <c r="B17" s="76" t="s">
        <v>622</v>
      </c>
      <c r="C17" s="77"/>
      <c r="D17" s="77" t="s">
        <v>91</v>
      </c>
      <c r="E17" s="77"/>
      <c r="F17" s="78"/>
      <c r="G17" s="79" t="str">
        <f>IF(AND(SSTglucose=2,TPN&lt;&gt;1,Gewicht/10&lt;=50),ROUND(ber_TPN!F6,0),"")</f>
        <v/>
      </c>
      <c r="H17" s="66"/>
    </row>
    <row r="18" spans="1:8" ht="20.100000000000001" customHeight="1" x14ac:dyDescent="0.2">
      <c r="A18" s="32"/>
      <c r="B18" s="76" t="s">
        <v>871</v>
      </c>
      <c r="C18" s="77"/>
      <c r="D18" s="77"/>
      <c r="E18" s="77" t="s">
        <v>93</v>
      </c>
      <c r="F18" s="78"/>
      <c r="G18" s="79" t="str">
        <f>IF(AND(SSTglucose=3,TPN&lt;&gt;1,Gewicht/10&lt;=50),ROUND(ber_TPN!F6,0),"")</f>
        <v/>
      </c>
      <c r="H18" s="66"/>
    </row>
    <row r="19" spans="1:8" ht="20.100000000000001" customHeight="1" x14ac:dyDescent="0.2">
      <c r="A19" s="32"/>
      <c r="B19" s="76" t="s">
        <v>187</v>
      </c>
      <c r="C19" s="77"/>
      <c r="D19" s="77"/>
      <c r="E19" s="77"/>
      <c r="F19" s="78" t="s">
        <v>94</v>
      </c>
      <c r="G19" s="79" t="str">
        <f>IF(AND(SSTglucose=5,TPN&lt;&gt;1,Gewicht/10&lt;=50),ROUND(ber_TPN!F6,0),"")</f>
        <v/>
      </c>
      <c r="H19" s="66"/>
    </row>
    <row r="20" spans="1:8" ht="20.100000000000001" customHeight="1" x14ac:dyDescent="0.2">
      <c r="A20" s="32"/>
      <c r="B20" s="76" t="str">
        <f>IF(AND(TPN=2,SSTglucose&lt;&gt;2,SSTglucose&lt;&gt;3,SSTglucose&lt;&gt;5,SSTglucose&lt;11),INDEX(tblSSTGlucose,SSTglucose,1),"Glucose       %")</f>
        <v>Glucose       %</v>
      </c>
      <c r="C20" s="77"/>
      <c r="D20" s="77"/>
      <c r="E20" s="77"/>
      <c r="F20" s="78"/>
      <c r="G20" s="79" t="str">
        <f>IF(AND(TPN&lt;&gt;1,B20&lt;&gt;"",Gewicht/10&lt;=50),IF(AND(SSTglucose&lt;&gt;2,SSTglucose&lt;&gt;3,SSTglucose&lt;&gt;5,SSTglucose&lt;11),ROUND(ber_TPN!F6,0),""),"")</f>
        <v/>
      </c>
      <c r="H20" s="66"/>
    </row>
    <row r="21" spans="1:8" ht="15.95" customHeight="1" x14ac:dyDescent="0.2">
      <c r="A21" s="32"/>
      <c r="B21" s="42"/>
      <c r="C21" s="42"/>
      <c r="D21" s="42"/>
      <c r="E21" s="881" t="s">
        <v>462</v>
      </c>
      <c r="F21" s="881"/>
      <c r="G21" s="67">
        <f>SUM(G14:G20)+IF(AND(Gewicht/10&gt;=16,Gewicht/10&lt;=50),ber_TPN!F5,0)</f>
        <v>0</v>
      </c>
      <c r="H21" s="66"/>
    </row>
    <row r="22" spans="1:8" ht="15.95" customHeight="1" x14ac:dyDescent="0.2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2">
      <c r="A23" s="875" t="str">
        <f>IF(G26&gt;0,ROUND(G26/24,1)&amp;" ml/u","")</f>
        <v/>
      </c>
      <c r="B23" s="72" t="s">
        <v>434</v>
      </c>
      <c r="C23" s="73"/>
      <c r="D23" s="73" t="s">
        <v>813</v>
      </c>
      <c r="E23" s="73" t="s">
        <v>814</v>
      </c>
      <c r="F23" s="74" t="s">
        <v>393</v>
      </c>
      <c r="G23" s="75">
        <f>ROUND(ber_TPN!F13,0)</f>
        <v>0</v>
      </c>
      <c r="H23" s="38"/>
    </row>
    <row r="24" spans="1:8" ht="20.100000000000001" customHeight="1" x14ac:dyDescent="0.2">
      <c r="A24" s="876"/>
      <c r="B24" s="76" t="s">
        <v>435</v>
      </c>
      <c r="C24" s="77"/>
      <c r="D24" s="77"/>
      <c r="E24" s="882" t="s">
        <v>596</v>
      </c>
      <c r="F24" s="883"/>
      <c r="G24" s="79">
        <f>ROUND(ber_TPN!F14,0)</f>
        <v>0</v>
      </c>
      <c r="H24" s="33"/>
    </row>
    <row r="25" spans="1:8" ht="20.100000000000001" customHeight="1" x14ac:dyDescent="0.2">
      <c r="A25" s="32"/>
      <c r="B25" s="76"/>
      <c r="C25" s="77"/>
      <c r="D25" s="77"/>
      <c r="E25" s="882"/>
      <c r="F25" s="883"/>
      <c r="G25" s="79"/>
      <c r="H25" s="33"/>
    </row>
    <row r="26" spans="1:8" ht="15.95" customHeight="1" x14ac:dyDescent="0.2">
      <c r="A26" s="32"/>
      <c r="B26" s="64"/>
      <c r="C26" s="64"/>
      <c r="D26" s="64"/>
      <c r="E26" s="884" t="s">
        <v>462</v>
      </c>
      <c r="F26" s="884"/>
      <c r="G26" s="69">
        <f>SUM(G23:G25)</f>
        <v>0</v>
      </c>
      <c r="H26" s="65"/>
    </row>
    <row r="27" spans="1:8" ht="15.95" customHeight="1" thickBot="1" x14ac:dyDescent="0.25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2">
      <c r="A28" s="39"/>
      <c r="B28" s="879" t="s">
        <v>246</v>
      </c>
      <c r="C28" s="880"/>
      <c r="D28" s="880"/>
      <c r="E28" s="880"/>
      <c r="F28" s="880"/>
      <c r="G28" s="60"/>
      <c r="H28" s="40"/>
    </row>
    <row r="29" spans="1:8" ht="20.100000000000001" customHeight="1" x14ac:dyDescent="0.2">
      <c r="A29" s="875" t="str">
        <f>IF(G36&gt;0,ROUND(G36/24,1)&amp;" ml/u","")</f>
        <v/>
      </c>
      <c r="B29" s="83" t="s">
        <v>66</v>
      </c>
      <c r="C29" s="85"/>
      <c r="D29" s="85"/>
      <c r="E29" s="85"/>
      <c r="F29" s="86"/>
      <c r="G29" s="75">
        <f>IF(AND(OR(TPN=1,AND(TPN=2,SSTglucose&gt;10),Gewicht/10&gt;50)),ROUND(ber_TPN!F7,0),0)</f>
        <v>0</v>
      </c>
      <c r="H29" s="33"/>
    </row>
    <row r="30" spans="1:8" ht="20.100000000000001" customHeight="1" x14ac:dyDescent="0.2">
      <c r="A30" s="876"/>
      <c r="B30" s="84" t="s">
        <v>872</v>
      </c>
      <c r="C30" s="87"/>
      <c r="D30" s="87"/>
      <c r="E30" s="87"/>
      <c r="F30" s="88"/>
      <c r="G30" s="79">
        <f>IF(AND(OR(TPN=1,AND(TPN=2,SSTglucose&gt;10),Gewicht/10&gt;50)),ROUND(ber_TPN!F8,0),0)</f>
        <v>0</v>
      </c>
      <c r="H30" s="33"/>
    </row>
    <row r="31" spans="1:8" ht="20.100000000000001" customHeight="1" x14ac:dyDescent="0.2">
      <c r="A31" s="32"/>
      <c r="B31" s="84" t="s">
        <v>900</v>
      </c>
      <c r="C31" s="87"/>
      <c r="D31" s="87"/>
      <c r="E31" s="87"/>
      <c r="F31" s="88"/>
      <c r="G31" s="79">
        <f>ber_TPN!F9</f>
        <v>0</v>
      </c>
      <c r="H31" s="33"/>
    </row>
    <row r="32" spans="1:8" ht="20.100000000000001" customHeight="1" x14ac:dyDescent="0.2">
      <c r="A32" s="32"/>
      <c r="B32" s="84" t="s">
        <v>901</v>
      </c>
      <c r="C32" s="87"/>
      <c r="D32" s="87"/>
      <c r="E32" s="87"/>
      <c r="F32" s="88"/>
      <c r="G32" s="79">
        <f>ber_TPN!F10</f>
        <v>0</v>
      </c>
      <c r="H32" s="33"/>
    </row>
    <row r="33" spans="1:8" ht="20.100000000000001" customHeight="1" x14ac:dyDescent="0.2">
      <c r="A33" s="32"/>
      <c r="B33" s="84" t="s">
        <v>622</v>
      </c>
      <c r="C33" s="87"/>
      <c r="D33" s="87"/>
      <c r="E33" s="87"/>
      <c r="F33" s="88"/>
      <c r="G33" s="79">
        <f>IF(Gewicht/10&lt;=50,ber_TPN!F17,0)+IF(AND(SSTglucose=2,TPN=1,Gewicht/10&lt;=50),ROUND(ber_TPN!F6,0),0)</f>
        <v>0</v>
      </c>
      <c r="H33" s="33"/>
    </row>
    <row r="34" spans="1:8" ht="20.100000000000001" customHeight="1" x14ac:dyDescent="0.2">
      <c r="A34" s="32"/>
      <c r="B34" s="84" t="str">
        <f>IF(AND(OR(TPN=1,AND(TPN=2,SSTglucose&gt;10)),SSTglucose&lt;&gt;11,SSTglucose&lt;&gt;2),INDEX(tblSSTGlucose,SSTglucose,1),"Glucose       %")</f>
        <v>Glucose 5%</v>
      </c>
      <c r="C34" s="87"/>
      <c r="D34" s="87"/>
      <c r="E34" s="87"/>
      <c r="F34" s="88"/>
      <c r="G34" s="79">
        <f>IF(AND(OR(TPN=1,AND(TPN=2,SSTglucose&gt;10),Gewicht/10&gt;50),SSTglucose&lt;&gt;2,SSTglucose&lt;&gt;11),ROUND(ber_TPN!F6,0),"")</f>
        <v>0</v>
      </c>
      <c r="H34" s="33"/>
    </row>
    <row r="35" spans="1:8" ht="20.100000000000001" customHeight="1" x14ac:dyDescent="0.2">
      <c r="A35" s="32"/>
      <c r="B35" s="83" t="s">
        <v>873</v>
      </c>
      <c r="C35" s="85"/>
      <c r="D35" s="85"/>
      <c r="E35" s="85"/>
      <c r="F35" s="86"/>
      <c r="G35" s="79" t="str">
        <f>IF(AND(SSTglucose=11),ROUND(ber_TPN!F6,0),"")</f>
        <v/>
      </c>
      <c r="H35" s="33"/>
    </row>
    <row r="36" spans="1:8" ht="15.95" customHeight="1" x14ac:dyDescent="0.2">
      <c r="A36" s="32"/>
      <c r="B36" s="64"/>
      <c r="C36" s="64"/>
      <c r="D36" s="64"/>
      <c r="E36" s="884" t="s">
        <v>464</v>
      </c>
      <c r="F36" s="884"/>
      <c r="G36" s="68">
        <f>SUM(G29:G35)</f>
        <v>0</v>
      </c>
      <c r="H36" s="33"/>
    </row>
    <row r="37" spans="1:8" ht="15.95" customHeight="1" thickBot="1" x14ac:dyDescent="0.25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2">
      <c r="A38" s="39"/>
      <c r="B38" s="885" t="s">
        <v>517</v>
      </c>
      <c r="C38" s="886"/>
      <c r="D38" s="886"/>
      <c r="E38" s="886"/>
      <c r="F38" s="887"/>
      <c r="G38" s="40" t="s">
        <v>518</v>
      </c>
      <c r="H38" s="40"/>
    </row>
    <row r="39" spans="1:8" ht="15.95" customHeight="1" x14ac:dyDescent="0.2">
      <c r="A39" s="41"/>
      <c r="B39" s="872" t="s">
        <v>519</v>
      </c>
      <c r="C39" s="873"/>
      <c r="D39" s="873"/>
      <c r="E39" s="873"/>
      <c r="F39" s="874"/>
      <c r="G39" s="35" t="s">
        <v>520</v>
      </c>
      <c r="H39" s="33"/>
    </row>
    <row r="40" spans="1:8" ht="15.95" customHeight="1" x14ac:dyDescent="0.2">
      <c r="A40" s="41"/>
      <c r="B40" s="872" t="s">
        <v>521</v>
      </c>
      <c r="C40" s="873"/>
      <c r="D40" s="873"/>
      <c r="E40" s="873"/>
      <c r="F40" s="874"/>
      <c r="G40" s="35" t="s">
        <v>518</v>
      </c>
      <c r="H40" s="36"/>
    </row>
    <row r="42" spans="1:8" x14ac:dyDescent="0.2">
      <c r="A42" s="9" t="s">
        <v>522</v>
      </c>
    </row>
    <row r="43" spans="1:8" x14ac:dyDescent="0.2">
      <c r="A43" s="9" t="s">
        <v>463</v>
      </c>
    </row>
    <row r="45" spans="1:8" x14ac:dyDescent="0.2">
      <c r="A45" s="9" t="s">
        <v>523</v>
      </c>
    </row>
    <row r="47" spans="1:8" x14ac:dyDescent="0.2">
      <c r="A47" s="9" t="s">
        <v>183</v>
      </c>
    </row>
    <row r="49" spans="6:6" x14ac:dyDescent="0.2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7" t="s">
        <v>536</v>
      </c>
      <c r="F1" s="3" t="s">
        <v>220</v>
      </c>
    </row>
    <row r="3" spans="1:8" x14ac:dyDescent="0.2">
      <c r="A3" s="9" t="s">
        <v>537</v>
      </c>
      <c r="B3" s="43">
        <f ca="1">TODAY()</f>
        <v>42703</v>
      </c>
      <c r="F3" s="51">
        <f>PatNummer</f>
        <v>123456</v>
      </c>
      <c r="G3" s="52"/>
      <c r="H3" s="53"/>
    </row>
    <row r="4" spans="1:8" x14ac:dyDescent="0.2">
      <c r="F4" s="54" t="str">
        <f>_AchterNaam&amp;",  "&amp;_VoorNaam</f>
        <v>Test,  Test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42280</v>
      </c>
      <c r="G5" s="55"/>
      <c r="H5" s="56"/>
    </row>
    <row r="6" spans="1:8" x14ac:dyDescent="0.2">
      <c r="A6" s="585" t="s">
        <v>1003</v>
      </c>
      <c r="B6" s="9" t="str">
        <f>BedNummer</f>
        <v>Unit 2.9</v>
      </c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10" spans="1:8" ht="13.5" thickBot="1" x14ac:dyDescent="0.25">
      <c r="A10" s="9" t="str">
        <f>IF(Gewicht/10&lt;7,"Tot. hoev. vocht* (150 ml/kg/24 uur):","Tot. hoev. vocht* (110-90 ml/kg/24 uur):")</f>
        <v>Tot. hoev. vocht* (110-90 ml/kg/24 uur):</v>
      </c>
      <c r="C10" s="9">
        <f>ber_TPN!F24</f>
        <v>0</v>
      </c>
      <c r="D10" s="9" t="s">
        <v>650</v>
      </c>
    </row>
    <row r="11" spans="1:8" ht="13.5" thickTop="1" x14ac:dyDescent="0.2">
      <c r="A11" s="863" t="s">
        <v>23</v>
      </c>
      <c r="B11" s="864"/>
      <c r="C11" s="864"/>
      <c r="D11" s="864"/>
      <c r="E11" s="864"/>
      <c r="F11" s="864"/>
      <c r="G11" s="864"/>
      <c r="H11" s="865"/>
    </row>
    <row r="12" spans="1:8" ht="25.5" x14ac:dyDescent="0.2">
      <c r="A12" s="32" t="s">
        <v>628</v>
      </c>
      <c r="B12" s="866" t="s">
        <v>384</v>
      </c>
      <c r="C12" s="868"/>
      <c r="D12" s="870" t="s">
        <v>385</v>
      </c>
      <c r="E12" s="870" t="s">
        <v>386</v>
      </c>
      <c r="F12" s="870" t="s">
        <v>387</v>
      </c>
      <c r="G12" s="33"/>
      <c r="H12" s="33" t="s">
        <v>388</v>
      </c>
    </row>
    <row r="13" spans="1:8" ht="15" customHeight="1" x14ac:dyDescent="0.2">
      <c r="A13" s="34" t="s">
        <v>389</v>
      </c>
      <c r="B13" s="867"/>
      <c r="C13" s="869"/>
      <c r="D13" s="871"/>
      <c r="E13" s="871"/>
      <c r="F13" s="871"/>
      <c r="G13" s="33" t="s">
        <v>390</v>
      </c>
      <c r="H13" s="35" t="s">
        <v>391</v>
      </c>
    </row>
    <row r="14" spans="1:8" ht="20.100000000000001" customHeight="1" x14ac:dyDescent="0.2">
      <c r="A14" s="877" t="str">
        <f>IF(TPN&lt;&gt;1,ROUND(G22/24,1)&amp;" ml/u","")</f>
        <v/>
      </c>
      <c r="B14" s="72" t="s">
        <v>66</v>
      </c>
      <c r="C14" s="73"/>
      <c r="D14" s="73" t="s">
        <v>392</v>
      </c>
      <c r="E14" s="73" t="s">
        <v>392</v>
      </c>
      <c r="F14" s="74" t="s">
        <v>392</v>
      </c>
      <c r="G14" s="75" t="str">
        <f>IF(AND(TPN&lt;&gt;1,G16&lt;&gt;0),ROUND(ber_TPN!F7,0),"")</f>
        <v/>
      </c>
      <c r="H14" s="33"/>
    </row>
    <row r="15" spans="1:8" ht="20.100000000000001" customHeight="1" x14ac:dyDescent="0.2">
      <c r="A15" s="878"/>
      <c r="B15" s="76" t="s">
        <v>869</v>
      </c>
      <c r="C15" s="77"/>
      <c r="D15" s="77" t="s">
        <v>874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2">
      <c r="A16" s="32"/>
      <c r="B16" s="76" t="s">
        <v>875</v>
      </c>
      <c r="C16" s="77"/>
      <c r="D16" s="77" t="s">
        <v>814</v>
      </c>
      <c r="E16" s="77" t="s">
        <v>876</v>
      </c>
      <c r="F16" s="78" t="s">
        <v>89</v>
      </c>
      <c r="G16" s="79" t="str">
        <f>IF(TPN&lt;&gt;1,ber_TPN!F4,"")</f>
        <v/>
      </c>
      <c r="H16" s="33"/>
    </row>
    <row r="17" spans="1:8" ht="20.100000000000001" customHeight="1" x14ac:dyDescent="0.2">
      <c r="A17" s="32"/>
      <c r="B17" s="76" t="s">
        <v>622</v>
      </c>
      <c r="C17" s="77"/>
      <c r="D17" s="77" t="s">
        <v>877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2">
      <c r="A18" s="32"/>
      <c r="B18" s="76" t="s">
        <v>198</v>
      </c>
      <c r="C18" s="77"/>
      <c r="D18" s="77"/>
      <c r="E18" s="77" t="s">
        <v>878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2">
      <c r="A19" s="32"/>
      <c r="B19" s="76" t="s">
        <v>879</v>
      </c>
      <c r="C19" s="77"/>
      <c r="D19" s="77"/>
      <c r="E19" s="77"/>
      <c r="F19" s="78" t="s">
        <v>880</v>
      </c>
      <c r="G19" s="79" t="str">
        <f>IF(AND(SSTglucose=8,TPN&lt;&gt;1,Gewicht/10&lt;=10),ROUND(ber_TPN!F6,0),"")</f>
        <v/>
      </c>
      <c r="H19" s="33"/>
    </row>
    <row r="20" spans="1:8" ht="20.100000000000001" customHeight="1" x14ac:dyDescent="0.2">
      <c r="A20" s="32"/>
      <c r="B20" s="76" t="s">
        <v>881</v>
      </c>
      <c r="C20" s="77"/>
      <c r="D20" s="77"/>
      <c r="E20" s="77"/>
      <c r="F20" s="78" t="s">
        <v>882</v>
      </c>
      <c r="G20" s="79" t="str">
        <f>IF(AND(SSTglucose=8,TPN&lt;&gt;1,Gewicht/10&gt;10),ROUND(ber_TPN!F6,0),"")</f>
        <v/>
      </c>
      <c r="H20" s="33"/>
    </row>
    <row r="21" spans="1:8" ht="20.100000000000001" customHeight="1" x14ac:dyDescent="0.2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2">
      <c r="A22" s="32"/>
      <c r="B22" s="42"/>
      <c r="C22" s="42"/>
      <c r="D22" s="42"/>
      <c r="E22" s="881" t="s">
        <v>462</v>
      </c>
      <c r="F22" s="881"/>
      <c r="G22" s="67">
        <f>SUM(G14:G21)</f>
        <v>0</v>
      </c>
      <c r="H22" s="65"/>
    </row>
    <row r="23" spans="1:8" ht="10.5" customHeight="1" x14ac:dyDescent="0.2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2">
      <c r="A24" s="875" t="str">
        <f>IF(G27&gt;0,ROUND(G27/24,1)&amp;" ml/u","")</f>
        <v/>
      </c>
      <c r="B24" s="72" t="s">
        <v>434</v>
      </c>
      <c r="C24" s="73"/>
      <c r="D24" s="73" t="s">
        <v>813</v>
      </c>
      <c r="E24" s="73" t="s">
        <v>814</v>
      </c>
      <c r="F24" s="74" t="s">
        <v>393</v>
      </c>
      <c r="G24" s="75">
        <f>ROUND(ber_TPN!F13,0)</f>
        <v>0</v>
      </c>
      <c r="H24" s="38"/>
    </row>
    <row r="25" spans="1:8" ht="20.100000000000001" customHeight="1" x14ac:dyDescent="0.2">
      <c r="A25" s="876"/>
      <c r="B25" s="76" t="s">
        <v>435</v>
      </c>
      <c r="C25" s="77"/>
      <c r="D25" s="77"/>
      <c r="E25" s="898" t="s">
        <v>763</v>
      </c>
      <c r="F25" s="899"/>
      <c r="G25" s="75">
        <f>ROUND(ber_TPN!F14,0)</f>
        <v>0</v>
      </c>
      <c r="H25" s="33"/>
    </row>
    <row r="26" spans="1:8" ht="20.100000000000001" customHeight="1" x14ac:dyDescent="0.2">
      <c r="A26" s="32"/>
      <c r="B26" s="76" t="s">
        <v>455</v>
      </c>
      <c r="C26" s="77"/>
      <c r="D26" s="77"/>
      <c r="E26" s="898" t="s">
        <v>763</v>
      </c>
      <c r="F26" s="899"/>
      <c r="G26" s="75">
        <f>ROUND(ber_TPN!F15,0)</f>
        <v>0</v>
      </c>
      <c r="H26" s="33"/>
    </row>
    <row r="27" spans="1:8" ht="15.95" customHeight="1" x14ac:dyDescent="0.2">
      <c r="A27" s="32"/>
      <c r="B27" s="37"/>
      <c r="C27" s="37"/>
      <c r="D27" s="37"/>
      <c r="E27" s="881" t="s">
        <v>462</v>
      </c>
      <c r="F27" s="881"/>
      <c r="G27" s="69">
        <f>SUM(G24:G26)</f>
        <v>0</v>
      </c>
      <c r="H27" s="65"/>
    </row>
    <row r="28" spans="1:8" ht="10.5" customHeight="1" thickBot="1" x14ac:dyDescent="0.25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2">
      <c r="A29" s="39"/>
      <c r="B29" s="896" t="s">
        <v>246</v>
      </c>
      <c r="C29" s="897"/>
      <c r="D29" s="897"/>
      <c r="E29" s="897"/>
      <c r="F29" s="897"/>
      <c r="G29" s="60"/>
      <c r="H29" s="40"/>
    </row>
    <row r="30" spans="1:8" ht="20.100000000000001" customHeight="1" x14ac:dyDescent="0.2">
      <c r="A30" s="875" t="str">
        <f>IF(G33&gt;0,ROUND(G39/24,1)&amp;"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IF(AND(OR(TPN=1,AND(TPN=2,SSTglucose&gt;10))),ROUND(ber_TPN!F7,0),0)</f>
        <v>0</v>
      </c>
      <c r="H30" s="33"/>
    </row>
    <row r="31" spans="1:8" ht="20.100000000000001" customHeight="1" x14ac:dyDescent="0.2">
      <c r="A31" s="876"/>
      <c r="B31" s="84" t="s">
        <v>872</v>
      </c>
      <c r="C31" s="87"/>
      <c r="D31" s="87"/>
      <c r="E31" s="87"/>
      <c r="F31" s="91"/>
      <c r="G31" s="92">
        <f>IF(AND(OR(TPN=1,AND(TPN=2,SSTglucose&gt;10))),ROUND(ber_TPN!F8,0),0)</f>
        <v>0</v>
      </c>
      <c r="H31" s="33"/>
    </row>
    <row r="32" spans="1:8" ht="20.100000000000001" customHeight="1" x14ac:dyDescent="0.2">
      <c r="A32" s="62"/>
      <c r="B32" s="84" t="s">
        <v>900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2">
      <c r="A33" s="62"/>
      <c r="B33" s="84" t="s">
        <v>901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2">
      <c r="A34" s="62"/>
      <c r="B34" s="84" t="s">
        <v>622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2">
      <c r="A35" s="32"/>
      <c r="B35" s="84" t="str">
        <f>IF(AND(OR(TPN=1,AND(TPN=2,SSTglucose&gt;10)),SSTglucose&lt;&gt;2,SSTglucose&lt;&gt;11,SSTglucose&lt;&gt;12,SSTglucose&lt;&gt;13),INDEX(tblSSTGlucose,SSTglucose,1),"Glucose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IF(AND(OR(TPN=1,AND(TPN=2,SSTglucose&gt;10)),SSTglucose&lt;&gt;2,SSTglucose&lt;&gt;11,SSTglucose&lt;&gt;12,SSTglucose&lt;&gt;13),ROUND(ber_TPN!F6,0),"")</f>
        <v>0</v>
      </c>
      <c r="H35" s="33"/>
    </row>
    <row r="36" spans="1:8" ht="20.100000000000001" customHeight="1" x14ac:dyDescent="0.2">
      <c r="A36" s="32"/>
      <c r="B36" s="894" t="s">
        <v>873</v>
      </c>
      <c r="C36" s="895"/>
      <c r="D36" s="895"/>
      <c r="E36" s="895"/>
      <c r="F36" s="91"/>
      <c r="G36" s="92" t="str">
        <f>IF(OR(SSTglucose=11),ROUND(ber_TPN!F6,0),"")</f>
        <v/>
      </c>
      <c r="H36" s="33"/>
    </row>
    <row r="37" spans="1:8" ht="20.100000000000001" customHeight="1" x14ac:dyDescent="0.2">
      <c r="A37" s="32"/>
      <c r="B37" s="894" t="s">
        <v>67</v>
      </c>
      <c r="C37" s="895"/>
      <c r="D37" s="895"/>
      <c r="E37" s="895"/>
      <c r="F37" s="91"/>
      <c r="G37" s="92" t="str">
        <f>IF(AND(SSTglucose=12),ROUND(ber_TPN!F6,0),"")</f>
        <v/>
      </c>
      <c r="H37" s="33"/>
    </row>
    <row r="38" spans="1:8" ht="20.100000000000001" customHeight="1" x14ac:dyDescent="0.2">
      <c r="A38" s="32"/>
      <c r="B38" s="894" t="s">
        <v>68</v>
      </c>
      <c r="C38" s="895"/>
      <c r="D38" s="895"/>
      <c r="E38" s="895"/>
      <c r="F38" s="89"/>
      <c r="G38" s="92" t="str">
        <f>IF(AND(SSTglucose=13),ROUND(ber_TPN!F6,0),"")</f>
        <v/>
      </c>
      <c r="H38" s="33"/>
    </row>
    <row r="39" spans="1:8" ht="15.95" customHeight="1" x14ac:dyDescent="0.2">
      <c r="A39" s="32"/>
      <c r="B39" s="37"/>
      <c r="C39" s="37"/>
      <c r="D39" s="37"/>
      <c r="E39" s="881" t="s">
        <v>464</v>
      </c>
      <c r="F39" s="881"/>
      <c r="G39" s="68">
        <f>SUM(G30:G38)</f>
        <v>0</v>
      </c>
      <c r="H39" s="33"/>
    </row>
    <row r="40" spans="1:8" ht="10.5" customHeight="1" thickBot="1" x14ac:dyDescent="0.25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2">
      <c r="A41" s="39"/>
      <c r="B41" s="888" t="s">
        <v>517</v>
      </c>
      <c r="C41" s="889"/>
      <c r="D41" s="889"/>
      <c r="E41" s="889"/>
      <c r="F41" s="890"/>
      <c r="G41" s="40" t="s">
        <v>518</v>
      </c>
      <c r="H41" s="40"/>
    </row>
    <row r="42" spans="1:8" ht="15.95" customHeight="1" x14ac:dyDescent="0.2">
      <c r="A42" s="41"/>
      <c r="B42" s="891" t="s">
        <v>519</v>
      </c>
      <c r="C42" s="892"/>
      <c r="D42" s="892"/>
      <c r="E42" s="892"/>
      <c r="F42" s="893"/>
      <c r="G42" s="35" t="s">
        <v>520</v>
      </c>
      <c r="H42" s="33"/>
    </row>
    <row r="43" spans="1:8" ht="15.95" customHeight="1" x14ac:dyDescent="0.2">
      <c r="A43" s="41"/>
      <c r="B43" s="891" t="s">
        <v>521</v>
      </c>
      <c r="C43" s="892"/>
      <c r="D43" s="892"/>
      <c r="E43" s="892"/>
      <c r="F43" s="893"/>
      <c r="G43" s="35" t="s">
        <v>518</v>
      </c>
      <c r="H43" s="36"/>
    </row>
    <row r="45" spans="1:8" x14ac:dyDescent="0.2">
      <c r="A45" s="9" t="s">
        <v>522</v>
      </c>
    </row>
    <row r="46" spans="1:8" x14ac:dyDescent="0.2">
      <c r="A46" s="9" t="s">
        <v>463</v>
      </c>
    </row>
    <row r="47" spans="1:8" x14ac:dyDescent="0.2">
      <c r="A47" s="9" t="s">
        <v>523</v>
      </c>
    </row>
    <row r="49" spans="1:6" x14ac:dyDescent="0.2">
      <c r="A49" s="9" t="s">
        <v>183</v>
      </c>
    </row>
    <row r="51" spans="1:6" x14ac:dyDescent="0.2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>
    <tabColor rgb="FF7030A0"/>
  </sheetPr>
  <dimension ref="A1:H50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7" t="s">
        <v>536</v>
      </c>
      <c r="F1" s="3" t="s">
        <v>221</v>
      </c>
    </row>
    <row r="3" spans="1:8" x14ac:dyDescent="0.2">
      <c r="A3" s="9" t="s">
        <v>537</v>
      </c>
      <c r="B3" s="43">
        <f ca="1">TODAY()</f>
        <v>42703</v>
      </c>
      <c r="F3" s="51">
        <f>PatNummer</f>
        <v>123456</v>
      </c>
      <c r="G3" s="52"/>
      <c r="H3" s="53"/>
    </row>
    <row r="4" spans="1:8" x14ac:dyDescent="0.2">
      <c r="A4" s="248" t="s">
        <v>1003</v>
      </c>
      <c r="B4" s="9" t="str">
        <f>BedNummer</f>
        <v>Unit 2.9</v>
      </c>
      <c r="F4" s="54" t="str">
        <f>_AchterNaam&amp;",  "&amp;_VoorNaam</f>
        <v>Test,  Test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42280</v>
      </c>
      <c r="G5" s="55"/>
      <c r="H5" s="56"/>
    </row>
    <row r="6" spans="1:8" x14ac:dyDescent="0.2">
      <c r="A6" s="597"/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10" spans="1:8" ht="13.5" thickBot="1" x14ac:dyDescent="0.25">
      <c r="A10" s="9" t="s">
        <v>736</v>
      </c>
      <c r="C10" s="9">
        <f>ber_TPN!F24</f>
        <v>0</v>
      </c>
      <c r="D10" s="9" t="s">
        <v>650</v>
      </c>
    </row>
    <row r="11" spans="1:8" ht="13.5" thickTop="1" x14ac:dyDescent="0.2">
      <c r="A11" s="863" t="s">
        <v>23</v>
      </c>
      <c r="B11" s="864"/>
      <c r="C11" s="864"/>
      <c r="D11" s="864"/>
      <c r="E11" s="864"/>
      <c r="F11" s="864"/>
      <c r="G11" s="864"/>
      <c r="H11" s="865"/>
    </row>
    <row r="12" spans="1:8" ht="25.5" x14ac:dyDescent="0.2">
      <c r="A12" s="32" t="s">
        <v>628</v>
      </c>
      <c r="B12" s="866" t="s">
        <v>384</v>
      </c>
      <c r="C12" s="868"/>
      <c r="D12" s="870" t="s">
        <v>385</v>
      </c>
      <c r="E12" s="870" t="s">
        <v>386</v>
      </c>
      <c r="F12" s="870" t="s">
        <v>387</v>
      </c>
      <c r="G12" s="33"/>
      <c r="H12" s="33" t="s">
        <v>388</v>
      </c>
    </row>
    <row r="13" spans="1:8" ht="25.5" x14ac:dyDescent="0.2">
      <c r="A13" s="34" t="s">
        <v>389</v>
      </c>
      <c r="B13" s="867"/>
      <c r="C13" s="869"/>
      <c r="D13" s="871"/>
      <c r="E13" s="871"/>
      <c r="F13" s="871"/>
      <c r="G13" s="33" t="s">
        <v>390</v>
      </c>
      <c r="H13" s="35" t="s">
        <v>391</v>
      </c>
    </row>
    <row r="14" spans="1:8" ht="20.100000000000001" customHeight="1" x14ac:dyDescent="0.2">
      <c r="A14" s="877" t="str">
        <f>IF(TPN&lt;&gt;1,ROUND(G22/24,1)&amp;" ml/u","")</f>
        <v/>
      </c>
      <c r="B14" s="72" t="s">
        <v>66</v>
      </c>
      <c r="C14" s="73"/>
      <c r="D14" s="73" t="s">
        <v>392</v>
      </c>
      <c r="E14" s="73" t="s">
        <v>392</v>
      </c>
      <c r="F14" s="74" t="s">
        <v>392</v>
      </c>
      <c r="G14" s="75" t="str">
        <f>IF(AND(TPN&lt;&gt;1,G16&lt;&gt;0),ROUND(ber_TPN!F7,0),"")</f>
        <v/>
      </c>
      <c r="H14" s="33"/>
    </row>
    <row r="15" spans="1:8" ht="20.100000000000001" customHeight="1" x14ac:dyDescent="0.2">
      <c r="A15" s="878"/>
      <c r="B15" s="76" t="s">
        <v>869</v>
      </c>
      <c r="C15" s="77"/>
      <c r="D15" s="77" t="s">
        <v>874</v>
      </c>
      <c r="E15" s="77" t="s">
        <v>88</v>
      </c>
      <c r="F15" s="78" t="s">
        <v>88</v>
      </c>
      <c r="G15" s="75" t="str">
        <f>IF(AND(TPN&lt;&gt;1,G16&lt;&gt;0),ROUND(ber_TPN!F8,0),"")</f>
        <v/>
      </c>
      <c r="H15" s="33"/>
    </row>
    <row r="16" spans="1:8" ht="20.100000000000001" customHeight="1" x14ac:dyDescent="0.2">
      <c r="A16" s="32"/>
      <c r="B16" s="76" t="s">
        <v>883</v>
      </c>
      <c r="C16" s="77"/>
      <c r="D16" s="77" t="s">
        <v>814</v>
      </c>
      <c r="E16" s="77" t="s">
        <v>393</v>
      </c>
      <c r="F16" s="78" t="s">
        <v>876</v>
      </c>
      <c r="G16" s="79" t="str">
        <f>IF(TPN&lt;&gt;1,ber_TPN!F4,"")</f>
        <v/>
      </c>
      <c r="H16" s="33"/>
    </row>
    <row r="17" spans="1:8" ht="20.100000000000001" customHeight="1" x14ac:dyDescent="0.2">
      <c r="A17" s="32"/>
      <c r="B17" s="76" t="s">
        <v>631</v>
      </c>
      <c r="C17" s="77"/>
      <c r="D17" s="77"/>
      <c r="E17" s="898" t="s">
        <v>268</v>
      </c>
      <c r="F17" s="899"/>
      <c r="G17" s="79">
        <f>ROUND(ber_TPN!F5,0)</f>
        <v>0</v>
      </c>
      <c r="H17" s="33"/>
    </row>
    <row r="18" spans="1:8" ht="20.100000000000001" customHeight="1" x14ac:dyDescent="0.2">
      <c r="A18" s="32"/>
      <c r="B18" s="76" t="s">
        <v>622</v>
      </c>
      <c r="C18" s="77"/>
      <c r="D18" s="77" t="s">
        <v>269</v>
      </c>
      <c r="E18" s="77"/>
      <c r="F18" s="78"/>
      <c r="G18" s="79" t="str">
        <f>IF(AND(SSTglucose=2,TPN&lt;&gt;1),ROUND(ber_TPN!F6,0),"")</f>
        <v/>
      </c>
      <c r="H18" s="33"/>
    </row>
    <row r="19" spans="1:8" ht="20.100000000000001" customHeight="1" x14ac:dyDescent="0.2">
      <c r="A19" s="32"/>
      <c r="B19" s="76" t="s">
        <v>198</v>
      </c>
      <c r="C19" s="77"/>
      <c r="D19" s="77"/>
      <c r="E19" s="77" t="s">
        <v>270</v>
      </c>
      <c r="F19" s="78"/>
      <c r="G19" s="79" t="str">
        <f>IF(AND(SSTglucose=6,TPN&lt;&gt;1),ROUND(ber_TPN!F6,0),"")</f>
        <v/>
      </c>
      <c r="H19" s="33"/>
    </row>
    <row r="20" spans="1:8" ht="20.100000000000001" customHeight="1" x14ac:dyDescent="0.2">
      <c r="A20" s="32"/>
      <c r="B20" s="76" t="s">
        <v>460</v>
      </c>
      <c r="C20" s="77"/>
      <c r="D20" s="77"/>
      <c r="E20" s="77"/>
      <c r="F20" s="78" t="s">
        <v>271</v>
      </c>
      <c r="G20" s="79" t="str">
        <f>IF(AND(SSTglucose=8,TPN&lt;&gt;1),ROUND(ber_TPN!F6,0),"")</f>
        <v/>
      </c>
      <c r="H20" s="33"/>
    </row>
    <row r="21" spans="1:8" ht="20.100000000000001" customHeight="1" x14ac:dyDescent="0.2">
      <c r="A21" s="32"/>
      <c r="B21" s="76" t="str">
        <f>IF(AND(TPN=2,SSTglucose&lt;&gt;2,SSTglucose&lt;&gt;6,SSTglucose&lt;&gt;8,SSTglucose&lt;11),INDEX(tblSSTGlucose,SSTglucose,1),"Glucose       %")</f>
        <v>Glucose       %</v>
      </c>
      <c r="C21" s="77"/>
      <c r="D21" s="77"/>
      <c r="E21" s="77"/>
      <c r="F21" s="78"/>
      <c r="G21" s="79" t="str">
        <f>IF(AND(TPN&lt;&gt;1,B20&lt;&gt;""),IF(AND(SSTglucose&lt;&gt;2,SSTglucose&lt;&gt;6,SSTglucose&lt;&gt;8,SSTglucose&lt;11),ROUND(ber_TPN!F6,0),""),"")</f>
        <v/>
      </c>
      <c r="H21" s="33"/>
    </row>
    <row r="22" spans="1:8" ht="15.95" customHeight="1" x14ac:dyDescent="0.2">
      <c r="A22" s="32"/>
      <c r="B22" s="70"/>
      <c r="C22" s="70"/>
      <c r="D22" s="70"/>
      <c r="E22" s="884" t="s">
        <v>462</v>
      </c>
      <c r="F22" s="884"/>
      <c r="G22" s="67">
        <f>SUM(G14:G21)</f>
        <v>0</v>
      </c>
      <c r="H22" s="65"/>
    </row>
    <row r="23" spans="1:8" ht="10.5" customHeight="1" x14ac:dyDescent="0.2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2">
      <c r="A24" s="877" t="str">
        <f>IF(TPN&lt;&gt;1,ROUND(G27/24,1)&amp;" ml/u","")</f>
        <v/>
      </c>
      <c r="B24" s="72" t="s">
        <v>434</v>
      </c>
      <c r="C24" s="73"/>
      <c r="D24" s="73" t="s">
        <v>813</v>
      </c>
      <c r="E24" s="73" t="s">
        <v>814</v>
      </c>
      <c r="F24" s="74" t="s">
        <v>393</v>
      </c>
      <c r="G24" s="75">
        <f>ROUND(ber_TPN!F13,0)</f>
        <v>0</v>
      </c>
      <c r="H24" s="38"/>
    </row>
    <row r="25" spans="1:8" ht="20.100000000000001" customHeight="1" x14ac:dyDescent="0.2">
      <c r="A25" s="878"/>
      <c r="B25" s="76" t="s">
        <v>435</v>
      </c>
      <c r="C25" s="77"/>
      <c r="D25" s="77"/>
      <c r="E25" s="898" t="s">
        <v>763</v>
      </c>
      <c r="F25" s="899"/>
      <c r="G25" s="79">
        <f>ROUND(ber_TPN!F14,0)</f>
        <v>0</v>
      </c>
      <c r="H25" s="33"/>
    </row>
    <row r="26" spans="1:8" ht="20.100000000000001" customHeight="1" x14ac:dyDescent="0.2">
      <c r="A26" s="32"/>
      <c r="B26" s="76" t="s">
        <v>455</v>
      </c>
      <c r="C26" s="77"/>
      <c r="D26" s="77"/>
      <c r="E26" s="898" t="s">
        <v>763</v>
      </c>
      <c r="F26" s="899"/>
      <c r="G26" s="79">
        <f>ROUND(ber_TPN!F15,0)</f>
        <v>0</v>
      </c>
      <c r="H26" s="33"/>
    </row>
    <row r="27" spans="1:8" ht="15.95" customHeight="1" x14ac:dyDescent="0.2">
      <c r="A27" s="32"/>
      <c r="B27" s="64"/>
      <c r="C27" s="64"/>
      <c r="D27" s="64"/>
      <c r="E27" s="884" t="s">
        <v>462</v>
      </c>
      <c r="F27" s="884"/>
      <c r="G27" s="69">
        <f>SUM(G24:G26)</f>
        <v>0</v>
      </c>
      <c r="H27" s="65"/>
    </row>
    <row r="28" spans="1:8" ht="10.5" customHeight="1" thickBot="1" x14ac:dyDescent="0.25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2">
      <c r="A29" s="39"/>
      <c r="B29" s="879" t="s">
        <v>246</v>
      </c>
      <c r="C29" s="880"/>
      <c r="D29" s="880"/>
      <c r="E29" s="880"/>
      <c r="F29" s="880"/>
      <c r="G29" s="60"/>
      <c r="H29" s="40"/>
    </row>
    <row r="30" spans="1:8" ht="20.100000000000001" customHeight="1" x14ac:dyDescent="0.2">
      <c r="A30" s="877" t="str">
        <f>ROUND(G38/24,1)&amp;" ml/u"</f>
        <v>0 ml/u</v>
      </c>
      <c r="B30" s="83" t="s">
        <v>66</v>
      </c>
      <c r="C30" s="85"/>
      <c r="D30" s="85"/>
      <c r="E30" s="85"/>
      <c r="F30" s="86"/>
      <c r="G30" s="90">
        <f>IF(AND(OR(TPN=1,AND(TPN=2,SSTglucose&gt;10))),ROUND(ber_TPN!F7,0),"")</f>
        <v>0</v>
      </c>
      <c r="H30" s="33"/>
    </row>
    <row r="31" spans="1:8" ht="20.100000000000001" customHeight="1" x14ac:dyDescent="0.2">
      <c r="A31" s="878"/>
      <c r="B31" s="84" t="s">
        <v>872</v>
      </c>
      <c r="C31" s="87"/>
      <c r="D31" s="87"/>
      <c r="E31" s="87"/>
      <c r="F31" s="88"/>
      <c r="G31" s="92">
        <f>IF(AND(OR(TPN=1,AND(TPN=2,SSTglucose&gt;10))),ROUND(ber_TPN!F8,0),"")</f>
        <v>0</v>
      </c>
      <c r="H31" s="33"/>
    </row>
    <row r="32" spans="1:8" ht="20.100000000000001" customHeight="1" x14ac:dyDescent="0.2">
      <c r="A32" s="62"/>
      <c r="B32" s="84" t="s">
        <v>900</v>
      </c>
      <c r="C32" s="87"/>
      <c r="D32" s="87"/>
      <c r="E32" s="87"/>
      <c r="F32" s="88"/>
      <c r="G32" s="92">
        <f>ber_TPN!F9</f>
        <v>0</v>
      </c>
      <c r="H32" s="33"/>
    </row>
    <row r="33" spans="1:8" ht="20.100000000000001" customHeight="1" x14ac:dyDescent="0.2">
      <c r="A33" s="62"/>
      <c r="B33" s="84" t="s">
        <v>901</v>
      </c>
      <c r="C33" s="87"/>
      <c r="D33" s="87"/>
      <c r="E33" s="87"/>
      <c r="F33" s="88"/>
      <c r="G33" s="92">
        <f>ber_TPN!F10</f>
        <v>0</v>
      </c>
      <c r="H33" s="33"/>
    </row>
    <row r="34" spans="1:8" ht="20.100000000000001" customHeight="1" x14ac:dyDescent="0.2">
      <c r="A34" s="62"/>
      <c r="B34" s="84" t="s">
        <v>622</v>
      </c>
      <c r="C34" s="87"/>
      <c r="D34" s="87"/>
      <c r="E34" s="87"/>
      <c r="F34" s="88"/>
      <c r="G34" s="92">
        <f>ber_TPN!F17+IF(AND(SSTglucose=2,TPN=1),ROUND(ber_TPN!F6,0),0)</f>
        <v>0</v>
      </c>
      <c r="H34" s="33"/>
    </row>
    <row r="35" spans="1:8" ht="20.100000000000001" customHeight="1" x14ac:dyDescent="0.2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88"/>
      <c r="G35" s="92">
        <f>IF(AND(OR(TPN=1,AND(TPN=2,SSTglucose&gt;10)),SSTglucose&lt;&gt;2,SSTglucose&lt;&gt;12,SSTglucose&lt;&gt;13),ROUND(ber_TPN!F6,0),"")</f>
        <v>0</v>
      </c>
      <c r="H35" s="33"/>
    </row>
    <row r="36" spans="1:8" ht="20.100000000000001" customHeight="1" x14ac:dyDescent="0.2">
      <c r="A36" s="62"/>
      <c r="B36" s="894" t="s">
        <v>67</v>
      </c>
      <c r="C36" s="895"/>
      <c r="D36" s="895"/>
      <c r="E36" s="895"/>
      <c r="F36" s="88"/>
      <c r="G36" s="92" t="str">
        <f>IF(AND(SSTglucose=12),ROUND(ber_TPN!F6,0),"")</f>
        <v/>
      </c>
      <c r="H36" s="33"/>
    </row>
    <row r="37" spans="1:8" ht="20.100000000000001" customHeight="1" x14ac:dyDescent="0.2">
      <c r="A37" s="32"/>
      <c r="B37" s="894" t="s">
        <v>68</v>
      </c>
      <c r="C37" s="895"/>
      <c r="D37" s="895"/>
      <c r="E37" s="895"/>
      <c r="F37" s="88"/>
      <c r="G37" s="92" t="str">
        <f>IF(AND(SSTglucose=13),ROUND(ber_TPN!F6,0),"")</f>
        <v/>
      </c>
      <c r="H37" s="33"/>
    </row>
    <row r="38" spans="1:8" ht="15.95" customHeight="1" x14ac:dyDescent="0.2">
      <c r="A38" s="32"/>
      <c r="B38" s="64"/>
      <c r="C38" s="64"/>
      <c r="D38" s="64"/>
      <c r="E38" s="884" t="s">
        <v>464</v>
      </c>
      <c r="F38" s="884"/>
      <c r="G38" s="68">
        <f>SUM(G30:G37)</f>
        <v>0</v>
      </c>
      <c r="H38" s="33"/>
    </row>
    <row r="39" spans="1:8" ht="15.95" customHeight="1" thickBot="1" x14ac:dyDescent="0.25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2">
      <c r="A40" s="39"/>
      <c r="B40" s="885" t="s">
        <v>517</v>
      </c>
      <c r="C40" s="886"/>
      <c r="D40" s="886"/>
      <c r="E40" s="886"/>
      <c r="F40" s="887"/>
      <c r="G40" s="40" t="s">
        <v>518</v>
      </c>
      <c r="H40" s="40"/>
    </row>
    <row r="41" spans="1:8" ht="15.95" customHeight="1" x14ac:dyDescent="0.2">
      <c r="A41" s="41"/>
      <c r="B41" s="872" t="s">
        <v>519</v>
      </c>
      <c r="C41" s="873"/>
      <c r="D41" s="873"/>
      <c r="E41" s="873"/>
      <c r="F41" s="874"/>
      <c r="G41" s="35" t="s">
        <v>520</v>
      </c>
      <c r="H41" s="33"/>
    </row>
    <row r="42" spans="1:8" ht="15.95" customHeight="1" x14ac:dyDescent="0.2">
      <c r="A42" s="41"/>
      <c r="B42" s="872" t="s">
        <v>521</v>
      </c>
      <c r="C42" s="873"/>
      <c r="D42" s="873"/>
      <c r="E42" s="873"/>
      <c r="F42" s="874"/>
      <c r="G42" s="35" t="s">
        <v>518</v>
      </c>
      <c r="H42" s="36"/>
    </row>
    <row r="44" spans="1:8" x14ac:dyDescent="0.2">
      <c r="A44" s="9" t="s">
        <v>522</v>
      </c>
    </row>
    <row r="45" spans="1:8" x14ac:dyDescent="0.2">
      <c r="A45" s="9" t="s">
        <v>463</v>
      </c>
    </row>
    <row r="46" spans="1:8" x14ac:dyDescent="0.2">
      <c r="A46" s="9" t="s">
        <v>523</v>
      </c>
    </row>
    <row r="48" spans="1:8" x14ac:dyDescent="0.2">
      <c r="A48" s="9" t="s">
        <v>183</v>
      </c>
    </row>
    <row r="50" spans="6:6" x14ac:dyDescent="0.2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7" t="s">
        <v>536</v>
      </c>
      <c r="F1" s="3" t="s">
        <v>222</v>
      </c>
    </row>
    <row r="3" spans="1:8" x14ac:dyDescent="0.2">
      <c r="A3" s="9" t="s">
        <v>537</v>
      </c>
      <c r="B3" s="43">
        <f ca="1">TODAY()</f>
        <v>42703</v>
      </c>
      <c r="F3" s="51">
        <f>PatNummer</f>
        <v>123456</v>
      </c>
      <c r="G3" s="52"/>
      <c r="H3" s="53"/>
    </row>
    <row r="4" spans="1:8" x14ac:dyDescent="0.2">
      <c r="A4" s="248" t="s">
        <v>1003</v>
      </c>
      <c r="B4" s="9" t="str">
        <f>BedNummer</f>
        <v>Unit 2.9</v>
      </c>
      <c r="F4" s="54" t="str">
        <f>_AchterNaam&amp;",  "&amp;_VoorNaam</f>
        <v>Test,  Test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42280</v>
      </c>
      <c r="G5" s="55"/>
      <c r="H5" s="56"/>
    </row>
    <row r="6" spans="1:8" x14ac:dyDescent="0.2">
      <c r="A6" s="597"/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9" spans="1:8" ht="13.5" thickBot="1" x14ac:dyDescent="0.25">
      <c r="A9" s="9" t="s">
        <v>735</v>
      </c>
      <c r="C9" s="9">
        <f>ber_TPN!F24</f>
        <v>0</v>
      </c>
      <c r="D9" s="9" t="s">
        <v>650</v>
      </c>
    </row>
    <row r="10" spans="1:8" ht="13.5" thickTop="1" x14ac:dyDescent="0.2">
      <c r="A10" s="863" t="s">
        <v>23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32" t="s">
        <v>628</v>
      </c>
      <c r="B11" s="866" t="s">
        <v>384</v>
      </c>
      <c r="C11" s="868"/>
      <c r="D11" s="870" t="s">
        <v>385</v>
      </c>
      <c r="E11" s="870" t="s">
        <v>386</v>
      </c>
      <c r="F11" s="870" t="s">
        <v>387</v>
      </c>
      <c r="G11" s="33"/>
      <c r="H11" s="33" t="s">
        <v>388</v>
      </c>
    </row>
    <row r="12" spans="1:8" ht="25.5" x14ac:dyDescent="0.2">
      <c r="A12" s="34" t="s">
        <v>389</v>
      </c>
      <c r="B12" s="867"/>
      <c r="C12" s="869"/>
      <c r="D12" s="871"/>
      <c r="E12" s="871"/>
      <c r="F12" s="871"/>
      <c r="G12" s="33" t="s">
        <v>390</v>
      </c>
      <c r="H12" s="35" t="s">
        <v>391</v>
      </c>
    </row>
    <row r="13" spans="1:8" ht="20.100000000000001" customHeight="1" x14ac:dyDescent="0.2">
      <c r="A13" s="877" t="str">
        <f>IF(G22&lt;&gt;0,ROUND(G22/24,1)&amp;" ml/u","")</f>
        <v/>
      </c>
      <c r="B13" s="72" t="s">
        <v>66</v>
      </c>
      <c r="C13" s="73"/>
      <c r="D13" s="73" t="s">
        <v>392</v>
      </c>
      <c r="E13" s="73" t="s">
        <v>392</v>
      </c>
      <c r="F13" s="74" t="s">
        <v>392</v>
      </c>
      <c r="G13" s="75" t="str">
        <f>IF(AND(TPN&lt;&gt;1,G15&lt;&gt;0),ROUND(ber_TPN!F7,0),"")</f>
        <v/>
      </c>
      <c r="H13" s="33"/>
    </row>
    <row r="14" spans="1:8" ht="20.100000000000001" customHeight="1" x14ac:dyDescent="0.2">
      <c r="A14" s="878"/>
      <c r="B14" s="76" t="s">
        <v>869</v>
      </c>
      <c r="C14" s="77"/>
      <c r="D14" s="77" t="s">
        <v>874</v>
      </c>
      <c r="E14" s="77" t="s">
        <v>88</v>
      </c>
      <c r="F14" s="78" t="s">
        <v>88</v>
      </c>
      <c r="G14" s="75" t="str">
        <f>IF(AND(TPN&lt;&gt;1,G15&lt;&gt;0),ROUND(ber_TPN!F8,0),"")</f>
        <v/>
      </c>
      <c r="H14" s="33"/>
    </row>
    <row r="15" spans="1:8" ht="20.100000000000001" customHeight="1" x14ac:dyDescent="0.2">
      <c r="A15" s="32"/>
      <c r="B15" s="76" t="s">
        <v>272</v>
      </c>
      <c r="C15" s="77"/>
      <c r="D15" s="77" t="s">
        <v>813</v>
      </c>
      <c r="E15" s="77" t="s">
        <v>273</v>
      </c>
      <c r="F15" s="78" t="s">
        <v>278</v>
      </c>
      <c r="G15" s="79" t="str">
        <f>IF(TPN&lt;&gt;1,ber_TPN!F4,"")</f>
        <v/>
      </c>
      <c r="H15" s="33"/>
    </row>
    <row r="16" spans="1:8" ht="20.100000000000001" customHeight="1" x14ac:dyDescent="0.2">
      <c r="A16" s="32"/>
      <c r="B16" s="76" t="s">
        <v>631</v>
      </c>
      <c r="C16" s="77"/>
      <c r="D16" s="77"/>
      <c r="E16" s="898" t="s">
        <v>268</v>
      </c>
      <c r="F16" s="899"/>
      <c r="G16" s="79" t="str">
        <f>IF(AND(SSTglucose&lt;11,TPN&lt;&gt;1),ROUND(ber_TPN!F5,0),"")</f>
        <v/>
      </c>
      <c r="H16" s="33"/>
    </row>
    <row r="17" spans="1:8" ht="20.100000000000001" customHeight="1" x14ac:dyDescent="0.2">
      <c r="A17" s="32"/>
      <c r="B17" s="76" t="s">
        <v>622</v>
      </c>
      <c r="C17" s="77"/>
      <c r="D17" s="77" t="s">
        <v>274</v>
      </c>
      <c r="E17" s="77"/>
      <c r="F17" s="78"/>
      <c r="G17" s="79" t="str">
        <f>IF(AND(SSTglucose=2,TPN&lt;&gt;1),ROUND(ber_TPN!F6,0),"")</f>
        <v/>
      </c>
      <c r="H17" s="33"/>
    </row>
    <row r="18" spans="1:8" ht="20.100000000000001" customHeight="1" x14ac:dyDescent="0.2">
      <c r="A18" s="32"/>
      <c r="B18" s="76" t="s">
        <v>198</v>
      </c>
      <c r="C18" s="77"/>
      <c r="D18" s="77"/>
      <c r="E18" s="77" t="s">
        <v>275</v>
      </c>
      <c r="F18" s="78"/>
      <c r="G18" s="79" t="str">
        <f>IF(AND(SSTglucose=6,TPN&lt;&gt;1),ROUND(ber_TPN!F6,0),"")</f>
        <v/>
      </c>
      <c r="H18" s="33"/>
    </row>
    <row r="19" spans="1:8" ht="20.100000000000001" customHeight="1" x14ac:dyDescent="0.2">
      <c r="A19" s="32"/>
      <c r="B19" s="76" t="s">
        <v>276</v>
      </c>
      <c r="C19" s="77" t="s">
        <v>483</v>
      </c>
      <c r="D19" s="77"/>
      <c r="E19" s="77"/>
      <c r="F19" s="78" t="s">
        <v>882</v>
      </c>
      <c r="G19" s="79" t="str">
        <f>IF(AND(SSTglucose=7,TPN&lt;&gt;1),ROUND(ber_TPN!F6,0),"")</f>
        <v/>
      </c>
      <c r="H19" s="33"/>
    </row>
    <row r="20" spans="1:8" ht="20.100000000000001" customHeight="1" x14ac:dyDescent="0.2">
      <c r="A20" s="32"/>
      <c r="B20" s="76" t="s">
        <v>277</v>
      </c>
      <c r="C20" s="77"/>
      <c r="D20" s="77"/>
      <c r="E20" s="77"/>
      <c r="F20" s="78" t="s">
        <v>876</v>
      </c>
      <c r="G20" s="79" t="str">
        <f>IF(AND(SSTglucose=9,TPN&lt;&gt;1),ROUND(ber_TPN!F6,0),"")</f>
        <v/>
      </c>
      <c r="H20" s="33"/>
    </row>
    <row r="21" spans="1:8" ht="20.100000000000001" customHeight="1" x14ac:dyDescent="0.2">
      <c r="A21" s="32"/>
      <c r="B21" s="80" t="str">
        <f>IF(AND(TPN=2,SSTglucose&lt;&gt;2,SSTglucose&lt;&gt;6,SSTglucose&lt;&gt;7,SSTglucose&lt;&gt;9,SSTglucose&lt;11),INDEX(tblSSTGlucose,SSTglucose,1),"Glucose       %")</f>
        <v>Glucose       %</v>
      </c>
      <c r="C21" s="81"/>
      <c r="D21" s="81"/>
      <c r="E21" s="81"/>
      <c r="F21" s="82"/>
      <c r="G21" s="79" t="str">
        <f>IF(AND(TPN&lt;&gt;1,B19&lt;&gt;""),IF(AND(SSTglucose&lt;&gt;2,SSTglucose&lt;&gt;6,SSTglucose&lt;&gt;7,SSTglucose&lt;&gt;9,SSTglucose&lt;11),ROUND(ber_TPN!F6,0),""),"")</f>
        <v/>
      </c>
      <c r="H21" s="33"/>
    </row>
    <row r="22" spans="1:8" ht="15.95" customHeight="1" x14ac:dyDescent="0.2">
      <c r="A22" s="32"/>
      <c r="B22" s="70"/>
      <c r="C22" s="70"/>
      <c r="D22" s="70"/>
      <c r="E22" s="884" t="s">
        <v>462</v>
      </c>
      <c r="F22" s="884"/>
      <c r="G22" s="67">
        <f>SUM(G13:G21)</f>
        <v>0</v>
      </c>
      <c r="H22" s="65"/>
    </row>
    <row r="23" spans="1:8" ht="10.5" customHeight="1" x14ac:dyDescent="0.2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2">
      <c r="A24" s="877" t="str">
        <f>IF(G27&lt;&gt;0,ROUND(G27/24,1)&amp;" ml/u","")</f>
        <v/>
      </c>
      <c r="B24" s="72" t="s">
        <v>434</v>
      </c>
      <c r="C24" s="73"/>
      <c r="D24" s="73" t="s">
        <v>734</v>
      </c>
      <c r="E24" s="73" t="s">
        <v>392</v>
      </c>
      <c r="F24" s="74" t="s">
        <v>814</v>
      </c>
      <c r="G24" s="75">
        <f>ROUND(ber_TPN!F13,0)</f>
        <v>0</v>
      </c>
      <c r="H24" s="38"/>
    </row>
    <row r="25" spans="1:8" ht="20.100000000000001" customHeight="1" x14ac:dyDescent="0.2">
      <c r="A25" s="878"/>
      <c r="B25" s="76" t="s">
        <v>435</v>
      </c>
      <c r="C25" s="77"/>
      <c r="D25" s="77"/>
      <c r="E25" s="898" t="s">
        <v>763</v>
      </c>
      <c r="F25" s="899"/>
      <c r="G25" s="79">
        <f>ROUND(ber_TPN!F14,0)</f>
        <v>0</v>
      </c>
      <c r="H25" s="33"/>
    </row>
    <row r="26" spans="1:8" ht="20.100000000000001" customHeight="1" x14ac:dyDescent="0.2">
      <c r="A26" s="32"/>
      <c r="B26" s="76" t="s">
        <v>455</v>
      </c>
      <c r="C26" s="77"/>
      <c r="D26" s="77"/>
      <c r="E26" s="898" t="s">
        <v>763</v>
      </c>
      <c r="F26" s="899"/>
      <c r="G26" s="79">
        <f>ROUND(ber_TPN!F15,0)</f>
        <v>0</v>
      </c>
      <c r="H26" s="33"/>
    </row>
    <row r="27" spans="1:8" ht="15.95" customHeight="1" x14ac:dyDescent="0.2">
      <c r="A27" s="32"/>
      <c r="B27" s="64"/>
      <c r="C27" s="64"/>
      <c r="D27" s="64"/>
      <c r="E27" s="884" t="s">
        <v>462</v>
      </c>
      <c r="F27" s="884"/>
      <c r="G27" s="69">
        <f>SUM(G24:G26)</f>
        <v>0</v>
      </c>
      <c r="H27" s="65"/>
    </row>
    <row r="28" spans="1:8" ht="10.5" customHeight="1" thickBot="1" x14ac:dyDescent="0.25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2">
      <c r="A29" s="39"/>
      <c r="B29" s="896" t="s">
        <v>246</v>
      </c>
      <c r="C29" s="897"/>
      <c r="D29" s="897"/>
      <c r="E29" s="897"/>
      <c r="F29" s="897"/>
      <c r="G29" s="60"/>
      <c r="H29" s="40"/>
    </row>
    <row r="30" spans="1:8" ht="20.100000000000001" customHeight="1" x14ac:dyDescent="0.2">
      <c r="A30" s="877" t="str">
        <f>IF(G38&lt;&gt;0,ROUND(G38/24,1)&amp;" ml/u","")</f>
        <v/>
      </c>
      <c r="B30" s="83" t="s">
        <v>66</v>
      </c>
      <c r="C30" s="85"/>
      <c r="D30" s="85"/>
      <c r="E30" s="85"/>
      <c r="F30" s="89"/>
      <c r="G30" s="90">
        <f>IF(AND(OR(TPN=1,AND(TPN=2,SSTglucose&gt;10))),ROUND(ber_TPN!F7,0),"")</f>
        <v>0</v>
      </c>
      <c r="H30" s="33"/>
    </row>
    <row r="31" spans="1:8" ht="20.100000000000001" customHeight="1" x14ac:dyDescent="0.2">
      <c r="A31" s="878"/>
      <c r="B31" s="84" t="s">
        <v>872</v>
      </c>
      <c r="C31" s="87"/>
      <c r="D31" s="87"/>
      <c r="E31" s="87"/>
      <c r="F31" s="91"/>
      <c r="G31" s="92">
        <f>IF(AND(OR(TPN=1,AND(TPN=2,SSTglucose&gt;10))),ROUND(ber_TPN!F8,0),"")</f>
        <v>0</v>
      </c>
      <c r="H31" s="33"/>
    </row>
    <row r="32" spans="1:8" ht="20.100000000000001" customHeight="1" x14ac:dyDescent="0.2">
      <c r="A32" s="62"/>
      <c r="B32" s="84" t="s">
        <v>900</v>
      </c>
      <c r="C32" s="87"/>
      <c r="D32" s="87"/>
      <c r="E32" s="87"/>
      <c r="F32" s="91"/>
      <c r="G32" s="92">
        <f>ber_TPN!F9</f>
        <v>0</v>
      </c>
      <c r="H32" s="33"/>
    </row>
    <row r="33" spans="1:8" ht="20.100000000000001" customHeight="1" x14ac:dyDescent="0.2">
      <c r="A33" s="62"/>
      <c r="B33" s="84" t="s">
        <v>901</v>
      </c>
      <c r="C33" s="87"/>
      <c r="D33" s="87"/>
      <c r="E33" s="87"/>
      <c r="F33" s="91"/>
      <c r="G33" s="92">
        <f>ber_TPN!F10</f>
        <v>0</v>
      </c>
      <c r="H33" s="33"/>
    </row>
    <row r="34" spans="1:8" ht="20.100000000000001" customHeight="1" x14ac:dyDescent="0.2">
      <c r="A34" s="62"/>
      <c r="B34" s="84" t="s">
        <v>622</v>
      </c>
      <c r="C34" s="87"/>
      <c r="D34" s="87"/>
      <c r="E34" s="87"/>
      <c r="F34" s="91"/>
      <c r="G34" s="92">
        <f>ber_TPN!F17+IF(AND(SSTglucose=2,TPN=1),ROUND(ber_TPN!F6,0),0)</f>
        <v>0</v>
      </c>
      <c r="H34" s="33"/>
    </row>
    <row r="35" spans="1:8" ht="20.100000000000001" customHeight="1" x14ac:dyDescent="0.2">
      <c r="A35" s="62"/>
      <c r="B35" s="84" t="str">
        <f>IF(AND(OR(TPN=1,AND(TPN=2,SSTglucose&gt;10)),SSTglucose&lt;&gt;2,SSTglucose&lt;&gt;12,SSTglucose&lt;&gt;13),INDEX(tblSSTGlucose,SSTglucose,1),"Glucose       %")</f>
        <v>Glucose 5%</v>
      </c>
      <c r="C35" s="87"/>
      <c r="D35" s="87"/>
      <c r="E35" s="87"/>
      <c r="F35" s="91"/>
      <c r="G35" s="92">
        <f>IF(AND(OR(TPN=1,AND(TPN=2,SSTglucose&gt;10)),SSTglucose&lt;&gt;2,SSTglucose&lt;&gt;12,SSTglucose&lt;&gt;13),ber_TPN!F6,"")</f>
        <v>0</v>
      </c>
      <c r="H35" s="33"/>
    </row>
    <row r="36" spans="1:8" ht="20.100000000000001" customHeight="1" x14ac:dyDescent="0.2">
      <c r="A36" s="62"/>
      <c r="B36" s="894" t="s">
        <v>67</v>
      </c>
      <c r="C36" s="895"/>
      <c r="D36" s="895"/>
      <c r="E36" s="895"/>
      <c r="F36" s="91"/>
      <c r="G36" s="92" t="str">
        <f>IF(AND(SSTglucose=12),ROUND(ber_TPN!F6,0),"")</f>
        <v/>
      </c>
      <c r="H36" s="33"/>
    </row>
    <row r="37" spans="1:8" ht="20.100000000000001" customHeight="1" x14ac:dyDescent="0.2">
      <c r="A37" s="32"/>
      <c r="B37" s="894" t="s">
        <v>68</v>
      </c>
      <c r="C37" s="895"/>
      <c r="D37" s="895"/>
      <c r="E37" s="895"/>
      <c r="F37" s="91"/>
      <c r="G37" s="92" t="str">
        <f>IF(AND(SSTglucose=13),ROUND(ber_TPN!F6,0),"")</f>
        <v/>
      </c>
      <c r="H37" s="33"/>
    </row>
    <row r="38" spans="1:8" ht="15.95" customHeight="1" x14ac:dyDescent="0.2">
      <c r="A38" s="32"/>
      <c r="B38" s="37"/>
      <c r="C38" s="37"/>
      <c r="D38" s="37"/>
      <c r="E38" s="881" t="s">
        <v>464</v>
      </c>
      <c r="F38" s="881"/>
      <c r="G38" s="68">
        <f>SUM(G30:G37)</f>
        <v>0</v>
      </c>
      <c r="H38" s="33"/>
    </row>
    <row r="39" spans="1:8" ht="10.5" customHeight="1" thickBot="1" x14ac:dyDescent="0.25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2">
      <c r="A40" s="39"/>
      <c r="B40" s="885" t="s">
        <v>517</v>
      </c>
      <c r="C40" s="886"/>
      <c r="D40" s="886"/>
      <c r="E40" s="886"/>
      <c r="F40" s="887"/>
      <c r="G40" s="40" t="s">
        <v>518</v>
      </c>
      <c r="H40" s="40"/>
    </row>
    <row r="41" spans="1:8" ht="15.95" customHeight="1" x14ac:dyDescent="0.2">
      <c r="A41" s="41"/>
      <c r="B41" s="872" t="s">
        <v>519</v>
      </c>
      <c r="C41" s="873"/>
      <c r="D41" s="873"/>
      <c r="E41" s="873"/>
      <c r="F41" s="874"/>
      <c r="G41" s="35" t="s">
        <v>520</v>
      </c>
      <c r="H41" s="33"/>
    </row>
    <row r="42" spans="1:8" ht="15.95" customHeight="1" x14ac:dyDescent="0.2">
      <c r="A42" s="41"/>
      <c r="B42" s="872" t="s">
        <v>521</v>
      </c>
      <c r="C42" s="873"/>
      <c r="D42" s="873"/>
      <c r="E42" s="873"/>
      <c r="F42" s="874"/>
      <c r="G42" s="35" t="s">
        <v>518</v>
      </c>
      <c r="H42" s="36"/>
    </row>
    <row r="44" spans="1:8" x14ac:dyDescent="0.2">
      <c r="A44" s="9" t="s">
        <v>522</v>
      </c>
    </row>
    <row r="45" spans="1:8" x14ac:dyDescent="0.2">
      <c r="A45" s="9" t="s">
        <v>463</v>
      </c>
    </row>
    <row r="47" spans="1:8" x14ac:dyDescent="0.2">
      <c r="A47" s="9" t="s">
        <v>523</v>
      </c>
    </row>
    <row r="49" spans="1:6" x14ac:dyDescent="0.2">
      <c r="A49" s="9" t="s">
        <v>183</v>
      </c>
    </row>
    <row r="51" spans="1:6" x14ac:dyDescent="0.2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>
    <tabColor rgb="FF7030A0"/>
  </sheetPr>
  <dimension ref="A1:H48"/>
  <sheetViews>
    <sheetView zoomScaleNormal="100" workbookViewId="0"/>
  </sheetViews>
  <sheetFormatPr defaultColWidth="9.140625" defaultRowHeight="12.75" x14ac:dyDescent="0.2"/>
  <cols>
    <col min="1" max="1" width="8.7109375" style="9" customWidth="1"/>
    <col min="2" max="2" width="23.85546875" style="9" customWidth="1"/>
    <col min="3" max="3" width="9.28515625" style="9" bestFit="1" customWidth="1"/>
    <col min="4" max="6" width="10.7109375" style="9" customWidth="1"/>
    <col min="7" max="7" width="9.140625" style="9"/>
    <col min="8" max="8" width="14.7109375" style="9" customWidth="1"/>
    <col min="9" max="16384" width="9.140625" style="9"/>
  </cols>
  <sheetData>
    <row r="1" spans="1:8" x14ac:dyDescent="0.2">
      <c r="A1" s="597" t="s">
        <v>536</v>
      </c>
      <c r="F1" s="3" t="s">
        <v>807</v>
      </c>
    </row>
    <row r="3" spans="1:8" x14ac:dyDescent="0.2">
      <c r="A3" s="9" t="s">
        <v>537</v>
      </c>
      <c r="B3" s="43">
        <f ca="1">TODAY()</f>
        <v>42703</v>
      </c>
      <c r="F3" s="51">
        <f>PatNummer</f>
        <v>123456</v>
      </c>
      <c r="G3" s="52"/>
      <c r="H3" s="53"/>
    </row>
    <row r="4" spans="1:8" x14ac:dyDescent="0.2">
      <c r="A4" s="248" t="s">
        <v>1003</v>
      </c>
      <c r="B4" s="9" t="str">
        <f>BedNummer</f>
        <v>Unit 2.9</v>
      </c>
      <c r="F4" s="54" t="str">
        <f>_AchterNaam&amp;",  "&amp;_VoorNaam</f>
        <v>Test,  Test</v>
      </c>
      <c r="G4" s="55"/>
      <c r="H4" s="56"/>
    </row>
    <row r="5" spans="1:8" x14ac:dyDescent="0.2">
      <c r="A5" s="9" t="s">
        <v>538</v>
      </c>
      <c r="B5" s="9" t="s">
        <v>772</v>
      </c>
      <c r="F5" s="57">
        <f>GebDatum</f>
        <v>42280</v>
      </c>
      <c r="G5" s="55"/>
      <c r="H5" s="56"/>
    </row>
    <row r="6" spans="1:8" x14ac:dyDescent="0.2">
      <c r="A6" s="597"/>
      <c r="F6" s="54" t="s">
        <v>573</v>
      </c>
      <c r="G6" s="55" t="str">
        <f>Gewicht/10&amp;" kg"</f>
        <v>10 kg</v>
      </c>
      <c r="H6" s="56"/>
    </row>
    <row r="7" spans="1:8" x14ac:dyDescent="0.2">
      <c r="A7" s="9" t="s">
        <v>649</v>
      </c>
      <c r="B7" s="9" t="s">
        <v>539</v>
      </c>
      <c r="F7" s="58"/>
      <c r="G7" s="50"/>
      <c r="H7" s="59"/>
    </row>
    <row r="8" spans="1:8" x14ac:dyDescent="0.2">
      <c r="A8" s="9" t="s">
        <v>595</v>
      </c>
      <c r="B8" s="9" t="s">
        <v>539</v>
      </c>
    </row>
    <row r="9" spans="1:8" ht="13.5" thickBot="1" x14ac:dyDescent="0.25">
      <c r="A9" s="9" t="str">
        <f>IF(Gewicht/10&lt;7,"Tot. hoev. vocht* (150 ml/kg/24 uur):","Tot. hoev. vocht* (110-90 ml/kg/24 uur):")</f>
        <v>Tot. hoev. vocht* (110-90 ml/kg/24 uur):</v>
      </c>
      <c r="C9" s="9">
        <f>ber_TPN!F24</f>
        <v>0</v>
      </c>
      <c r="D9" s="9" t="s">
        <v>650</v>
      </c>
    </row>
    <row r="10" spans="1:8" ht="13.5" thickTop="1" x14ac:dyDescent="0.2">
      <c r="A10" s="863" t="s">
        <v>23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32" t="s">
        <v>628</v>
      </c>
      <c r="B11" s="866" t="s">
        <v>384</v>
      </c>
      <c r="C11" s="868"/>
      <c r="D11" s="870" t="s">
        <v>385</v>
      </c>
      <c r="E11" s="870" t="s">
        <v>386</v>
      </c>
      <c r="F11" s="870" t="s">
        <v>387</v>
      </c>
      <c r="G11" s="33"/>
      <c r="H11" s="33" t="s">
        <v>388</v>
      </c>
    </row>
    <row r="12" spans="1:8" ht="25.5" x14ac:dyDescent="0.2">
      <c r="A12" s="34" t="s">
        <v>389</v>
      </c>
      <c r="B12" s="867"/>
      <c r="C12" s="869"/>
      <c r="D12" s="871"/>
      <c r="E12" s="871"/>
      <c r="F12" s="871"/>
      <c r="G12" s="33" t="s">
        <v>390</v>
      </c>
      <c r="H12" s="35" t="s">
        <v>391</v>
      </c>
    </row>
    <row r="13" spans="1:8" ht="20.100000000000001" customHeight="1" x14ac:dyDescent="0.2">
      <c r="A13" s="93" t="str">
        <f>IF(G15&lt;&gt;0,ROUND(G15/24,1)&amp;" ml/u","")</f>
        <v/>
      </c>
      <c r="B13" s="76" t="s">
        <v>174</v>
      </c>
      <c r="C13" s="77"/>
      <c r="D13" s="77" t="s">
        <v>175</v>
      </c>
      <c r="E13" s="77" t="s">
        <v>176</v>
      </c>
      <c r="F13" s="78" t="s">
        <v>177</v>
      </c>
      <c r="G13" s="98" t="str">
        <f>IF(TPN&lt;&gt;1,ber_TPN!F4,"")</f>
        <v/>
      </c>
      <c r="H13" s="33"/>
    </row>
    <row r="14" spans="1:8" ht="20.100000000000001" customHeight="1" x14ac:dyDescent="0.2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2">
      <c r="A15" s="32"/>
      <c r="B15" s="96"/>
      <c r="C15" s="96"/>
      <c r="D15" s="96"/>
      <c r="E15" s="96"/>
      <c r="F15" s="96" t="s">
        <v>464</v>
      </c>
      <c r="G15" s="97">
        <f>SUM(G13:G14)</f>
        <v>0</v>
      </c>
      <c r="H15" s="33"/>
    </row>
    <row r="16" spans="1:8" ht="20.100000000000001" customHeight="1" x14ac:dyDescent="0.2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2">
      <c r="A17" s="94" t="str">
        <f>IF(G19&lt;&gt;0,ROUND(G19/24,1)&amp;" ml/u","")</f>
        <v/>
      </c>
      <c r="B17" s="76" t="s">
        <v>631</v>
      </c>
      <c r="C17" s="77"/>
      <c r="D17" s="77"/>
      <c r="E17" s="73"/>
      <c r="F17" s="74" t="s">
        <v>393</v>
      </c>
      <c r="G17" s="79">
        <f>IF(AND(OR(SSTglucose&lt;11,Gewicht/10&gt;50),TPN&lt;&gt;1),ROUND(ber_TPN!F5,0),0)</f>
        <v>0</v>
      </c>
      <c r="H17" s="33"/>
    </row>
    <row r="18" spans="1:8" ht="20.100000000000001" customHeight="1" x14ac:dyDescent="0.2">
      <c r="A18" s="32"/>
      <c r="B18" s="76" t="s">
        <v>622</v>
      </c>
      <c r="C18" s="77"/>
      <c r="D18" s="77"/>
      <c r="E18" s="77"/>
      <c r="F18" s="78" t="s">
        <v>173</v>
      </c>
      <c r="G18" s="79">
        <f>IF(G17&gt;0,100,0)</f>
        <v>0</v>
      </c>
      <c r="H18" s="33"/>
    </row>
    <row r="19" spans="1:8" ht="20.100000000000001" customHeight="1" x14ac:dyDescent="0.2">
      <c r="A19" s="32"/>
      <c r="B19" s="70"/>
      <c r="C19" s="70"/>
      <c r="D19" s="70"/>
      <c r="E19" s="884" t="s">
        <v>462</v>
      </c>
      <c r="F19" s="884"/>
      <c r="G19" s="67">
        <f>SUM(G17:G18)</f>
        <v>0</v>
      </c>
      <c r="H19" s="33"/>
    </row>
    <row r="20" spans="1:8" ht="20.100000000000001" customHeight="1" x14ac:dyDescent="0.2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2">
      <c r="A21" s="32" t="str">
        <f>IF(G24&lt;&gt;0,ROUND(G24/24,1)&amp;" ml/u","")</f>
        <v/>
      </c>
      <c r="B21" s="72" t="s">
        <v>434</v>
      </c>
      <c r="C21" s="73"/>
      <c r="D21" s="73" t="s">
        <v>178</v>
      </c>
      <c r="E21" s="73" t="s">
        <v>179</v>
      </c>
      <c r="F21" s="74" t="s">
        <v>180</v>
      </c>
      <c r="G21" s="75">
        <f>ROUND(ber_TPN!F13,0)</f>
        <v>0</v>
      </c>
      <c r="H21" s="33"/>
    </row>
    <row r="22" spans="1:8" ht="20.100000000000001" customHeight="1" x14ac:dyDescent="0.2">
      <c r="A22" s="32"/>
      <c r="B22" s="76" t="s">
        <v>435</v>
      </c>
      <c r="C22" s="77"/>
      <c r="D22" s="77"/>
      <c r="E22" s="73"/>
      <c r="F22" s="74" t="s">
        <v>181</v>
      </c>
      <c r="G22" s="79">
        <f>ROUND(ber_TPN!F14,0)</f>
        <v>0</v>
      </c>
      <c r="H22" s="33"/>
    </row>
    <row r="23" spans="1:8" ht="20.100000000000001" customHeight="1" x14ac:dyDescent="0.2">
      <c r="A23" s="32"/>
      <c r="B23" s="76" t="s">
        <v>455</v>
      </c>
      <c r="C23" s="77"/>
      <c r="D23" s="77"/>
      <c r="E23" s="73"/>
      <c r="F23" s="74" t="s">
        <v>181</v>
      </c>
      <c r="G23" s="79">
        <f>ROUND(ber_TPN!F15,0)</f>
        <v>0</v>
      </c>
      <c r="H23" s="33"/>
    </row>
    <row r="24" spans="1:8" ht="20.100000000000001" customHeight="1" x14ac:dyDescent="0.2">
      <c r="A24" s="32"/>
      <c r="B24" s="64"/>
      <c r="C24" s="64"/>
      <c r="D24" s="64"/>
      <c r="E24" s="884" t="s">
        <v>462</v>
      </c>
      <c r="F24" s="884"/>
      <c r="G24" s="69">
        <f>SUM(G21:G23)</f>
        <v>0</v>
      </c>
      <c r="H24" s="65"/>
    </row>
    <row r="25" spans="1:8" ht="15.95" customHeight="1" thickBot="1" x14ac:dyDescent="0.25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2">
      <c r="A26" s="39"/>
      <c r="B26" s="896" t="s">
        <v>246</v>
      </c>
      <c r="C26" s="897"/>
      <c r="D26" s="897"/>
      <c r="E26" s="897"/>
      <c r="F26" s="897"/>
      <c r="G26" s="60"/>
      <c r="H26" s="40"/>
    </row>
    <row r="27" spans="1:8" ht="20.100000000000001" customHeight="1" x14ac:dyDescent="0.2">
      <c r="A27" s="877" t="str">
        <f>IF(G35&lt;&gt;0,ROUND(G35/24,1)&amp;" ml/u","")</f>
        <v/>
      </c>
      <c r="B27" s="83" t="s">
        <v>66</v>
      </c>
      <c r="C27" s="85"/>
      <c r="D27" s="85"/>
      <c r="E27" s="85"/>
      <c r="F27" s="89"/>
      <c r="G27" s="90">
        <f>IF(AND(OR(TPN=1,Gewicht/10&gt;50,AND(TPN=2,SSTglucose&gt;10))),ROUND(ber_TPN!F7,0),"")</f>
        <v>0</v>
      </c>
      <c r="H27" s="33"/>
    </row>
    <row r="28" spans="1:8" ht="20.100000000000001" customHeight="1" x14ac:dyDescent="0.2">
      <c r="A28" s="878"/>
      <c r="B28" s="84" t="s">
        <v>872</v>
      </c>
      <c r="C28" s="87"/>
      <c r="D28" s="87"/>
      <c r="E28" s="87"/>
      <c r="F28" s="91"/>
      <c r="G28" s="92">
        <f>IF(AND(OR(TPN=1,Gewicht/10&gt;50,AND(TPN=2,SSTglucose&gt;10))),ROUND(ber_TPN!F8,0),"")</f>
        <v>0</v>
      </c>
      <c r="H28" s="33"/>
    </row>
    <row r="29" spans="1:8" ht="15.95" customHeight="1" x14ac:dyDescent="0.2">
      <c r="A29" s="62"/>
      <c r="B29" s="84" t="s">
        <v>900</v>
      </c>
      <c r="C29" s="87"/>
      <c r="D29" s="87"/>
      <c r="E29" s="87"/>
      <c r="F29" s="91"/>
      <c r="G29" s="92">
        <f>ber_TPN!F9</f>
        <v>0</v>
      </c>
      <c r="H29" s="33"/>
    </row>
    <row r="30" spans="1:8" ht="15.95" customHeight="1" x14ac:dyDescent="0.2">
      <c r="A30" s="62"/>
      <c r="B30" s="84" t="s">
        <v>901</v>
      </c>
      <c r="C30" s="87"/>
      <c r="D30" s="87"/>
      <c r="E30" s="87"/>
      <c r="F30" s="91"/>
      <c r="G30" s="92">
        <f>ber_TPN!F10</f>
        <v>0</v>
      </c>
      <c r="H30" s="33"/>
    </row>
    <row r="31" spans="1:8" ht="15.95" customHeight="1" x14ac:dyDescent="0.2">
      <c r="A31" s="62"/>
      <c r="B31" s="84" t="s">
        <v>622</v>
      </c>
      <c r="C31" s="87"/>
      <c r="D31" s="87"/>
      <c r="E31" s="87"/>
      <c r="F31" s="91"/>
      <c r="G31" s="92">
        <f>IF(Gewicht/10&lt;=50,ber_TPN!F17,0)+IF(OR(AND(SSTglucose=2,TPN=1),AND(SSTglucose=2,Gewicht/10&gt;50)),ROUND(ber_TPN!F6,0),0)</f>
        <v>0</v>
      </c>
      <c r="H31" s="33"/>
    </row>
    <row r="32" spans="1:8" ht="15.95" customHeight="1" x14ac:dyDescent="0.2">
      <c r="A32" s="62"/>
      <c r="B32" s="84" t="str">
        <f>IF(AND(OR(TPN=1,AND(TPN=2,SSTglucose&gt;10)),SSTglucose&lt;&gt;2,SSTglucose&lt;&gt;12,SSTglucose&lt;&gt;13),INDEX(tblSSTGlucose,SSTglucose,1),"Glucose       %")</f>
        <v>Glucose 5%</v>
      </c>
      <c r="C32" s="87"/>
      <c r="D32" s="87"/>
      <c r="E32" s="87"/>
      <c r="F32" s="91"/>
      <c r="G32" s="92">
        <f>IF(AND(SSTglucose&lt;&gt;2,SSTglucose&lt;&gt;12,SSTglucose&lt;&gt;13),ber_TPN!F6,"")</f>
        <v>0</v>
      </c>
      <c r="H32" s="33"/>
    </row>
    <row r="33" spans="1:8" ht="15.95" customHeight="1" x14ac:dyDescent="0.2">
      <c r="A33" s="62"/>
      <c r="B33" s="894" t="s">
        <v>67</v>
      </c>
      <c r="C33" s="895"/>
      <c r="D33" s="895"/>
      <c r="E33" s="895"/>
      <c r="F33" s="91"/>
      <c r="G33" s="92" t="str">
        <f>IF(AND(SSTglucose=12),ROUND(ber_TPN!F6,0),"")</f>
        <v/>
      </c>
      <c r="H33" s="33"/>
    </row>
    <row r="34" spans="1:8" ht="20.100000000000001" customHeight="1" x14ac:dyDescent="0.2">
      <c r="A34" s="32"/>
      <c r="B34" s="894" t="s">
        <v>68</v>
      </c>
      <c r="C34" s="895"/>
      <c r="D34" s="895"/>
      <c r="E34" s="895"/>
      <c r="F34" s="91"/>
      <c r="G34" s="92" t="str">
        <f>IF(AND(SSTglucose=13),ROUND(ber_TPN!F6,0),"")</f>
        <v/>
      </c>
      <c r="H34" s="33"/>
    </row>
    <row r="35" spans="1:8" ht="20.100000000000001" customHeight="1" x14ac:dyDescent="0.2">
      <c r="A35" s="32"/>
      <c r="B35" s="37"/>
      <c r="C35" s="37"/>
      <c r="D35" s="37"/>
      <c r="E35" s="881" t="s">
        <v>464</v>
      </c>
      <c r="F35" s="881"/>
      <c r="G35" s="68">
        <f>SUM(G27:G34)</f>
        <v>0</v>
      </c>
      <c r="H35" s="33"/>
    </row>
    <row r="36" spans="1:8" ht="20.100000000000001" customHeight="1" thickBot="1" x14ac:dyDescent="0.25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2">
      <c r="A37" s="39"/>
      <c r="B37" s="885" t="s">
        <v>517</v>
      </c>
      <c r="C37" s="886"/>
      <c r="D37" s="886"/>
      <c r="E37" s="886"/>
      <c r="F37" s="887"/>
      <c r="G37" s="40" t="s">
        <v>518</v>
      </c>
      <c r="H37" s="40"/>
    </row>
    <row r="38" spans="1:8" ht="20.100000000000001" customHeight="1" x14ac:dyDescent="0.2">
      <c r="A38" s="41"/>
      <c r="B38" s="872" t="s">
        <v>519</v>
      </c>
      <c r="C38" s="873"/>
      <c r="D38" s="873"/>
      <c r="E38" s="873"/>
      <c r="F38" s="874"/>
      <c r="G38" s="35" t="s">
        <v>520</v>
      </c>
      <c r="H38" s="33"/>
    </row>
    <row r="39" spans="1:8" ht="20.100000000000001" customHeight="1" x14ac:dyDescent="0.2">
      <c r="A39" s="41"/>
      <c r="B39" s="872" t="s">
        <v>521</v>
      </c>
      <c r="C39" s="873"/>
      <c r="D39" s="873"/>
      <c r="E39" s="873"/>
      <c r="F39" s="874"/>
      <c r="G39" s="35" t="s">
        <v>518</v>
      </c>
      <c r="H39" s="36"/>
    </row>
    <row r="40" spans="1:8" ht="20.100000000000001" customHeight="1" x14ac:dyDescent="0.2"/>
    <row r="41" spans="1:8" ht="15.95" customHeight="1" x14ac:dyDescent="0.2">
      <c r="A41" s="9" t="s">
        <v>522</v>
      </c>
    </row>
    <row r="42" spans="1:8" ht="10.5" customHeight="1" x14ac:dyDescent="0.2">
      <c r="A42" s="9" t="s">
        <v>463</v>
      </c>
    </row>
    <row r="43" spans="1:8" ht="15.95" customHeight="1" x14ac:dyDescent="0.2"/>
    <row r="44" spans="1:8" ht="15.95" customHeight="1" x14ac:dyDescent="0.2">
      <c r="A44" s="9" t="s">
        <v>523</v>
      </c>
    </row>
    <row r="45" spans="1:8" ht="15.95" customHeight="1" x14ac:dyDescent="0.2"/>
    <row r="46" spans="1:8" x14ac:dyDescent="0.2">
      <c r="A46" s="9" t="s">
        <v>183</v>
      </c>
    </row>
    <row r="48" spans="1:8" x14ac:dyDescent="0.2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>
    <tabColor rgb="FF92D050"/>
  </sheetPr>
  <dimension ref="A1:O40"/>
  <sheetViews>
    <sheetView workbookViewId="0">
      <selection activeCell="A27" sqref="A27:I27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579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509</v>
      </c>
      <c r="C2" t="s">
        <v>245</v>
      </c>
      <c r="D2" s="25" t="s">
        <v>599</v>
      </c>
      <c r="E2" s="25" t="s">
        <v>239</v>
      </c>
      <c r="F2" t="s">
        <v>632</v>
      </c>
      <c r="G2" t="s">
        <v>426</v>
      </c>
      <c r="H2" t="s">
        <v>241</v>
      </c>
      <c r="I2" t="s">
        <v>473</v>
      </c>
      <c r="J2" t="s">
        <v>474</v>
      </c>
      <c r="K2" t="s">
        <v>475</v>
      </c>
      <c r="L2" t="s">
        <v>476</v>
      </c>
      <c r="M2" t="s">
        <v>429</v>
      </c>
      <c r="N2" t="s">
        <v>242</v>
      </c>
      <c r="O2" t="s">
        <v>432</v>
      </c>
    </row>
    <row r="3" spans="1:15" x14ac:dyDescent="0.2">
      <c r="A3" t="s">
        <v>694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2">
      <c r="A4" t="s">
        <v>479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631</v>
      </c>
      <c r="F5">
        <f>IF(AND(Gewicht/10&gt;=16,TPN&gt;1,OR(SSTglucose&lt;11,Gewicht/10&gt;50)),E5,0)</f>
        <v>0</v>
      </c>
    </row>
    <row r="6" spans="1:15" x14ac:dyDescent="0.2">
      <c r="A6" s="579" t="s">
        <v>600</v>
      </c>
      <c r="B6">
        <v>1</v>
      </c>
      <c r="F6">
        <f>IF(Gewicht/10&gt;50,F3-F7-F8-F9-F10,IF(OR(TPN=1,SSTglucose&gt;=11),F3-F7-F8-F9-F10,F3-F4-F5-F7-F8))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689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2">
      <c r="A8" t="s">
        <v>470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2">
      <c r="A9" t="s">
        <v>690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2">
      <c r="A10" t="s">
        <v>645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643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433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434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435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436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s="517" customFormat="1" x14ac:dyDescent="0.2">
      <c r="A16" s="518" t="s">
        <v>2423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2">
      <c r="A17" t="s">
        <v>353</v>
      </c>
      <c r="F17">
        <f>IF(AND(TPN=2,Gewicht/10&lt;=50,SSTglucose&lt;11),ROUND((F9*4+F10*4)/10,0)*10,IF(AND(TPN=2,Gewicht/10&gt;50),100,0))</f>
        <v>0</v>
      </c>
      <c r="G17">
        <f>F17*0.1</f>
        <v>0</v>
      </c>
    </row>
    <row r="18" spans="1:15" x14ac:dyDescent="0.2">
      <c r="A18" t="s">
        <v>240</v>
      </c>
      <c r="F18">
        <f>(ROUND(ber_TPN!F11*1.5/(Gewicht/10)/24/0.01,1)*24-ber_TPN!F11)</f>
        <v>0</v>
      </c>
      <c r="G18">
        <f>F18*0.05</f>
        <v>0</v>
      </c>
      <c r="N18">
        <f>4*G18</f>
        <v>0</v>
      </c>
    </row>
    <row r="19" spans="1:15" x14ac:dyDescent="0.2">
      <c r="A19" t="s">
        <v>695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600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689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470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243</v>
      </c>
      <c r="F24">
        <f>IF(Gewicht/10&gt;50,SUM(F3+F4+F12+F18+F17+F19),IF(TPN=1,SUM(F3+F12+F17+F18+F19),SUM(F3+F9+F10+F12+F17+F18+F19)))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61"/>
      <c r="B26" s="61" t="s">
        <v>471</v>
      </c>
      <c r="C26" s="61" t="s">
        <v>472</v>
      </c>
      <c r="D26" s="61" t="s">
        <v>473</v>
      </c>
      <c r="E26" s="61" t="s">
        <v>474</v>
      </c>
      <c r="F26" s="61" t="s">
        <v>475</v>
      </c>
      <c r="G26" s="61" t="s">
        <v>476</v>
      </c>
      <c r="H26" s="61" t="s">
        <v>477</v>
      </c>
      <c r="I26" s="61" t="s">
        <v>478</v>
      </c>
      <c r="L26" t="s">
        <v>237</v>
      </c>
      <c r="M26" t="s">
        <v>238</v>
      </c>
      <c r="N26" t="s">
        <v>189</v>
      </c>
    </row>
    <row r="27" spans="1:15" x14ac:dyDescent="0.2">
      <c r="A27" t="s">
        <v>687</v>
      </c>
      <c r="B27">
        <v>7.3999999999999996E-2</v>
      </c>
      <c r="C27">
        <v>0</v>
      </c>
      <c r="D27">
        <v>7.1428571428571426E-3</v>
      </c>
      <c r="E27">
        <v>1.7000000000000001E-2</v>
      </c>
      <c r="F27">
        <v>2.5000000000000001E-2</v>
      </c>
      <c r="G27">
        <v>6.0000000000000001E-3</v>
      </c>
      <c r="H27">
        <v>2.1000000000000001E-2</v>
      </c>
      <c r="I27">
        <v>0.28999999999999998</v>
      </c>
      <c r="J27">
        <v>1</v>
      </c>
      <c r="K27" t="s">
        <v>621</v>
      </c>
      <c r="L27">
        <v>0.05</v>
      </c>
      <c r="M27">
        <v>0</v>
      </c>
    </row>
    <row r="28" spans="1:15" x14ac:dyDescent="0.2">
      <c r="A28" s="61" t="s">
        <v>688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622</v>
      </c>
      <c r="L28">
        <v>0.1</v>
      </c>
      <c r="M28">
        <v>0</v>
      </c>
    </row>
    <row r="29" spans="1:15" x14ac:dyDescent="0.2">
      <c r="A29" s="61" t="s">
        <v>687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188</v>
      </c>
      <c r="L29">
        <v>0.125</v>
      </c>
    </row>
    <row r="30" spans="1:15" x14ac:dyDescent="0.2">
      <c r="A30" s="61" t="s">
        <v>688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200</v>
      </c>
      <c r="L30">
        <v>0.15</v>
      </c>
      <c r="M30">
        <v>0</v>
      </c>
    </row>
    <row r="31" spans="1:15" x14ac:dyDescent="0.2">
      <c r="A31" s="61" t="s">
        <v>86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187</v>
      </c>
      <c r="L31">
        <v>0.17499999999999999</v>
      </c>
    </row>
    <row r="32" spans="1:15" x14ac:dyDescent="0.2">
      <c r="A32" s="61" t="s">
        <v>87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198</v>
      </c>
      <c r="L32">
        <v>0.2</v>
      </c>
      <c r="M32">
        <v>0</v>
      </c>
    </row>
    <row r="33" spans="1:15" x14ac:dyDescent="0.2">
      <c r="A33" s="61" t="s">
        <v>182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461</v>
      </c>
      <c r="L33">
        <v>0.25</v>
      </c>
      <c r="M33">
        <v>0</v>
      </c>
    </row>
    <row r="34" spans="1:15" x14ac:dyDescent="0.2">
      <c r="J34">
        <v>8</v>
      </c>
      <c r="K34" t="s">
        <v>460</v>
      </c>
      <c r="L34">
        <v>0.3</v>
      </c>
      <c r="M34">
        <v>0</v>
      </c>
    </row>
    <row r="35" spans="1:15" x14ac:dyDescent="0.2">
      <c r="J35">
        <v>9</v>
      </c>
      <c r="K35" t="s">
        <v>565</v>
      </c>
      <c r="L35">
        <v>0.4</v>
      </c>
      <c r="M35">
        <v>0</v>
      </c>
      <c r="N35">
        <v>0</v>
      </c>
    </row>
    <row r="36" spans="1:15" x14ac:dyDescent="0.2">
      <c r="A36" s="61" t="s">
        <v>687</v>
      </c>
      <c r="J36">
        <v>10</v>
      </c>
      <c r="K36" t="s">
        <v>199</v>
      </c>
      <c r="L36">
        <v>0.5</v>
      </c>
      <c r="M36">
        <v>0</v>
      </c>
    </row>
    <row r="37" spans="1:15" x14ac:dyDescent="0.2">
      <c r="A37" s="61" t="s">
        <v>688</v>
      </c>
      <c r="J37">
        <v>11</v>
      </c>
      <c r="K37" t="s">
        <v>934</v>
      </c>
      <c r="L37">
        <v>0.05</v>
      </c>
      <c r="M37">
        <v>7.6999999999999999E-2</v>
      </c>
      <c r="O37">
        <v>0</v>
      </c>
    </row>
    <row r="38" spans="1:15" x14ac:dyDescent="0.2">
      <c r="A38" s="61" t="s">
        <v>86</v>
      </c>
      <c r="J38">
        <v>12</v>
      </c>
      <c r="K38" t="s">
        <v>935</v>
      </c>
      <c r="L38">
        <v>0.05</v>
      </c>
      <c r="M38">
        <v>0.155</v>
      </c>
      <c r="O38">
        <v>0</v>
      </c>
    </row>
    <row r="39" spans="1:15" x14ac:dyDescent="0.2">
      <c r="A39" s="61" t="s">
        <v>87</v>
      </c>
      <c r="J39">
        <v>13</v>
      </c>
      <c r="K39" t="s">
        <v>630</v>
      </c>
      <c r="L39">
        <v>0</v>
      </c>
      <c r="M39">
        <v>0.155</v>
      </c>
      <c r="O39">
        <v>0</v>
      </c>
    </row>
    <row r="40" spans="1:15" x14ac:dyDescent="0.2">
      <c r="A40" s="61" t="s">
        <v>182</v>
      </c>
      <c r="J40">
        <v>14</v>
      </c>
      <c r="K40" s="9" t="s">
        <v>936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ider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fspraken">
    <tabColor rgb="FF7030A0"/>
    <pageSetUpPr autoPageBreaks="0"/>
  </sheetPr>
  <dimension ref="A1:O75"/>
  <sheetViews>
    <sheetView workbookViewId="0">
      <pane ySplit="8" topLeftCell="A18" activePane="bottomLeft" state="frozenSplit"/>
      <selection activeCell="A9" sqref="A9"/>
      <selection pane="bottomLeft" activeCell="C42" sqref="C42"/>
    </sheetView>
  </sheetViews>
  <sheetFormatPr defaultRowHeight="15.95" customHeight="1" x14ac:dyDescent="0.2"/>
  <cols>
    <col min="1" max="1" width="3.7109375" style="421" customWidth="1"/>
    <col min="2" max="5" width="12.42578125" style="421" customWidth="1"/>
    <col min="6" max="6" width="10.7109375" style="421" customWidth="1"/>
    <col min="7" max="11" width="12.42578125" style="421" customWidth="1"/>
    <col min="12" max="12" width="5.28515625" style="421" customWidth="1"/>
    <col min="13" max="13" width="7.85546875" style="421" customWidth="1"/>
    <col min="14" max="14" width="17.140625" style="421" customWidth="1"/>
    <col min="15" max="19" width="12.42578125" style="421" customWidth="1"/>
    <col min="20" max="16384" width="9.140625" style="421"/>
  </cols>
  <sheetData>
    <row r="1" spans="1:15" ht="9.75" customHeight="1" x14ac:dyDescent="0.2">
      <c r="A1" s="599"/>
      <c r="B1" s="422" t="str">
        <f>IF(E60&lt;0,"Te weinig volume voor TPN!","")</f>
        <v/>
      </c>
    </row>
    <row r="2" spans="1:15" ht="15.95" customHeight="1" x14ac:dyDescent="0.2">
      <c r="B2" s="423" t="s">
        <v>729</v>
      </c>
      <c r="C2" s="423" t="s">
        <v>1044</v>
      </c>
      <c r="D2" s="423" t="s">
        <v>1045</v>
      </c>
      <c r="E2" s="423" t="s">
        <v>243</v>
      </c>
      <c r="G2" s="423"/>
      <c r="H2" s="423" t="s">
        <v>1044</v>
      </c>
      <c r="I2" s="423" t="s">
        <v>1045</v>
      </c>
      <c r="J2" s="423" t="s">
        <v>243</v>
      </c>
    </row>
    <row r="3" spans="1:15" ht="15.95" customHeight="1" x14ac:dyDescent="0.2">
      <c r="B3" s="424" t="s">
        <v>632</v>
      </c>
      <c r="C3" s="425" t="str">
        <f ca="1">ROUND(Berekeningen!L50/_Gewicht,0)&amp;" ml/kg"</f>
        <v>0 ml/kg</v>
      </c>
      <c r="D3" s="425" t="str">
        <f>ROUND(Berekeningen!L49/_Gewicht,0)&amp;" ml/kg"</f>
        <v>0 ml/kg</v>
      </c>
      <c r="E3" s="425" t="str">
        <f ca="1">ROUND(Berekeningen!L47/_Gewicht,0)&amp;" ml/kg  "&amp;"= "&amp;ROUND(Berekeningen!L47,0)&amp;" ml"</f>
        <v>0 ml/kg  = 0 ml</v>
      </c>
      <c r="G3" s="424" t="s">
        <v>378</v>
      </c>
      <c r="H3" s="425" t="str">
        <f ca="1">ROUND(Berekeningen!M50/_Gewicht,1)&amp;" mmol/kg"</f>
        <v>0 mmol/kg</v>
      </c>
      <c r="I3" s="425" t="str">
        <f>ROUND(Berekeningen!M49/_Gewicht,1)&amp;" mmol/kg"</f>
        <v>0 mmol/kg</v>
      </c>
      <c r="J3" s="425" t="str">
        <f ca="1">ROUND(Berekeningen!M47/_Gewicht,1)&amp;" mmol/kg"</f>
        <v>0 mmol/kg</v>
      </c>
      <c r="K3" s="900" t="s">
        <v>2292</v>
      </c>
      <c r="L3" s="900"/>
      <c r="M3" s="900"/>
      <c r="N3" s="900"/>
    </row>
    <row r="4" spans="1:15" ht="15.95" customHeight="1" x14ac:dyDescent="0.2">
      <c r="B4" s="424" t="s">
        <v>466</v>
      </c>
      <c r="C4" s="425" t="str">
        <f ca="1">ROUND(Berekeningen!R50/_Gewicht,1)&amp;" g/kg"</f>
        <v>0 g/kg</v>
      </c>
      <c r="D4" s="425" t="str">
        <f>ROUND(Berekeningen!R49/_Gewicht,1)&amp;" g/kg"</f>
        <v>0 g/kg</v>
      </c>
      <c r="E4" s="425" t="str">
        <f ca="1">ROUND(Berekeningen!R47/_Gewicht,1)&amp;" g/kg"</f>
        <v>0 g/kg</v>
      </c>
      <c r="G4" s="424" t="s">
        <v>578</v>
      </c>
      <c r="H4" s="425" t="str">
        <f ca="1">ROUND(Berekeningen!N50/_Gewicht,1)&amp;" mmol/kg"</f>
        <v>0 mmol/kg</v>
      </c>
      <c r="I4" s="425" t="str">
        <f>ROUND(Berekeningen!N49/_Gewicht,1)&amp;" mmol/kg"</f>
        <v>0 mmol/kg</v>
      </c>
      <c r="J4" s="425" t="str">
        <f ca="1">ROUND(Berekeningen!N47/_Gewicht,1)&amp;" mmol/kg"</f>
        <v>0 mmol/kg</v>
      </c>
      <c r="K4" s="900"/>
      <c r="L4" s="900"/>
      <c r="M4" s="900"/>
      <c r="N4" s="900"/>
    </row>
    <row r="5" spans="1:15" ht="15.95" customHeight="1" x14ac:dyDescent="0.2">
      <c r="B5" s="424" t="s">
        <v>467</v>
      </c>
      <c r="C5" s="425" t="str">
        <f ca="1">ROUND(Berekeningen!T50/_Gewicht,1)&amp;" g/kg"</f>
        <v>0 g/kg</v>
      </c>
      <c r="D5" s="425" t="str">
        <f>ROUND(Berekeningen!T49/_Gewicht,1)&amp;" g/kg"</f>
        <v>0 g/kg</v>
      </c>
      <c r="E5" s="425" t="str">
        <f ca="1">ROUND(Berekeningen!T47/_Gewicht,1)&amp;" g/kg"</f>
        <v>0 g/kg</v>
      </c>
      <c r="G5" s="424" t="s">
        <v>468</v>
      </c>
      <c r="H5" s="425" t="str">
        <f ca="1">ROUND(Berekeningen!O50/_Gewicht,1)&amp;" mmol/kg"</f>
        <v>0 mmol/kg</v>
      </c>
      <c r="I5" s="425" t="str">
        <f>ROUND(Berekeningen!O49/_Gewicht,1)&amp;" mmol/kg"</f>
        <v>0 mmol/kg</v>
      </c>
      <c r="J5" s="425" t="str">
        <f ca="1">ROUND(Berekeningen!O47/_Gewicht,1)&amp;" mmol/kg"</f>
        <v>0 mmol/kg</v>
      </c>
      <c r="K5" s="900"/>
      <c r="L5" s="900"/>
      <c r="M5" s="900"/>
      <c r="N5" s="900"/>
    </row>
    <row r="6" spans="1:15" ht="15.95" customHeight="1" x14ac:dyDescent="0.2">
      <c r="A6" s="599"/>
      <c r="B6" s="424" t="s">
        <v>1046</v>
      </c>
      <c r="C6" s="425" t="str">
        <f>ROUND(1000*Berekeningen!S50/_Gewicht/1440,1)&amp;" mg/kg/min"</f>
        <v>0 mg/kg/min</v>
      </c>
      <c r="D6" s="425" t="str">
        <f>ROUND(1000*Berekeningen!S49/_Gewicht/1440,1)&amp;" mg/kg/min"</f>
        <v>0 mg/kg/min</v>
      </c>
      <c r="E6" s="425" t="str">
        <f>ROUND(1000*Berekeningen!S47/_Gewicht/1440,1)&amp;" mg/kg/min"</f>
        <v>0 mg/kg/min</v>
      </c>
      <c r="G6" s="424" t="s">
        <v>644</v>
      </c>
      <c r="H6" s="425" t="str">
        <f ca="1">ROUND(Berekeningen!P50/_Gewicht,1)&amp;" mmol/kg"</f>
        <v>0 mmol/kg</v>
      </c>
      <c r="I6" s="425" t="str">
        <f>ROUND(Berekeningen!P49/_Gewicht,1)&amp;" mmol/kg"</f>
        <v>0 mmol/kg</v>
      </c>
      <c r="J6" s="425" t="str">
        <f ca="1">ROUND(Berekeningen!P47/_Gewicht,1)&amp;" mmol/kg"</f>
        <v>0 mmol/kg</v>
      </c>
      <c r="K6" s="900"/>
      <c r="L6" s="900"/>
      <c r="M6" s="900"/>
      <c r="N6" s="900"/>
    </row>
    <row r="7" spans="1:15" ht="15.95" customHeight="1" x14ac:dyDescent="0.2">
      <c r="B7" s="424" t="s">
        <v>1039</v>
      </c>
      <c r="C7" s="425" t="str">
        <f ca="1">ROUND(Berekeningen!U50/_Gewicht,1)&amp; " kcal/kg"</f>
        <v>0 kcal/kg</v>
      </c>
      <c r="D7" s="425" t="str">
        <f>ROUND(Berekeningen!U49/_Gewicht,1)&amp; " kcal/kg"</f>
        <v>0 kcal/kg</v>
      </c>
      <c r="E7" s="425" t="str">
        <f ca="1">ROUND(Berekeningen!U47/_Gewicht,1)&amp; " kcal/kg"</f>
        <v>0 kcal/kg</v>
      </c>
      <c r="G7" s="424" t="s">
        <v>1047</v>
      </c>
      <c r="H7" s="425" t="str">
        <f ca="1">ROUND(Berekeningen!V50/_Gewicht,1)&amp;" mmol/kg"</f>
        <v>0 mmol/kg</v>
      </c>
      <c r="I7" s="425" t="str">
        <f>ROUND(Berekeningen!V49/_Gewicht,1)&amp;" mmol/kg"</f>
        <v>0 mmol/kg</v>
      </c>
      <c r="J7" s="425" t="str">
        <f ca="1">ROUND(Berekeningen!V47/_Gewicht,1)&amp;" mmol/kg"</f>
        <v>0 mmol/kg</v>
      </c>
    </row>
    <row r="8" spans="1:15" ht="15.95" customHeight="1" thickBot="1" x14ac:dyDescent="0.25">
      <c r="A8" s="426"/>
      <c r="B8" s="427" t="s">
        <v>1048</v>
      </c>
      <c r="C8" s="428" t="str">
        <f ca="1">ROUND(Berekeningen!W50,0)&amp; " IE"</f>
        <v>0 IE</v>
      </c>
      <c r="D8" s="428" t="str">
        <f>ROUND(Berekeningen!W49,0)&amp; " IE"</f>
        <v>0 IE</v>
      </c>
      <c r="E8" s="428" t="str">
        <f ca="1">ROUND(Berekeningen!W47,0)&amp; " IE"</f>
        <v>0 IE</v>
      </c>
      <c r="F8" s="426"/>
      <c r="G8" s="427" t="s">
        <v>469</v>
      </c>
      <c r="H8" s="428" t="str">
        <f>ROUND(Berekeningen!Q50/_Gewicht,1)&amp;" mmol/kg"</f>
        <v>0 mmol/kg</v>
      </c>
      <c r="I8" s="428" t="str">
        <f>ROUND(Berekeningen!Q49/_Gewicht,1)&amp;" mmol/kg"</f>
        <v>0 mmol/kg</v>
      </c>
      <c r="J8" s="428" t="str">
        <f>ROUND(Berekeningen!Q47/_Gewicht,1)&amp;" mmol/kg"</f>
        <v>0 mmol/kg</v>
      </c>
      <c r="K8" s="426"/>
      <c r="L8" s="426"/>
      <c r="M8" s="426"/>
      <c r="N8" s="426"/>
      <c r="O8" s="426"/>
    </row>
    <row r="9" spans="1:15" ht="8.25" customHeight="1" thickTop="1" x14ac:dyDescent="0.2">
      <c r="A9" s="609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2">
      <c r="B10" s="498" t="s">
        <v>1049</v>
      </c>
      <c r="C10" s="499"/>
      <c r="D10" s="499"/>
      <c r="E10" s="499"/>
      <c r="F10" s="499"/>
      <c r="G10" s="500" t="s">
        <v>708</v>
      </c>
      <c r="H10" s="499"/>
      <c r="I10" s="499">
        <f>PatNummer</f>
        <v>123456</v>
      </c>
      <c r="J10" s="499"/>
      <c r="K10" s="499"/>
      <c r="L10" s="499"/>
      <c r="M10" s="499"/>
    </row>
    <row r="11" spans="1:15" ht="15.95" customHeight="1" x14ac:dyDescent="0.2">
      <c r="B11" s="498" t="s">
        <v>1050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Test,  Test</v>
      </c>
      <c r="J11" s="502"/>
      <c r="K11" s="499"/>
      <c r="L11" s="499"/>
      <c r="M11" s="499"/>
    </row>
    <row r="12" spans="1:15" ht="15.95" customHeight="1" x14ac:dyDescent="0.2">
      <c r="B12" s="498" t="s">
        <v>1051</v>
      </c>
      <c r="C12" s="499"/>
      <c r="D12" s="499"/>
      <c r="E12" s="499"/>
      <c r="F12" s="499"/>
      <c r="G12" s="500" t="s">
        <v>1052</v>
      </c>
      <c r="H12" s="499"/>
      <c r="I12" s="503">
        <f>Berekeningen!B3-Berekeningen!C3</f>
        <v>42280</v>
      </c>
      <c r="J12" s="504" t="str">
        <f ca="1">"=dag "&amp;Berekeningen!B6</f>
        <v>=dag 424</v>
      </c>
      <c r="K12" s="499"/>
      <c r="L12" s="499"/>
      <c r="M12" s="499"/>
    </row>
    <row r="13" spans="1:15" ht="15.95" customHeight="1" x14ac:dyDescent="0.2">
      <c r="B13" s="499"/>
      <c r="C13" s="499"/>
      <c r="D13" s="499"/>
      <c r="E13" s="499"/>
      <c r="F13" s="499"/>
      <c r="G13" s="500" t="s">
        <v>1009</v>
      </c>
      <c r="H13" s="505">
        <f>Berekeningen!D4</f>
        <v>0</v>
      </c>
      <c r="I13" s="506" t="s">
        <v>1053</v>
      </c>
      <c r="J13" s="505">
        <f>Berekeningen!D5</f>
        <v>0</v>
      </c>
      <c r="K13" s="506" t="s">
        <v>1054</v>
      </c>
      <c r="L13" s="506"/>
      <c r="M13" s="499"/>
    </row>
    <row r="14" spans="1:15" ht="15.95" customHeight="1" x14ac:dyDescent="0.2">
      <c r="B14" s="500" t="s">
        <v>624</v>
      </c>
      <c r="C14" s="503">
        <f>Berekeningen!B5</f>
        <v>42698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2">
      <c r="B15" s="507" t="s">
        <v>1004</v>
      </c>
      <c r="C15" s="508" t="str">
        <f>BedNummer</f>
        <v>Unit 2.9</v>
      </c>
      <c r="D15" s="509"/>
      <c r="E15" s="499"/>
      <c r="F15" s="499"/>
      <c r="G15" s="500" t="s">
        <v>574</v>
      </c>
      <c r="H15" s="510" t="str">
        <f ca="1">TRUNC((H13*7+J13+Berekeningen!B6-1)/7)&amp;" weken en "&amp; H13*7+J13+Berekeningen!B6-1-TRUNC((H13*7+J13+Berekeningen!B6-1)/7)*7&amp;" dag(-en)"</f>
        <v>60 weken en 3 dag(-en)</v>
      </c>
      <c r="I15" s="499"/>
      <c r="J15" s="499"/>
      <c r="K15" s="499"/>
      <c r="L15" s="499"/>
      <c r="M15" s="499"/>
    </row>
    <row r="16" spans="1:15" ht="15.95" customHeight="1" x14ac:dyDescent="0.2">
      <c r="B16" s="511"/>
      <c r="C16" s="512"/>
      <c r="D16" s="512"/>
      <c r="E16" s="512"/>
      <c r="F16" s="512"/>
      <c r="G16" s="511" t="s">
        <v>1023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2">
      <c r="B17" s="424"/>
      <c r="K17" s="435" t="s">
        <v>1055</v>
      </c>
      <c r="L17" s="435"/>
    </row>
    <row r="18" spans="1:15" ht="15.95" customHeight="1" x14ac:dyDescent="0.2">
      <c r="B18" s="424" t="s">
        <v>1056</v>
      </c>
      <c r="E18" s="436">
        <f ca="1">IF(Berekeningen!B17,Berekeningen!C16,ROUND(Berekeningen!L47/_Gewicht,1))</f>
        <v>0</v>
      </c>
      <c r="F18" s="437" t="s">
        <v>1057</v>
      </c>
      <c r="K18" s="438" t="str">
        <f ca="1">ROUND(Berekeningen!B16,0)&amp;" ml/ kg/ 24 uur"</f>
        <v>150 ml/ kg/ 24 uur</v>
      </c>
      <c r="L18" s="438"/>
      <c r="M18" s="439"/>
    </row>
    <row r="19" spans="1:15" ht="15.95" customHeight="1" x14ac:dyDescent="0.2">
      <c r="B19" s="424" t="s">
        <v>1058</v>
      </c>
      <c r="F19" s="437"/>
      <c r="K19" s="440"/>
      <c r="L19" s="440"/>
      <c r="M19" s="429"/>
    </row>
    <row r="21" spans="1:15" ht="15.95" customHeight="1" x14ac:dyDescent="0.2">
      <c r="D21" s="441" t="s">
        <v>1059</v>
      </c>
      <c r="E21" s="442" t="str">
        <f>IF(_Voeding&gt;1,Berekeningen!D10,"")</f>
        <v/>
      </c>
      <c r="F21" s="443" t="s">
        <v>1060</v>
      </c>
      <c r="G21" s="444" t="str">
        <f>IF(_Voeding&gt;1,Berekeningen!D11/10&amp;" ml","")</f>
        <v/>
      </c>
      <c r="H21" s="445" t="s">
        <v>1061</v>
      </c>
    </row>
    <row r="22" spans="1:15" ht="15.95" customHeight="1" x14ac:dyDescent="0.2">
      <c r="D22" s="441" t="s">
        <v>1062</v>
      </c>
      <c r="E22" s="442" t="str">
        <f>IF(_Voeding&gt;1,Berekeningen!D12,"")</f>
        <v/>
      </c>
      <c r="F22" s="443" t="s">
        <v>1060</v>
      </c>
      <c r="G22" s="444" t="str">
        <f>IF(_Voeding&gt;1,Berekeningen!D13/10&amp;" ml","")</f>
        <v/>
      </c>
      <c r="I22" s="441" t="s">
        <v>1660</v>
      </c>
      <c r="M22" s="441" t="s">
        <v>1661</v>
      </c>
    </row>
    <row r="23" spans="1:15" ht="15.95" customHeight="1" x14ac:dyDescent="0.2">
      <c r="H23" s="441"/>
      <c r="I23" s="611" t="s">
        <v>1678</v>
      </c>
      <c r="K23" s="446" t="e">
        <f>INDEX(_VoedingBMFWaarden,Berekeningen!L52)&amp;" %"</f>
        <v>#VALUE!</v>
      </c>
    </row>
    <row r="24" spans="1:15" ht="15.95" customHeight="1" x14ac:dyDescent="0.2">
      <c r="H24" s="441"/>
      <c r="K24" s="446" t="e">
        <f>INDEX(_VoedingToevoegingenWaarden,Berekeningen!L53)&amp;" %"</f>
        <v>#VALUE!</v>
      </c>
      <c r="O24" s="446" t="e">
        <f>INDEX(_VoedingToevoegingenWaarden,Berekeningen!L58)&amp;" %"</f>
        <v>#VALUE!</v>
      </c>
    </row>
    <row r="25" spans="1:15" ht="15.95" customHeight="1" x14ac:dyDescent="0.2">
      <c r="H25" s="441"/>
      <c r="K25" s="446" t="e">
        <f>INDEX(_VoedingToevoegingenWaarden,Berekeningen!L54)&amp;" %"</f>
        <v>#VALUE!</v>
      </c>
      <c r="O25" s="446" t="e">
        <f>INDEX(_VoedingToevoegingenWaarden,Berekeningen!L59)&amp;" %"</f>
        <v>#VALUE!</v>
      </c>
    </row>
    <row r="26" spans="1:15" ht="15.95" customHeight="1" x14ac:dyDescent="0.2">
      <c r="H26" s="441"/>
      <c r="K26" s="446" t="e">
        <f>INDEX(_VoedingToevoegingenWaarden,Berekeningen!L55)&amp;" %"</f>
        <v>#VALUE!</v>
      </c>
      <c r="O26" s="446" t="e">
        <f>INDEX(_VoedingToevoegingenWaarden,Berekeningen!L60)&amp;" %"</f>
        <v>#VALUE!</v>
      </c>
    </row>
    <row r="27" spans="1:15" ht="15.95" customHeight="1" x14ac:dyDescent="0.2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INDEX(_VoedingToevoegingenWaarden,Berekeningen!L56)&amp;" %"</f>
        <v>#VALUE!</v>
      </c>
      <c r="L27" s="447"/>
      <c r="M27" s="447"/>
      <c r="N27" s="447"/>
      <c r="O27" s="446" t="e">
        <f>INDEX(_VoedingToevoegingenWaarden,Berekeningen!L61)&amp;" %"</f>
        <v>#VALUE!</v>
      </c>
    </row>
    <row r="28" spans="1:15" ht="15.95" customHeight="1" x14ac:dyDescent="0.2">
      <c r="B28" s="424" t="s">
        <v>1063</v>
      </c>
      <c r="E28" s="449">
        <f ca="1">IF(Berekeningen!B17,Berekeningen!C17,Berekeningen!L50)</f>
        <v>0</v>
      </c>
      <c r="F28" s="437" t="s">
        <v>1064</v>
      </c>
    </row>
    <row r="29" spans="1:15" ht="15.95" customHeight="1" x14ac:dyDescent="0.2">
      <c r="H29" s="435" t="s">
        <v>1065</v>
      </c>
      <c r="I29" s="435"/>
      <c r="J29" s="450" t="s">
        <v>1013</v>
      </c>
      <c r="K29" s="435" t="s">
        <v>1066</v>
      </c>
      <c r="L29" s="435"/>
      <c r="N29" s="435" t="s">
        <v>1067</v>
      </c>
    </row>
    <row r="30" spans="1:15" ht="15.95" customHeight="1" x14ac:dyDescent="0.2">
      <c r="A30" s="451"/>
      <c r="B30" s="430" t="s">
        <v>1455</v>
      </c>
      <c r="C30" s="429"/>
      <c r="D30" s="429"/>
      <c r="E30" s="429"/>
      <c r="F30" s="429"/>
      <c r="G30" s="452" t="str">
        <f>Berekeningen!B18/10&amp;"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" customHeight="1" x14ac:dyDescent="0.2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2">
      <c r="A32" s="451">
        <v>1</v>
      </c>
      <c r="B32" s="455"/>
      <c r="C32" s="456" t="str">
        <f>IF(Berekeningen!C20&gt;0,IF(Berekeningen!B20&lt;&gt;5,Berekeningen!C20/10&amp;" mg",Berekeningen!C20/10&amp;" mg"),"")</f>
        <v/>
      </c>
      <c r="D32" s="456" t="str">
        <f>IF(Berekeningen!D20&gt;0,"in "&amp;Berekeningen!D20&amp;" ml","")</f>
        <v/>
      </c>
      <c r="E32" s="457"/>
      <c r="F32" s="455"/>
      <c r="G32" s="458" t="str">
        <f>IF(Berekeningen!F20/10&gt;0,Berekeningen!F20/10&amp;" ml/uur","")</f>
        <v/>
      </c>
      <c r="H32" s="456" t="str">
        <f>IF(AND(Berekeningen!I20&gt;0),ROUND(Berekeningen!I20,2),"")</f>
        <v/>
      </c>
      <c r="I32" s="456">
        <f>IF(_Medicament_1&gt;0,INDEX(Medicamenten,Berekeningen!B20,6),"")</f>
        <v>0</v>
      </c>
      <c r="J32" s="439"/>
      <c r="K32" s="438">
        <f>INDEX(Medicamenten,Berekeningen!B20,2)</f>
        <v>0</v>
      </c>
      <c r="L32" s="438"/>
      <c r="M32" s="459"/>
      <c r="N32" s="460" t="str">
        <f>IF(Berekeningen!I20&gt;0,IF(Berekeningen!Y20*10&gt;1,Berekeningen!X20&amp;" uren",Berekeningen!X20&amp;" minuten"),"")</f>
        <v/>
      </c>
    </row>
    <row r="33" spans="1:14" ht="15.95" customHeight="1" x14ac:dyDescent="0.2">
      <c r="A33" s="451">
        <v>2</v>
      </c>
      <c r="B33" s="461"/>
      <c r="C33" s="462" t="str">
        <f>IF(Berekeningen!C21&gt;0,Berekeningen!C21/10&amp;" mg","")</f>
        <v/>
      </c>
      <c r="D33" s="462" t="str">
        <f>IF(Berekeningen!D21&gt;0,"in "&amp;Berekeningen!D21&amp;" ml","")</f>
        <v/>
      </c>
      <c r="E33" s="463"/>
      <c r="F33" s="461"/>
      <c r="G33" s="464" t="str">
        <f>IF(Berekeningen!F21/10&gt;0,Berekeningen!F21/10&amp;" ml/uur","")</f>
        <v/>
      </c>
      <c r="H33" s="456" t="str">
        <f>IF(AND(Berekeningen!I21&gt;0),ROUND(Berekeningen!I21,2),"")</f>
        <v/>
      </c>
      <c r="I33" s="456">
        <f>IF(_Medicament_1&gt;0,INDEX(Medicamenten,Berekeningen!B21,6),"")</f>
        <v>0</v>
      </c>
      <c r="J33" s="465"/>
      <c r="K33" s="466">
        <f>INDEX(Medicamenten,Berekeningen!B21,2)</f>
        <v>0</v>
      </c>
      <c r="L33" s="466"/>
      <c r="M33" s="467"/>
      <c r="N33" s="468" t="str">
        <f>IF(Berekeningen!I21&gt;0,IF(Berekeningen!Y21*10&gt;1,Berekeningen!X21&amp;" uren",Berekeningen!X21&amp;" minuten"),"")</f>
        <v/>
      </c>
    </row>
    <row r="34" spans="1:14" ht="15.95" customHeight="1" x14ac:dyDescent="0.2">
      <c r="A34" s="451">
        <v>3</v>
      </c>
      <c r="B34" s="461"/>
      <c r="C34" s="462" t="str">
        <f>IF(Berekeningen!C22&gt;0,Berekeningen!C22/10&amp;" mg","")</f>
        <v/>
      </c>
      <c r="D34" s="462" t="str">
        <f>IF(Berekeningen!D22&gt;0,"in "&amp;Berekeningen!D22&amp;" ml","")</f>
        <v/>
      </c>
      <c r="E34" s="463"/>
      <c r="F34" s="461"/>
      <c r="G34" s="464" t="str">
        <f>IF(Berekeningen!F22/10&gt;0,Berekeningen!F22/10&amp;" ml/uur","")</f>
        <v/>
      </c>
      <c r="H34" s="456" t="str">
        <f>IF(AND(Berekeningen!I22&gt;0),ROUND(Berekeningen!I22,2),"")</f>
        <v/>
      </c>
      <c r="I34" s="456">
        <f>IF(_Medicament_1&gt;0,INDEX(Medicamenten,Berekeningen!B22,6),"")</f>
        <v>0</v>
      </c>
      <c r="J34" s="465"/>
      <c r="K34" s="466">
        <f>INDEX(Medicamenten,Berekeningen!B22,2)</f>
        <v>0</v>
      </c>
      <c r="L34" s="466"/>
      <c r="M34" s="467"/>
      <c r="N34" s="468" t="str">
        <f>IF(Berekeningen!I22&gt;0,IF(Berekeningen!Y22*10&gt;1,Berekeningen!X22&amp;" uren",Berekeningen!X22&amp;" minuten"),"")</f>
        <v/>
      </c>
    </row>
    <row r="35" spans="1:14" ht="15.95" customHeight="1" x14ac:dyDescent="0.2">
      <c r="A35" s="451">
        <v>4</v>
      </c>
      <c r="B35" s="461"/>
      <c r="C35" s="462" t="str">
        <f>IF(Berekeningen!C23&gt;0,Berekeningen!C23/10&amp;" mg","")</f>
        <v/>
      </c>
      <c r="D35" s="462" t="str">
        <f>IF(Berekeningen!D23&gt;0,"in "&amp;Berekeningen!D23&amp;" ml","")</f>
        <v/>
      </c>
      <c r="E35" s="463"/>
      <c r="F35" s="461"/>
      <c r="G35" s="464" t="str">
        <f>IF(Berekeningen!F23/10&gt;0,Berekeningen!F23/10&amp;" ml/uur","")</f>
        <v/>
      </c>
      <c r="H35" s="456" t="str">
        <f>IF(AND(Berekeningen!I23&gt;0),ROUND(Berekeningen!I23,2),"")</f>
        <v/>
      </c>
      <c r="I35" s="456">
        <f>IF(_Medicament_1&gt;0,INDEX(Medicamenten,Berekeningen!B23,6),"")</f>
        <v>0</v>
      </c>
      <c r="J35" s="465"/>
      <c r="K35" s="466">
        <f>INDEX(Medicamenten,Berekeningen!B23,2)</f>
        <v>0</v>
      </c>
      <c r="L35" s="466"/>
      <c r="M35" s="467"/>
      <c r="N35" s="468" t="str">
        <f>IF(Berekeningen!I23&gt;0,IF(Berekeningen!Y23*10&gt;1,Berekeningen!X23&amp;" uren",Berekeningen!X23&amp;" minuten"),"")</f>
        <v/>
      </c>
    </row>
    <row r="36" spans="1:14" ht="15.95" customHeight="1" x14ac:dyDescent="0.2">
      <c r="A36" s="451">
        <v>5</v>
      </c>
      <c r="B36" s="461"/>
      <c r="C36" s="462" t="str">
        <f>IF(Berekeningen!C24&gt;0,Berekeningen!C24/10&amp;" mg","")</f>
        <v/>
      </c>
      <c r="D36" s="462" t="str">
        <f>IF(Berekeningen!D24&gt;0,"in "&amp;Berekeningen!D24&amp;" ml","")</f>
        <v/>
      </c>
      <c r="E36" s="463"/>
      <c r="F36" s="461"/>
      <c r="G36" s="464" t="str">
        <f>IF(Berekeningen!F24/10&gt;0,Berekeningen!F24/10&amp;" ml/uur","")</f>
        <v/>
      </c>
      <c r="H36" s="456" t="str">
        <f>IF(AND(Berekeningen!I24&gt;0),ROUND(Berekeningen!I24,2),"")</f>
        <v/>
      </c>
      <c r="I36" s="456">
        <f>IF(_Medicament_1&gt;0,INDEX(Medicamenten,Berekeningen!B24,6),"")</f>
        <v>0</v>
      </c>
      <c r="J36" s="465"/>
      <c r="K36" s="466">
        <f>INDEX(Medicamenten,Berekeningen!B24,2)</f>
        <v>0</v>
      </c>
      <c r="L36" s="466"/>
      <c r="M36" s="467"/>
      <c r="N36" s="468" t="str">
        <f>IF(Berekeningen!I24&gt;0,IF(Berekeningen!Y24*10&gt;1,Berekeningen!X24&amp;" uren",Berekeningen!X24&amp;" minuten"),"")</f>
        <v/>
      </c>
    </row>
    <row r="37" spans="1:14" ht="15.95" customHeight="1" x14ac:dyDescent="0.2">
      <c r="A37" s="451">
        <v>6</v>
      </c>
      <c r="B37" s="461"/>
      <c r="C37" s="462" t="str">
        <f>IF(Berekeningen!C25&gt;0,Berekeningen!C25/10&amp;" mg","")</f>
        <v/>
      </c>
      <c r="D37" s="462" t="str">
        <f>IF(Berekeningen!D25&gt;0,"in "&amp;Berekeningen!D25&amp;" ml","")</f>
        <v/>
      </c>
      <c r="E37" s="463"/>
      <c r="F37" s="461"/>
      <c r="G37" s="464" t="str">
        <f>IF(Berekeningen!F25/10&gt;0,Berekeningen!F25/10&amp;" ml/uur","")</f>
        <v/>
      </c>
      <c r="H37" s="456" t="str">
        <f>IF(AND(Berekeningen!I25&gt;0),ROUND(Berekeningen!I25,2),"")</f>
        <v/>
      </c>
      <c r="I37" s="456">
        <f>IF(_Medicament_1&gt;0,INDEX(Medicamenten,Berekeningen!B25,6),"")</f>
        <v>0</v>
      </c>
      <c r="J37" s="465"/>
      <c r="K37" s="466">
        <f>INDEX(Medicamenten,Berekeningen!B25,2)</f>
        <v>0</v>
      </c>
      <c r="L37" s="466"/>
      <c r="M37" s="467"/>
      <c r="N37" s="468" t="str">
        <f>IF(Berekeningen!I25&gt;0,IF(Berekeningen!Y25*10&gt;1,Berekeningen!X25&amp;" uren",Berekeningen!X25&amp;" minuten"),"")</f>
        <v/>
      </c>
    </row>
    <row r="38" spans="1:14" ht="15.95" customHeight="1" x14ac:dyDescent="0.2">
      <c r="A38" s="451">
        <v>7</v>
      </c>
      <c r="B38" s="461"/>
      <c r="C38" s="462" t="str">
        <f>IF(Berekeningen!C26&gt;0,Berekeningen!C26/10&amp;" mg","")</f>
        <v/>
      </c>
      <c r="D38" s="462" t="str">
        <f>IF(Berekeningen!D26&gt;0,"in "&amp;Berekeningen!D26&amp;" ml","")</f>
        <v/>
      </c>
      <c r="E38" s="463"/>
      <c r="F38" s="461"/>
      <c r="G38" s="464" t="str">
        <f>IF(Berekeningen!F26/10&gt;0,Berekeningen!F26/10&amp;" ml/uur","")</f>
        <v/>
      </c>
      <c r="H38" s="456" t="str">
        <f>IF(AND(Berekeningen!I26&gt;0),ROUND(Berekeningen!I26,2),"")</f>
        <v/>
      </c>
      <c r="I38" s="456">
        <f>IF(_Medicament_1&gt;0,INDEX(Medicamenten,Berekeningen!B26,6),"")</f>
        <v>0</v>
      </c>
      <c r="J38" s="465"/>
      <c r="K38" s="466">
        <f>INDEX(Medicamenten,Berekeningen!B26,2)</f>
        <v>0</v>
      </c>
      <c r="L38" s="466"/>
      <c r="M38" s="467"/>
      <c r="N38" s="468" t="str">
        <f>IF(Berekeningen!I26&gt;0,IF(Berekeningen!Y26*10&gt;1,Berekeningen!X26&amp;" uren",Berekeningen!X26&amp;" minuten"),"")</f>
        <v/>
      </c>
    </row>
    <row r="39" spans="1:14" ht="15.95" customHeight="1" x14ac:dyDescent="0.2">
      <c r="A39" s="451">
        <v>8</v>
      </c>
      <c r="B39" s="461"/>
      <c r="C39" s="462" t="str">
        <f>IF(Berekeningen!C27&gt;0,Berekeningen!C27/10&amp;" mg","")</f>
        <v/>
      </c>
      <c r="D39" s="462" t="str">
        <f>IF(Berekeningen!D27&gt;0,"in "&amp;Berekeningen!D27&amp;" ml","")</f>
        <v/>
      </c>
      <c r="E39" s="463"/>
      <c r="F39" s="461"/>
      <c r="G39" s="464" t="str">
        <f>IF(Berekeningen!F27/10&gt;0,Berekeningen!F27/10&amp;" ml/uur","")</f>
        <v/>
      </c>
      <c r="H39" s="456" t="str">
        <f>IF(AND(Berekeningen!I27&gt;0),ROUND(Berekeningen!I27,2),"")</f>
        <v/>
      </c>
      <c r="I39" s="456">
        <f>IF(_Medicament_1&gt;0,INDEX(Medicamenten,Berekeningen!B27,6),"")</f>
        <v>0</v>
      </c>
      <c r="J39" s="465"/>
      <c r="K39" s="466">
        <f>INDEX(Medicamenten,Berekeningen!B27,2)</f>
        <v>0</v>
      </c>
      <c r="L39" s="466"/>
      <c r="M39" s="467"/>
      <c r="N39" s="468" t="str">
        <f>IF(Berekeningen!I27&gt;0,IF(Berekeningen!Y27*10&gt;1,Berekeningen!X27&amp;" uren",Berekeningen!X27&amp;" minuten"),"")</f>
        <v/>
      </c>
    </row>
    <row r="40" spans="1:14" ht="15.95" customHeight="1" x14ac:dyDescent="0.2">
      <c r="A40" s="451">
        <v>9</v>
      </c>
      <c r="B40" s="461"/>
      <c r="C40" s="462" t="str">
        <f>IF(Berekeningen!C28&gt;0,Berekeningen!C28/10&amp;" mg","")</f>
        <v/>
      </c>
      <c r="D40" s="462" t="str">
        <f>IF(Berekeningen!D28&gt;0,"in "&amp;Berekeningen!D28&amp;" ml","")</f>
        <v/>
      </c>
      <c r="E40" s="463"/>
      <c r="F40" s="455"/>
      <c r="G40" s="458" t="str">
        <f>IF(Berekeningen!F28/10&gt;0,Berekeningen!F28/10&amp;" ml/uur","")</f>
        <v/>
      </c>
      <c r="H40" s="456" t="str">
        <f>IF(AND(Berekeningen!I28&gt;0),ROUND(Berekeningen!I28,2),"")</f>
        <v/>
      </c>
      <c r="I40" s="456">
        <f>IF(_Medicament_1&gt;0,INDEX(Medicamenten,Berekeningen!B28,6),"")</f>
        <v>0</v>
      </c>
      <c r="J40" s="439"/>
      <c r="K40" s="466">
        <f>INDEX(Medicamenten,Berekeningen!B28,2)</f>
        <v>0</v>
      </c>
      <c r="L40" s="466"/>
      <c r="M40" s="467"/>
      <c r="N40" s="468" t="str">
        <f>IF(Berekeningen!I28&gt;0,IF(Berekeningen!Y28*10&gt;1,Berekeningen!X28&amp;" uren",Berekeningen!X28&amp;" minuten"),"")</f>
        <v/>
      </c>
    </row>
    <row r="41" spans="1:14" ht="9.75" customHeight="1" x14ac:dyDescent="0.2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2">
      <c r="A42" s="451">
        <v>10</v>
      </c>
      <c r="B42" s="474" t="s">
        <v>1068</v>
      </c>
      <c r="C42" s="475"/>
      <c r="D42" s="475"/>
      <c r="E42" s="475"/>
      <c r="F42" s="475"/>
      <c r="G42" s="458" t="str">
        <f>IF(Berekeningen!F29/10&gt;0,Berekeningen!F29/10&amp;" ml/uur","")</f>
        <v/>
      </c>
      <c r="H42" s="476" t="str">
        <f>IF(Berekeningen!I32&gt;0,"= "&amp;ROUND(Berekeningen!I32,2),"")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2">
      <c r="A43" s="451">
        <v>11</v>
      </c>
      <c r="B43" s="474" t="s">
        <v>1069</v>
      </c>
      <c r="C43" s="475"/>
      <c r="D43" s="475"/>
      <c r="E43" s="475"/>
      <c r="F43" s="475"/>
      <c r="G43" s="458" t="str">
        <f>IF(Berekeningen!F30/10&gt;0,Berekeningen!F30/10&amp;" ml/uur","")</f>
        <v/>
      </c>
      <c r="H43" s="476" t="str">
        <f>IF(Berekeningen!I33&gt;0,"= "&amp;ROUND(Berekeningen!I33,2),"")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2">
      <c r="A44" s="451">
        <v>12</v>
      </c>
      <c r="B44" s="474" t="s">
        <v>1070</v>
      </c>
      <c r="C44" s="475"/>
      <c r="D44" s="475"/>
      <c r="E44" s="475"/>
      <c r="F44" s="475"/>
      <c r="G44" s="458" t="str">
        <f>IF(Berekeningen!F31/10&gt;0,Berekeningen!F31/10&amp;" ml/uur","")</f>
        <v/>
      </c>
      <c r="H44" s="476" t="str">
        <f>IF(Berekeningen!I34&gt;0,"= "&amp;ROUND(Berekeningen!I34,2),"")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2">
      <c r="A45" s="451">
        <v>13</v>
      </c>
      <c r="B45" s="464" t="str">
        <f>IF(_MedTekst_1="","",_MedTekst_1)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2">
      <c r="A46" s="451">
        <v>14</v>
      </c>
      <c r="B46" s="452" t="str">
        <f>IF(_MedTekst_2="","",_MedTekst_2)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2">
      <c r="D47" s="432"/>
      <c r="K47" s="479" t="s">
        <v>1055</v>
      </c>
      <c r="L47" s="479"/>
    </row>
    <row r="48" spans="1:14" ht="15.95" customHeight="1" x14ac:dyDescent="0.2">
      <c r="B48" s="433"/>
      <c r="C48" s="434"/>
      <c r="D48" s="480"/>
      <c r="E48" s="481" t="str">
        <f ca="1">IF(Berekeningen!C35&gt;0,Berekeningen!C35&amp;" ml","")</f>
        <v/>
      </c>
      <c r="F48" s="432" t="str">
        <f ca="1">IF(E48&lt;&gt;"",ROUND(Berekeningen!C35/_Gewicht,0)&amp;" ml/ kg","")</f>
        <v/>
      </c>
      <c r="K48" s="438" t="str">
        <f ca="1">IF(Berekeningen!B35&gt;0,Berekeningen!B35&amp;" ml","")</f>
        <v>120 ml</v>
      </c>
      <c r="L48" s="438"/>
      <c r="M48" s="439"/>
    </row>
    <row r="49" spans="1:13" ht="12" customHeight="1" x14ac:dyDescent="0.2">
      <c r="B49" s="430"/>
      <c r="C49" s="429"/>
      <c r="D49" s="476"/>
      <c r="E49" s="454"/>
    </row>
    <row r="50" spans="1:13" ht="15.75" customHeight="1" x14ac:dyDescent="0.2">
      <c r="B50" s="482"/>
    </row>
    <row r="51" spans="1:13" ht="15.95" customHeight="1" x14ac:dyDescent="0.2">
      <c r="B51" s="424" t="s">
        <v>1072</v>
      </c>
    </row>
    <row r="52" spans="1:13" ht="15.75" customHeight="1" x14ac:dyDescent="0.2">
      <c r="B52" s="483" t="s">
        <v>689</v>
      </c>
      <c r="C52" s="439"/>
      <c r="D52" s="439"/>
      <c r="E52" s="484" t="str">
        <f ca="1">IF(Berekeningen!$D$36=1,Berekeningen!C37&amp;" ml","")</f>
        <v>0 ml</v>
      </c>
      <c r="F52" s="439"/>
      <c r="G52" s="439"/>
      <c r="H52" s="439"/>
      <c r="I52" s="484" t="str">
        <f>IF(Berekeningen!$D$36=3,Berekeningen!C37&amp;" ml","")</f>
        <v/>
      </c>
      <c r="J52" s="439"/>
      <c r="K52" s="438" t="str">
        <f ca="1">IF(Berekeningen!B37&gt;0,Berekeningen!B37&amp;" ml","")</f>
        <v/>
      </c>
      <c r="L52" s="438"/>
      <c r="M52" s="439"/>
    </row>
    <row r="53" spans="1:13" ht="15.95" customHeight="1" x14ac:dyDescent="0.2">
      <c r="B53" s="485" t="s">
        <v>1073</v>
      </c>
      <c r="C53" s="465"/>
      <c r="D53" s="465"/>
      <c r="E53" s="486" t="str">
        <f ca="1">IF(Berekeningen!$D$36=1,Berekeningen!C38&amp;" ml","")</f>
        <v>0 ml</v>
      </c>
      <c r="F53" s="465"/>
      <c r="G53" s="465"/>
      <c r="H53" s="465"/>
      <c r="I53" s="486" t="str">
        <f>IF(Berekeningen!$D$36=3,Berekeningen!C38&amp;" ml","")</f>
        <v/>
      </c>
      <c r="J53" s="465"/>
      <c r="K53" s="466" t="str">
        <f ca="1">IF(Berekeningen!B38&gt;0,Berekeningen!B38&amp;" ml","")</f>
        <v/>
      </c>
      <c r="L53" s="466"/>
      <c r="M53" s="466"/>
    </row>
    <row r="54" spans="1:13" ht="15.95" customHeight="1" x14ac:dyDescent="0.2">
      <c r="B54" s="485" t="s">
        <v>1074</v>
      </c>
      <c r="C54" s="465"/>
      <c r="D54" s="465"/>
      <c r="E54" s="486" t="str">
        <f ca="1">IF(Berekeningen!$D$36=1,Berekeningen!C39&amp;" ml","")</f>
        <v>0 ml</v>
      </c>
      <c r="F54" s="465"/>
      <c r="G54" s="465"/>
      <c r="H54" s="465"/>
      <c r="I54" s="465"/>
      <c r="J54" s="465"/>
      <c r="K54" s="466" t="str">
        <f ca="1">IF(Berekeningen!B39&gt;0,Berekeningen!B39&amp;" ml","")</f>
        <v/>
      </c>
      <c r="L54" s="466"/>
      <c r="M54" s="466"/>
    </row>
    <row r="55" spans="1:13" ht="15.95" customHeight="1" x14ac:dyDescent="0.2">
      <c r="B55" s="485" t="s">
        <v>1075</v>
      </c>
      <c r="C55" s="465"/>
      <c r="D55" s="465"/>
      <c r="E55" s="486" t="str">
        <f ca="1">IF(Berekeningen!$D$36=1,Berekeningen!C40&amp;" ml","")</f>
        <v>0 ml</v>
      </c>
      <c r="F55" s="465"/>
      <c r="G55" s="465"/>
      <c r="H55" s="465"/>
      <c r="I55" s="465"/>
      <c r="J55" s="465"/>
      <c r="K55" s="466" t="str">
        <f ca="1">IF(Berekeningen!B40&gt;0,Berekeningen!B40&amp;" ml","")</f>
        <v/>
      </c>
      <c r="L55" s="466"/>
      <c r="M55" s="466"/>
    </row>
    <row r="56" spans="1:13" ht="15.95" customHeight="1" x14ac:dyDescent="0.2">
      <c r="B56" s="485" t="s">
        <v>436</v>
      </c>
      <c r="C56" s="465"/>
      <c r="D56" s="465"/>
      <c r="E56" s="486" t="str">
        <f ca="1">IF(Berekeningen!$D$36=1,Berekeningen!C41&amp;" ml","")</f>
        <v>0 ml</v>
      </c>
      <c r="F56" s="465"/>
      <c r="G56" s="465"/>
      <c r="H56" s="465"/>
      <c r="I56" s="465"/>
      <c r="J56" s="465"/>
      <c r="K56" s="466" t="str">
        <f ca="1">IF(Berekeningen!B41&gt;0,Berekeningen!B41&amp;" ml","")</f>
        <v/>
      </c>
      <c r="L56" s="466"/>
      <c r="M56" s="466"/>
    </row>
    <row r="57" spans="1:13" ht="15.95" customHeight="1" x14ac:dyDescent="0.2">
      <c r="B57" s="485" t="s">
        <v>1030</v>
      </c>
      <c r="C57" s="465"/>
      <c r="D57" s="465"/>
      <c r="E57" s="486" t="str">
        <f ca="1">IF(Berekeningen!$D$36=1,Berekeningen!C42&amp;" ml","")</f>
        <v>0 ml</v>
      </c>
      <c r="F57" s="465"/>
      <c r="G57" s="465"/>
      <c r="H57" s="465"/>
      <c r="I57" s="465"/>
      <c r="J57" s="465"/>
      <c r="K57" s="466" t="str">
        <f ca="1">IF(Berekeningen!B42&gt;0,Berekeningen!B42&amp;" ml","")</f>
        <v/>
      </c>
      <c r="L57" s="466"/>
      <c r="M57" s="466"/>
    </row>
    <row r="58" spans="1:13" ht="15.95" customHeight="1" x14ac:dyDescent="0.2">
      <c r="B58" s="485" t="s">
        <v>1031</v>
      </c>
      <c r="C58" s="465"/>
      <c r="D58" s="465"/>
      <c r="E58" s="465"/>
      <c r="F58" s="465"/>
      <c r="G58" s="486" t="str">
        <f>IF(Berekeningen!D36=2,Berekeningen!C43&amp;" ml","")</f>
        <v/>
      </c>
      <c r="H58" s="487" t="str">
        <f>IF(G58&lt;&gt;"","("&amp;ROUND(Berekeningen!C43/_Gewicht,0)&amp;" ml/kg)","")</f>
        <v/>
      </c>
      <c r="I58" s="465"/>
      <c r="J58" s="465"/>
      <c r="K58" s="466" t="str">
        <f ca="1">IF(Berekeningen!B43&gt;0,Berekeningen!B43&amp;" ml","")</f>
        <v>350 ml</v>
      </c>
      <c r="L58" s="466"/>
      <c r="M58" s="466"/>
    </row>
    <row r="59" spans="1:13" ht="15.95" customHeight="1" x14ac:dyDescent="0.2">
      <c r="B59" s="485" t="s">
        <v>687</v>
      </c>
      <c r="C59" s="465"/>
      <c r="D59" s="465"/>
      <c r="E59" s="465"/>
      <c r="F59" s="465"/>
      <c r="G59" s="465"/>
      <c r="H59" s="465"/>
      <c r="I59" s="486" t="str">
        <f>IF(Berekeningen!$D$36=3,Berekeningen!C44&amp;" ml","")</f>
        <v/>
      </c>
      <c r="J59" s="487" t="str">
        <f>IF(I59&lt;&gt;"","("&amp;ROUND(Berekeningen!C44/_Gewicht,0)&amp;" ml/kg)","")</f>
        <v/>
      </c>
      <c r="K59" s="466" t="str">
        <f ca="1">IF(Berekeningen!B44&gt;0,Berekeningen!B44&amp;" ml","")</f>
        <v>350 ml</v>
      </c>
      <c r="L59" s="466"/>
      <c r="M59" s="466"/>
    </row>
    <row r="60" spans="1:13" ht="20.100000000000001" customHeight="1" x14ac:dyDescent="0.2">
      <c r="B60" s="465"/>
      <c r="C60" s="465"/>
      <c r="D60" s="465"/>
      <c r="E60" s="488">
        <f>IF(Berekeningen!D36=1,Berekeningen!L45,"")</f>
        <v>0</v>
      </c>
      <c r="F60" s="465" t="str">
        <f>IF(E60&lt;&gt;"","ml","")</f>
        <v>ml</v>
      </c>
      <c r="G60" s="488" t="str">
        <f>IF(Berekeningen!D36=2,Berekeningen!L45,"")</f>
        <v/>
      </c>
      <c r="H60" s="465" t="str">
        <f>IF(G60&lt;&gt;"","ml","")</f>
        <v/>
      </c>
      <c r="I60" s="488" t="str">
        <f>IF(Berekeningen!D36=3,Berekeningen!L45,"")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2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2">
      <c r="A64" s="540"/>
      <c r="B64" s="541" t="s">
        <v>247</v>
      </c>
      <c r="C64" s="542"/>
      <c r="D64" s="542"/>
      <c r="E64" s="542"/>
      <c r="F64" s="542"/>
      <c r="G64" s="542"/>
      <c r="H64" s="542"/>
      <c r="I64" s="542"/>
      <c r="J64" s="542"/>
      <c r="K64" s="429"/>
      <c r="L64" s="429"/>
      <c r="M64" s="429"/>
    </row>
    <row r="65" spans="1:10" ht="12.75" x14ac:dyDescent="0.2">
      <c r="A65" s="543"/>
      <c r="B65" s="543"/>
      <c r="C65" s="425" t="s">
        <v>771</v>
      </c>
      <c r="D65" s="425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E65" s="425"/>
      <c r="F65" s="425"/>
      <c r="G65" s="425"/>
      <c r="H65" s="425"/>
      <c r="I65" s="425"/>
      <c r="J65" s="425"/>
    </row>
    <row r="66" spans="1:10" s="539" customFormat="1" ht="12.75" x14ac:dyDescent="0.2">
      <c r="A66" s="544"/>
      <c r="B66" s="544"/>
      <c r="C66" s="425" t="s">
        <v>1343</v>
      </c>
      <c r="D66" s="425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E66" s="425"/>
      <c r="F66" s="425"/>
      <c r="G66" s="425"/>
      <c r="H66" s="425"/>
      <c r="I66" s="425"/>
      <c r="J66" s="425"/>
    </row>
    <row r="67" spans="1:10" s="539" customFormat="1" ht="12.75" x14ac:dyDescent="0.2">
      <c r="A67" s="544"/>
      <c r="B67" s="544"/>
      <c r="C67" s="425" t="s">
        <v>1344</v>
      </c>
      <c r="D67" s="425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E67" s="425"/>
      <c r="F67" s="425"/>
      <c r="G67" s="425"/>
      <c r="H67" s="425"/>
      <c r="I67" s="425"/>
      <c r="J67" s="425"/>
    </row>
    <row r="68" spans="1:10" s="539" customFormat="1" ht="12.75" x14ac:dyDescent="0.2">
      <c r="A68" s="544"/>
      <c r="B68" s="544"/>
      <c r="C68" s="425" t="s">
        <v>1345</v>
      </c>
      <c r="D68" s="425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E68" s="425"/>
      <c r="F68" s="425"/>
      <c r="G68" s="425"/>
      <c r="H68" s="425"/>
      <c r="I68" s="425"/>
      <c r="J68" s="425"/>
    </row>
    <row r="69" spans="1:10" s="539" customFormat="1" ht="12.75" x14ac:dyDescent="0.2">
      <c r="A69" s="544"/>
      <c r="B69" s="544"/>
      <c r="C69" s="425" t="s">
        <v>287</v>
      </c>
      <c r="D69" s="425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E69" s="425"/>
      <c r="F69" s="425"/>
      <c r="G69" s="425"/>
      <c r="H69" s="425"/>
      <c r="I69" s="425"/>
      <c r="J69" s="425"/>
    </row>
    <row r="70" spans="1:10" s="539" customFormat="1" ht="12.75" x14ac:dyDescent="0.2">
      <c r="A70" s="544"/>
      <c r="B70" s="544"/>
      <c r="C70" s="425" t="s">
        <v>1346</v>
      </c>
      <c r="D70" s="425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E70" s="425"/>
      <c r="F70" s="425"/>
      <c r="G70" s="425"/>
      <c r="H70" s="425"/>
      <c r="I70" s="425"/>
      <c r="J70" s="425"/>
    </row>
    <row r="71" spans="1:10" s="539" customFormat="1" ht="12.75" x14ac:dyDescent="0.2">
      <c r="A71" s="544"/>
      <c r="B71" s="544"/>
      <c r="C71" s="425" t="s">
        <v>2447</v>
      </c>
      <c r="D71" s="425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E71" s="425"/>
      <c r="F71" s="425"/>
      <c r="G71" s="425"/>
      <c r="H71" s="425"/>
      <c r="I71" s="425"/>
      <c r="J71" s="425"/>
    </row>
    <row r="72" spans="1:10" s="539" customFormat="1" ht="12.75" x14ac:dyDescent="0.2">
      <c r="A72" s="544"/>
      <c r="B72" s="544"/>
      <c r="C72" s="425" t="s">
        <v>2449</v>
      </c>
      <c r="D72" s="425" t="str">
        <f>TRIM(Ber_Lab_Neo!P4&amp;" "&amp;Ber_Lab_Neo!P5&amp;" "&amp;Ber_Lab_Neo!P6&amp;" "&amp;Ber_Lab_Neo!P7&amp;" "&amp;Ber_Lab_Neo!P8&amp;" "&amp;Ber_Lab_Neo!P9&amp;" "&amp;Ber_Lab_Neo!P10&amp;" "&amp;Ber_Lab_Neo!P11&amp;" "&amp;Ber_Lab_Neo!P12&amp;" "&amp;Ber_Lab_Neo!P13&amp;" "&amp;Ber_Lab_Neo!P14&amp;" "&amp;Ber_Lab_Neo!P15&amp;" "&amp;Ber_Lab_Neo!P16&amp;" "&amp;Ber_Lab_Neo!P17&amp;" "&amp;Ber_Lab_Neo!P18&amp;" "&amp;Ber_Lab_Neo!P19&amp;" "&amp;Ber_Lab_Neo!P20&amp;" "&amp;Ber_Lab_Neo!P21&amp;" "&amp;Ber_Lab_Neo!P22&amp;" "&amp;Ber_Lab_Neo!P23&amp;" "&amp;Ber_Lab_Neo!P24&amp;" "&amp;Ber_Lab_Neo!P25&amp;" "&amp;Ber_Lab_Neo!P26&amp;" "&amp;Ber_Lab_Neo!P27&amp;" "&amp;Ber_Lab_Neo!P28&amp;" "&amp;Ber_Lab_Neo!P29&amp;" "&amp;Ber_Lab_Neo!P30&amp;" "&amp;Ber_Lab_Neo!P31&amp;" "&amp;Ber_Lab_Neo!P32&amp;" "&amp;Ber_Lab_Neo!P33&amp;" "&amp;Ber_Lab_Neo!P34)</f>
        <v/>
      </c>
      <c r="E72" s="425"/>
      <c r="F72" s="425"/>
      <c r="G72" s="425"/>
      <c r="H72" s="425"/>
      <c r="I72" s="425"/>
      <c r="J72" s="425"/>
    </row>
    <row r="73" spans="1:10" s="539" customFormat="1" ht="12.75" x14ac:dyDescent="0.2">
      <c r="A73" s="544"/>
      <c r="B73" s="544"/>
      <c r="C73" s="425" t="s">
        <v>2448</v>
      </c>
      <c r="D73" s="425" t="str">
        <f>TRIM(Ber_Lab_Neo!R4&amp;" "&amp;Ber_Lab_Neo!R5&amp;" "&amp;Ber_Lab_Neo!R6&amp;" "&amp;Ber_Lab_Neo!R7&amp;" "&amp;Ber_Lab_Neo!R8&amp;" "&amp;Ber_Lab_Neo!R9&amp;" "&amp;Ber_Lab_Neo!R10&amp;" "&amp;Ber_Lab_Neo!R11&amp;" "&amp;Ber_Lab_Neo!R12&amp;" "&amp;Ber_Lab_Neo!R13&amp;" "&amp;Ber_Lab_Neo!R14&amp;" "&amp;Ber_Lab_Neo!R15&amp;" "&amp;Ber_Lab_Neo!R16&amp;" "&amp;Ber_Lab_Neo!R17&amp;" "&amp;Ber_Lab_Neo!R18&amp;" "&amp;Ber_Lab_Neo!R19&amp;" "&amp;Ber_Lab_Neo!R20&amp;" "&amp;Ber_Lab_Neo!R21&amp;" "&amp;Ber_Lab_Neo!R22&amp;" "&amp;Ber_Lab_Neo!R23&amp;" "&amp;Ber_Lab_Neo!R24&amp;" "&amp;Ber_Lab_Neo!R25&amp;" "&amp;Ber_Lab_Neo!R26&amp;" "&amp;Ber_Lab_Neo!R27&amp;" "&amp;Ber_Lab_Neo!R28&amp;" "&amp;Ber_Lab_Neo!R29&amp;" "&amp;Ber_Lab_Neo!R30&amp;" "&amp;Ber_Lab_Neo!R31&amp;" "&amp;Ber_Lab_Neo!R32&amp;" "&amp;Ber_Lab_Neo!R33&amp;" "&amp;Ber_Lab_Neo!R34)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2">
      <c r="A74" s="543"/>
      <c r="B74" s="543"/>
      <c r="C74" s="425" t="s">
        <v>597</v>
      </c>
      <c r="D74" s="901" t="str">
        <f>IF(LabNeoOpmerkingen=0,"",LabNeoOpmerkingen)</f>
        <v/>
      </c>
      <c r="E74" s="901"/>
      <c r="F74" s="901"/>
      <c r="G74" s="901"/>
      <c r="H74" s="901"/>
      <c r="I74" s="901"/>
      <c r="J74" s="901"/>
    </row>
    <row r="75" spans="1:10" ht="15.95" customHeight="1" x14ac:dyDescent="0.2">
      <c r="A75" s="542"/>
      <c r="B75" s="542"/>
      <c r="C75" s="545"/>
      <c r="D75" s="902"/>
      <c r="E75" s="902"/>
      <c r="F75" s="902"/>
      <c r="G75" s="902"/>
      <c r="H75" s="902"/>
      <c r="I75" s="902"/>
      <c r="J75" s="902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IF(Berekeningen!B20&gt;1,IF(AND(H32&lt;&gt;"",H32&gt;=INDEX(Medicamenten,Berekeningen!B20,9)),TRUE,FALSE),FALSE)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IF(AND(C32&lt;&gt;0,G32&lt;&gt;""),IF(AND(H32&gt;=INDEX(Medicamenten,Berekeningen!$B20,7),H32&lt;=INDEX(Medicamenten,Berekeningen!$B20,8)),TRUE,FALSE),TRUE)=FALSE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">
    <tabColor rgb="FF92D050"/>
  </sheetPr>
  <dimension ref="A1:Y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I20" sqref="I20"/>
    </sheetView>
  </sheetViews>
  <sheetFormatPr defaultRowHeight="12.75" x14ac:dyDescent="0.2"/>
  <cols>
    <col min="1" max="1" width="40.140625" style="271" customWidth="1"/>
    <col min="2" max="3" width="13.85546875" style="271" customWidth="1"/>
    <col min="4" max="4" width="11.7109375" style="271" customWidth="1"/>
    <col min="5" max="5" width="10.7109375" style="271" customWidth="1"/>
    <col min="6" max="6" width="10" style="271" customWidth="1"/>
    <col min="7" max="7" width="9.140625" style="271"/>
    <col min="8" max="8" width="10.7109375" style="271" bestFit="1" customWidth="1"/>
    <col min="9" max="9" width="12.42578125" style="271" bestFit="1" customWidth="1"/>
    <col min="10" max="12" width="9.140625" style="271"/>
    <col min="13" max="13" width="13.28515625" style="271" bestFit="1" customWidth="1"/>
    <col min="14" max="16384" width="9.140625" style="271"/>
  </cols>
  <sheetData>
    <row r="1" spans="1:25" x14ac:dyDescent="0.2">
      <c r="A1" s="578" t="s">
        <v>54</v>
      </c>
      <c r="B1" s="271" t="s">
        <v>607</v>
      </c>
      <c r="C1" s="271" t="s">
        <v>1220</v>
      </c>
      <c r="E1" s="271" t="s">
        <v>398</v>
      </c>
      <c r="K1" s="271" t="s">
        <v>1013</v>
      </c>
      <c r="L1" s="271" t="s">
        <v>632</v>
      </c>
      <c r="M1" s="271" t="s">
        <v>473</v>
      </c>
      <c r="N1" s="271" t="s">
        <v>474</v>
      </c>
      <c r="O1" s="271" t="s">
        <v>475</v>
      </c>
      <c r="P1" s="271" t="s">
        <v>476</v>
      </c>
      <c r="Q1" s="271" t="s">
        <v>1036</v>
      </c>
      <c r="R1" s="271" t="s">
        <v>471</v>
      </c>
      <c r="S1" s="271" t="s">
        <v>1037</v>
      </c>
      <c r="T1" s="271" t="s">
        <v>1038</v>
      </c>
      <c r="U1" s="271" t="s">
        <v>1039</v>
      </c>
      <c r="V1" s="271" t="s">
        <v>1090</v>
      </c>
      <c r="W1" s="271" t="s">
        <v>1048</v>
      </c>
      <c r="X1" s="271" t="s">
        <v>1067</v>
      </c>
      <c r="Y1" s="271" t="s">
        <v>1235</v>
      </c>
    </row>
    <row r="2" spans="1:25" x14ac:dyDescent="0.2">
      <c r="A2" s="271" t="s">
        <v>1003</v>
      </c>
      <c r="B2" s="271">
        <v>0</v>
      </c>
    </row>
    <row r="3" spans="1:25" x14ac:dyDescent="0.2">
      <c r="A3" s="271" t="s">
        <v>1052</v>
      </c>
      <c r="B3" s="497">
        <v>42280</v>
      </c>
      <c r="C3" s="492">
        <v>0</v>
      </c>
      <c r="E3" s="271" t="s">
        <v>1236</v>
      </c>
    </row>
    <row r="4" spans="1:25" x14ac:dyDescent="0.2">
      <c r="A4" s="271" t="s">
        <v>1023</v>
      </c>
      <c r="B4" s="515">
        <v>10</v>
      </c>
      <c r="C4" s="288" t="s">
        <v>1237</v>
      </c>
      <c r="D4" s="496">
        <v>0</v>
      </c>
    </row>
    <row r="5" spans="1:25" x14ac:dyDescent="0.2">
      <c r="A5" s="271" t="s">
        <v>624</v>
      </c>
      <c r="B5" s="497">
        <f>OpnDatum</f>
        <v>42698</v>
      </c>
      <c r="C5" s="288" t="s">
        <v>1238</v>
      </c>
      <c r="D5" s="496">
        <v>0</v>
      </c>
    </row>
    <row r="6" spans="1:25" x14ac:dyDescent="0.2">
      <c r="A6" s="578" t="s">
        <v>1239</v>
      </c>
      <c r="B6" s="492">
        <f ca="1">TODAY()-B3+1+C3</f>
        <v>424</v>
      </c>
      <c r="C6" s="271">
        <f ca="1">IF(B6&lt;7,B6,6)</f>
        <v>6</v>
      </c>
    </row>
    <row r="7" spans="1:25" x14ac:dyDescent="0.2">
      <c r="A7" s="271" t="s">
        <v>398</v>
      </c>
    </row>
    <row r="8" spans="1:25" x14ac:dyDescent="0.2">
      <c r="A8" s="271" t="s">
        <v>1056</v>
      </c>
    </row>
    <row r="9" spans="1:25" x14ac:dyDescent="0.2">
      <c r="A9" s="271" t="s">
        <v>1240</v>
      </c>
    </row>
    <row r="10" spans="1:25" x14ac:dyDescent="0.2">
      <c r="A10" s="271" t="s">
        <v>603</v>
      </c>
      <c r="D10" s="271">
        <v>0</v>
      </c>
    </row>
    <row r="11" spans="1:25" x14ac:dyDescent="0.2">
      <c r="A11" s="271" t="s">
        <v>1059</v>
      </c>
      <c r="D11" s="271">
        <v>0</v>
      </c>
      <c r="M11" s="271">
        <v>2</v>
      </c>
      <c r="N11" s="271">
        <v>3</v>
      </c>
      <c r="O11" s="271">
        <v>4</v>
      </c>
      <c r="P11" s="271">
        <v>5</v>
      </c>
      <c r="Q11" s="271">
        <v>6</v>
      </c>
      <c r="R11" s="271">
        <v>7</v>
      </c>
      <c r="S11" s="271">
        <v>8</v>
      </c>
      <c r="T11" s="271">
        <v>9</v>
      </c>
      <c r="U11" s="271">
        <v>10</v>
      </c>
      <c r="V11" s="271">
        <v>11</v>
      </c>
      <c r="W11" s="271">
        <v>12</v>
      </c>
    </row>
    <row r="12" spans="1:25" x14ac:dyDescent="0.2">
      <c r="A12" s="271" t="s">
        <v>603</v>
      </c>
      <c r="D12" s="271">
        <v>0</v>
      </c>
    </row>
    <row r="13" spans="1:25" x14ac:dyDescent="0.2">
      <c r="A13" s="271" t="s">
        <v>1059</v>
      </c>
      <c r="D13" s="271">
        <v>0</v>
      </c>
    </row>
    <row r="14" spans="1:25" x14ac:dyDescent="0.2">
      <c r="A14" s="271" t="s">
        <v>583</v>
      </c>
      <c r="D14" s="271">
        <v>1</v>
      </c>
      <c r="K14" s="271">
        <v>1</v>
      </c>
      <c r="L14" s="271">
        <f>IF(AND(_Extra=2,_Voeding&gt;1),(D10*D11+D12*D13)/10,0)</f>
        <v>0</v>
      </c>
      <c r="M14" s="271">
        <f>INDEX(Pos,$D$14,M11)*$L$14</f>
        <v>0</v>
      </c>
      <c r="N14" s="271">
        <f t="shared" ref="N14:W14" si="0">INDEX(Pos,$D$14,N11)*$L$14</f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>INDEX(Pos,$D$14,R11)*$L$14</f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  <c r="W14" s="271">
        <f t="shared" si="0"/>
        <v>0</v>
      </c>
    </row>
    <row r="15" spans="1:25" x14ac:dyDescent="0.2">
      <c r="A15" s="271" t="s">
        <v>1058</v>
      </c>
      <c r="B15" s="271">
        <v>2</v>
      </c>
    </row>
    <row r="16" spans="1:25" x14ac:dyDescent="0.2">
      <c r="A16" s="271" t="s">
        <v>1241</v>
      </c>
      <c r="B16" s="271">
        <f ca="1">IF(AND(D4&lt;37,_Gewicht&gt;=1),INDEX(Advies!B4:G4,1,Berekeningen!C6),IF(_Gewicht&lt;1,INDEX(Advies!B5:G5,1,Berekeningen!C6),INDEX(Advies!B6:G6,1,Berekeningen!C6)))+IF(B15=1,20,0)</f>
        <v>150</v>
      </c>
      <c r="C16" s="271">
        <f ca="1">ROUND(B16/5,0)*5+(D16-5000)</f>
        <v>150</v>
      </c>
      <c r="D16" s="271">
        <v>5000</v>
      </c>
    </row>
    <row r="17" spans="1:25" x14ac:dyDescent="0.2">
      <c r="A17" s="271" t="s">
        <v>1242</v>
      </c>
      <c r="B17" s="271" t="b">
        <v>0</v>
      </c>
      <c r="C17" s="271">
        <f ca="1">ROUND(C16*_Gewicht-L14,0)</f>
        <v>1500</v>
      </c>
    </row>
    <row r="18" spans="1:25" x14ac:dyDescent="0.2">
      <c r="A18" s="271" t="s">
        <v>1455</v>
      </c>
      <c r="B18" s="271">
        <v>0</v>
      </c>
      <c r="K18" s="271" t="b">
        <v>0</v>
      </c>
      <c r="L18" s="271">
        <f>IF(K18,0,B18*2.4)</f>
        <v>0</v>
      </c>
      <c r="M18" s="271">
        <f>0.155*L18/2</f>
        <v>0</v>
      </c>
    </row>
    <row r="19" spans="1:25" x14ac:dyDescent="0.2">
      <c r="B19" s="271" t="s">
        <v>1087</v>
      </c>
      <c r="C19" s="271" t="s">
        <v>1243</v>
      </c>
      <c r="D19" s="271" t="s">
        <v>1244</v>
      </c>
      <c r="E19" s="271" t="s">
        <v>330</v>
      </c>
      <c r="F19" s="271" t="s">
        <v>96</v>
      </c>
      <c r="G19" s="271" t="s">
        <v>686</v>
      </c>
      <c r="H19" s="271" t="s">
        <v>1245</v>
      </c>
      <c r="I19" s="271" t="s">
        <v>1246</v>
      </c>
      <c r="J19" s="271" t="s">
        <v>1089</v>
      </c>
    </row>
    <row r="20" spans="1:25" x14ac:dyDescent="0.2">
      <c r="A20" s="271" t="s">
        <v>1247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v>1</v>
      </c>
      <c r="H20" s="271">
        <f>IF(INDEX(Medicamenten,Berekeningen!B20,5)=0,1,INDEX(Medicamenten,Berekeningen!B20,5))</f>
        <v>1</v>
      </c>
      <c r="I20" s="271">
        <f t="shared" ref="I20:I28" si="1">IF(D20&gt;0,(F20*IF(Y20*10&gt;=24,2.4,2.4)*((C20/10)/D20))/($B$4)/J20,0)</f>
        <v>0</v>
      </c>
      <c r="J20" s="271">
        <f>IF(Berekeningen!H20&gt;1,INDEX(Lijsten!$K$3:$K$11,Berekeningen!H20),1)</f>
        <v>1</v>
      </c>
      <c r="K20" s="271">
        <v>0</v>
      </c>
      <c r="L20" s="271">
        <f>IF(K20,0,F20*2.4)</f>
        <v>0</v>
      </c>
      <c r="M20" s="271">
        <f>IF($E20&gt;1,INDEX(Opl,$E20,3),0)*$L20</f>
        <v>0</v>
      </c>
      <c r="N20" s="271">
        <f>IF($E20&gt;1,INDEX(Opl,$E20,4),0)*$L20</f>
        <v>0</v>
      </c>
      <c r="O20" s="271">
        <f>IF($E20&gt;1,INDEX(Opl,$E20,6),0)*$L20</f>
        <v>0</v>
      </c>
      <c r="P20" s="271">
        <f>IF($E20&gt;1,INDEX(Opl,$E20,7),0)*$L20</f>
        <v>0</v>
      </c>
      <c r="Q20" s="271">
        <f>IF($E20&gt;1,INDEX(Opl,$E20,8),0)*$L20</f>
        <v>0</v>
      </c>
      <c r="R20" s="271">
        <f>IF($E20&gt;1,INDEX(Opl,$E20,5),0)*$L20</f>
        <v>0</v>
      </c>
      <c r="S20" s="271">
        <f>IF($E20&gt;1,INDEX(Opl,$E20,2),0)*$L20</f>
        <v>0</v>
      </c>
      <c r="X20" s="271">
        <f>ROUND(IF(Y20*10&gt;1,Y20*10,Y20*600),0)</f>
        <v>0</v>
      </c>
      <c r="Y20" s="271">
        <f>IF(F20&gt;0,D20/F20,0)</f>
        <v>0</v>
      </c>
    </row>
    <row r="21" spans="1:25" x14ac:dyDescent="0.2">
      <c r="A21" s="271" t="s">
        <v>1248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v>1</v>
      </c>
      <c r="H21" s="271">
        <f>IF(INDEX(Medicamenten,Berekeningen!B21,5)=0,1,INDEX(Medicamenten,Berekeningen!B21,5))</f>
        <v>1</v>
      </c>
      <c r="I21" s="271">
        <f t="shared" si="1"/>
        <v>0</v>
      </c>
      <c r="J21" s="823">
        <f>IF(Berekeningen!H21&gt;1,INDEX(Lijsten!$K$3:$K$11,Berekeningen!H21),1)</f>
        <v>1</v>
      </c>
      <c r="K21" s="271">
        <v>0</v>
      </c>
      <c r="L21" s="271">
        <f t="shared" ref="L21:L28" si="2">IF(K21,0,F21*2.4)</f>
        <v>0</v>
      </c>
      <c r="M21" s="271">
        <f t="shared" ref="M21:M31" si="3">IF($E21&gt;1,INDEX(Opl,$E21,3),0)*$L21</f>
        <v>0</v>
      </c>
      <c r="N21" s="271">
        <f t="shared" ref="N21:N31" si="4">IF($E21&gt;1,INDEX(Opl,$E21,4),0)*$L21</f>
        <v>0</v>
      </c>
      <c r="O21" s="271">
        <f t="shared" ref="O21:O31" si="5">IF($E21&gt;1,INDEX(Opl,$E21,6),0)*$L21</f>
        <v>0</v>
      </c>
      <c r="P21" s="271">
        <f t="shared" ref="P21:P31" si="6">IF($E21&gt;1,INDEX(Opl,$E21,7),0)*$L21</f>
        <v>0</v>
      </c>
      <c r="Q21" s="271">
        <f t="shared" ref="Q21:Q31" si="7">IF($E21&gt;1,INDEX(Opl,$E21,8),0)*$L21</f>
        <v>0</v>
      </c>
      <c r="R21" s="271">
        <f t="shared" ref="R21:R27" si="8">IF($E21&gt;1,INDEX(Opl,$E21,5),0)*$L21</f>
        <v>0</v>
      </c>
      <c r="S21" s="271">
        <f t="shared" ref="S21:S31" si="9">IF($E21&gt;1,INDEX(Opl,$E21,2),0)*$L21</f>
        <v>0</v>
      </c>
      <c r="X21" s="271">
        <f t="shared" ref="X21:X28" si="10">ROUND(IF(Y21*10&gt;1,Y21*10,Y21*600),0)</f>
        <v>0</v>
      </c>
      <c r="Y21" s="271">
        <f t="shared" ref="Y21:Y28" si="11">IF(F21&gt;0,D21/F21,0)</f>
        <v>0</v>
      </c>
    </row>
    <row r="22" spans="1:25" x14ac:dyDescent="0.2">
      <c r="A22" s="271" t="s">
        <v>1249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v>1</v>
      </c>
      <c r="H22" s="271">
        <f>IF(INDEX(Medicamenten,Berekeningen!B22,5)=0,1,INDEX(Medicamenten,Berekeningen!B22,5))</f>
        <v>1</v>
      </c>
      <c r="I22" s="271">
        <f t="shared" si="1"/>
        <v>0</v>
      </c>
      <c r="J22" s="823">
        <f>IF(Berekeningen!H22&gt;1,INDEX(Lijsten!$K$3:$K$11,Berekeningen!H22),1)</f>
        <v>1</v>
      </c>
      <c r="K22" s="271">
        <v>0</v>
      </c>
      <c r="L22" s="271">
        <f t="shared" si="2"/>
        <v>0</v>
      </c>
      <c r="M22" s="271">
        <f t="shared" si="3"/>
        <v>0</v>
      </c>
      <c r="N22" s="271">
        <f t="shared" si="4"/>
        <v>0</v>
      </c>
      <c r="O22" s="271">
        <f t="shared" si="5"/>
        <v>0</v>
      </c>
      <c r="P22" s="271">
        <f t="shared" si="6"/>
        <v>0</v>
      </c>
      <c r="Q22" s="271">
        <f t="shared" si="7"/>
        <v>0</v>
      </c>
      <c r="R22" s="271">
        <f t="shared" si="8"/>
        <v>0</v>
      </c>
      <c r="S22" s="271">
        <f t="shared" si="9"/>
        <v>0</v>
      </c>
      <c r="X22" s="271">
        <f t="shared" si="10"/>
        <v>0</v>
      </c>
      <c r="Y22" s="271">
        <f t="shared" si="11"/>
        <v>0</v>
      </c>
    </row>
    <row r="23" spans="1:25" x14ac:dyDescent="0.2">
      <c r="A23" s="271" t="s">
        <v>1250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v>1</v>
      </c>
      <c r="H23" s="271">
        <f>IF(INDEX(Medicamenten,Berekeningen!B23,5)=0,1,INDEX(Medicamenten,Berekeningen!B23,5))</f>
        <v>1</v>
      </c>
      <c r="I23" s="271">
        <f t="shared" si="1"/>
        <v>0</v>
      </c>
      <c r="J23" s="823">
        <f>IF(Berekeningen!H23&gt;1,INDEX(Lijsten!$K$3:$K$11,Berekeningen!H23),1)</f>
        <v>1</v>
      </c>
      <c r="K23" s="271">
        <v>0</v>
      </c>
      <c r="L23" s="271">
        <f t="shared" si="2"/>
        <v>0</v>
      </c>
      <c r="M23" s="271">
        <f t="shared" si="3"/>
        <v>0</v>
      </c>
      <c r="N23" s="271">
        <f t="shared" si="4"/>
        <v>0</v>
      </c>
      <c r="O23" s="271">
        <f t="shared" si="5"/>
        <v>0</v>
      </c>
      <c r="P23" s="271">
        <f t="shared" si="6"/>
        <v>0</v>
      </c>
      <c r="Q23" s="271">
        <f t="shared" si="7"/>
        <v>0</v>
      </c>
      <c r="R23" s="271">
        <f t="shared" si="8"/>
        <v>0</v>
      </c>
      <c r="S23" s="271">
        <f t="shared" si="9"/>
        <v>0</v>
      </c>
      <c r="X23" s="271">
        <f t="shared" si="10"/>
        <v>0</v>
      </c>
      <c r="Y23" s="271">
        <f t="shared" si="11"/>
        <v>0</v>
      </c>
    </row>
    <row r="24" spans="1:25" x14ac:dyDescent="0.2">
      <c r="A24" s="271" t="s">
        <v>1251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v>1</v>
      </c>
      <c r="H24" s="271">
        <f>IF(INDEX(Medicamenten,Berekeningen!B24,5)=0,1,INDEX(Medicamenten,Berekeningen!B24,5))</f>
        <v>1</v>
      </c>
      <c r="I24" s="271">
        <f t="shared" si="1"/>
        <v>0</v>
      </c>
      <c r="J24" s="823">
        <f>IF(Berekeningen!H24&gt;1,INDEX(Lijsten!$K$3:$K$11,Berekeningen!H24),1)</f>
        <v>1</v>
      </c>
      <c r="K24" s="271">
        <v>0</v>
      </c>
      <c r="L24" s="271">
        <f t="shared" si="2"/>
        <v>0</v>
      </c>
      <c r="M24" s="271">
        <f t="shared" si="3"/>
        <v>0</v>
      </c>
      <c r="N24" s="271">
        <f t="shared" si="4"/>
        <v>0</v>
      </c>
      <c r="O24" s="271">
        <f t="shared" si="5"/>
        <v>0</v>
      </c>
      <c r="P24" s="271">
        <f t="shared" si="6"/>
        <v>0</v>
      </c>
      <c r="Q24" s="271">
        <f t="shared" si="7"/>
        <v>0</v>
      </c>
      <c r="R24" s="271">
        <f t="shared" si="8"/>
        <v>0</v>
      </c>
      <c r="S24" s="271">
        <f t="shared" si="9"/>
        <v>0</v>
      </c>
      <c r="X24" s="271">
        <f t="shared" si="10"/>
        <v>0</v>
      </c>
      <c r="Y24" s="271">
        <f t="shared" si="11"/>
        <v>0</v>
      </c>
    </row>
    <row r="25" spans="1:25" x14ac:dyDescent="0.2">
      <c r="A25" s="271" t="s">
        <v>1252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v>1</v>
      </c>
      <c r="H25" s="271">
        <f>IF(INDEX(Medicamenten,Berekeningen!B25,5)=0,1,INDEX(Medicamenten,Berekeningen!B25,5))</f>
        <v>1</v>
      </c>
      <c r="I25" s="271">
        <f t="shared" si="1"/>
        <v>0</v>
      </c>
      <c r="J25" s="823">
        <f>IF(Berekeningen!H25&gt;1,INDEX(Lijsten!$K$3:$K$11,Berekeningen!H25),1)</f>
        <v>1</v>
      </c>
      <c r="K25" s="271">
        <v>0</v>
      </c>
      <c r="L25" s="271">
        <f t="shared" si="2"/>
        <v>0</v>
      </c>
      <c r="M25" s="271">
        <f t="shared" si="3"/>
        <v>0</v>
      </c>
      <c r="N25" s="271">
        <f t="shared" si="4"/>
        <v>0</v>
      </c>
      <c r="O25" s="271">
        <f t="shared" si="5"/>
        <v>0</v>
      </c>
      <c r="P25" s="271">
        <f t="shared" si="6"/>
        <v>0</v>
      </c>
      <c r="Q25" s="271">
        <f t="shared" si="7"/>
        <v>0</v>
      </c>
      <c r="R25" s="271">
        <f t="shared" si="8"/>
        <v>0</v>
      </c>
      <c r="S25" s="271">
        <f t="shared" si="9"/>
        <v>0</v>
      </c>
      <c r="X25" s="271">
        <f t="shared" si="10"/>
        <v>0</v>
      </c>
      <c r="Y25" s="271">
        <f t="shared" si="11"/>
        <v>0</v>
      </c>
    </row>
    <row r="26" spans="1:25" x14ac:dyDescent="0.2">
      <c r="A26" s="271" t="s">
        <v>1253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v>1</v>
      </c>
      <c r="H26" s="271">
        <f>IF(INDEX(Medicamenten,Berekeningen!B26,5)=0,1,INDEX(Medicamenten,Berekeningen!B26,5))</f>
        <v>1</v>
      </c>
      <c r="I26" s="271">
        <f t="shared" si="1"/>
        <v>0</v>
      </c>
      <c r="J26" s="823">
        <f>IF(Berekeningen!H26&gt;1,INDEX(Lijsten!$K$3:$K$11,Berekeningen!H26),1)</f>
        <v>1</v>
      </c>
      <c r="K26" s="271">
        <v>0</v>
      </c>
      <c r="L26" s="271">
        <f t="shared" si="2"/>
        <v>0</v>
      </c>
      <c r="M26" s="271">
        <f t="shared" si="3"/>
        <v>0</v>
      </c>
      <c r="N26" s="271">
        <f t="shared" si="4"/>
        <v>0</v>
      </c>
      <c r="O26" s="271">
        <f t="shared" si="5"/>
        <v>0</v>
      </c>
      <c r="P26" s="271">
        <f t="shared" si="6"/>
        <v>0</v>
      </c>
      <c r="Q26" s="271">
        <f t="shared" si="7"/>
        <v>0</v>
      </c>
      <c r="R26" s="271">
        <f t="shared" si="8"/>
        <v>0</v>
      </c>
      <c r="S26" s="271">
        <f t="shared" si="9"/>
        <v>0</v>
      </c>
      <c r="X26" s="271">
        <f t="shared" si="10"/>
        <v>0</v>
      </c>
      <c r="Y26" s="271">
        <f t="shared" si="11"/>
        <v>0</v>
      </c>
    </row>
    <row r="27" spans="1:25" x14ac:dyDescent="0.2">
      <c r="A27" s="271" t="s">
        <v>1254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v>1</v>
      </c>
      <c r="H27" s="271">
        <f>IF(INDEX(Medicamenten,Berekeningen!B27,5)=0,1,INDEX(Medicamenten,Berekeningen!B27,5))</f>
        <v>1</v>
      </c>
      <c r="I27" s="271">
        <f t="shared" si="1"/>
        <v>0</v>
      </c>
      <c r="J27" s="823">
        <f>IF(Berekeningen!H27&gt;1,INDEX(Lijsten!$K$3:$K$11,Berekeningen!H27),1)</f>
        <v>1</v>
      </c>
      <c r="K27" s="271">
        <v>0</v>
      </c>
      <c r="L27" s="271">
        <f t="shared" si="2"/>
        <v>0</v>
      </c>
      <c r="M27" s="271">
        <f t="shared" si="3"/>
        <v>0</v>
      </c>
      <c r="N27" s="271">
        <f t="shared" si="4"/>
        <v>0</v>
      </c>
      <c r="O27" s="271">
        <f t="shared" si="5"/>
        <v>0</v>
      </c>
      <c r="P27" s="271">
        <f t="shared" si="6"/>
        <v>0</v>
      </c>
      <c r="Q27" s="271">
        <f t="shared" si="7"/>
        <v>0</v>
      </c>
      <c r="R27" s="271">
        <f t="shared" si="8"/>
        <v>0</v>
      </c>
      <c r="S27" s="271">
        <f t="shared" si="9"/>
        <v>0</v>
      </c>
      <c r="X27" s="271">
        <f t="shared" si="10"/>
        <v>0</v>
      </c>
      <c r="Y27" s="271">
        <f t="shared" si="11"/>
        <v>0</v>
      </c>
    </row>
    <row r="28" spans="1:25" x14ac:dyDescent="0.2">
      <c r="A28" s="271" t="s">
        <v>1255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v>1</v>
      </c>
      <c r="H28" s="271">
        <f>IF(INDEX(Medicamenten,Berekeningen!B28,5)=0,1,INDEX(Medicamenten,Berekeningen!B28,5))</f>
        <v>1</v>
      </c>
      <c r="I28" s="271">
        <f t="shared" si="1"/>
        <v>0</v>
      </c>
      <c r="J28" s="823">
        <f>IF(Berekeningen!H28&gt;1,INDEX(Lijsten!$K$3:$K$11,Berekeningen!H28),1)</f>
        <v>1</v>
      </c>
      <c r="K28" s="271">
        <v>0</v>
      </c>
      <c r="L28" s="271">
        <f t="shared" si="2"/>
        <v>0</v>
      </c>
      <c r="M28" s="271">
        <f t="shared" si="3"/>
        <v>0</v>
      </c>
      <c r="N28" s="271">
        <f t="shared" si="4"/>
        <v>0</v>
      </c>
      <c r="O28" s="271">
        <f t="shared" si="5"/>
        <v>0</v>
      </c>
      <c r="P28" s="271">
        <f t="shared" si="6"/>
        <v>0</v>
      </c>
      <c r="Q28" s="271">
        <f t="shared" si="7"/>
        <v>0</v>
      </c>
      <c r="R28" s="271">
        <f>IF($E28&gt;1,INDEX(Opl,$E28,5),0)*$L28</f>
        <v>0</v>
      </c>
      <c r="S28" s="271">
        <f t="shared" si="9"/>
        <v>0</v>
      </c>
      <c r="X28" s="271">
        <f t="shared" si="10"/>
        <v>0</v>
      </c>
      <c r="Y28" s="271">
        <f t="shared" si="11"/>
        <v>0</v>
      </c>
    </row>
    <row r="29" spans="1:25" x14ac:dyDescent="0.2">
      <c r="A29" s="271" t="s">
        <v>1068</v>
      </c>
      <c r="E29" s="271">
        <v>0</v>
      </c>
      <c r="F29" s="271">
        <v>0</v>
      </c>
      <c r="K29" s="271" t="b">
        <v>0</v>
      </c>
      <c r="L29" s="271">
        <f>IF(K29,0,F29*2.4)</f>
        <v>0</v>
      </c>
      <c r="M29" s="271">
        <f t="shared" si="3"/>
        <v>0</v>
      </c>
      <c r="N29" s="271">
        <f t="shared" si="4"/>
        <v>0</v>
      </c>
      <c r="O29" s="271">
        <f t="shared" si="5"/>
        <v>0</v>
      </c>
      <c r="P29" s="271">
        <f t="shared" si="6"/>
        <v>0</v>
      </c>
      <c r="Q29" s="271">
        <f t="shared" si="7"/>
        <v>0</v>
      </c>
      <c r="R29" s="271">
        <f>IF($E29&gt;1,INDEX(Opl,$E29,5),0)*$L29</f>
        <v>0</v>
      </c>
      <c r="S29" s="271">
        <f t="shared" si="9"/>
        <v>0</v>
      </c>
      <c r="X29" s="271">
        <f>ROUND(IF(Y29*10&gt;1,Y29*10,Y29*600),0)</f>
        <v>0</v>
      </c>
      <c r="Y29" s="271">
        <f>IF(F29&gt;0,D29/F29,0)</f>
        <v>0</v>
      </c>
    </row>
    <row r="30" spans="1:25" x14ac:dyDescent="0.2">
      <c r="A30" s="271" t="s">
        <v>1069</v>
      </c>
      <c r="E30" s="271">
        <v>0</v>
      </c>
      <c r="F30" s="271">
        <v>0</v>
      </c>
      <c r="K30" s="271" t="b">
        <v>0</v>
      </c>
      <c r="L30" s="271">
        <f>IF(K30,0,F30*2.4)</f>
        <v>0</v>
      </c>
      <c r="M30" s="271">
        <f t="shared" si="3"/>
        <v>0</v>
      </c>
      <c r="N30" s="271">
        <f t="shared" si="4"/>
        <v>0</v>
      </c>
      <c r="O30" s="271">
        <f t="shared" si="5"/>
        <v>0</v>
      </c>
      <c r="P30" s="271">
        <f t="shared" si="6"/>
        <v>0</v>
      </c>
      <c r="Q30" s="271">
        <f t="shared" si="7"/>
        <v>0</v>
      </c>
      <c r="R30" s="271">
        <f>IF($E30&gt;1,INDEX(Opl,$E30,5),0)*$L30</f>
        <v>0</v>
      </c>
      <c r="S30" s="271">
        <f t="shared" si="9"/>
        <v>0</v>
      </c>
      <c r="X30" s="271">
        <f>ROUND(IF(Y30*10&gt;1,Y30*10,Y30*600),0)</f>
        <v>0</v>
      </c>
      <c r="Y30" s="271">
        <f>IF(F30&gt;0,D30/F30,0)</f>
        <v>0</v>
      </c>
    </row>
    <row r="31" spans="1:25" x14ac:dyDescent="0.2">
      <c r="A31" s="271" t="s">
        <v>1070</v>
      </c>
      <c r="E31" s="271">
        <v>0</v>
      </c>
      <c r="F31" s="271">
        <v>0</v>
      </c>
      <c r="K31" s="271" t="b">
        <v>0</v>
      </c>
      <c r="L31" s="271">
        <f>IF(K31,0,F31*2.4)</f>
        <v>0</v>
      </c>
      <c r="M31" s="271">
        <f t="shared" si="3"/>
        <v>0</v>
      </c>
      <c r="N31" s="271">
        <f t="shared" si="4"/>
        <v>0</v>
      </c>
      <c r="O31" s="271">
        <f t="shared" si="5"/>
        <v>0</v>
      </c>
      <c r="P31" s="271">
        <f t="shared" si="6"/>
        <v>0</v>
      </c>
      <c r="Q31" s="271">
        <f t="shared" si="7"/>
        <v>0</v>
      </c>
      <c r="R31" s="271">
        <f>IF($E31&gt;1,INDEX(Opl,$E31,5),0)*$L31</f>
        <v>0</v>
      </c>
      <c r="S31" s="271">
        <f t="shared" si="9"/>
        <v>0</v>
      </c>
      <c r="X31" s="271">
        <f>ROUND(IF(Y31*10&gt;1,Y31*10,Y31*600),0)</f>
        <v>0</v>
      </c>
      <c r="Y31" s="271">
        <f>IF(F31&gt;0,D31/F31,0)</f>
        <v>0</v>
      </c>
    </row>
    <row r="32" spans="1:25" x14ac:dyDescent="0.2">
      <c r="A32" s="662" t="s">
        <v>2289</v>
      </c>
    </row>
    <row r="33" spans="1:23" x14ac:dyDescent="0.2">
      <c r="A33" s="662" t="s">
        <v>2290</v>
      </c>
    </row>
    <row r="34" spans="1:23" x14ac:dyDescent="0.2">
      <c r="B34" s="271" t="s">
        <v>1256</v>
      </c>
      <c r="C34" s="271" t="s">
        <v>1257</v>
      </c>
      <c r="D34" s="271" t="s">
        <v>1258</v>
      </c>
      <c r="F34" s="271" t="s">
        <v>2429</v>
      </c>
    </row>
    <row r="35" spans="1:23" x14ac:dyDescent="0.2">
      <c r="A35" s="271" t="str">
        <f>INDEX(lijstIntralipidSmof,SelectedIntralipidSmof)</f>
        <v>Intralipid 20% (incl vitintra)</v>
      </c>
      <c r="B35" s="492">
        <f ca="1">ROUND(_Gewicht*INDEX(Advies!$B$9:$G$16,8,Berekeningen!$C$6),0)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L35" s="271">
        <f ca="1">C35</f>
        <v>0</v>
      </c>
      <c r="T35" s="271">
        <f ca="1">0.2*L35*10/12</f>
        <v>0</v>
      </c>
      <c r="W35" s="271">
        <f ca="1">40*C35*2/12</f>
        <v>0</v>
      </c>
    </row>
    <row r="36" spans="1:23" x14ac:dyDescent="0.2">
      <c r="A36" s="271" t="s">
        <v>1072</v>
      </c>
      <c r="B36" s="492"/>
      <c r="D36" s="271">
        <v>1</v>
      </c>
    </row>
    <row r="37" spans="1:23" x14ac:dyDescent="0.2">
      <c r="A37" s="271" t="s">
        <v>689</v>
      </c>
      <c r="B37" s="492">
        <f ca="1">ROUND(_Gewicht*INDEX(Advies!$B$9:$G$16,2,Berekeningen!$C$6),0)</f>
        <v>0</v>
      </c>
      <c r="C37" s="271">
        <f ca="1">IF(AND($B$17,B37+(D37-5000)/10&gt;0),ROUND(B37+(D37-5000)/10,1),0)</f>
        <v>0</v>
      </c>
      <c r="D37" s="271">
        <v>5000</v>
      </c>
      <c r="L37" s="271">
        <f ca="1">IF(OR($D$36=1,$D$36=3),C37,0)</f>
        <v>0</v>
      </c>
      <c r="M37" s="271">
        <f ca="1">L37*0.5</f>
        <v>0</v>
      </c>
      <c r="V37" s="271">
        <f ca="1">L37*0.5</f>
        <v>0</v>
      </c>
    </row>
    <row r="38" spans="1:23" x14ac:dyDescent="0.2">
      <c r="A38" s="271" t="s">
        <v>1073</v>
      </c>
      <c r="B38" s="492">
        <f ca="1">ROUND(_Gewicht*INDEX(Advies!$B$9:$G$16,3,Berekeningen!$C$6),0)</f>
        <v>0</v>
      </c>
      <c r="C38" s="271">
        <f ca="1">IF(AND($B$17,B38+(D38-5000)/10&gt;0),ROUND(B38+(D38-5000)/10,1),0)</f>
        <v>0</v>
      </c>
      <c r="D38" s="271">
        <v>5000</v>
      </c>
      <c r="L38" s="271">
        <f ca="1">IF(OR($D$36=1,$D$36=3),C38,0)</f>
        <v>0</v>
      </c>
      <c r="N38" s="271">
        <f ca="1">L38</f>
        <v>0</v>
      </c>
    </row>
    <row r="39" spans="1:23" x14ac:dyDescent="0.2">
      <c r="A39" s="271" t="s">
        <v>1074</v>
      </c>
      <c r="B39" s="492">
        <f ca="1">ROUND(_Gewicht*INDEX(Advies!$B$9:$G$16,4,Berekeningen!$C$6),0)</f>
        <v>0</v>
      </c>
      <c r="C39" s="271">
        <f ca="1">IF(AND($B$17,B39+(D39-5000)/10&gt;0),ROUND(B39+(D39-5000)/10,1),0)</f>
        <v>0</v>
      </c>
      <c r="D39" s="271">
        <v>5000</v>
      </c>
      <c r="L39" s="271">
        <f ca="1">IF($D$36=1,C39,0)</f>
        <v>0</v>
      </c>
      <c r="O39" s="271">
        <f ca="1">L39*0.225</f>
        <v>0</v>
      </c>
      <c r="V39" s="271">
        <f ca="1">L39*0.225*2</f>
        <v>0</v>
      </c>
    </row>
    <row r="40" spans="1:23" x14ac:dyDescent="0.2">
      <c r="A40" s="271" t="s">
        <v>1075</v>
      </c>
      <c r="B40" s="492">
        <f ca="1">ROUND(_Gewicht*INDEX(Advies!$B$9:$G$16,5,Berekeningen!$C$6),1)</f>
        <v>0</v>
      </c>
      <c r="C40" s="271">
        <f ca="1">IF(AND($B$17,B40+(D40-5000)/10&gt;0),ROUND(B40+(D40-5000)/10,1),0)</f>
        <v>0</v>
      </c>
      <c r="D40" s="271">
        <v>5000</v>
      </c>
      <c r="L40" s="271">
        <f ca="1">IF($D$36=1,C40,0)</f>
        <v>0</v>
      </c>
      <c r="P40" s="271">
        <f ca="1">L40*0.5</f>
        <v>0</v>
      </c>
      <c r="V40" s="271">
        <f ca="1">L40*0.5*2</f>
        <v>0</v>
      </c>
    </row>
    <row r="41" spans="1:23" x14ac:dyDescent="0.2">
      <c r="A41" s="271" t="s">
        <v>436</v>
      </c>
      <c r="B41" s="492">
        <f ca="1">ROUND(_Gewicht*INDEX(Advies!$B$9:$G$16,6,Berekeningen!$C$6),1)</f>
        <v>0</v>
      </c>
      <c r="C41" s="271">
        <f ca="1">IF(AND($B$17,B41+(D41-5000)/10&gt;0),ROUND(B41+(D41-5000)/10,1),0)</f>
        <v>0</v>
      </c>
      <c r="D41" s="271">
        <v>5000</v>
      </c>
      <c r="L41" s="271">
        <f ca="1">IF($D$36=1,C41,0)</f>
        <v>0</v>
      </c>
      <c r="W41" s="271">
        <f ca="1">40*C41</f>
        <v>0</v>
      </c>
    </row>
    <row r="42" spans="1:23" x14ac:dyDescent="0.2">
      <c r="A42" s="271" t="s">
        <v>1030</v>
      </c>
      <c r="B42" s="492">
        <f ca="1">ROUND(_Gewicht*INDEX(Advies!$B$9:$G$16,7,Berekeningen!$C$6),0)</f>
        <v>0</v>
      </c>
      <c r="C42" s="271">
        <f ca="1">IF(AND($B$17,B42+(D42-5000)&gt;0),ROUND(B42+(D42-5000),0),0)</f>
        <v>0</v>
      </c>
      <c r="D42" s="271">
        <v>5000</v>
      </c>
      <c r="L42" s="271">
        <f ca="1">IF($D$36=1,C42,0)</f>
        <v>0</v>
      </c>
      <c r="R42" s="271">
        <f ca="1">0.1*L42</f>
        <v>0</v>
      </c>
    </row>
    <row r="43" spans="1:23" x14ac:dyDescent="0.2">
      <c r="A43" s="271" t="s">
        <v>1031</v>
      </c>
      <c r="B43" s="492">
        <f ca="1">ROUND(_Gewicht*INDEX(Advies!$B$9:$G$16,1,Berekeningen!$C$6),1)</f>
        <v>350</v>
      </c>
      <c r="C43" s="271">
        <f ca="1">ROUND(IF(AND($B$17,B43+(D43-5000)&gt;0),B43+(D43-5000),0),0)</f>
        <v>0</v>
      </c>
      <c r="D43" s="271">
        <v>5000</v>
      </c>
      <c r="L43" s="271">
        <f>IF(D36=2,C43,0)</f>
        <v>0</v>
      </c>
      <c r="M43" s="271">
        <f>INDEX(TpnNICU,2,M11)*$L$43</f>
        <v>0</v>
      </c>
      <c r="N43" s="271">
        <f t="shared" ref="N43:U43" si="12">INDEX(TpnNICU,2,N11)*$L$43</f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  <c r="U43" s="271">
        <f t="shared" si="12"/>
        <v>0</v>
      </c>
    </row>
    <row r="44" spans="1:23" x14ac:dyDescent="0.2">
      <c r="A44" s="271" t="s">
        <v>687</v>
      </c>
      <c r="B44" s="492">
        <f ca="1">ROUND(_Gewicht*INDEX(Advies!$B$9:$G$16,1,Berekeningen!$C$6),1)</f>
        <v>350</v>
      </c>
      <c r="C44" s="271">
        <f ca="1">ROUND(IF(AND($B$17,B44+(D44-5000)&gt;0),B44+(D44-5000),0),0)</f>
        <v>0</v>
      </c>
      <c r="D44" s="271">
        <v>5000</v>
      </c>
      <c r="L44" s="271">
        <f>IF(D36=3,C44,0)</f>
        <v>0</v>
      </c>
      <c r="M44" s="271">
        <f>INDEX(TpnNICU,1,M11)*$L$44</f>
        <v>0</v>
      </c>
      <c r="N44" s="271">
        <f t="shared" ref="N44:U44" si="13">INDEX(TpnNICU,1,N11)*$L$44</f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  <c r="U44" s="271">
        <f t="shared" si="13"/>
        <v>0</v>
      </c>
    </row>
    <row r="45" spans="1:23" x14ac:dyDescent="0.2">
      <c r="A45" s="271" t="s">
        <v>1259</v>
      </c>
      <c r="D45" s="271">
        <v>2</v>
      </c>
      <c r="L45" s="271">
        <f>IF(B17,ROUND(C17-SUM(L18:L44),1),0)</f>
        <v>0</v>
      </c>
      <c r="S45" s="271">
        <f>INDEX(Opl,D45+1,2)*L45</f>
        <v>0</v>
      </c>
    </row>
    <row r="47" spans="1:23" x14ac:dyDescent="0.2">
      <c r="A47" s="271" t="s">
        <v>243</v>
      </c>
      <c r="L47" s="271">
        <f ca="1">L49+L50</f>
        <v>0</v>
      </c>
      <c r="M47" s="271">
        <f t="shared" ref="M47:W47" ca="1" si="14">M49+M50</f>
        <v>0</v>
      </c>
      <c r="N47" s="271">
        <f t="shared" ca="1" si="14"/>
        <v>0</v>
      </c>
      <c r="O47" s="271">
        <f t="shared" ca="1" si="14"/>
        <v>0</v>
      </c>
      <c r="P47" s="271">
        <f t="shared" ca="1" si="14"/>
        <v>0</v>
      </c>
      <c r="Q47" s="271">
        <f t="shared" si="14"/>
        <v>0</v>
      </c>
      <c r="R47" s="271">
        <f t="shared" ca="1" si="14"/>
        <v>0</v>
      </c>
      <c r="S47" s="271">
        <f t="shared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  <c r="W47" s="271">
        <f t="shared" ca="1" si="14"/>
        <v>0</v>
      </c>
    </row>
    <row r="49" spans="1:23" x14ac:dyDescent="0.2">
      <c r="A49" s="271" t="s">
        <v>439</v>
      </c>
      <c r="L49" s="271">
        <f>L14</f>
        <v>0</v>
      </c>
      <c r="M49" s="271">
        <f t="shared" ref="M49:W49" si="15">M14+IF(INDEX(LijstenLijstVoeding,_Voeding,14)="MM",M57,M62)</f>
        <v>0</v>
      </c>
      <c r="N49" s="662">
        <f t="shared" si="15"/>
        <v>0</v>
      </c>
      <c r="O49" s="662">
        <f t="shared" si="15"/>
        <v>0</v>
      </c>
      <c r="P49" s="662">
        <f t="shared" si="15"/>
        <v>0</v>
      </c>
      <c r="Q49" s="662">
        <f t="shared" si="15"/>
        <v>0</v>
      </c>
      <c r="R49" s="662">
        <f t="shared" si="15"/>
        <v>0</v>
      </c>
      <c r="S49" s="662">
        <f t="shared" si="15"/>
        <v>0</v>
      </c>
      <c r="T49" s="662">
        <f t="shared" si="15"/>
        <v>0</v>
      </c>
      <c r="U49" s="662">
        <f t="shared" si="15"/>
        <v>0</v>
      </c>
      <c r="V49" s="662">
        <f t="shared" si="15"/>
        <v>0</v>
      </c>
      <c r="W49" s="662">
        <f t="shared" si="15"/>
        <v>0</v>
      </c>
    </row>
    <row r="50" spans="1:23" x14ac:dyDescent="0.2">
      <c r="A50" s="271" t="s">
        <v>437</v>
      </c>
      <c r="L50" s="271">
        <f ca="1">SUM(L18:L45)</f>
        <v>0</v>
      </c>
      <c r="M50" s="271">
        <f t="shared" ref="M50:W50" ca="1" si="16">SUM(M18:M45)</f>
        <v>0</v>
      </c>
      <c r="N50" s="271">
        <f t="shared" ca="1" si="16"/>
        <v>0</v>
      </c>
      <c r="O50" s="271">
        <f t="shared" ca="1" si="16"/>
        <v>0</v>
      </c>
      <c r="P50" s="271">
        <f t="shared" ca="1" si="16"/>
        <v>0</v>
      </c>
      <c r="Q50" s="271">
        <f t="shared" si="16"/>
        <v>0</v>
      </c>
      <c r="R50" s="271">
        <f t="shared" ca="1" si="16"/>
        <v>0</v>
      </c>
      <c r="S50" s="271">
        <f t="shared" si="16"/>
        <v>0</v>
      </c>
      <c r="T50" s="271">
        <f t="shared" ca="1" si="16"/>
        <v>0</v>
      </c>
      <c r="U50" s="271">
        <f ca="1">T50*9+S50*4+R50*4</f>
        <v>0</v>
      </c>
      <c r="V50" s="271">
        <f t="shared" ca="1" si="16"/>
        <v>0</v>
      </c>
      <c r="W50" s="271">
        <f t="shared" ca="1" si="16"/>
        <v>0</v>
      </c>
    </row>
    <row r="52" spans="1:23" x14ac:dyDescent="0.2">
      <c r="A52" s="271" t="s">
        <v>1679</v>
      </c>
      <c r="B52" s="271">
        <v>2</v>
      </c>
      <c r="K52" s="271">
        <v>1</v>
      </c>
      <c r="L52" s="823">
        <f>INDEX(_VoedingBMFWaarden,Berekeningen!K52)</f>
        <v>0</v>
      </c>
      <c r="M52" s="653">
        <f t="shared" ref="M52:W52" si="17">IF($K52&gt;1,($L52/100)*$L$49*HLOOKUP(M1,_VoedingToevoegingenBMF,$B52,FALSE),0)</f>
        <v>0</v>
      </c>
      <c r="N52" s="653">
        <f t="shared" si="17"/>
        <v>0</v>
      </c>
      <c r="O52" s="653">
        <f t="shared" si="17"/>
        <v>0</v>
      </c>
      <c r="P52" s="653">
        <f t="shared" si="17"/>
        <v>0</v>
      </c>
      <c r="Q52" s="653">
        <f t="shared" si="17"/>
        <v>0</v>
      </c>
      <c r="R52" s="653">
        <f t="shared" si="17"/>
        <v>0</v>
      </c>
      <c r="S52" s="653">
        <f t="shared" si="17"/>
        <v>0</v>
      </c>
      <c r="T52" s="653">
        <f t="shared" si="17"/>
        <v>0</v>
      </c>
      <c r="U52" s="653">
        <f t="shared" si="17"/>
        <v>0</v>
      </c>
      <c r="V52" s="653">
        <f t="shared" si="17"/>
        <v>0</v>
      </c>
      <c r="W52" s="653">
        <f t="shared" si="17"/>
        <v>0</v>
      </c>
    </row>
    <row r="53" spans="1:23" x14ac:dyDescent="0.2">
      <c r="A53" s="271" t="s">
        <v>1670</v>
      </c>
      <c r="B53" s="271">
        <v>1</v>
      </c>
      <c r="C53" s="271">
        <f>_Toevoeging_1+1</f>
        <v>2</v>
      </c>
      <c r="K53" s="271">
        <v>1</v>
      </c>
      <c r="L53" s="823">
        <f>INDEX(_VoedingToevoegingenWaarden,Berekeningen!K53)</f>
        <v>0</v>
      </c>
      <c r="M53" s="653">
        <f>IF($B53&gt;1,($L53)*$L$49*HLOOKUP(Berekeningen!M$1,LijstenOpzoektabelMM,$C53,FALSE)/100,0)</f>
        <v>0</v>
      </c>
      <c r="N53" s="653">
        <f>IF($B53&gt;1,($L53)*$L$49*HLOOKUP(Berekeningen!N$1,LijstenOpzoektabelMM,$C53,FALSE)/100,0)</f>
        <v>0</v>
      </c>
      <c r="O53" s="653">
        <f>IF($B53&gt;1,($L53)*$L$49*HLOOKUP(Berekeningen!O$1,LijstenOpzoektabelMM,$C53,FALSE)/100,0)</f>
        <v>0</v>
      </c>
      <c r="P53" s="653">
        <f>IF($B53&gt;1,($L53)*$L$49*HLOOKUP(Berekeningen!P$1,LijstenOpzoektabelMM,$C53,FALSE)/100,0)</f>
        <v>0</v>
      </c>
      <c r="Q53" s="653">
        <f>IF($B53&gt;1,($L53)*$L$49*HLOOKUP(Berekeningen!Q$1,LijstenOpzoektabelMM,$C53,FALSE)/100,0)</f>
        <v>0</v>
      </c>
      <c r="R53" s="653">
        <f>IF($B53&gt;1,($L53)*$L$49*HLOOKUP(Berekeningen!R$1,LijstenOpzoektabelMM,$C53,FALSE)/100,0)</f>
        <v>0</v>
      </c>
      <c r="S53" s="653">
        <f>IF($B53&gt;1,($L53)*$L$49*HLOOKUP(Berekeningen!S$1,LijstenOpzoektabelMM,$C53,FALSE)/100,0)</f>
        <v>0</v>
      </c>
      <c r="T53" s="653">
        <f>IF($B53&gt;1,($L53)*$L$49*HLOOKUP(Berekeningen!T$1,LijstenOpzoektabelMM,$C53,FALSE)/100,0)</f>
        <v>0</v>
      </c>
      <c r="U53" s="653">
        <f>IF($B53&gt;1,($L53)*$L$49*HLOOKUP(Berekeningen!U$1,LijstenOpzoektabelMM,$C53,FALSE)/100,0)</f>
        <v>0</v>
      </c>
      <c r="V53" s="653">
        <f>IF($B53&gt;1,($L53)*$L$49*HLOOKUP(Berekeningen!V$1,LijstenOpzoektabelMM,$C53,FALSE)/100,0)</f>
        <v>0</v>
      </c>
      <c r="W53" s="653">
        <f>IF($B53&gt;1,($L53)*$L$49*HLOOKUP(Berekeningen!W$1,LijstenOpzoektabelMM,$C53,FALSE)/100,0)</f>
        <v>0</v>
      </c>
    </row>
    <row r="54" spans="1:23" x14ac:dyDescent="0.2">
      <c r="A54" s="271" t="s">
        <v>1671</v>
      </c>
      <c r="B54" s="271">
        <v>1</v>
      </c>
      <c r="C54" s="640">
        <f>_Toevoeging_2+1</f>
        <v>2</v>
      </c>
      <c r="K54" s="271">
        <v>1</v>
      </c>
      <c r="L54" s="823">
        <f>INDEX(_VoedingToevoegingenWaarden,Berekeningen!K54)</f>
        <v>0</v>
      </c>
      <c r="M54" s="653">
        <f>IF($B54&gt;1,($L54)*$L$49*HLOOKUP(Berekeningen!M$1,LijstenOpzoektabelMM,$C54,FALSE)/100,0)</f>
        <v>0</v>
      </c>
      <c r="N54" s="653">
        <f>IF($B54&gt;1,($L54)*$L$49*HLOOKUP(Berekeningen!N$1,LijstenOpzoektabelMM,$C54,FALSE)/100,0)</f>
        <v>0</v>
      </c>
      <c r="O54" s="653">
        <f>IF($B54&gt;1,($L54)*$L$49*HLOOKUP(Berekeningen!O$1,LijstenOpzoektabelMM,$C54,FALSE)/100,0)</f>
        <v>0</v>
      </c>
      <c r="P54" s="653">
        <f>IF($B54&gt;1,($L54)*$L$49*HLOOKUP(Berekeningen!P$1,LijstenOpzoektabelMM,$C54,FALSE)/100,0)</f>
        <v>0</v>
      </c>
      <c r="Q54" s="653">
        <f>IF($B54&gt;1,($L54)*$L$49*HLOOKUP(Berekeningen!Q$1,LijstenOpzoektabelMM,$C54,FALSE)/100,0)</f>
        <v>0</v>
      </c>
      <c r="R54" s="653">
        <f>IF($B54&gt;1,($L54)*$L$49*HLOOKUP(Berekeningen!R$1,LijstenOpzoektabelMM,$C54,FALSE)/100,0)</f>
        <v>0</v>
      </c>
      <c r="S54" s="653">
        <f>IF($B54&gt;1,($L54)*$L$49*HLOOKUP(Berekeningen!S$1,LijstenOpzoektabelMM,$C54,FALSE)/100,0)</f>
        <v>0</v>
      </c>
      <c r="T54" s="653">
        <f>IF($B54&gt;1,($L54)*$L$49*HLOOKUP(Berekeningen!T$1,LijstenOpzoektabelMM,$C54,FALSE)/100,0)</f>
        <v>0</v>
      </c>
      <c r="U54" s="653">
        <f>IF($B54&gt;1,($L54)*$L$49*HLOOKUP(Berekeningen!U$1,LijstenOpzoektabelMM,$C54,FALSE)/100,0)</f>
        <v>0</v>
      </c>
      <c r="V54" s="653">
        <f>IF($B54&gt;1,($L54)*$L$49*HLOOKUP(Berekeningen!V$1,LijstenOpzoektabelMM,$C54,FALSE)/100,0)</f>
        <v>0</v>
      </c>
      <c r="W54" s="653">
        <f>IF($B54&gt;1,($L54)*$L$49*HLOOKUP(Berekeningen!W$1,LijstenOpzoektabelMM,$C54,FALSE)/100,0)</f>
        <v>0</v>
      </c>
    </row>
    <row r="55" spans="1:23" x14ac:dyDescent="0.2">
      <c r="A55" s="271" t="s">
        <v>1672</v>
      </c>
      <c r="B55" s="271">
        <v>1</v>
      </c>
      <c r="C55" s="640">
        <f>_Toevoeging_3+1</f>
        <v>2</v>
      </c>
      <c r="K55" s="271">
        <v>1</v>
      </c>
      <c r="L55" s="823">
        <f>INDEX(_VoedingToevoegingenWaarden,Berekeningen!K55)</f>
        <v>0</v>
      </c>
      <c r="M55" s="653">
        <f>IF($B55&gt;1,($L55)*$L$49*HLOOKUP(Berekeningen!M$1,LijstenOpzoektabelMM,$C55,FALSE)/100,0)</f>
        <v>0</v>
      </c>
      <c r="N55" s="653">
        <f>IF($B55&gt;1,($L55)*$L$49*HLOOKUP(Berekeningen!N$1,LijstenOpzoektabelMM,$C55,FALSE)/100,0)</f>
        <v>0</v>
      </c>
      <c r="O55" s="653">
        <f>IF($B55&gt;1,($L55)*$L$49*HLOOKUP(Berekeningen!O$1,LijstenOpzoektabelMM,$C55,FALSE)/100,0)</f>
        <v>0</v>
      </c>
      <c r="P55" s="653">
        <f>IF($B55&gt;1,($L55)*$L$49*HLOOKUP(Berekeningen!P$1,LijstenOpzoektabelMM,$C55,FALSE)/100,0)</f>
        <v>0</v>
      </c>
      <c r="Q55" s="653">
        <f>IF($B55&gt;1,($L55)*$L$49*HLOOKUP(Berekeningen!Q$1,LijstenOpzoektabelMM,$C55,FALSE)/100,0)</f>
        <v>0</v>
      </c>
      <c r="R55" s="653">
        <f>IF($B55&gt;1,($L55)*$L$49*HLOOKUP(Berekeningen!R$1,LijstenOpzoektabelMM,$C55,FALSE)/100,0)</f>
        <v>0</v>
      </c>
      <c r="S55" s="653">
        <f>IF($B55&gt;1,($L55)*$L$49*HLOOKUP(Berekeningen!S$1,LijstenOpzoektabelMM,$C55,FALSE)/100,0)</f>
        <v>0</v>
      </c>
      <c r="T55" s="653">
        <f>IF($B55&gt;1,($L55)*$L$49*HLOOKUP(Berekeningen!T$1,LijstenOpzoektabelMM,$C55,FALSE)/100,0)</f>
        <v>0</v>
      </c>
      <c r="U55" s="653">
        <f>IF($B55&gt;1,($L55)*$L$49*HLOOKUP(Berekeningen!U$1,LijstenOpzoektabelMM,$C55,FALSE)/100,0)</f>
        <v>0</v>
      </c>
      <c r="V55" s="653">
        <f>IF($B55&gt;1,($L55)*$L$49*HLOOKUP(Berekeningen!V$1,LijstenOpzoektabelMM,$C55,FALSE)/100,0)</f>
        <v>0</v>
      </c>
      <c r="W55" s="653">
        <f>IF($B55&gt;1,($L55)*$L$49*HLOOKUP(Berekeningen!W$1,LijstenOpzoektabelMM,$C55,FALSE)/100,0)</f>
        <v>0</v>
      </c>
    </row>
    <row r="56" spans="1:23" x14ac:dyDescent="0.2">
      <c r="A56" s="271" t="s">
        <v>1673</v>
      </c>
      <c r="B56" s="271">
        <v>1</v>
      </c>
      <c r="C56" s="640">
        <f>_Toevoeging_4+1</f>
        <v>2</v>
      </c>
      <c r="K56" s="271">
        <v>1</v>
      </c>
      <c r="L56" s="823">
        <f>INDEX(_VoedingToevoegingenWaarden,Berekeningen!K56)</f>
        <v>0</v>
      </c>
      <c r="M56" s="653">
        <f>IF($B56&gt;1,($L56)*$L$49*HLOOKUP(Berekeningen!M$1,LijstenOpzoektabelMM,$C56,FALSE)/100,0)</f>
        <v>0</v>
      </c>
      <c r="N56" s="653">
        <f>IF($B56&gt;1,($L56)*$L$49*HLOOKUP(Berekeningen!N$1,LijstenOpzoektabelMM,$C56,FALSE)/100,0)</f>
        <v>0</v>
      </c>
      <c r="O56" s="653">
        <f>IF($B56&gt;1,($L56)*$L$49*HLOOKUP(Berekeningen!O$1,LijstenOpzoektabelMM,$C56,FALSE)/100,0)</f>
        <v>0</v>
      </c>
      <c r="P56" s="653">
        <f>IF($B56&gt;1,($L56)*$L$49*HLOOKUP(Berekeningen!P$1,LijstenOpzoektabelMM,$C56,FALSE)/100,0)</f>
        <v>0</v>
      </c>
      <c r="Q56" s="653">
        <f>IF($B56&gt;1,($L56)*$L$49*HLOOKUP(Berekeningen!Q$1,LijstenOpzoektabelMM,$C56,FALSE)/100,0)</f>
        <v>0</v>
      </c>
      <c r="R56" s="653">
        <f>IF($B56&gt;1,($L56)*$L$49*HLOOKUP(Berekeningen!R$1,LijstenOpzoektabelMM,$C56,FALSE)/100,0)</f>
        <v>0</v>
      </c>
      <c r="S56" s="653">
        <f>IF($B56&gt;1,($L56)*$L$49*HLOOKUP(Berekeningen!S$1,LijstenOpzoektabelMM,$C56,FALSE)/100,0)</f>
        <v>0</v>
      </c>
      <c r="T56" s="653">
        <f>IF($B56&gt;1,($L56)*$L$49*HLOOKUP(Berekeningen!T$1,LijstenOpzoektabelMM,$C56,FALSE)/100,0)</f>
        <v>0</v>
      </c>
      <c r="U56" s="653">
        <f>IF($B56&gt;1,($L56)*$L$49*HLOOKUP(Berekeningen!U$1,LijstenOpzoektabelMM,$C56,FALSE)/100,0)</f>
        <v>0</v>
      </c>
      <c r="V56" s="653">
        <f>IF($B56&gt;1,($L56)*$L$49*HLOOKUP(Berekeningen!V$1,LijstenOpzoektabelMM,$C56,FALSE)/100,0)</f>
        <v>0</v>
      </c>
      <c r="W56" s="653">
        <f>IF($B56&gt;1,($L56)*$L$49*HLOOKUP(Berekeningen!W$1,LijstenOpzoektabelMM,$C56,FALSE)/100,0)</f>
        <v>0</v>
      </c>
    </row>
    <row r="57" spans="1:23" x14ac:dyDescent="0.2">
      <c r="A57" s="271" t="s">
        <v>1773</v>
      </c>
      <c r="C57" s="640"/>
      <c r="L57" s="823"/>
      <c r="M57" s="653">
        <f>SUM(M52:M56)</f>
        <v>0</v>
      </c>
      <c r="N57" s="653">
        <f t="shared" ref="N57:W57" si="18">SUM(N52:N56)</f>
        <v>0</v>
      </c>
      <c r="O57" s="653">
        <f t="shared" si="18"/>
        <v>0</v>
      </c>
      <c r="P57" s="653">
        <f t="shared" si="18"/>
        <v>0</v>
      </c>
      <c r="Q57" s="653">
        <f t="shared" si="18"/>
        <v>0</v>
      </c>
      <c r="R57" s="653">
        <f t="shared" si="18"/>
        <v>0</v>
      </c>
      <c r="S57" s="653">
        <f t="shared" si="18"/>
        <v>0</v>
      </c>
      <c r="T57" s="653">
        <f t="shared" si="18"/>
        <v>0</v>
      </c>
      <c r="U57" s="653">
        <f t="shared" si="18"/>
        <v>0</v>
      </c>
      <c r="V57" s="653">
        <f t="shared" si="18"/>
        <v>0</v>
      </c>
      <c r="W57" s="653">
        <f t="shared" si="18"/>
        <v>0</v>
      </c>
    </row>
    <row r="58" spans="1:23" x14ac:dyDescent="0.2">
      <c r="A58" s="271" t="s">
        <v>1674</v>
      </c>
      <c r="B58" s="271">
        <v>1</v>
      </c>
      <c r="C58" s="640">
        <f>_Toevoeging_5+1</f>
        <v>2</v>
      </c>
      <c r="K58" s="271">
        <v>1</v>
      </c>
      <c r="L58" s="823">
        <f>INDEX(_VoedingToevoegingenWaarden,Berekeningen!K58)</f>
        <v>0</v>
      </c>
      <c r="M58" s="653">
        <f>IF($B58&gt;1,($L58)*$L$49*HLOOKUP(Berekeningen!M$1,LijstenOpzoektabelKV,$C58,FALSE)/100,0)</f>
        <v>0</v>
      </c>
      <c r="N58" s="653">
        <f>IF($B58&gt;1,($L58)*$L$49*HLOOKUP(Berekeningen!N$1,LijstenOpzoektabelKV,$C58,FALSE)/100,0)</f>
        <v>0</v>
      </c>
      <c r="O58" s="653">
        <f>IF($B58&gt;1,($L58)*$L$49*HLOOKUP(Berekeningen!O$1,LijstenOpzoektabelKV,$C58,FALSE)/100,0)</f>
        <v>0</v>
      </c>
      <c r="P58" s="653">
        <f>IF($B58&gt;1,($L58)*$L$49*HLOOKUP(Berekeningen!P$1,LijstenOpzoektabelKV,$C58,FALSE)/100,0)</f>
        <v>0</v>
      </c>
      <c r="Q58" s="653">
        <f>IF($B58&gt;1,($L58)*$L$49*HLOOKUP(Berekeningen!Q$1,LijstenOpzoektabelKV,$C58,FALSE)/100,0)</f>
        <v>0</v>
      </c>
      <c r="R58" s="653">
        <f>IF($B58&gt;1,($L58)*$L$49*HLOOKUP(Berekeningen!R$1,LijstenOpzoektabelKV,$C58,FALSE)/100,0)</f>
        <v>0</v>
      </c>
      <c r="S58" s="653">
        <f>IF($B58&gt;1,($L58)*$L$49*HLOOKUP(Berekeningen!S$1,LijstenOpzoektabelKV,$C58,FALSE)/100,0)</f>
        <v>0</v>
      </c>
      <c r="T58" s="653">
        <f>IF($B58&gt;1,($L58)*$L$49*HLOOKUP(Berekeningen!T$1,LijstenOpzoektabelKV,$C58,FALSE)/100,0)</f>
        <v>0</v>
      </c>
      <c r="U58" s="653">
        <f>IF($B58&gt;1,($L58)*$L$49*HLOOKUP(Berekeningen!U$1,LijstenOpzoektabelKV,$C58,FALSE)/100,0)</f>
        <v>0</v>
      </c>
      <c r="V58" s="653">
        <f>IF($B58&gt;1,($L58)*$L$49*HLOOKUP(Berekeningen!V$1,LijstenOpzoektabelKV,$C58,FALSE)/100,0)</f>
        <v>0</v>
      </c>
      <c r="W58" s="653">
        <f>IF($B58&gt;1,($L58)*$L$49*HLOOKUP(Berekeningen!W$1,LijstenOpzoektabelKV,$C58,FALSE)/100,0)</f>
        <v>0</v>
      </c>
    </row>
    <row r="59" spans="1:23" x14ac:dyDescent="0.2">
      <c r="A59" s="271" t="s">
        <v>1675</v>
      </c>
      <c r="B59" s="271">
        <v>1</v>
      </c>
      <c r="C59" s="640">
        <f>_Toevoeging_6+1</f>
        <v>2</v>
      </c>
      <c r="K59" s="271">
        <v>1</v>
      </c>
      <c r="L59" s="823">
        <f>INDEX(_VoedingToevoegingenWaarden,Berekeningen!K59)</f>
        <v>0</v>
      </c>
      <c r="M59" s="653">
        <f>IF($B59&gt;1,($L59)*$L$49*HLOOKUP(Berekeningen!M$1,LijstenOpzoektabelKV,$C59,FALSE)/100,0)</f>
        <v>0</v>
      </c>
      <c r="N59" s="653">
        <f>IF($B59&gt;1,($L59)*$L$49*HLOOKUP(Berekeningen!N$1,LijstenOpzoektabelKV,$C59,FALSE)/100,0)</f>
        <v>0</v>
      </c>
      <c r="O59" s="653">
        <f>IF($B59&gt;1,($L59)*$L$49*HLOOKUP(Berekeningen!O$1,LijstenOpzoektabelKV,$C59,FALSE)/100,0)</f>
        <v>0</v>
      </c>
      <c r="P59" s="653">
        <f>IF($B59&gt;1,($L59)*$L$49*HLOOKUP(Berekeningen!P$1,LijstenOpzoektabelKV,$C59,FALSE)/100,0)</f>
        <v>0</v>
      </c>
      <c r="Q59" s="653">
        <f>IF($B59&gt;1,($L59)*$L$49*HLOOKUP(Berekeningen!Q$1,LijstenOpzoektabelKV,$C59,FALSE)/100,0)</f>
        <v>0</v>
      </c>
      <c r="R59" s="653">
        <f>IF($B59&gt;1,($L59)*$L$49*HLOOKUP(Berekeningen!R$1,LijstenOpzoektabelKV,$C59,FALSE)/100,0)</f>
        <v>0</v>
      </c>
      <c r="S59" s="653">
        <f>IF($B59&gt;1,($L59)*$L$49*HLOOKUP(Berekeningen!S$1,LijstenOpzoektabelKV,$C59,FALSE)/100,0)</f>
        <v>0</v>
      </c>
      <c r="T59" s="653">
        <f>IF($B59&gt;1,($L59)*$L$49*HLOOKUP(Berekeningen!T$1,LijstenOpzoektabelKV,$C59,FALSE)/100,0)</f>
        <v>0</v>
      </c>
      <c r="U59" s="653">
        <f>IF($B59&gt;1,($L59)*$L$49*HLOOKUP(Berekeningen!U$1,LijstenOpzoektabelKV,$C59,FALSE)/100,0)</f>
        <v>0</v>
      </c>
      <c r="V59" s="653">
        <f>IF($B59&gt;1,($L59)*$L$49*HLOOKUP(Berekeningen!V$1,LijstenOpzoektabelKV,$C59,FALSE)/100,0)</f>
        <v>0</v>
      </c>
      <c r="W59" s="653">
        <f>IF($B59&gt;1,($L59)*$L$49*HLOOKUP(Berekeningen!W$1,LijstenOpzoektabelKV,$C59,FALSE)/100,0)</f>
        <v>0</v>
      </c>
    </row>
    <row r="60" spans="1:23" x14ac:dyDescent="0.2">
      <c r="A60" s="271" t="s">
        <v>1676</v>
      </c>
      <c r="B60" s="271">
        <v>1</v>
      </c>
      <c r="C60" s="640">
        <f>_Toevoeging_7+1</f>
        <v>2</v>
      </c>
      <c r="K60" s="271">
        <v>1</v>
      </c>
      <c r="L60" s="823">
        <f>INDEX(_VoedingToevoegingenWaarden,Berekeningen!K60)</f>
        <v>0</v>
      </c>
      <c r="M60" s="653">
        <f>IF($B60&gt;1,($L60)*$L$49*HLOOKUP(Berekeningen!M$1,LijstenOpzoektabelKV,$C60,FALSE)/100,0)</f>
        <v>0</v>
      </c>
      <c r="N60" s="653">
        <f>IF($B60&gt;1,($L60)*$L$49*HLOOKUP(Berekeningen!N$1,LijstenOpzoektabelKV,$C60,FALSE)/100,0)</f>
        <v>0</v>
      </c>
      <c r="O60" s="653">
        <f>IF($B60&gt;1,($L60)*$L$49*HLOOKUP(Berekeningen!O$1,LijstenOpzoektabelKV,$C60,FALSE)/100,0)</f>
        <v>0</v>
      </c>
      <c r="P60" s="653">
        <f>IF($B60&gt;1,($L60)*$L$49*HLOOKUP(Berekeningen!P$1,LijstenOpzoektabelKV,$C60,FALSE)/100,0)</f>
        <v>0</v>
      </c>
      <c r="Q60" s="653">
        <f>IF($B60&gt;1,($L60)*$L$49*HLOOKUP(Berekeningen!Q$1,LijstenOpzoektabelKV,$C60,FALSE)/100,0)</f>
        <v>0</v>
      </c>
      <c r="R60" s="653">
        <f>IF($B60&gt;1,($L60)*$L$49*HLOOKUP(Berekeningen!R$1,LijstenOpzoektabelKV,$C60,FALSE)/100,0)</f>
        <v>0</v>
      </c>
      <c r="S60" s="653">
        <f>IF($B60&gt;1,($L60)*$L$49*HLOOKUP(Berekeningen!S$1,LijstenOpzoektabelKV,$C60,FALSE)/100,0)</f>
        <v>0</v>
      </c>
      <c r="T60" s="653">
        <f>IF($B60&gt;1,($L60)*$L$49*HLOOKUP(Berekeningen!T$1,LijstenOpzoektabelKV,$C60,FALSE)/100,0)</f>
        <v>0</v>
      </c>
      <c r="U60" s="653">
        <f>IF($B60&gt;1,($L60)*$L$49*HLOOKUP(Berekeningen!U$1,LijstenOpzoektabelKV,$C60,FALSE)/100,0)</f>
        <v>0</v>
      </c>
      <c r="V60" s="653">
        <f>IF($B60&gt;1,($L60)*$L$49*HLOOKUP(Berekeningen!V$1,LijstenOpzoektabelKV,$C60,FALSE)/100,0)</f>
        <v>0</v>
      </c>
      <c r="W60" s="653">
        <f>IF($B60&gt;1,($L60)*$L$49*HLOOKUP(Berekeningen!W$1,LijstenOpzoektabelKV,$C60,FALSE)/100,0)</f>
        <v>0</v>
      </c>
    </row>
    <row r="61" spans="1:23" x14ac:dyDescent="0.2">
      <c r="A61" s="271" t="s">
        <v>1677</v>
      </c>
      <c r="B61" s="271">
        <v>1</v>
      </c>
      <c r="C61" s="640">
        <f>_Toevoeging_8+1</f>
        <v>2</v>
      </c>
      <c r="K61" s="271">
        <v>1</v>
      </c>
      <c r="L61" s="823">
        <f>INDEX(_VoedingToevoegingenWaarden,Berekeningen!K61)</f>
        <v>0</v>
      </c>
      <c r="M61" s="653">
        <f>IF($B61&gt;1,($L61)*$L$49*HLOOKUP(Berekeningen!M$1,LijstenOpzoektabelKV,$C61,FALSE)/100,0)</f>
        <v>0</v>
      </c>
      <c r="N61" s="653">
        <f>IF($B61&gt;1,($L61)*$L$49*HLOOKUP(Berekeningen!N$1,LijstenOpzoektabelKV,$C61,FALSE)/100,0)</f>
        <v>0</v>
      </c>
      <c r="O61" s="653">
        <f>IF($B61&gt;1,($L61)*$L$49*HLOOKUP(Berekeningen!O$1,LijstenOpzoektabelKV,$C61,FALSE)/100,0)</f>
        <v>0</v>
      </c>
      <c r="P61" s="653">
        <f>IF($B61&gt;1,($L61)*$L$49*HLOOKUP(Berekeningen!P$1,LijstenOpzoektabelKV,$C61,FALSE)/100,0)</f>
        <v>0</v>
      </c>
      <c r="Q61" s="653">
        <f>IF($B61&gt;1,($L61)*$L$49*HLOOKUP(Berekeningen!Q$1,LijstenOpzoektabelKV,$C61,FALSE)/100,0)</f>
        <v>0</v>
      </c>
      <c r="R61" s="653">
        <f>IF($B61&gt;1,($L61)*$L$49*HLOOKUP(Berekeningen!R$1,LijstenOpzoektabelKV,$C61,FALSE)/100,0)</f>
        <v>0</v>
      </c>
      <c r="S61" s="653">
        <f>IF($B61&gt;1,($L61)*$L$49*HLOOKUP(Berekeningen!S$1,LijstenOpzoektabelKV,$C61,FALSE)/100,0)</f>
        <v>0</v>
      </c>
      <c r="T61" s="653">
        <f>IF($B61&gt;1,($L61)*$L$49*HLOOKUP(Berekeningen!T$1,LijstenOpzoektabelKV,$C61,FALSE)/100,0)</f>
        <v>0</v>
      </c>
      <c r="U61" s="653">
        <f>IF($B61&gt;1,($L61)*$L$49*HLOOKUP(Berekeningen!U$1,LijstenOpzoektabelKV,$C61,FALSE)/100,0)</f>
        <v>0</v>
      </c>
      <c r="V61" s="653">
        <f>IF($B61&gt;1,($L61)*$L$49*HLOOKUP(Berekeningen!V$1,LijstenOpzoektabelKV,$C61,FALSE)/100,0)</f>
        <v>0</v>
      </c>
      <c r="W61" s="653">
        <f>IF($B61&gt;1,($L61)*$L$49*HLOOKUP(Berekeningen!W$1,LijstenOpzoektabelKV,$C61,FALSE)/100,0)</f>
        <v>0</v>
      </c>
    </row>
    <row r="62" spans="1:23" x14ac:dyDescent="0.2">
      <c r="A62" s="271" t="s">
        <v>1774</v>
      </c>
      <c r="M62" s="653">
        <f>SUM(M58:M61)</f>
        <v>0</v>
      </c>
      <c r="N62" s="653">
        <f t="shared" ref="N62:W62" si="19">SUM(N58:N61)</f>
        <v>0</v>
      </c>
      <c r="O62" s="653">
        <f t="shared" si="19"/>
        <v>0</v>
      </c>
      <c r="P62" s="653">
        <f t="shared" si="19"/>
        <v>0</v>
      </c>
      <c r="Q62" s="653">
        <f t="shared" si="19"/>
        <v>0</v>
      </c>
      <c r="R62" s="653">
        <f t="shared" si="19"/>
        <v>0</v>
      </c>
      <c r="S62" s="653">
        <f t="shared" si="19"/>
        <v>0</v>
      </c>
      <c r="T62" s="653">
        <f t="shared" si="19"/>
        <v>0</v>
      </c>
      <c r="U62" s="653">
        <f t="shared" si="19"/>
        <v>0</v>
      </c>
      <c r="V62" s="653">
        <f t="shared" si="19"/>
        <v>0</v>
      </c>
      <c r="W62" s="653">
        <f t="shared" si="19"/>
        <v>0</v>
      </c>
    </row>
    <row r="63" spans="1:23" x14ac:dyDescent="0.2">
      <c r="A63" s="271" t="s">
        <v>1260</v>
      </c>
      <c r="B63" s="271">
        <v>1</v>
      </c>
    </row>
    <row r="65" spans="1:13" x14ac:dyDescent="0.2">
      <c r="A65" s="271" t="s">
        <v>1069</v>
      </c>
    </row>
    <row r="70" spans="1:13" x14ac:dyDescent="0.2">
      <c r="B70" s="285"/>
      <c r="C70" s="279"/>
      <c r="D70" s="279"/>
      <c r="E70" s="279"/>
      <c r="F70" s="286"/>
      <c r="G70" s="279"/>
      <c r="H70" s="279"/>
      <c r="I70" s="279"/>
    </row>
    <row r="71" spans="1:13" x14ac:dyDescent="0.2">
      <c r="M71" s="641"/>
    </row>
    <row r="73" spans="1:13" x14ac:dyDescent="0.2">
      <c r="A73" s="271" t="s">
        <v>1645</v>
      </c>
      <c r="B73" s="271" t="str">
        <f ca="1">IF(Afspraken!E18=0,"",CONCATENATE(Afspraken!B18,": ",Afspraken!E18," ",Afspraken!F18," = "&amp;Berekeningen!L47&amp;" ml"))</f>
        <v/>
      </c>
    </row>
    <row r="74" spans="1:13" x14ac:dyDescent="0.2">
      <c r="A74" s="271" t="s">
        <v>1646</v>
      </c>
      <c r="B74" s="271" t="str">
        <f>IF(INDEX(Pos,Berekeningen!D14,1)=0,"",CONCATENATE(Afspraken!H21," ",INDEX(Pos,Berekeningen!D14,1)))</f>
        <v/>
      </c>
    </row>
    <row r="75" spans="1:13" x14ac:dyDescent="0.2">
      <c r="A75" s="271" t="s">
        <v>1647</v>
      </c>
      <c r="B75" s="662" t="str">
        <f>IF(INDEX(Pos,Berekeningen!D14,1)=0,"",CONCATENATE("Hoeveelheid 1:  ",Afspraken!E21," ",Afspraken!F21," ",Afspraken!G21))</f>
        <v/>
      </c>
    </row>
    <row r="76" spans="1:13" x14ac:dyDescent="0.2">
      <c r="A76" s="271" t="s">
        <v>1648</v>
      </c>
      <c r="B76" s="271" t="str">
        <f>IF(INDEX(Pos,Berekeningen!D14,1)=0,"",CONCATENATE("Hoeveelheid 2:  ",Afspraken!E22," ",Afspraken!F22," ",Afspraken!G22))</f>
        <v/>
      </c>
    </row>
    <row r="77" spans="1:13" x14ac:dyDescent="0.2">
      <c r="A77" s="271" t="s">
        <v>1649</v>
      </c>
      <c r="B77" s="662" t="str">
        <f>IF(AND(INDEX(LijstenLijstVoeding,_Voeding,14)="MM",_Percentage_0 &gt; 0), CONCATENATE("Toev MM: BMF ",_Percentage_0," %"),"")</f>
        <v/>
      </c>
    </row>
    <row r="78" spans="1:13" x14ac:dyDescent="0.2">
      <c r="A78" s="271" t="s">
        <v>1650</v>
      </c>
      <c r="B78" s="662" t="str">
        <f>IF(AND(INDEX(LijstenLijstVoeding,_Voeding,14)="MM",_Toevoeging_1 &gt; 1,_Percentage_1 &gt; 0), CONCATENATE("Toev MM: ",INDEX(_VoedingToevoegingenMoedermelk,_Toevoeging_1,1)," ",_Percentage_1," %"),"")</f>
        <v/>
      </c>
    </row>
    <row r="79" spans="1:13" x14ac:dyDescent="0.2">
      <c r="A79" s="271" t="s">
        <v>1651</v>
      </c>
      <c r="B79" s="662" t="str">
        <f>IF(AND(INDEX(LijstenLijstVoeding,_Voeding,14)="MM",_Toevoeging_2 &gt; 1,_Percentage_2 &gt; 0), CONCATENATE("Toev MM: ",INDEX(_VoedingToevoegingenMoedermelk,_Toevoeging_2,1)," ",_Percentage_2," %"),"")</f>
        <v/>
      </c>
    </row>
    <row r="80" spans="1:13" x14ac:dyDescent="0.2">
      <c r="A80" s="271" t="s">
        <v>1652</v>
      </c>
      <c r="B80" s="662" t="str">
        <f>IF(AND(INDEX(LijstenLijstVoeding,_Voeding,14)="MM",_Toevoeging_3 &gt; 1,_Percentage_3 &gt; 0), CONCATENATE("Toev MM: ",INDEX(_VoedingToevoegingenMoedermelk,_Toevoeging_3,1)," ",_Percentage_3," %"),"")</f>
        <v/>
      </c>
    </row>
    <row r="81" spans="1:7" x14ac:dyDescent="0.2">
      <c r="A81" s="271" t="s">
        <v>1653</v>
      </c>
      <c r="B81" s="662" t="str">
        <f>IF(AND(INDEX(LijstenLijstVoeding,_Voeding,14)="MM",_Toevoeging_4 &gt; 1,_Percentage_4 &gt; 0), CONCATENATE("Toev MM: ",INDEX(_VoedingToevoegingenMoedermelk,_Toevoeging_4,1)," ",_Percentage_4," %"),"")</f>
        <v/>
      </c>
    </row>
    <row r="82" spans="1:7" x14ac:dyDescent="0.2">
      <c r="A82" s="271" t="s">
        <v>1654</v>
      </c>
      <c r="B82" s="662" t="str">
        <f>IF(AND(INDEX(LijstenLijstVoeding,_Voeding,14)="KV",_Toevoeging_5 &gt; 1,_Percentage_5 &gt; 0), CONCATENATE("Toev KV: ",INDEX(_VoedingToevoegingenKunstvoeding,_Toevoeging_5,1)," ",_Percentage_5," %"),"")</f>
        <v/>
      </c>
    </row>
    <row r="83" spans="1:7" x14ac:dyDescent="0.2">
      <c r="A83" s="662" t="s">
        <v>1994</v>
      </c>
      <c r="B83" s="662" t="str">
        <f>IF(AND(INDEX(LijstenLijstVoeding,_Voeding,14)="KV",_Toevoeging_6 &gt; 1,_Percentage_6 &gt; 0), CONCATENATE("Toev KV: ",INDEX(_VoedingToevoegingenKunstvoeding,_Toevoeging_6,1)," ",_Percentage_6," %"),"")</f>
        <v/>
      </c>
    </row>
    <row r="84" spans="1:7" x14ac:dyDescent="0.2">
      <c r="A84" s="662" t="s">
        <v>1995</v>
      </c>
      <c r="B84" s="662" t="str">
        <f>IF(AND(INDEX(LijstenLijstVoeding,_Voeding,14)="KV",_Toevoeging_7 &gt; 1,_Percentage_7 &gt; 0), CONCATENATE("Toev KV: ",INDEX(_VoedingToevoegingenKunstvoeding,_Toevoeging_7,1)," ",_Percentage_7," %"),"")</f>
        <v/>
      </c>
    </row>
    <row r="85" spans="1:7" x14ac:dyDescent="0.2">
      <c r="A85" s="662" t="s">
        <v>1996</v>
      </c>
      <c r="B85" s="662" t="str">
        <f>IF(AND(INDEX(LijstenLijstVoeding,_Voeding,14)="KV",_Toevoeging_8 &gt; 1,_Percentage_8 &gt; 0), CONCATENATE("Toev KV: ",INDEX(_VoedingToevoegingenKunstvoeding,_Toevoeging_8,1)," ",_Percentage_8," %"),"")</f>
        <v/>
      </c>
    </row>
    <row r="86" spans="1:7" x14ac:dyDescent="0.2">
      <c r="A86" s="662" t="s">
        <v>1997</v>
      </c>
      <c r="B86" s="271" t="str">
        <f ca="1">IF(Afspraken!E28&gt;0,CONCATENATE(Afspraken!B28," ",Afspraken!E28," ",Afspraken!F28),"")</f>
        <v/>
      </c>
    </row>
    <row r="87" spans="1:7" x14ac:dyDescent="0.2">
      <c r="A87" s="662" t="s">
        <v>1998</v>
      </c>
      <c r="B87" s="271" t="str">
        <f>CONCATENATE(Afspraken!B19,": ",IF(Berekeningen!B15=1,"Ja","Nee"))</f>
        <v>Fototherapie: Nee</v>
      </c>
    </row>
    <row r="90" spans="1:7" x14ac:dyDescent="0.2">
      <c r="A90" s="518" t="s">
        <v>2287</v>
      </c>
      <c r="B90" s="271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1" spans="1:7" x14ac:dyDescent="0.2">
      <c r="A91" s="518" t="s">
        <v>2287</v>
      </c>
      <c r="B91" s="823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2" spans="1:7" x14ac:dyDescent="0.2">
      <c r="A92" s="518" t="s">
        <v>2287</v>
      </c>
      <c r="B92" s="823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  <c r="G92" s="823"/>
    </row>
    <row r="93" spans="1:7" x14ac:dyDescent="0.2">
      <c r="A93" s="518" t="s">
        <v>2287</v>
      </c>
      <c r="B93" s="823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  <c r="G93" s="823"/>
    </row>
    <row r="94" spans="1:7" x14ac:dyDescent="0.2">
      <c r="A94" s="518" t="s">
        <v>2287</v>
      </c>
      <c r="B94" s="823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  <c r="G94" s="823"/>
    </row>
    <row r="95" spans="1:7" x14ac:dyDescent="0.2">
      <c r="A95" s="518" t="s">
        <v>2287</v>
      </c>
      <c r="B95" s="823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  <c r="G95" s="823"/>
    </row>
    <row r="96" spans="1:7" x14ac:dyDescent="0.2">
      <c r="A96" s="518" t="s">
        <v>2287</v>
      </c>
      <c r="B96" s="823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  <c r="G96" s="823"/>
    </row>
    <row r="97" spans="1:7" x14ac:dyDescent="0.2">
      <c r="A97" s="518" t="s">
        <v>2287</v>
      </c>
      <c r="B97" s="823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  <c r="G97" s="823"/>
    </row>
    <row r="98" spans="1:7" x14ac:dyDescent="0.2">
      <c r="A98" s="518" t="s">
        <v>2287</v>
      </c>
      <c r="B98" s="823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  <c r="G98" s="823"/>
    </row>
    <row r="99" spans="1:7" x14ac:dyDescent="0.2">
      <c r="A99" s="518" t="s">
        <v>2287</v>
      </c>
      <c r="B99" s="823" t="str">
        <f>IF(Berekeningen!E29&lt;&gt;0, Afspraken!B42&amp;": "&amp; INDEX(Opl,Berekeningen!$E29,1)&amp;" " &amp; Afspraken!G42,"")</f>
        <v/>
      </c>
      <c r="G99" s="823"/>
    </row>
    <row r="100" spans="1:7" x14ac:dyDescent="0.2">
      <c r="A100" s="518" t="s">
        <v>2287</v>
      </c>
      <c r="B100" s="823" t="str">
        <f>IF(Berekeningen!E30&lt;&gt;0, Afspraken!B43&amp;": "&amp; INDEX(Opl,Berekeningen!$E30,1)&amp;" " &amp; Afspraken!G43,"")</f>
        <v/>
      </c>
      <c r="G100" s="823"/>
    </row>
    <row r="101" spans="1:7" x14ac:dyDescent="0.2">
      <c r="A101" s="518" t="s">
        <v>2287</v>
      </c>
      <c r="B101" s="823" t="str">
        <f>IF(Berekeningen!E31&lt;&gt;0, Afspraken!B44&amp;": "&amp; INDEX(Opl,Berekeningen!$E31,1)&amp;" " &amp; Afspraken!G44,"")</f>
        <v/>
      </c>
      <c r="G101" s="823"/>
    </row>
    <row r="102" spans="1:7" x14ac:dyDescent="0.2">
      <c r="A102" s="518" t="s">
        <v>2287</v>
      </c>
      <c r="B102" s="271" t="str">
        <f>IF(Berekeningen!B32="","",Berekeningen!B32)</f>
        <v/>
      </c>
      <c r="G102" s="823"/>
    </row>
    <row r="103" spans="1:7" x14ac:dyDescent="0.2">
      <c r="A103" s="518" t="s">
        <v>2287</v>
      </c>
      <c r="B103" s="823" t="str">
        <f>IF(Berekeningen!B33="","",Berekeningen!B33)</f>
        <v/>
      </c>
      <c r="G103" s="823"/>
    </row>
    <row r="104" spans="1:7" x14ac:dyDescent="0.2">
      <c r="A104" s="518" t="s">
        <v>2287</v>
      </c>
      <c r="B104" s="271" t="str">
        <f ca="1">IF(Berekeningen!C35&lt;&gt;0,CONCATENATE("Intralipid 20% (incl.vitintra) ",ROUNDUP(Berekeningen!C35/24,1)," ml/uur"),"")</f>
        <v/>
      </c>
      <c r="G104" s="823"/>
    </row>
    <row r="105" spans="1:7" x14ac:dyDescent="0.2">
      <c r="A105" s="518" t="s">
        <v>2287</v>
      </c>
      <c r="B105" s="271" t="str">
        <f ca="1">IF(_WerkbriefActueelTPNStand&lt;&gt;"",CONCATENATE("TPN: ",_WerkbriefActueelTPNStand, " ml/uur"),"")</f>
        <v/>
      </c>
      <c r="G105" s="823"/>
    </row>
    <row r="106" spans="1:7" x14ac:dyDescent="0.2">
      <c r="A106" s="518" t="s">
        <v>2287</v>
      </c>
      <c r="B106" s="271" t="str">
        <f ca="1">IF(_WerkbriefActueelTPNStand&lt;&gt;"",CONCATENATE("TPN Totaal: ",_WerkbriefActueelTPNTotaalGeheel,",",  ROUND(_WerkbriefActueelTPNTotaalBreuk,0), " ml"),"")</f>
        <v/>
      </c>
      <c r="G106" s="823"/>
    </row>
    <row r="107" spans="1:7" x14ac:dyDescent="0.2">
      <c r="A107" s="518" t="s">
        <v>2287</v>
      </c>
      <c r="B107" s="271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G107" s="823"/>
    </row>
    <row r="108" spans="1:7" x14ac:dyDescent="0.2">
      <c r="A108" s="518" t="s">
        <v>2287</v>
      </c>
      <c r="B108" s="271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G108" s="823"/>
    </row>
    <row r="109" spans="1:7" x14ac:dyDescent="0.2">
      <c r="A109" s="518" t="s">
        <v>2287</v>
      </c>
      <c r="B109" s="271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G109" s="823"/>
    </row>
    <row r="110" spans="1:7" x14ac:dyDescent="0.2">
      <c r="A110" s="518" t="s">
        <v>2287</v>
      </c>
      <c r="B110" s="271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G110" s="823"/>
    </row>
    <row r="111" spans="1:7" x14ac:dyDescent="0.2">
      <c r="A111" s="518" t="s">
        <v>2287</v>
      </c>
      <c r="B111" s="271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G111" s="823"/>
    </row>
    <row r="112" spans="1:7" x14ac:dyDescent="0.2">
      <c r="A112" s="518" t="s">
        <v>2287</v>
      </c>
      <c r="B112" s="271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G112" s="823"/>
    </row>
    <row r="113" spans="1:7" x14ac:dyDescent="0.2">
      <c r="A113" s="518" t="s">
        <v>2287</v>
      </c>
      <c r="B113" s="271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G113" s="823"/>
    </row>
    <row r="114" spans="1:7" x14ac:dyDescent="0.2">
      <c r="A114" s="518" t="s">
        <v>2287</v>
      </c>
      <c r="B114" s="271" t="str">
        <f>IF(OR(_WerkbriefActueelTPNSamBGeheel&lt;&gt;"",_WerkbriefActueelTPNSamBBreuk&lt;&gt;""),CONCATENATE(_WerkbriefActueelTPNSamBTekst," ",_WerkbriefActueelTPNSamBGeheel,",", _WerkbriefActueelTPNSamBBreuk, " ml"),"")</f>
        <v/>
      </c>
      <c r="G114" s="823"/>
    </row>
    <row r="115" spans="1:7" x14ac:dyDescent="0.2">
      <c r="A115" s="518" t="s">
        <v>2287</v>
      </c>
      <c r="B115" s="271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G115" s="823"/>
    </row>
    <row r="116" spans="1:7" x14ac:dyDescent="0.2">
      <c r="A116" s="518" t="s">
        <v>2287</v>
      </c>
      <c r="B116" s="271" t="str">
        <f>IF(_WerkbriefIntravasaleToegangStand&lt;&gt;"",CONCATENATE(_WerkbriefIntravasaleToegangTekst," ",_WerkbriefIntravasaleToegangStand, " ml/uur"),"")</f>
        <v/>
      </c>
      <c r="G116" s="8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Actueel">
    <tabColor rgb="FF92D050"/>
  </sheetPr>
  <dimension ref="A1:R57"/>
  <sheetViews>
    <sheetView workbookViewId="0"/>
  </sheetViews>
  <sheetFormatPr defaultColWidth="5.7109375" defaultRowHeight="12.75" x14ac:dyDescent="0.2"/>
  <cols>
    <col min="1" max="12" width="5.7109375" style="321"/>
    <col min="13" max="14" width="7.85546875" style="321" customWidth="1"/>
    <col min="15" max="16384" width="5.7109375" style="321"/>
  </cols>
  <sheetData>
    <row r="1" spans="1:16" x14ac:dyDescent="0.2">
      <c r="A1" s="598" t="s">
        <v>1019</v>
      </c>
      <c r="L1" s="321" t="s">
        <v>1004</v>
      </c>
      <c r="M1" s="322">
        <f>_Bed</f>
        <v>0</v>
      </c>
    </row>
    <row r="2" spans="1:16" x14ac:dyDescent="0.2">
      <c r="A2" s="321" t="s">
        <v>1020</v>
      </c>
      <c r="C2" s="323" t="str">
        <f>_VoorNaam&amp;" "&amp;_AchterNaam</f>
        <v>Test Test</v>
      </c>
      <c r="G2" s="321" t="s">
        <v>1021</v>
      </c>
      <c r="I2" s="903">
        <f ca="1">TODAY()</f>
        <v>42703</v>
      </c>
      <c r="J2" s="903"/>
      <c r="K2" s="903"/>
      <c r="L2" s="321" t="s">
        <v>1022</v>
      </c>
      <c r="M2" s="904">
        <f ca="1">NOW()</f>
        <v>42703.010065509261</v>
      </c>
      <c r="N2" s="904"/>
    </row>
    <row r="3" spans="1:16" x14ac:dyDescent="0.2">
      <c r="A3" s="321" t="s">
        <v>1023</v>
      </c>
      <c r="C3" s="323">
        <f>_Gewicht</f>
        <v>10</v>
      </c>
      <c r="D3" s="321" t="s">
        <v>62</v>
      </c>
      <c r="I3" s="826"/>
      <c r="J3" s="826"/>
      <c r="K3" s="826"/>
      <c r="M3" s="325"/>
      <c r="N3" s="325"/>
    </row>
    <row r="4" spans="1:16" x14ac:dyDescent="0.2">
      <c r="G4" s="321" t="s">
        <v>1024</v>
      </c>
      <c r="I4" s="323" t="str">
        <f>IF(_Arts&gt;0,_Arts,"")</f>
        <v/>
      </c>
      <c r="L4" s="321" t="s">
        <v>1025</v>
      </c>
      <c r="M4" s="326"/>
      <c r="N4" s="326"/>
      <c r="O4" s="326"/>
      <c r="P4" s="326"/>
    </row>
    <row r="5" spans="1:16" x14ac:dyDescent="0.2">
      <c r="A5" s="327" t="s">
        <v>389</v>
      </c>
      <c r="B5" s="328"/>
      <c r="C5" s="329" t="s">
        <v>1026</v>
      </c>
      <c r="D5" s="329"/>
      <c r="E5" s="329"/>
      <c r="F5" s="329"/>
      <c r="G5" s="329"/>
      <c r="H5" s="330">
        <f ca="1">Afspraken!E28</f>
        <v>0</v>
      </c>
      <c r="I5" s="329" t="s">
        <v>366</v>
      </c>
      <c r="J5" s="329"/>
      <c r="K5" s="329"/>
      <c r="L5" s="329"/>
      <c r="M5" s="905" t="s">
        <v>1027</v>
      </c>
      <c r="N5" s="906"/>
      <c r="O5" s="331" t="s">
        <v>1028</v>
      </c>
      <c r="P5" s="332"/>
    </row>
    <row r="6" spans="1:16" ht="15" x14ac:dyDescent="0.2">
      <c r="A6" s="606" t="str">
        <f>IF(M6&lt;&gt;"",M6/24,"")</f>
        <v/>
      </c>
      <c r="B6" s="328"/>
      <c r="C6" s="327" t="str">
        <f>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IF(24*Berekeningen!B18&gt;0,TRUNC(24*Berekeningen!B18/10),"")</f>
        <v/>
      </c>
      <c r="N6" s="335" t="str">
        <f>IF(Berekeningen!B18&gt;0,(24*Berekeningen!B18/10-M6)*10,"")</f>
        <v/>
      </c>
      <c r="O6" s="331" t="str">
        <f>IF(Berekeningen!K18,"extra","")</f>
        <v/>
      </c>
      <c r="P6" s="332"/>
    </row>
    <row r="7" spans="1:16" ht="15" x14ac:dyDescent="0.2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" x14ac:dyDescent="0.2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IF(Berekeningen!$L$37&gt;0,IF(_DagKeuze&lt;&gt;2,TRUNC(Berekeningen!$C$37),0),"")</f>
        <v/>
      </c>
      <c r="N8" s="342" t="str">
        <f ca="1">IF(Berekeningen!$L$37&gt;0,IF(_DagKeuze1700&lt;&gt;2,(Berekeningen!$C$37-M8)*100,0),"")</f>
        <v/>
      </c>
      <c r="O8" s="331"/>
      <c r="P8" s="332"/>
    </row>
    <row r="9" spans="1:16" ht="15" x14ac:dyDescent="0.2">
      <c r="A9" s="343"/>
      <c r="B9" s="331"/>
      <c r="C9" s="327"/>
      <c r="D9" s="334"/>
      <c r="E9" s="334"/>
      <c r="F9" s="334"/>
      <c r="G9" s="334"/>
      <c r="H9" s="334" t="s">
        <v>1029</v>
      </c>
      <c r="I9" s="334"/>
      <c r="J9" s="334"/>
      <c r="K9" s="334"/>
      <c r="L9" s="328"/>
      <c r="M9" s="344" t="str">
        <f ca="1">IF(Berekeningen!$L$38&gt;0,IF(_DagKeuze1700&lt;&gt;2,TRUNC(Berekeningen!$C$38),0),"")</f>
        <v/>
      </c>
      <c r="N9" s="335" t="str">
        <f ca="1">IF(Berekeningen!$L$38&gt;0,IF(_DagKeuze1700&lt;&gt;2,(Berekeningen!$C$38-M9)*100,0),"")</f>
        <v/>
      </c>
      <c r="O9" s="331"/>
      <c r="P9" s="332"/>
    </row>
    <row r="10" spans="1:16" ht="15" x14ac:dyDescent="0.2">
      <c r="A10" s="343"/>
      <c r="B10" s="331"/>
      <c r="C10" s="338"/>
      <c r="D10" s="339"/>
      <c r="E10" s="339"/>
      <c r="F10" s="339"/>
      <c r="G10" s="339"/>
      <c r="H10" s="339" t="s">
        <v>900</v>
      </c>
      <c r="I10" s="339"/>
      <c r="J10" s="339"/>
      <c r="K10" s="339"/>
      <c r="L10" s="340"/>
      <c r="M10" s="341" t="str">
        <f ca="1">IF(Berekeningen!$L$39&gt;0,TRUNC(Berekeningen!$C$39),"")</f>
        <v/>
      </c>
      <c r="N10" s="342" t="str">
        <f ca="1">IF(Berekeningen!$L$39&gt;0,IF(_DagKeuze1700=1,Berekeningen!$C$39-M10,0),"")</f>
        <v/>
      </c>
      <c r="O10" s="331"/>
      <c r="P10" s="332"/>
    </row>
    <row r="11" spans="1:16" ht="15" x14ac:dyDescent="0.2">
      <c r="A11" s="343"/>
      <c r="B11" s="331"/>
      <c r="C11" s="327"/>
      <c r="D11" s="334"/>
      <c r="E11" s="334"/>
      <c r="F11" s="334"/>
      <c r="G11" s="334"/>
      <c r="H11" s="334" t="s">
        <v>901</v>
      </c>
      <c r="I11" s="334"/>
      <c r="J11" s="334"/>
      <c r="K11" s="334"/>
      <c r="L11" s="328"/>
      <c r="M11" s="344" t="str">
        <f ca="1">IF(Berekeningen!$L$40&gt;0,TRUNC(Berekeningen!$C$40),"")</f>
        <v/>
      </c>
      <c r="N11" s="335" t="str">
        <f ca="1">IF(Berekeningen!$L$40&gt;0,IF(_DagKeuze1700=1,(Berekeningen!$C$40-M11)*100,0),"")</f>
        <v/>
      </c>
      <c r="O11" s="331"/>
      <c r="P11" s="332"/>
    </row>
    <row r="12" spans="1:16" ht="15" x14ac:dyDescent="0.2">
      <c r="A12" s="343"/>
      <c r="B12" s="331"/>
      <c r="C12" s="338"/>
      <c r="D12" s="339"/>
      <c r="E12" s="339"/>
      <c r="F12" s="339"/>
      <c r="G12" s="339"/>
      <c r="H12" s="339" t="s">
        <v>436</v>
      </c>
      <c r="I12" s="339"/>
      <c r="J12" s="339"/>
      <c r="K12" s="339"/>
      <c r="L12" s="340"/>
      <c r="M12" s="341" t="str">
        <f ca="1">IF(Berekeningen!$L$41&gt;0,TRUNC(Berekeningen!$C$41),"")</f>
        <v/>
      </c>
      <c r="N12" s="342" t="str">
        <f ca="1">IF(Berekeningen!$L$41&gt;0,IF(_DagKeuze1700=1,(Berekeningen!$C$41-M12)*100,0),"")</f>
        <v/>
      </c>
      <c r="O12" s="331"/>
      <c r="P12" s="332"/>
    </row>
    <row r="13" spans="1:16" ht="15" x14ac:dyDescent="0.2">
      <c r="A13" s="343"/>
      <c r="B13" s="331"/>
      <c r="C13" s="327"/>
      <c r="D13" s="334"/>
      <c r="E13" s="334"/>
      <c r="F13" s="334"/>
      <c r="G13" s="334"/>
      <c r="H13" s="334" t="s">
        <v>1030</v>
      </c>
      <c r="I13" s="334"/>
      <c r="J13" s="334"/>
      <c r="K13" s="334"/>
      <c r="L13" s="328"/>
      <c r="M13" s="344" t="str">
        <f ca="1">IF(Berekeningen!$L$42&gt;0,TRUNC(Berekeningen!$C$42),"")</f>
        <v/>
      </c>
      <c r="N13" s="335" t="str">
        <f ca="1">IF(Berekeningen!$L$42&gt;0,IF(_DagKeuze1700&lt;&gt;1,(Berekeningen!$C$42-M13)*100,0),"")</f>
        <v/>
      </c>
      <c r="O13" s="331"/>
      <c r="P13" s="332"/>
    </row>
    <row r="14" spans="1:16" ht="15" x14ac:dyDescent="0.2">
      <c r="A14" s="343"/>
      <c r="B14" s="331"/>
      <c r="C14" s="338"/>
      <c r="D14" s="339"/>
      <c r="E14" s="339"/>
      <c r="F14" s="339"/>
      <c r="G14" s="339"/>
      <c r="H14" s="339" t="s">
        <v>1031</v>
      </c>
      <c r="I14" s="339"/>
      <c r="J14" s="339"/>
      <c r="K14" s="339"/>
      <c r="L14" s="340"/>
      <c r="M14" s="341" t="str">
        <f>IF(_DagKeuze=2,TRUNC(Berekeningen!$C$43),"")</f>
        <v/>
      </c>
      <c r="N14" s="342" t="str">
        <f>IF(_DagKeuze=2,(Berekeningen!$C$43-M14)*100,"")</f>
        <v/>
      </c>
      <c r="O14" s="331"/>
      <c r="P14" s="332"/>
    </row>
    <row r="15" spans="1:16" ht="15" x14ac:dyDescent="0.2">
      <c r="A15" s="343"/>
      <c r="B15" s="331"/>
      <c r="C15" s="327"/>
      <c r="D15" s="334"/>
      <c r="E15" s="334"/>
      <c r="F15" s="334"/>
      <c r="G15" s="334"/>
      <c r="H15" s="334" t="s">
        <v>687</v>
      </c>
      <c r="I15" s="334"/>
      <c r="J15" s="334"/>
      <c r="K15" s="334"/>
      <c r="L15" s="328"/>
      <c r="M15" s="344" t="str">
        <f>IF(_DagKeuze=3,TRUNC(Berekeningen!$C$44),"")</f>
        <v/>
      </c>
      <c r="N15" s="335" t="str">
        <f>IF(_DagKeuze=3,(Berekeningen!$C$44-M15)*100,"")</f>
        <v/>
      </c>
      <c r="O15" s="331"/>
      <c r="P15" s="332"/>
    </row>
    <row r="16" spans="1:16" ht="15" x14ac:dyDescent="0.2">
      <c r="A16" s="338"/>
      <c r="B16" s="340"/>
      <c r="C16" s="338"/>
      <c r="D16" s="339"/>
      <c r="E16" s="339"/>
      <c r="F16" s="339"/>
      <c r="G16" s="339"/>
      <c r="H16" s="339" t="str">
        <f>INDEX(Opl,Berekeningen!D45+1,1)</f>
        <v>glucose 10%</v>
      </c>
      <c r="I16" s="339"/>
      <c r="J16" s="339"/>
      <c r="K16" s="339"/>
      <c r="L16" s="340"/>
      <c r="M16" s="341" t="str">
        <f>IF(Berekeningen!$L$45&gt;0,TRUNC(Berekeningen!$L$45),"")</f>
        <v/>
      </c>
      <c r="N16" s="342" t="str">
        <f>IF(Berekeningen!$L$45&gt;0,(Berekeningen!$L$45-M16)*100,"")</f>
        <v/>
      </c>
      <c r="O16" s="331"/>
      <c r="P16" s="332"/>
    </row>
    <row r="17" spans="1:18" ht="14.25" customHeight="1" x14ac:dyDescent="0.2">
      <c r="A17" s="329"/>
      <c r="B17" s="329"/>
      <c r="C17" s="331"/>
      <c r="D17" s="331"/>
      <c r="E17" s="331"/>
      <c r="F17" s="331"/>
      <c r="G17" s="331"/>
      <c r="H17" s="345" t="s">
        <v>243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2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2">
      <c r="A19" s="327" t="s">
        <v>389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2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IF(Berekeningen!E29&gt;1,INDEX(Opl,Berekeningen!E29,1),"")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8" ht="14.25" customHeight="1" x14ac:dyDescent="0.2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IF(Berekeningen!E30&gt;1,INDEX(Opl,Berekeningen!E30,1),"")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8" ht="14.25" customHeight="1" x14ac:dyDescent="0.2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IF(Berekeningen!E31&gt;1,INDEX(Opl,Berekeningen!E31,1),"")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8" ht="14.25" customHeight="1" x14ac:dyDescent="0.2">
      <c r="A23" s="351" t="str">
        <f ca="1">IF(D23&lt;&gt;"",ROUNDUP(Berekeningen!C35/24,1),"")</f>
        <v/>
      </c>
      <c r="B23" s="352"/>
      <c r="C23" s="353"/>
      <c r="D23" s="327" t="str">
        <f ca="1">IF(Berekeningen!C35&lt;&gt;0,INDEX(lijstIntralipidSmof,SelectedIntralipidSmof),"")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IF(D23&lt;&gt;"",TRUNC(Berekeningen!C35),"")</f>
        <v/>
      </c>
      <c r="N23" s="335" t="str">
        <f ca="1">IF(D23&lt;&gt;"",(Berekeningen!C35-M23)*100,"")</f>
        <v/>
      </c>
      <c r="O23" s="331"/>
      <c r="P23" s="332"/>
    </row>
    <row r="24" spans="1:18" ht="14.25" customHeight="1" x14ac:dyDescent="0.2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2">
      <c r="A25" s="327" t="s">
        <v>389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2">
      <c r="A26" s="351" t="str">
        <f>IF(Berekeningen!B20&gt;1,Berekeningen!F20/10,"")</f>
        <v/>
      </c>
      <c r="B26" s="351"/>
      <c r="C26" s="356" t="str">
        <f>IF(A26&lt;&gt;"",IF(Berekeningen!B20&gt;1,INDEX(Medicamenten,Berekeningen!B20,1),""),"")</f>
        <v/>
      </c>
      <c r="D26" s="329"/>
      <c r="E26" s="330" t="str">
        <f>IF(A26&lt;&gt;"",IF(Berekeningen!B20&gt;1,Berekeningen!C20/10,""),"")</f>
        <v/>
      </c>
      <c r="F26" s="329" t="str">
        <f>IF(_Medicament_1&lt;&gt;5,"mg","ml")</f>
        <v>mg</v>
      </c>
      <c r="G26" s="357" t="s">
        <v>1032</v>
      </c>
      <c r="H26" s="329" t="str">
        <f>IF(A26&lt;&gt;"",IF(Berekeningen!B20&gt;1,INDEX(Medicamenten,Berekeningen!B20,3),""),"")</f>
        <v/>
      </c>
      <c r="I26" s="329" t="s">
        <v>1033</v>
      </c>
      <c r="J26" s="329" t="str">
        <f>IF(A26&lt;&gt;"",IF(Berekeningen!B20&gt;1,INDEX(Medicamenten,Berekeningen!B20,4),""),"")</f>
        <v/>
      </c>
      <c r="K26" s="329" t="s">
        <v>1034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  <c r="R26" s="321">
        <f>Berekeningen!B20</f>
        <v>1</v>
      </c>
    </row>
    <row r="27" spans="1:18" ht="14.25" customHeight="1" x14ac:dyDescent="0.2">
      <c r="A27" s="351"/>
      <c r="B27" s="351"/>
      <c r="C27" s="343"/>
      <c r="D27" s="331"/>
      <c r="E27" s="331"/>
      <c r="F27" s="331"/>
      <c r="G27" s="360"/>
      <c r="H27" s="331"/>
      <c r="I27" s="331" t="s">
        <v>1035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2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243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8" ht="14.25" customHeight="1" x14ac:dyDescent="0.2">
      <c r="A29" s="351" t="str">
        <f>IF(Berekeningen!B21&gt;1,Berekeningen!F21/10,"")</f>
        <v/>
      </c>
      <c r="B29" s="351"/>
      <c r="C29" s="356" t="str">
        <f>IF(A29&lt;&gt;"",IF(Berekeningen!B21&gt;1,INDEX(Medicamenten,Berekeningen!B21,1),""),"")</f>
        <v/>
      </c>
      <c r="D29" s="329"/>
      <c r="E29" s="330" t="str">
        <f>IF(A29&lt;&gt;"",IF(Berekeningen!B21&gt;1,Berekeningen!C21/10,""),"")</f>
        <v/>
      </c>
      <c r="F29" s="329" t="str">
        <f>IF(_Medicament_2&lt;&gt;5,"mg","ml")</f>
        <v>mg</v>
      </c>
      <c r="G29" s="357" t="s">
        <v>1032</v>
      </c>
      <c r="H29" s="329" t="str">
        <f>IF(A29&lt;&gt;"",IF(Berekeningen!B21&gt;1,INDEX(Medicamenten,Berekeningen!B21,3),""),"")</f>
        <v/>
      </c>
      <c r="I29" s="329" t="s">
        <v>1033</v>
      </c>
      <c r="J29" s="329" t="str">
        <f>IF(A29&lt;&gt;"",IF(Berekeningen!B21&gt;1,INDEX(Medicamenten,Berekeningen!B21,4),""),"")</f>
        <v/>
      </c>
      <c r="K29" s="329" t="s">
        <v>1034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8" ht="14.25" customHeight="1" x14ac:dyDescent="0.2">
      <c r="A30" s="351"/>
      <c r="B30" s="351"/>
      <c r="C30" s="343"/>
      <c r="D30" s="331"/>
      <c r="E30" s="331"/>
      <c r="F30" s="331"/>
      <c r="G30" s="360"/>
      <c r="H30" s="331"/>
      <c r="I30" s="331" t="s">
        <v>1035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2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243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8" ht="14.25" customHeight="1" x14ac:dyDescent="0.2">
      <c r="A32" s="351" t="str">
        <f>IF(Berekeningen!B22&gt;1,Berekeningen!F22/10,"")</f>
        <v/>
      </c>
      <c r="B32" s="351"/>
      <c r="C32" s="356" t="str">
        <f>IF(A32&lt;&gt;"",IF(Berekeningen!B22&gt;1,INDEX(Medicamenten,Berekeningen!B22,1),""),"")</f>
        <v/>
      </c>
      <c r="D32" s="329"/>
      <c r="E32" s="330" t="str">
        <f>IF(A32&lt;&gt;"",IF(Berekeningen!B22&gt;1,Berekeningen!C22/10,""),"")</f>
        <v/>
      </c>
      <c r="F32" s="329" t="str">
        <f>IF(_Medicament_3&lt;&gt;5,"mg","ml")</f>
        <v>mg</v>
      </c>
      <c r="G32" s="357" t="s">
        <v>1032</v>
      </c>
      <c r="H32" s="329" t="str">
        <f>IF(A32&lt;&gt;"",IF(Berekeningen!B22&gt;1,INDEX(Medicamenten,Berekeningen!B22,3),""),"")</f>
        <v/>
      </c>
      <c r="I32" s="329" t="s">
        <v>1033</v>
      </c>
      <c r="J32" s="329" t="str">
        <f>IF(A32&lt;&gt;"",IF(Berekeningen!B22&gt;1,INDEX(Medicamenten,Berekeningen!B22,4),""),"")</f>
        <v/>
      </c>
      <c r="K32" s="329" t="s">
        <v>1034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5" x14ac:dyDescent="0.2">
      <c r="A33" s="351"/>
      <c r="B33" s="351"/>
      <c r="C33" s="343"/>
      <c r="D33" s="331"/>
      <c r="E33" s="331"/>
      <c r="F33" s="331"/>
      <c r="G33" s="360"/>
      <c r="H33" s="331"/>
      <c r="I33" s="331" t="s">
        <v>1035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" x14ac:dyDescent="0.2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243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5" x14ac:dyDescent="0.2">
      <c r="A35" s="351" t="str">
        <f>IF(Berekeningen!B23&gt;1,Berekeningen!F23/10,"")</f>
        <v/>
      </c>
      <c r="B35" s="351"/>
      <c r="C35" s="356" t="str">
        <f>IF(A35&lt;&gt;"",IF(Berekeningen!B23&gt;1,INDEX(Medicamenten,Berekeningen!B23,1),""),"")</f>
        <v/>
      </c>
      <c r="D35" s="329"/>
      <c r="E35" s="330" t="str">
        <f>IF(A35&lt;&gt;"",IF(Berekeningen!B23&gt;1,Berekeningen!C23/10,""),"")</f>
        <v/>
      </c>
      <c r="F35" s="329" t="str">
        <f>IF(_Medicament_4&lt;&gt;5,"mg","ml")</f>
        <v>mg</v>
      </c>
      <c r="G35" s="357" t="s">
        <v>1032</v>
      </c>
      <c r="H35" s="329" t="str">
        <f>IF(A35&lt;&gt;"",IF(Berekeningen!B23&gt;1,INDEX(Medicamenten,Berekeningen!B23,3),""),"")</f>
        <v/>
      </c>
      <c r="I35" s="329" t="s">
        <v>1033</v>
      </c>
      <c r="J35" s="329" t="str">
        <f>IF(A35&lt;&gt;"",IF(Berekeningen!B23&gt;1,INDEX(Medicamenten,Berekeningen!B23,4),""),"")</f>
        <v/>
      </c>
      <c r="K35" s="329" t="s">
        <v>1034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5" x14ac:dyDescent="0.2">
      <c r="A36" s="351"/>
      <c r="B36" s="351"/>
      <c r="C36" s="343"/>
      <c r="D36" s="331"/>
      <c r="E36" s="331"/>
      <c r="F36" s="331"/>
      <c r="G36" s="360"/>
      <c r="H36" s="331"/>
      <c r="I36" s="331" t="s">
        <v>1035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" x14ac:dyDescent="0.2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243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5" x14ac:dyDescent="0.2">
      <c r="A38" s="351" t="str">
        <f>IF(Berekeningen!B24&gt;1,Berekeningen!F24/10,"")</f>
        <v/>
      </c>
      <c r="B38" s="351"/>
      <c r="C38" s="356" t="str">
        <f>IF(A38&lt;&gt;"",IF(Berekeningen!B24&gt;1,INDEX(Medicamenten,Berekeningen!B24,1),""),"")</f>
        <v/>
      </c>
      <c r="D38" s="329"/>
      <c r="E38" s="330" t="str">
        <f>IF(A38&lt;&gt;"",IF(Berekeningen!B24&gt;1,Berekeningen!C24/10,""),"")</f>
        <v/>
      </c>
      <c r="F38" s="329" t="str">
        <f>IF(_Medicament_5&lt;&gt;5,"mg","ml")</f>
        <v>mg</v>
      </c>
      <c r="G38" s="357" t="s">
        <v>1032</v>
      </c>
      <c r="H38" s="329" t="str">
        <f>IF(A38&lt;&gt;"",IF(Berekeningen!B24&gt;1,INDEX(Medicamenten,Berekeningen!B24,3),""),"")</f>
        <v/>
      </c>
      <c r="I38" s="329" t="s">
        <v>1033</v>
      </c>
      <c r="J38" s="329" t="str">
        <f>IF(A38&lt;&gt;"",IF(Berekeningen!B24&gt;1,INDEX(Medicamenten,Berekeningen!B24,4),""),"")</f>
        <v/>
      </c>
      <c r="K38" s="329" t="s">
        <v>1034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5" x14ac:dyDescent="0.2">
      <c r="A39" s="351"/>
      <c r="B39" s="351"/>
      <c r="C39" s="343"/>
      <c r="D39" s="331"/>
      <c r="E39" s="331"/>
      <c r="F39" s="331"/>
      <c r="G39" s="360"/>
      <c r="H39" s="331"/>
      <c r="I39" s="331" t="s">
        <v>1035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" x14ac:dyDescent="0.2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243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5" x14ac:dyDescent="0.2">
      <c r="A41" s="351" t="str">
        <f>IF(Berekeningen!B25&gt;1,Berekeningen!F25/10,"")</f>
        <v/>
      </c>
      <c r="B41" s="351"/>
      <c r="C41" s="356" t="str">
        <f>IF(A41&lt;&gt;"",IF(Berekeningen!B25&gt;1,INDEX(Medicamenten,Berekeningen!B25,1),""),"")</f>
        <v/>
      </c>
      <c r="D41" s="329"/>
      <c r="E41" s="330" t="str">
        <f>IF(A41&lt;&gt;"",IF(Berekeningen!B25&gt;1,Berekeningen!C25/10,""),"")</f>
        <v/>
      </c>
      <c r="F41" s="329" t="str">
        <f>IF(_Medicament_6&lt;&gt;5,"mg","ml")</f>
        <v>mg</v>
      </c>
      <c r="G41" s="357" t="s">
        <v>1032</v>
      </c>
      <c r="H41" s="329" t="str">
        <f>IF(A41&lt;&gt;"",IF(Berekeningen!B25&gt;1,INDEX(Medicamenten,Berekeningen!B25,3),""),"")</f>
        <v/>
      </c>
      <c r="I41" s="329" t="s">
        <v>1033</v>
      </c>
      <c r="J41" s="329" t="str">
        <f>IF(A41&lt;&gt;"",IF(Berekeningen!B25&gt;1,INDEX(Medicamenten,Berekeningen!B25,4),""),"")</f>
        <v/>
      </c>
      <c r="K41" s="329" t="s">
        <v>1034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5" x14ac:dyDescent="0.2">
      <c r="A42" s="351"/>
      <c r="B42" s="351"/>
      <c r="C42" s="343"/>
      <c r="D42" s="331"/>
      <c r="E42" s="331"/>
      <c r="F42" s="331"/>
      <c r="G42" s="360"/>
      <c r="H42" s="331"/>
      <c r="I42" s="331" t="s">
        <v>1035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" x14ac:dyDescent="0.2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243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5" x14ac:dyDescent="0.2">
      <c r="A44" s="351" t="str">
        <f>IF(Berekeningen!B26&gt;1,Berekeningen!F26/10,"")</f>
        <v/>
      </c>
      <c r="B44" s="351"/>
      <c r="C44" s="356" t="str">
        <f>IF(A44&lt;&gt;"",IF(Berekeningen!B26&gt;1,INDEX(Medicamenten,Berekeningen!B26,1),""),"")</f>
        <v/>
      </c>
      <c r="D44" s="329"/>
      <c r="E44" s="330" t="str">
        <f>IF(A44&lt;&gt;"",IF(Berekeningen!B26&gt;1,Berekeningen!C26/10,""),"")</f>
        <v/>
      </c>
      <c r="F44" s="329" t="str">
        <f>IF(_Medicament_7&lt;&gt;5,"mg","ml")</f>
        <v>mg</v>
      </c>
      <c r="G44" s="357" t="s">
        <v>1032</v>
      </c>
      <c r="H44" s="329" t="str">
        <f>IF(A44&lt;&gt;"",IF(Berekeningen!B26&gt;1,INDEX(Medicamenten,Berekeningen!B26,3),""),"")</f>
        <v/>
      </c>
      <c r="I44" s="329" t="s">
        <v>1033</v>
      </c>
      <c r="J44" s="329" t="str">
        <f>IF(A44&lt;&gt;"",IF(Berekeningen!B26&gt;1,INDEX(Medicamenten,Berekeningen!B26,4),""),"")</f>
        <v/>
      </c>
      <c r="K44" s="329" t="s">
        <v>1034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5" x14ac:dyDescent="0.2">
      <c r="A45" s="351"/>
      <c r="B45" s="351"/>
      <c r="C45" s="343"/>
      <c r="D45" s="331"/>
      <c r="E45" s="331"/>
      <c r="F45" s="331"/>
      <c r="G45" s="360"/>
      <c r="H45" s="331"/>
      <c r="I45" s="331" t="s">
        <v>1035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" x14ac:dyDescent="0.2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243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5" x14ac:dyDescent="0.2">
      <c r="A47" s="351" t="str">
        <f>IF(Berekeningen!B27&gt;1,Berekeningen!F27/10,"")</f>
        <v/>
      </c>
      <c r="B47" s="351"/>
      <c r="C47" s="356" t="str">
        <f>IF(A47&lt;&gt;"",IF(Berekeningen!B27&gt;1,INDEX(Medicamenten,Berekeningen!B27,1),""),"")</f>
        <v/>
      </c>
      <c r="D47" s="329"/>
      <c r="E47" s="330" t="str">
        <f>IF(A47&lt;&gt;"",IF(Berekeningen!B27&gt;1,Berekeningen!C27/10,""),"")</f>
        <v/>
      </c>
      <c r="F47" s="329" t="str">
        <f>IF(_Medicament_8&lt;&gt;5,"mg","ml")</f>
        <v>mg</v>
      </c>
      <c r="G47" s="357" t="s">
        <v>1032</v>
      </c>
      <c r="H47" s="329" t="str">
        <f>IF(A47&lt;&gt;"",IF(Berekeningen!B27&gt;1,INDEX(Medicamenten,Berekeningen!B27,3),""),"")</f>
        <v/>
      </c>
      <c r="I47" s="329" t="s">
        <v>1033</v>
      </c>
      <c r="J47" s="329" t="str">
        <f>IF(A47&lt;&gt;"",IF(Berekeningen!B27&gt;1,INDEX(Medicamenten,Berekeningen!B27,4),""),"")</f>
        <v/>
      </c>
      <c r="K47" s="329" t="s">
        <v>1034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5" x14ac:dyDescent="0.2">
      <c r="A48" s="351"/>
      <c r="B48" s="351"/>
      <c r="C48" s="343"/>
      <c r="D48" s="331"/>
      <c r="E48" s="331"/>
      <c r="F48" s="331"/>
      <c r="G48" s="360"/>
      <c r="H48" s="331"/>
      <c r="I48" s="331" t="s">
        <v>1035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" x14ac:dyDescent="0.2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243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5" x14ac:dyDescent="0.2">
      <c r="A50" s="351" t="str">
        <f>IF(Berekeningen!B28&gt;1,Berekeningen!F28/10,"")</f>
        <v/>
      </c>
      <c r="B50" s="351"/>
      <c r="C50" s="356" t="str">
        <f>IF(A50&lt;&gt;"",IF(Berekeningen!B28&gt;1,INDEX(Medicamenten,Berekeningen!B28,1),""),"")</f>
        <v/>
      </c>
      <c r="D50" s="329"/>
      <c r="E50" s="330" t="str">
        <f>IF(A50&lt;&gt;"",IF(Berekeningen!B28&gt;1,Berekeningen!C28/10,""),"")</f>
        <v/>
      </c>
      <c r="F50" s="329" t="str">
        <f>IF(_Medicament_9&lt;&gt;5,"mg","ml")</f>
        <v>mg</v>
      </c>
      <c r="G50" s="357" t="s">
        <v>1032</v>
      </c>
      <c r="H50" s="329" t="str">
        <f>IF(A50&lt;&gt;"",IF(Berekeningen!B28&gt;1,INDEX(Medicamenten,Berekeningen!B28,3),""),"")</f>
        <v/>
      </c>
      <c r="I50" s="329" t="s">
        <v>1033</v>
      </c>
      <c r="J50" s="329" t="str">
        <f>IF(A50&lt;&gt;"",IF(Berekeningen!B28&gt;1,INDEX(Medicamenten,Berekeningen!B28,4),""),"")</f>
        <v/>
      </c>
      <c r="K50" s="329" t="s">
        <v>1034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5" x14ac:dyDescent="0.2">
      <c r="A51" s="351"/>
      <c r="B51" s="351"/>
      <c r="C51" s="343"/>
      <c r="D51" s="331"/>
      <c r="E51" s="331"/>
      <c r="F51" s="331"/>
      <c r="G51" s="360"/>
      <c r="H51" s="331"/>
      <c r="I51" s="331" t="s">
        <v>1035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" x14ac:dyDescent="0.2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243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x14ac:dyDescent="0.2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2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2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2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2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fspraken1700">
    <tabColor rgb="FF7030A0"/>
    <pageSetUpPr autoPageBreaks="0"/>
  </sheetPr>
  <dimension ref="A1:O60"/>
  <sheetViews>
    <sheetView workbookViewId="0">
      <pane ySplit="8" topLeftCell="A18" activePane="bottomLeft" state="frozenSplit"/>
      <selection activeCell="A9" sqref="A9"/>
      <selection pane="bottomLeft" activeCell="A9" sqref="A9"/>
    </sheetView>
  </sheetViews>
  <sheetFormatPr defaultRowHeight="15.95" customHeight="1" x14ac:dyDescent="0.2"/>
  <cols>
    <col min="1" max="1" width="3.7109375" style="758" customWidth="1"/>
    <col min="2" max="5" width="12.42578125" style="758" customWidth="1"/>
    <col min="6" max="6" width="10.7109375" style="758" customWidth="1"/>
    <col min="7" max="11" width="12.42578125" style="758" customWidth="1"/>
    <col min="12" max="12" width="5.28515625" style="758" customWidth="1"/>
    <col min="13" max="13" width="7.85546875" style="758" customWidth="1"/>
    <col min="14" max="14" width="17.140625" style="758" customWidth="1"/>
    <col min="15" max="19" width="12.42578125" style="758" customWidth="1"/>
    <col min="20" max="16384" width="9.140625" style="758"/>
  </cols>
  <sheetData>
    <row r="1" spans="1:15" ht="9.75" customHeight="1" x14ac:dyDescent="0.2">
      <c r="A1" s="756"/>
      <c r="B1" s="757" t="str">
        <f>IF(E60&lt;0,"Te weinig volume voor TPN!","")</f>
        <v/>
      </c>
    </row>
    <row r="2" spans="1:15" ht="15.95" customHeight="1" x14ac:dyDescent="0.2">
      <c r="B2" s="759" t="s">
        <v>729</v>
      </c>
      <c r="C2" s="759" t="s">
        <v>1044</v>
      </c>
      <c r="D2" s="759" t="s">
        <v>1045</v>
      </c>
      <c r="E2" s="759" t="s">
        <v>243</v>
      </c>
      <c r="G2" s="759"/>
      <c r="H2" s="759" t="s">
        <v>1044</v>
      </c>
      <c r="I2" s="759" t="s">
        <v>1045</v>
      </c>
      <c r="J2" s="759" t="s">
        <v>243</v>
      </c>
      <c r="K2" s="907" t="s">
        <v>2291</v>
      </c>
      <c r="L2" s="907"/>
      <c r="M2" s="907"/>
      <c r="N2" s="907"/>
    </row>
    <row r="3" spans="1:15" ht="15.95" customHeight="1" x14ac:dyDescent="0.2">
      <c r="B3" s="760" t="s">
        <v>632</v>
      </c>
      <c r="C3" s="761" t="str">
        <f ca="1">ROUND(Berekeningen1700!L50/_Gewicht,0)&amp;" ml/kg"</f>
        <v>0 ml/kg</v>
      </c>
      <c r="D3" s="761" t="str">
        <f>ROUND(Berekeningen1700!L49/_Gewicht,0)&amp;" ml/kg"</f>
        <v>0 ml/kg</v>
      </c>
      <c r="E3" s="761" t="str">
        <f ca="1">ROUND(Berekeningen1700!L47/_Gewicht,0)&amp;" ml/kg  "&amp;"= "&amp;ROUND(Berekeningen1700!L47,0)&amp;" ml"</f>
        <v>0 ml/kg  = 0 ml</v>
      </c>
      <c r="G3" s="760" t="s">
        <v>378</v>
      </c>
      <c r="H3" s="761" t="str">
        <f ca="1">ROUND(Berekeningen1700!M50/_Gewicht,1)&amp;" mmol/kg"</f>
        <v>0 mmol/kg</v>
      </c>
      <c r="I3" s="761" t="str">
        <f>ROUND(Berekeningen1700!M49/_Gewicht,1)&amp;" mmol/kg"</f>
        <v>0 mmol/kg</v>
      </c>
      <c r="J3" s="761" t="str">
        <f ca="1">ROUND(Berekeningen1700!M47/_Gewicht,1)&amp;" mmol/kg"</f>
        <v>0 mmol/kg</v>
      </c>
      <c r="K3" s="907"/>
      <c r="L3" s="907"/>
      <c r="M3" s="907"/>
      <c r="N3" s="907"/>
    </row>
    <row r="4" spans="1:15" ht="15.95" customHeight="1" x14ac:dyDescent="0.2">
      <c r="B4" s="760" t="s">
        <v>466</v>
      </c>
      <c r="C4" s="761" t="str">
        <f ca="1">ROUND(Berekeningen1700!R50/_Gewicht,1)&amp;" g/kg"</f>
        <v>0 g/kg</v>
      </c>
      <c r="D4" s="761" t="str">
        <f>ROUND(Berekeningen1700!R49/_Gewicht,1)&amp;" g/kg"</f>
        <v>0 g/kg</v>
      </c>
      <c r="E4" s="761" t="str">
        <f ca="1">ROUND(Berekeningen1700!R47/_Gewicht,1)&amp;" g/kg"</f>
        <v>0 g/kg</v>
      </c>
      <c r="G4" s="760" t="s">
        <v>578</v>
      </c>
      <c r="H4" s="761" t="str">
        <f ca="1">ROUND(Berekeningen1700!N50/_Gewicht,1)&amp;" mmol/kg"</f>
        <v>0 mmol/kg</v>
      </c>
      <c r="I4" s="761" t="str">
        <f>ROUND(Berekeningen1700!N49/_Gewicht,1)&amp;" mmol/kg"</f>
        <v>0 mmol/kg</v>
      </c>
      <c r="J4" s="761" t="str">
        <f ca="1">ROUND(Berekeningen1700!N47/_Gewicht,1)&amp;" mmol/kg"</f>
        <v>0 mmol/kg</v>
      </c>
      <c r="K4" s="907"/>
      <c r="L4" s="907"/>
      <c r="M4" s="907"/>
      <c r="N4" s="907"/>
    </row>
    <row r="5" spans="1:15" ht="15.95" customHeight="1" x14ac:dyDescent="0.2">
      <c r="B5" s="760" t="s">
        <v>467</v>
      </c>
      <c r="C5" s="761" t="str">
        <f ca="1">ROUND(Berekeningen1700!T50/_Gewicht,1)&amp;" g/kg"</f>
        <v>0 g/kg</v>
      </c>
      <c r="D5" s="761" t="str">
        <f>ROUND(Berekeningen1700!T49/_Gewicht,1)&amp;" g/kg"</f>
        <v>0 g/kg</v>
      </c>
      <c r="E5" s="761" t="str">
        <f ca="1">ROUND(Berekeningen1700!T47/_Gewicht,1)&amp;" g/kg"</f>
        <v>0 g/kg</v>
      </c>
      <c r="G5" s="760" t="s">
        <v>468</v>
      </c>
      <c r="H5" s="761" t="str">
        <f ca="1">ROUND(Berekeningen1700!O50/_Gewicht,1)&amp;" mmol/kg"</f>
        <v>0 mmol/kg</v>
      </c>
      <c r="I5" s="761" t="str">
        <f>ROUND(Berekeningen1700!O49/_Gewicht,1)&amp;" mmol/kg"</f>
        <v>0 mmol/kg</v>
      </c>
      <c r="J5" s="761" t="str">
        <f ca="1">ROUND(Berekeningen1700!O47/_Gewicht,1)&amp;" mmol/kg"</f>
        <v>0 mmol/kg</v>
      </c>
      <c r="K5" s="907"/>
      <c r="L5" s="907"/>
      <c r="M5" s="907"/>
      <c r="N5" s="907"/>
    </row>
    <row r="6" spans="1:15" ht="15.95" customHeight="1" x14ac:dyDescent="0.2">
      <c r="A6" s="756"/>
      <c r="B6" s="760" t="s">
        <v>1046</v>
      </c>
      <c r="C6" s="761" t="str">
        <f>ROUND(1000*Berekeningen1700!S50/_Gewicht/1440,1)&amp;" mg/kg/min"</f>
        <v>0 mg/kg/min</v>
      </c>
      <c r="D6" s="761" t="str">
        <f>ROUND(1000*Berekeningen1700!S49/_Gewicht/1440,1)&amp;" mg/kg/min"</f>
        <v>0 mg/kg/min</v>
      </c>
      <c r="E6" s="761" t="str">
        <f>ROUND(1000*Berekeningen1700!S47/_Gewicht/1440,1)&amp;" mg/kg/min"</f>
        <v>0 mg/kg/min</v>
      </c>
      <c r="G6" s="760" t="s">
        <v>644</v>
      </c>
      <c r="H6" s="761" t="str">
        <f ca="1">ROUND(Berekeningen1700!P50/_Gewicht,1)&amp;" mmol/kg"</f>
        <v>0 mmol/kg</v>
      </c>
      <c r="I6" s="761" t="str">
        <f>ROUND(Berekeningen1700!P49/_Gewicht,1)&amp;" mmol/kg"</f>
        <v>0 mmol/kg</v>
      </c>
      <c r="J6" s="761" t="str">
        <f ca="1">ROUND(Berekeningen1700!P47/_Gewicht,1)&amp;" mmol/kg"</f>
        <v>0 mmol/kg</v>
      </c>
    </row>
    <row r="7" spans="1:15" ht="15.95" customHeight="1" x14ac:dyDescent="0.2">
      <c r="B7" s="760" t="s">
        <v>1039</v>
      </c>
      <c r="C7" s="761" t="str">
        <f ca="1">ROUND(Berekeningen1700!U50/_Gewicht,1)&amp; " kcal/kg"</f>
        <v>0 kcal/kg</v>
      </c>
      <c r="D7" s="761" t="str">
        <f>ROUND(Berekeningen1700!U49/_Gewicht,1)&amp; " kcal/kg"</f>
        <v>0 kcal/kg</v>
      </c>
      <c r="E7" s="761" t="str">
        <f ca="1">ROUND(Berekeningen1700!U47/_Gewicht,1)&amp; " kcal/kg"</f>
        <v>0 kcal/kg</v>
      </c>
      <c r="G7" s="760" t="s">
        <v>1047</v>
      </c>
      <c r="H7" s="761" t="str">
        <f ca="1">ROUND(Berekeningen1700!V50/_Gewicht,1)&amp;" mmol/kg"</f>
        <v>0 mmol/kg</v>
      </c>
      <c r="I7" s="761" t="str">
        <f>ROUND(Berekeningen1700!V49/_Gewicht,1)&amp;" mmol/kg"</f>
        <v>0 mmol/kg</v>
      </c>
      <c r="J7" s="761" t="str">
        <f ca="1">ROUND(Berekeningen1700!V47/_Gewicht,1)&amp;" mmol/kg"</f>
        <v>0 mmol/kg</v>
      </c>
    </row>
    <row r="8" spans="1:15" ht="15.95" customHeight="1" thickBot="1" x14ac:dyDescent="0.25">
      <c r="A8" s="762"/>
      <c r="B8" s="763" t="s">
        <v>1048</v>
      </c>
      <c r="C8" s="764" t="str">
        <f ca="1">ROUND(Berekeningen1700!W50,0)&amp; " IE/ml"</f>
        <v>0 IE/ml</v>
      </c>
      <c r="D8" s="764" t="str">
        <f>ROUND(Berekeningen1700!W49,0)&amp; " IE/ml"</f>
        <v>0 IE/ml</v>
      </c>
      <c r="E8" s="764" t="str">
        <f ca="1">ROUND(Berekeningen1700!W47,0)&amp; " IE/ml"</f>
        <v>0 IE/ml</v>
      </c>
      <c r="F8" s="762"/>
      <c r="G8" s="763" t="s">
        <v>469</v>
      </c>
      <c r="H8" s="764" t="str">
        <f>ROUND(Berekeningen1700!Q50/_Gewicht,1)&amp;" mmol/kg"</f>
        <v>0 mmol/kg</v>
      </c>
      <c r="I8" s="764" t="str">
        <f>ROUND(Berekeningen1700!Q49/_Gewicht,1)&amp;" mmol/kg"</f>
        <v>0 mmol/kg</v>
      </c>
      <c r="J8" s="764" t="str">
        <f>ROUND(Berekeningen1700!Q47/_Gewicht,1)&amp;" mmol/kg"</f>
        <v>0 mmol/kg</v>
      </c>
      <c r="K8" s="762"/>
      <c r="L8" s="762"/>
      <c r="M8" s="762"/>
      <c r="N8" s="762"/>
      <c r="O8" s="762"/>
    </row>
    <row r="9" spans="1:15" ht="8.25" customHeight="1" thickTop="1" x14ac:dyDescent="0.2">
      <c r="A9" s="765"/>
      <c r="B9" s="766"/>
      <c r="C9" s="767"/>
      <c r="D9" s="767"/>
      <c r="E9" s="767"/>
      <c r="F9" s="768"/>
      <c r="G9" s="766"/>
      <c r="H9" s="767"/>
      <c r="I9" s="767"/>
      <c r="J9" s="767"/>
      <c r="K9" s="768"/>
      <c r="L9" s="768"/>
      <c r="M9" s="768"/>
      <c r="N9" s="768"/>
    </row>
    <row r="10" spans="1:15" ht="15.95" customHeight="1" x14ac:dyDescent="0.2">
      <c r="B10" s="498" t="s">
        <v>1049</v>
      </c>
      <c r="C10" s="499"/>
      <c r="D10" s="499"/>
      <c r="E10" s="499"/>
      <c r="F10" s="499"/>
      <c r="G10" s="500" t="s">
        <v>708</v>
      </c>
      <c r="H10" s="499"/>
      <c r="I10" s="499">
        <f>PatNummer</f>
        <v>123456</v>
      </c>
      <c r="J10" s="499"/>
      <c r="K10" s="499"/>
      <c r="L10" s="499"/>
      <c r="M10" s="499"/>
    </row>
    <row r="11" spans="1:15" ht="15.95" customHeight="1" x14ac:dyDescent="0.2">
      <c r="B11" s="498" t="s">
        <v>1050</v>
      </c>
      <c r="C11" s="499"/>
      <c r="D11" s="499"/>
      <c r="E11" s="499"/>
      <c r="F11" s="499"/>
      <c r="G11" s="500" t="s">
        <v>54</v>
      </c>
      <c r="H11" s="499"/>
      <c r="I11" s="501" t="str">
        <f>_AchterNaam &amp;",  "&amp;_VoorNaam</f>
        <v>Test,  Test</v>
      </c>
      <c r="J11" s="502"/>
      <c r="K11" s="499"/>
      <c r="L11" s="499"/>
      <c r="M11" s="499"/>
    </row>
    <row r="12" spans="1:15" ht="15.95" customHeight="1" x14ac:dyDescent="0.2">
      <c r="B12" s="498" t="s">
        <v>1051</v>
      </c>
      <c r="C12" s="499"/>
      <c r="D12" s="499"/>
      <c r="E12" s="499"/>
      <c r="F12" s="499"/>
      <c r="G12" s="500" t="s">
        <v>1052</v>
      </c>
      <c r="H12" s="499"/>
      <c r="I12" s="503">
        <f>Berekeningen1700!B3-Berekeningen1700!C3</f>
        <v>42280</v>
      </c>
      <c r="J12" s="504" t="str">
        <f ca="1">"=dag "&amp;Berekeningen1700!B6</f>
        <v>=dag 424</v>
      </c>
      <c r="K12" s="499"/>
      <c r="L12" s="499"/>
      <c r="M12" s="499"/>
    </row>
    <row r="13" spans="1:15" ht="15.95" customHeight="1" x14ac:dyDescent="0.2">
      <c r="B13" s="499"/>
      <c r="C13" s="499"/>
      <c r="D13" s="499"/>
      <c r="E13" s="499"/>
      <c r="F13" s="499"/>
      <c r="G13" s="500" t="s">
        <v>1009</v>
      </c>
      <c r="H13" s="505">
        <f>Berekeningen!D4</f>
        <v>0</v>
      </c>
      <c r="I13" s="506" t="s">
        <v>1053</v>
      </c>
      <c r="J13" s="505">
        <f>Berekeningen!D5</f>
        <v>0</v>
      </c>
      <c r="K13" s="506" t="s">
        <v>1054</v>
      </c>
      <c r="L13" s="506"/>
      <c r="M13" s="499"/>
    </row>
    <row r="14" spans="1:15" ht="15.95" customHeight="1" x14ac:dyDescent="0.2">
      <c r="B14" s="500" t="s">
        <v>624</v>
      </c>
      <c r="C14" s="503">
        <f>Berekeningen1700!B5</f>
        <v>42698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2">
      <c r="B15" s="507" t="s">
        <v>1004</v>
      </c>
      <c r="C15" s="508" t="str">
        <f>BedNummer</f>
        <v>Unit 2.9</v>
      </c>
      <c r="D15" s="509"/>
      <c r="E15" s="499"/>
      <c r="F15" s="499"/>
      <c r="G15" s="500" t="s">
        <v>574</v>
      </c>
      <c r="H15" s="510" t="str">
        <f ca="1">TRUNC((H13*7+J13+Berekeningen1700!B6-1)/7)&amp;" weken en "&amp; H13*7+J13+Berekeningen1700!B6-1-TRUNC((H13*7+J13+Berekeningen1700!B6-1)/7)*7&amp;" dag(-en)"</f>
        <v>60 weken en 3 dag(-en)</v>
      </c>
      <c r="I15" s="499"/>
      <c r="J15" s="499"/>
      <c r="K15" s="499"/>
      <c r="L15" s="499"/>
      <c r="M15" s="499"/>
    </row>
    <row r="16" spans="1:15" ht="15.95" customHeight="1" x14ac:dyDescent="0.2">
      <c r="B16" s="511"/>
      <c r="C16" s="512"/>
      <c r="D16" s="512"/>
      <c r="E16" s="512"/>
      <c r="F16" s="512"/>
      <c r="G16" s="511" t="s">
        <v>1023</v>
      </c>
      <c r="H16" s="512" t="str">
        <f>Berekeningen!B4&amp;" kg"</f>
        <v>10 kg</v>
      </c>
      <c r="I16" s="512"/>
      <c r="J16" s="512"/>
      <c r="K16" s="512"/>
      <c r="L16" s="512"/>
      <c r="M16" s="512"/>
    </row>
    <row r="17" spans="1:15" ht="15.95" customHeight="1" x14ac:dyDescent="0.2">
      <c r="B17" s="760"/>
      <c r="K17" s="774" t="s">
        <v>1055</v>
      </c>
      <c r="L17" s="774"/>
    </row>
    <row r="18" spans="1:15" ht="15.95" customHeight="1" x14ac:dyDescent="0.2">
      <c r="B18" s="760" t="s">
        <v>1056</v>
      </c>
      <c r="E18" s="775">
        <f ca="1">IF(Berekeningen1700!B17,Berekeningen1700!C16,ROUND(Berekeningen1700!L47/_Gewicht,1))</f>
        <v>0</v>
      </c>
      <c r="F18" s="776" t="s">
        <v>1057</v>
      </c>
      <c r="K18" s="777" t="str">
        <f ca="1">ROUND(Berekeningen1700!B16,0)&amp;" ml/ kg/ 24 uur"</f>
        <v>150 ml/ kg/ 24 uur</v>
      </c>
      <c r="L18" s="777"/>
      <c r="M18" s="778"/>
    </row>
    <row r="19" spans="1:15" ht="15.95" customHeight="1" x14ac:dyDescent="0.2">
      <c r="B19" s="760" t="s">
        <v>1058</v>
      </c>
      <c r="F19" s="776"/>
      <c r="K19" s="779"/>
      <c r="L19" s="779"/>
      <c r="M19" s="768"/>
    </row>
    <row r="21" spans="1:15" ht="15.95" customHeight="1" x14ac:dyDescent="0.2">
      <c r="D21" s="780" t="s">
        <v>1059</v>
      </c>
      <c r="E21" s="770" t="str">
        <f>IF(_Voeding1700&gt;1,Berekeningen1700!D10,"")</f>
        <v/>
      </c>
      <c r="F21" s="770" t="s">
        <v>1060</v>
      </c>
      <c r="G21" s="771" t="str">
        <f>IF(_Voeding1700&gt;1,Berekeningen1700!D11/10&amp;" ml","")</f>
        <v/>
      </c>
      <c r="H21" s="781" t="s">
        <v>1061</v>
      </c>
    </row>
    <row r="22" spans="1:15" ht="15.95" customHeight="1" x14ac:dyDescent="0.2">
      <c r="D22" s="780" t="s">
        <v>1062</v>
      </c>
      <c r="E22" s="770" t="str">
        <f>IF(_Voeding1700&gt;1,Berekeningen1700!D12,"")</f>
        <v/>
      </c>
      <c r="F22" s="770" t="s">
        <v>1060</v>
      </c>
      <c r="G22" s="771" t="str">
        <f>IF(_Voeding1700&gt;1,Berekeningen1700!D13/10&amp;" ml","")</f>
        <v/>
      </c>
      <c r="I22" s="780" t="s">
        <v>1660</v>
      </c>
      <c r="M22" s="780" t="s">
        <v>1661</v>
      </c>
    </row>
    <row r="23" spans="1:15" ht="15.95" customHeight="1" x14ac:dyDescent="0.2">
      <c r="H23" s="780"/>
      <c r="I23" s="782" t="s">
        <v>1678</v>
      </c>
      <c r="K23" s="778" t="e">
        <f>INDEX(_VoedingBMFWaarden,Berekeningen1700!L52)&amp;" %"</f>
        <v>#VALUE!</v>
      </c>
    </row>
    <row r="24" spans="1:15" ht="15.95" customHeight="1" x14ac:dyDescent="0.2">
      <c r="H24" s="780"/>
      <c r="K24" s="778" t="e">
        <f>INDEX(_VoedingToevoegingenWaarden,Berekeningen1700!L53)&amp;" %"</f>
        <v>#VALUE!</v>
      </c>
      <c r="O24" s="778" t="e">
        <f>INDEX(_VoedingToevoegingenWaarden,Berekeningen1700!L58)&amp;" %"</f>
        <v>#VALUE!</v>
      </c>
    </row>
    <row r="25" spans="1:15" ht="15.95" customHeight="1" x14ac:dyDescent="0.2">
      <c r="H25" s="780"/>
      <c r="K25" s="778" t="e">
        <f>INDEX(_VoedingToevoegingenWaarden,Berekeningen1700!L54)&amp;" %"</f>
        <v>#VALUE!</v>
      </c>
      <c r="O25" s="778" t="e">
        <f>INDEX(_VoedingToevoegingenWaarden,Berekeningen1700!L59)&amp;" %"</f>
        <v>#VALUE!</v>
      </c>
    </row>
    <row r="26" spans="1:15" ht="15.95" customHeight="1" x14ac:dyDescent="0.2">
      <c r="H26" s="780"/>
      <c r="K26" s="778" t="e">
        <f>INDEX(_VoedingToevoegingenWaarden,Berekeningen1700!L55)&amp;" %"</f>
        <v>#VALUE!</v>
      </c>
      <c r="O26" s="778" t="e">
        <f>INDEX(_VoedingToevoegingenWaarden,Berekeningen1700!L60)&amp;" %"</f>
        <v>#VALUE!</v>
      </c>
    </row>
    <row r="27" spans="1:15" ht="15.95" customHeight="1" x14ac:dyDescent="0.2">
      <c r="B27" s="783"/>
      <c r="C27" s="783"/>
      <c r="D27" s="783"/>
      <c r="E27" s="784"/>
      <c r="F27" s="783"/>
      <c r="G27" s="783"/>
      <c r="H27" s="784"/>
      <c r="I27" s="783"/>
      <c r="J27" s="783"/>
      <c r="K27" s="778" t="e">
        <f>INDEX(_VoedingToevoegingenWaarden,Berekeningen1700!L56)&amp;" %"</f>
        <v>#VALUE!</v>
      </c>
      <c r="L27" s="783"/>
      <c r="M27" s="783"/>
      <c r="N27" s="783"/>
      <c r="O27" s="778" t="e">
        <f>INDEX(_VoedingToevoegingenWaarden,Berekeningen1700!L61)&amp;" %"</f>
        <v>#VALUE!</v>
      </c>
    </row>
    <row r="28" spans="1:15" ht="15.95" customHeight="1" x14ac:dyDescent="0.2">
      <c r="B28" s="760" t="s">
        <v>1063</v>
      </c>
      <c r="E28" s="775">
        <f ca="1">IF(Berekeningen1700!B17,Berekeningen1700!C17,Berekeningen1700!L50)</f>
        <v>0</v>
      </c>
      <c r="F28" s="776" t="s">
        <v>1064</v>
      </c>
    </row>
    <row r="29" spans="1:15" ht="15.95" customHeight="1" x14ac:dyDescent="0.2">
      <c r="H29" s="774" t="s">
        <v>1065</v>
      </c>
      <c r="I29" s="774"/>
      <c r="J29" s="785" t="s">
        <v>1013</v>
      </c>
      <c r="K29" s="774" t="s">
        <v>1066</v>
      </c>
      <c r="L29" s="774"/>
      <c r="N29" s="774" t="s">
        <v>1067</v>
      </c>
    </row>
    <row r="30" spans="1:15" ht="15.95" customHeight="1" x14ac:dyDescent="0.2">
      <c r="A30" s="786"/>
      <c r="B30" s="766" t="s">
        <v>1455</v>
      </c>
      <c r="C30" s="768"/>
      <c r="D30" s="768"/>
      <c r="E30" s="768"/>
      <c r="F30" s="768"/>
      <c r="G30" s="787" t="str">
        <f>Berekeningen1700!B18/10&amp;" ml/uur"</f>
        <v>0 ml/uur</v>
      </c>
      <c r="H30" s="768"/>
      <c r="I30" s="768"/>
      <c r="J30" s="768"/>
      <c r="K30" s="768"/>
      <c r="L30" s="768"/>
      <c r="M30" s="788"/>
      <c r="N30" s="768"/>
    </row>
    <row r="31" spans="1:15" ht="7.5" customHeight="1" x14ac:dyDescent="0.2">
      <c r="A31" s="786"/>
      <c r="B31" s="766"/>
      <c r="C31" s="768"/>
      <c r="D31" s="768"/>
      <c r="E31" s="768"/>
      <c r="F31" s="768"/>
      <c r="G31" s="787"/>
      <c r="H31" s="768"/>
      <c r="I31" s="768"/>
      <c r="J31" s="768"/>
      <c r="K31" s="768"/>
      <c r="L31" s="768"/>
      <c r="M31" s="788"/>
      <c r="N31" s="768"/>
    </row>
    <row r="32" spans="1:15" ht="15.95" customHeight="1" x14ac:dyDescent="0.2">
      <c r="A32" s="786">
        <v>1</v>
      </c>
      <c r="B32" s="789"/>
      <c r="C32" s="790" t="str">
        <f>IF(Berekeningen1700!C20&gt;0,IF(Berekeningen1700!B20&lt;&gt;5,Berekeningen1700!C20/10&amp;" mg",Berekeningen1700!C20/10&amp;" ml"),"")</f>
        <v/>
      </c>
      <c r="D32" s="790" t="str">
        <f>IF(Berekeningen1700!D20&gt;0,"in "&amp;Berekeningen1700!D20&amp;" ml","")</f>
        <v/>
      </c>
      <c r="E32" s="789"/>
      <c r="F32" s="789"/>
      <c r="G32" s="791" t="str">
        <f>IF(Berekeningen1700!F20/10&gt;0,Berekeningen1700!F20/10&amp;" ml/uur","")</f>
        <v/>
      </c>
      <c r="H32" s="790" t="str">
        <f>IF(AND(Berekeningen1700!I20&gt;0),ROUND(Berekeningen1700!I20,2),"")</f>
        <v/>
      </c>
      <c r="I32" s="790" t="str">
        <f>IF(_Medicament1700_1&gt;1,INDEX(Medicamenten,Berekeningen1700!B20,6),"")</f>
        <v/>
      </c>
      <c r="J32" s="778"/>
      <c r="K32" s="777">
        <f>INDEX(Medicamenten,Berekeningen1700!B20,2)</f>
        <v>0</v>
      </c>
      <c r="L32" s="777"/>
      <c r="M32" s="792"/>
      <c r="N32" s="793" t="str">
        <f>IF(Berekeningen1700!I20&gt;0,IF(Berekeningen1700!Y20*10&gt;1,Berekeningen1700!X20&amp;" uren",Berekeningen1700!X20&amp;" minuten"),"")</f>
        <v/>
      </c>
    </row>
    <row r="33" spans="1:14" ht="15.95" customHeight="1" x14ac:dyDescent="0.2">
      <c r="A33" s="786">
        <v>2</v>
      </c>
      <c r="B33" s="794"/>
      <c r="C33" s="795" t="str">
        <f>IF(Berekeningen1700!C21&gt;0,Berekeningen1700!C21/10&amp;" mg","")</f>
        <v/>
      </c>
      <c r="D33" s="795" t="str">
        <f>IF(Berekeningen1700!D21&gt;0,"in "&amp;Berekeningen1700!D21&amp;" ml","")</f>
        <v/>
      </c>
      <c r="E33" s="794"/>
      <c r="F33" s="794"/>
      <c r="G33" s="796" t="str">
        <f>IF(Berekeningen1700!F21/10&gt;0,Berekeningen1700!F21/10&amp;" ml/uur","")</f>
        <v/>
      </c>
      <c r="H33" s="790" t="str">
        <f>IF(AND(Berekeningen1700!I21&gt;0),ROUND(Berekeningen1700!I21,2),"")</f>
        <v/>
      </c>
      <c r="I33" s="790" t="str">
        <f>IF(_Medicament1700_2&gt;1,INDEX(Medicamenten,Berekeningen1700!B21,6),"")</f>
        <v/>
      </c>
      <c r="J33" s="797"/>
      <c r="K33" s="798">
        <f>INDEX(Medicamenten,Berekeningen1700!B21,2)</f>
        <v>0</v>
      </c>
      <c r="L33" s="798"/>
      <c r="M33" s="799"/>
      <c r="N33" s="800" t="str">
        <f>IF(Berekeningen1700!I21&gt;0,IF(Berekeningen1700!Y21*10&gt;1,Berekeningen1700!X21&amp;" uren",Berekeningen1700!X21&amp;" minuten"),"")</f>
        <v/>
      </c>
    </row>
    <row r="34" spans="1:14" ht="15.95" customHeight="1" x14ac:dyDescent="0.2">
      <c r="A34" s="786">
        <v>3</v>
      </c>
      <c r="B34" s="794"/>
      <c r="C34" s="795" t="str">
        <f>IF(Berekeningen1700!C22&gt;0,Berekeningen1700!C22/10&amp;" mg","")</f>
        <v/>
      </c>
      <c r="D34" s="795" t="str">
        <f>IF(Berekeningen1700!D22&gt;0,"in "&amp;Berekeningen1700!D22&amp;" ml","")</f>
        <v/>
      </c>
      <c r="E34" s="794"/>
      <c r="F34" s="794"/>
      <c r="G34" s="796" t="str">
        <f>IF(Berekeningen1700!F22/10&gt;0,Berekeningen1700!F22/10&amp;" ml/uur","")</f>
        <v/>
      </c>
      <c r="H34" s="790" t="str">
        <f>IF(AND(Berekeningen1700!I22&gt;0),ROUND(Berekeningen1700!I22,2),"")</f>
        <v/>
      </c>
      <c r="I34" s="790" t="str">
        <f>IF(_Medicament1700_3&gt;1,INDEX(Medicamenten,Berekeningen1700!B22,6),"")</f>
        <v/>
      </c>
      <c r="J34" s="797"/>
      <c r="K34" s="798">
        <f>INDEX(Medicamenten,Berekeningen1700!B22,2)</f>
        <v>0</v>
      </c>
      <c r="L34" s="798"/>
      <c r="M34" s="799"/>
      <c r="N34" s="800" t="str">
        <f>IF(Berekeningen1700!I22&gt;0,IF(Berekeningen1700!Y22*10&gt;1,Berekeningen1700!X22&amp;" uren",Berekeningen1700!X22&amp;" minuten"),"")</f>
        <v/>
      </c>
    </row>
    <row r="35" spans="1:14" ht="15.95" customHeight="1" x14ac:dyDescent="0.2">
      <c r="A35" s="786">
        <v>4</v>
      </c>
      <c r="B35" s="794"/>
      <c r="C35" s="795" t="str">
        <f>IF(Berekeningen1700!C23&gt;0,Berekeningen1700!C23/10&amp;" mg","")</f>
        <v/>
      </c>
      <c r="D35" s="795" t="str">
        <f>IF(Berekeningen1700!D23&gt;0,"in "&amp;Berekeningen1700!D23&amp;" ml","")</f>
        <v/>
      </c>
      <c r="E35" s="794"/>
      <c r="F35" s="794"/>
      <c r="G35" s="796" t="str">
        <f>IF(Berekeningen1700!F23/10&gt;0,Berekeningen1700!F23/10&amp;" ml/uur","")</f>
        <v/>
      </c>
      <c r="H35" s="790" t="str">
        <f>IF(AND(Berekeningen1700!I23&gt;0),ROUND(Berekeningen1700!I23,2),"")</f>
        <v/>
      </c>
      <c r="I35" s="790" t="str">
        <f>IF(_Medicament1700_4&gt;1,INDEX(Medicamenten,Berekeningen1700!B23,6),"")</f>
        <v/>
      </c>
      <c r="J35" s="797"/>
      <c r="K35" s="798">
        <f>INDEX(Medicamenten,Berekeningen1700!B23,2)</f>
        <v>0</v>
      </c>
      <c r="L35" s="798"/>
      <c r="M35" s="799"/>
      <c r="N35" s="800" t="str">
        <f>IF(Berekeningen1700!I23&gt;0,IF(Berekeningen1700!Y23*10&gt;1,Berekeningen1700!X23&amp;" uren",Berekeningen1700!X23&amp;" minuten"),"")</f>
        <v/>
      </c>
    </row>
    <row r="36" spans="1:14" ht="15.95" customHeight="1" x14ac:dyDescent="0.2">
      <c r="A36" s="786">
        <v>5</v>
      </c>
      <c r="B36" s="794"/>
      <c r="C36" s="795" t="str">
        <f>IF(Berekeningen1700!C24&gt;0,Berekeningen1700!C24/10&amp;" mg","")</f>
        <v/>
      </c>
      <c r="D36" s="795" t="str">
        <f>IF(Berekeningen1700!D24&gt;0,"in "&amp;Berekeningen1700!D24&amp;" ml","")</f>
        <v/>
      </c>
      <c r="E36" s="794"/>
      <c r="F36" s="794"/>
      <c r="G36" s="796" t="str">
        <f>IF(Berekeningen1700!F24/10&gt;0,Berekeningen1700!F24/10&amp;" ml/uur","")</f>
        <v/>
      </c>
      <c r="H36" s="790" t="str">
        <f>IF(AND(Berekeningen1700!I24&gt;0),ROUND(Berekeningen1700!I24,2),"")</f>
        <v/>
      </c>
      <c r="I36" s="790" t="str">
        <f>IF(_Medicament1700_5&gt;1,INDEX(Medicamenten,Berekeningen1700!B24,6),"")</f>
        <v/>
      </c>
      <c r="J36" s="797"/>
      <c r="K36" s="798">
        <f>INDEX(Medicamenten,Berekeningen1700!B24,2)</f>
        <v>0</v>
      </c>
      <c r="L36" s="798"/>
      <c r="M36" s="799"/>
      <c r="N36" s="800" t="str">
        <f>IF(Berekeningen1700!I24&gt;0,IF(Berekeningen1700!Y24*10&gt;1,Berekeningen1700!X24&amp;" uren",Berekeningen1700!X24&amp;" minuten"),"")</f>
        <v/>
      </c>
    </row>
    <row r="37" spans="1:14" ht="15.95" customHeight="1" x14ac:dyDescent="0.2">
      <c r="A37" s="786">
        <v>6</v>
      </c>
      <c r="B37" s="794"/>
      <c r="C37" s="795" t="str">
        <f>IF(Berekeningen1700!C25&gt;0,Berekeningen1700!C25/10&amp;" mg","")</f>
        <v/>
      </c>
      <c r="D37" s="795" t="str">
        <f>IF(Berekeningen1700!D25&gt;0,"in "&amp;Berekeningen1700!D25&amp;" ml","")</f>
        <v/>
      </c>
      <c r="E37" s="794"/>
      <c r="F37" s="794"/>
      <c r="G37" s="796" t="str">
        <f>IF(Berekeningen1700!F25/10&gt;0,Berekeningen1700!F25/10&amp;" ml/uur","")</f>
        <v/>
      </c>
      <c r="H37" s="790" t="str">
        <f>IF(AND(Berekeningen1700!I25&gt;0),ROUND(Berekeningen1700!I25,2),"")</f>
        <v/>
      </c>
      <c r="I37" s="790" t="str">
        <f>IF(_Medicament1700_6&gt;1,INDEX(Medicamenten,Berekeningen1700!B25,6),"")</f>
        <v/>
      </c>
      <c r="J37" s="797"/>
      <c r="K37" s="798">
        <f>INDEX(Medicamenten,Berekeningen1700!B25,2)</f>
        <v>0</v>
      </c>
      <c r="L37" s="798"/>
      <c r="M37" s="799"/>
      <c r="N37" s="800" t="str">
        <f>IF(Berekeningen1700!I25&gt;0,IF(Berekeningen1700!Y25*10&gt;1,Berekeningen1700!X25&amp;" uren",Berekeningen1700!X25&amp;" minuten"),"")</f>
        <v/>
      </c>
    </row>
    <row r="38" spans="1:14" ht="15.95" customHeight="1" x14ac:dyDescent="0.2">
      <c r="A38" s="786">
        <v>7</v>
      </c>
      <c r="B38" s="794"/>
      <c r="C38" s="795" t="str">
        <f>IF(Berekeningen1700!C26&gt;0,Berekeningen1700!C26/10&amp;" mg","")</f>
        <v/>
      </c>
      <c r="D38" s="795" t="str">
        <f>IF(Berekeningen1700!D26&gt;0,"in "&amp;Berekeningen1700!D26&amp;" ml","")</f>
        <v/>
      </c>
      <c r="E38" s="794"/>
      <c r="F38" s="794"/>
      <c r="G38" s="796" t="str">
        <f>IF(Berekeningen1700!F26/10&gt;0,Berekeningen1700!F26/10&amp;" ml/uur","")</f>
        <v/>
      </c>
      <c r="H38" s="790" t="str">
        <f>IF(AND(Berekeningen1700!I26&gt;0),ROUND(Berekeningen1700!I26,2),"")</f>
        <v/>
      </c>
      <c r="I38" s="790" t="str">
        <f>IF(_Medicament1700_7&gt;1,INDEX(Medicamenten,Berekeningen1700!B26,6),"")</f>
        <v/>
      </c>
      <c r="J38" s="797"/>
      <c r="K38" s="798">
        <f>INDEX(Medicamenten,Berekeningen1700!B26,2)</f>
        <v>0</v>
      </c>
      <c r="L38" s="798"/>
      <c r="M38" s="799"/>
      <c r="N38" s="800" t="str">
        <f>IF(Berekeningen1700!I26&gt;0,IF(Berekeningen1700!Y26*10&gt;1,Berekeningen1700!X26&amp;" uren",Berekeningen1700!X26&amp;" minuten"),"")</f>
        <v/>
      </c>
    </row>
    <row r="39" spans="1:14" ht="15.95" customHeight="1" x14ac:dyDescent="0.2">
      <c r="A39" s="786">
        <v>8</v>
      </c>
      <c r="B39" s="794"/>
      <c r="C39" s="795" t="str">
        <f>IF(Berekeningen1700!C27&gt;0,Berekeningen1700!C27/10&amp;" mg","")</f>
        <v/>
      </c>
      <c r="D39" s="795" t="str">
        <f>IF(Berekeningen1700!D27&gt;0,"in "&amp;Berekeningen1700!D27&amp;" ml","")</f>
        <v/>
      </c>
      <c r="E39" s="794"/>
      <c r="F39" s="794"/>
      <c r="G39" s="796" t="str">
        <f>IF(Berekeningen1700!F27/10&gt;0,Berekeningen1700!F27/10&amp;" ml/uur","")</f>
        <v/>
      </c>
      <c r="H39" s="790" t="str">
        <f>IF(AND(Berekeningen1700!I27&gt;0),ROUND(Berekeningen1700!I27,2),"")</f>
        <v/>
      </c>
      <c r="I39" s="790" t="str">
        <f>IF(_Medicament1700_8&gt;1,INDEX(Medicamenten,Berekeningen1700!B27,6),"")</f>
        <v/>
      </c>
      <c r="J39" s="797"/>
      <c r="K39" s="798">
        <f>INDEX(Medicamenten,Berekeningen1700!B27,2)</f>
        <v>0</v>
      </c>
      <c r="L39" s="798"/>
      <c r="M39" s="799"/>
      <c r="N39" s="800" t="str">
        <f>IF(Berekeningen1700!I27&gt;0,IF(Berekeningen1700!Y27*10&gt;1,Berekeningen1700!X27&amp;" uren",Berekeningen1700!X27&amp;" minuten"),"")</f>
        <v/>
      </c>
    </row>
    <row r="40" spans="1:14" ht="15.95" customHeight="1" x14ac:dyDescent="0.2">
      <c r="A40" s="786">
        <v>9</v>
      </c>
      <c r="B40" s="794"/>
      <c r="C40" s="795" t="str">
        <f>IF(Berekeningen1700!C28&gt;0,Berekeningen1700!C28/10&amp;" mg","")</f>
        <v/>
      </c>
      <c r="D40" s="795" t="str">
        <f>IF(Berekeningen1700!D28&gt;0,"in "&amp;Berekeningen1700!D28&amp;" ml","")</f>
        <v/>
      </c>
      <c r="E40" s="794"/>
      <c r="F40" s="789"/>
      <c r="G40" s="791" t="str">
        <f>IF(Berekeningen1700!F28/10&gt;0,Berekeningen1700!F28/10&amp;" ml/uur","")</f>
        <v/>
      </c>
      <c r="H40" s="790" t="str">
        <f>IF(AND(Berekeningen1700!I28&gt;0),ROUND(Berekeningen1700!I28,2),"")</f>
        <v/>
      </c>
      <c r="I40" s="790" t="str">
        <f>IF(_Medicament1700_9&gt;1,INDEX(Medicamenten,Berekeningen1700!B28,6),"")</f>
        <v/>
      </c>
      <c r="J40" s="778"/>
      <c r="K40" s="798">
        <f>INDEX(Medicamenten,Berekeningen1700!B28,2)</f>
        <v>0</v>
      </c>
      <c r="L40" s="798"/>
      <c r="M40" s="799"/>
      <c r="N40" s="800" t="str">
        <f>IF(Berekeningen1700!I28&gt;0,IF(Berekeningen1700!Y28*10&gt;1,Berekeningen1700!X28&amp;" uren",Berekeningen1700!X28&amp;" minuten"),"")</f>
        <v/>
      </c>
    </row>
    <row r="41" spans="1:14" ht="9.75" customHeight="1" x14ac:dyDescent="0.2">
      <c r="A41" s="786"/>
      <c r="B41" s="801"/>
      <c r="C41" s="802"/>
      <c r="D41" s="802"/>
      <c r="E41" s="801"/>
      <c r="F41" s="768"/>
      <c r="G41" s="787"/>
      <c r="H41" s="802"/>
      <c r="I41" s="768"/>
      <c r="J41" s="768"/>
      <c r="K41" s="803"/>
      <c r="L41" s="803"/>
      <c r="M41" s="804"/>
      <c r="N41" s="805"/>
    </row>
    <row r="42" spans="1:14" ht="15.95" customHeight="1" x14ac:dyDescent="0.2">
      <c r="A42" s="786">
        <v>10</v>
      </c>
      <c r="B42" s="806" t="s">
        <v>1068</v>
      </c>
      <c r="C42" s="790"/>
      <c r="D42" s="790"/>
      <c r="E42" s="790"/>
      <c r="F42" s="790"/>
      <c r="G42" s="791" t="str">
        <f>IF(Berekeningen1700!F29/10&gt;0,Berekeningen1700!F29/10&amp;" ml/uur","")</f>
        <v/>
      </c>
      <c r="H42" s="807" t="str">
        <f>IF(Berekeningen1700!I32&gt;0,"= "&amp;ROUND(Berekeningen1700!I32,2),"")</f>
        <v/>
      </c>
      <c r="I42" s="807"/>
      <c r="J42" s="768"/>
      <c r="K42" s="779"/>
      <c r="L42" s="779"/>
      <c r="M42" s="808"/>
      <c r="N42" s="787"/>
    </row>
    <row r="43" spans="1:14" ht="15.95" customHeight="1" x14ac:dyDescent="0.2">
      <c r="A43" s="786">
        <v>11</v>
      </c>
      <c r="B43" s="806" t="s">
        <v>1069</v>
      </c>
      <c r="C43" s="790"/>
      <c r="D43" s="790"/>
      <c r="E43" s="790"/>
      <c r="F43" s="790"/>
      <c r="G43" s="791" t="str">
        <f>IF(Berekeningen1700!F30/10&gt;0,Berekeningen1700!F30/10&amp;" ml/uur","")</f>
        <v/>
      </c>
      <c r="H43" s="807" t="str">
        <f>IF(Berekeningen1700!I33&gt;0,"= "&amp;ROUND(Berekeningen1700!I33,2),"")</f>
        <v/>
      </c>
      <c r="I43" s="807"/>
      <c r="J43" s="768"/>
      <c r="K43" s="779"/>
      <c r="L43" s="779"/>
      <c r="M43" s="808"/>
      <c r="N43" s="787"/>
    </row>
    <row r="44" spans="1:14" ht="15.95" customHeight="1" x14ac:dyDescent="0.2">
      <c r="A44" s="786">
        <v>12</v>
      </c>
      <c r="B44" s="806" t="s">
        <v>1070</v>
      </c>
      <c r="C44" s="790"/>
      <c r="D44" s="790"/>
      <c r="E44" s="790"/>
      <c r="F44" s="790"/>
      <c r="G44" s="791" t="str">
        <f>IF(Berekeningen1700!F31/10&gt;0,Berekeningen1700!F31/10&amp;" ml/uur","")</f>
        <v/>
      </c>
      <c r="H44" s="807" t="str">
        <f>IF(Berekeningen1700!I34&gt;0,"= "&amp;ROUND(Berekeningen1700!I34,2),"")</f>
        <v/>
      </c>
      <c r="I44" s="807"/>
      <c r="J44" s="768"/>
      <c r="K44" s="779"/>
      <c r="L44" s="779"/>
      <c r="M44" s="808"/>
      <c r="N44" s="787"/>
    </row>
    <row r="45" spans="1:14" ht="15.95" customHeight="1" x14ac:dyDescent="0.2">
      <c r="A45" s="786">
        <v>13</v>
      </c>
      <c r="B45" s="796" t="str">
        <f>IF(_MedTekst1700_1="","",_MedTekst1700_1)</f>
        <v/>
      </c>
      <c r="C45" s="795"/>
      <c r="D45" s="795"/>
      <c r="E45" s="795"/>
      <c r="F45" s="795"/>
      <c r="G45" s="795"/>
      <c r="H45" s="790"/>
      <c r="I45" s="790"/>
      <c r="J45" s="768"/>
      <c r="K45" s="779"/>
      <c r="L45" s="779"/>
      <c r="M45" s="808"/>
      <c r="N45" s="787"/>
    </row>
    <row r="46" spans="1:14" ht="15.95" customHeight="1" x14ac:dyDescent="0.2">
      <c r="A46" s="786">
        <v>14</v>
      </c>
      <c r="B46" s="787" t="str">
        <f>IF(_MedTekst1700_2="","",_MedTekst1700_2)</f>
        <v/>
      </c>
      <c r="C46" s="807"/>
      <c r="D46" s="807"/>
      <c r="E46" s="807"/>
      <c r="F46" s="807"/>
      <c r="G46" s="807"/>
      <c r="H46" s="807"/>
      <c r="I46" s="807"/>
      <c r="J46" s="768"/>
      <c r="K46" s="779"/>
      <c r="L46" s="779"/>
      <c r="M46" s="808"/>
      <c r="N46" s="787"/>
    </row>
    <row r="47" spans="1:14" ht="15.95" customHeight="1" x14ac:dyDescent="0.2">
      <c r="D47" s="769"/>
      <c r="K47" s="809" t="s">
        <v>1055</v>
      </c>
      <c r="L47" s="809"/>
    </row>
    <row r="48" spans="1:14" ht="15.95" customHeight="1" x14ac:dyDescent="0.2">
      <c r="B48" s="772"/>
      <c r="C48" s="773"/>
      <c r="D48" s="810"/>
      <c r="E48" s="811" t="str">
        <f ca="1">IF(Berekeningen1700!C35&gt;0,Berekeningen1700!C35&amp;" ml","")</f>
        <v/>
      </c>
      <c r="F48" s="769" t="str">
        <f ca="1">IF(E48&lt;&gt;"",ROUND(Berekeningen1700!C35/_Gewicht,0)&amp;" ml/ kg","")</f>
        <v/>
      </c>
      <c r="K48" s="777" t="str">
        <f ca="1">IF(Berekeningen1700!B35&gt;0,Berekeningen1700!B35&amp;" ml","")</f>
        <v>120 ml</v>
      </c>
      <c r="L48" s="777"/>
      <c r="M48" s="778"/>
    </row>
    <row r="49" spans="2:13" ht="12" customHeight="1" x14ac:dyDescent="0.2">
      <c r="B49" s="766"/>
      <c r="C49" s="768"/>
      <c r="D49" s="807"/>
      <c r="E49" s="787"/>
    </row>
    <row r="50" spans="2:13" ht="15.75" customHeight="1" x14ac:dyDescent="0.2">
      <c r="B50" s="812"/>
    </row>
    <row r="51" spans="2:13" ht="15.95" customHeight="1" x14ac:dyDescent="0.2">
      <c r="B51" s="760" t="s">
        <v>1072</v>
      </c>
    </row>
    <row r="52" spans="2:13" ht="15.75" customHeight="1" x14ac:dyDescent="0.2">
      <c r="B52" s="813" t="s">
        <v>689</v>
      </c>
      <c r="C52" s="778"/>
      <c r="D52" s="778"/>
      <c r="E52" s="793" t="str">
        <f ca="1">IF(Berekeningen1700!$D$36=1,Berekeningen1700!C37&amp;" ml","")</f>
        <v>0 ml</v>
      </c>
      <c r="F52" s="778"/>
      <c r="G52" s="778"/>
      <c r="H52" s="778"/>
      <c r="I52" s="793" t="str">
        <f>IF(Berekeningen1700!$D$36=3,Berekeningen1700!C37&amp;" ml","")</f>
        <v/>
      </c>
      <c r="J52" s="778"/>
      <c r="K52" s="777" t="str">
        <f ca="1">IF(Berekeningen1700!B37&gt;0,Berekeningen1700!B37&amp;" ml","")</f>
        <v/>
      </c>
      <c r="L52" s="777"/>
      <c r="M52" s="778"/>
    </row>
    <row r="53" spans="2:13" ht="15.95" customHeight="1" x14ac:dyDescent="0.2">
      <c r="B53" s="814" t="s">
        <v>1073</v>
      </c>
      <c r="C53" s="797"/>
      <c r="D53" s="797"/>
      <c r="E53" s="800" t="str">
        <f ca="1">IF(Berekeningen1700!$D$36=1,Berekeningen1700!C38&amp;" ml","")</f>
        <v>0 ml</v>
      </c>
      <c r="F53" s="797"/>
      <c r="G53" s="797"/>
      <c r="H53" s="797"/>
      <c r="I53" s="800" t="str">
        <f>IF(Berekeningen1700!$D$36=3,Berekeningen1700!C38&amp;" ml","")</f>
        <v/>
      </c>
      <c r="J53" s="797"/>
      <c r="K53" s="798" t="str">
        <f ca="1">IF(Berekeningen1700!B38&gt;0,Berekeningen1700!B38&amp;" ml","")</f>
        <v/>
      </c>
      <c r="L53" s="798"/>
      <c r="M53" s="798"/>
    </row>
    <row r="54" spans="2:13" ht="15.95" customHeight="1" x14ac:dyDescent="0.2">
      <c r="B54" s="814" t="s">
        <v>1074</v>
      </c>
      <c r="C54" s="797"/>
      <c r="D54" s="797"/>
      <c r="E54" s="800" t="str">
        <f ca="1">IF(Berekeningen1700!$D$36=1,Berekeningen1700!C39&amp;" ml","")</f>
        <v>0 ml</v>
      </c>
      <c r="F54" s="797"/>
      <c r="G54" s="797"/>
      <c r="H54" s="797"/>
      <c r="I54" s="797"/>
      <c r="J54" s="797"/>
      <c r="K54" s="798" t="str">
        <f ca="1">IF(Berekeningen1700!B39&gt;0,Berekeningen1700!B39&amp;" ml","")</f>
        <v/>
      </c>
      <c r="L54" s="798"/>
      <c r="M54" s="798"/>
    </row>
    <row r="55" spans="2:13" ht="15.95" customHeight="1" x14ac:dyDescent="0.2">
      <c r="B55" s="814" t="s">
        <v>1075</v>
      </c>
      <c r="C55" s="797"/>
      <c r="D55" s="797"/>
      <c r="E55" s="800" t="str">
        <f ca="1">IF(Berekeningen1700!$D$36=1,Berekeningen1700!C40&amp;" ml","")</f>
        <v>0 ml</v>
      </c>
      <c r="F55" s="797"/>
      <c r="G55" s="797"/>
      <c r="H55" s="797"/>
      <c r="I55" s="797"/>
      <c r="J55" s="797"/>
      <c r="K55" s="798" t="str">
        <f ca="1">IF(Berekeningen1700!B40&gt;0,Berekeningen1700!B40&amp;" ml","")</f>
        <v/>
      </c>
      <c r="L55" s="798"/>
      <c r="M55" s="798"/>
    </row>
    <row r="56" spans="2:13" ht="15.95" customHeight="1" x14ac:dyDescent="0.2">
      <c r="B56" s="814" t="s">
        <v>436</v>
      </c>
      <c r="C56" s="797"/>
      <c r="D56" s="797"/>
      <c r="E56" s="800" t="str">
        <f ca="1">IF(Berekeningen1700!$D$36=1,Berekeningen1700!C41&amp;" ml","")</f>
        <v>0 ml</v>
      </c>
      <c r="F56" s="797"/>
      <c r="G56" s="797"/>
      <c r="H56" s="797"/>
      <c r="I56" s="797"/>
      <c r="J56" s="797"/>
      <c r="K56" s="798" t="str">
        <f ca="1">IF(Berekeningen1700!B41&gt;0,Berekeningen1700!B41&amp;" ml","")</f>
        <v/>
      </c>
      <c r="L56" s="798"/>
      <c r="M56" s="798"/>
    </row>
    <row r="57" spans="2:13" ht="15.95" customHeight="1" x14ac:dyDescent="0.2">
      <c r="B57" s="814" t="s">
        <v>1030</v>
      </c>
      <c r="C57" s="797"/>
      <c r="D57" s="797"/>
      <c r="E57" s="800" t="str">
        <f ca="1">IF(Berekeningen1700!$D$36=1,Berekeningen1700!C42&amp;" ml","")</f>
        <v>0 ml</v>
      </c>
      <c r="F57" s="797"/>
      <c r="G57" s="797"/>
      <c r="H57" s="797"/>
      <c r="I57" s="797"/>
      <c r="J57" s="797"/>
      <c r="K57" s="798" t="str">
        <f ca="1">IF(Berekeningen1700!B42&gt;0,Berekeningen1700!B42&amp;" ml","")</f>
        <v/>
      </c>
      <c r="L57" s="798"/>
      <c r="M57" s="798"/>
    </row>
    <row r="58" spans="2:13" ht="15.95" customHeight="1" x14ac:dyDescent="0.2">
      <c r="B58" s="814" t="s">
        <v>1031</v>
      </c>
      <c r="C58" s="797"/>
      <c r="D58" s="797"/>
      <c r="E58" s="797"/>
      <c r="F58" s="797"/>
      <c r="G58" s="800" t="str">
        <f>IF(Berekeningen1700!D36=2,Berekeningen1700!C43&amp;" ml","")</f>
        <v/>
      </c>
      <c r="H58" s="815" t="str">
        <f>IF(G58&lt;&gt;"","("&amp;ROUND(Berekeningen1700!C43/_Gewicht,0)&amp;" ml/kg)","")</f>
        <v/>
      </c>
      <c r="I58" s="797"/>
      <c r="J58" s="797"/>
      <c r="K58" s="798" t="str">
        <f ca="1">IF(Berekeningen1700!B43&gt;0,Berekeningen1700!B43&amp;" ml","")</f>
        <v>350 ml</v>
      </c>
      <c r="L58" s="798"/>
      <c r="M58" s="798"/>
    </row>
    <row r="59" spans="2:13" ht="15.95" customHeight="1" x14ac:dyDescent="0.2">
      <c r="B59" s="814" t="s">
        <v>687</v>
      </c>
      <c r="C59" s="797"/>
      <c r="D59" s="797"/>
      <c r="E59" s="797"/>
      <c r="F59" s="797"/>
      <c r="G59" s="797"/>
      <c r="H59" s="797"/>
      <c r="I59" s="800" t="str">
        <f>IF(Berekeningen1700!$D$36=3,Berekeningen1700!C44&amp;" ml","")</f>
        <v/>
      </c>
      <c r="J59" s="815" t="str">
        <f>IF(I59&lt;&gt;"","("&amp;ROUND(1000*Berekeningen1700!C44/_Gewicht,0)&amp;" ml/kg)","")</f>
        <v/>
      </c>
      <c r="K59" s="798" t="str">
        <f ca="1">IF(Berekeningen1700!B44&gt;0,Berekeningen1700!B44&amp;" ml","")</f>
        <v>350 ml</v>
      </c>
      <c r="L59" s="798"/>
      <c r="M59" s="798"/>
    </row>
    <row r="60" spans="2:13" ht="20.100000000000001" customHeight="1" x14ac:dyDescent="0.2">
      <c r="B60" s="797"/>
      <c r="C60" s="797"/>
      <c r="D60" s="797"/>
      <c r="E60" s="816">
        <f>IF(Berekeningen1700!D36=1,Berekeningen1700!L45,"")</f>
        <v>0</v>
      </c>
      <c r="F60" s="797" t="str">
        <f>IF(E60&lt;&gt;"","ml","")</f>
        <v>ml</v>
      </c>
      <c r="G60" s="816" t="str">
        <f>IF(Berekeningen1700!D36=2,Berekeningen1700!L45,"")</f>
        <v/>
      </c>
      <c r="H60" s="797" t="str">
        <f>IF(G60&lt;&gt;"","ml","")</f>
        <v/>
      </c>
      <c r="I60" s="816" t="str">
        <f>IF(Berekeningen1700!D36=3,Berekeningen1700!L45,"")</f>
        <v/>
      </c>
      <c r="J60" s="797" t="str">
        <f>IF(I60&lt;&gt;"","ml","")</f>
        <v/>
      </c>
      <c r="K60" s="798"/>
      <c r="L60" s="798"/>
      <c r="M60" s="798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IF(Berekeningen1700!B20&gt;1,IF(AND(H32&lt;&gt;"""",H32&gt;=INDEX(Medicamenten,Berekeningen1700!B20,9)),TRUE,FALSE),FALSE)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IF(AND(C32&lt;&gt;0,G32&lt;&gt;""),IF(AND(H32&gt;=INDEX(Medicamenten,Berekeningen1700!$B20,7),H32&lt;=INDEX(Medicamenten,Berekeningen1700!$B20,8)),TRUE,FALSE),TRUE)=FALSE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ekeningen1700">
    <tabColor rgb="FF92D050"/>
  </sheetPr>
  <dimension ref="A1:Y116"/>
  <sheetViews>
    <sheetView workbookViewId="0">
      <pane xSplit="1" ySplit="1" topLeftCell="B23" activePane="bottomRight" state="frozen"/>
      <selection activeCell="J26" sqref="J26"/>
      <selection pane="topRight" activeCell="J26" sqref="J26"/>
      <selection pane="bottomLeft" activeCell="J26" sqref="J26"/>
      <selection pane="bottomRight" activeCell="B53" sqref="B53"/>
    </sheetView>
  </sheetViews>
  <sheetFormatPr defaultRowHeight="12.75" x14ac:dyDescent="0.2"/>
  <cols>
    <col min="1" max="1" width="40.140625" style="662" customWidth="1"/>
    <col min="2" max="3" width="13.85546875" style="662" customWidth="1"/>
    <col min="4" max="4" width="11.7109375" style="662" customWidth="1"/>
    <col min="5" max="5" width="10.7109375" style="662" customWidth="1"/>
    <col min="6" max="6" width="10" style="662" customWidth="1"/>
    <col min="7" max="7" width="9.140625" style="662"/>
    <col min="8" max="8" width="10.7109375" style="662" bestFit="1" customWidth="1"/>
    <col min="9" max="9" width="12.42578125" style="662" bestFit="1" customWidth="1"/>
    <col min="10" max="12" width="9.140625" style="662"/>
    <col min="13" max="13" width="13.28515625" style="662" bestFit="1" customWidth="1"/>
    <col min="14" max="16384" width="9.140625" style="662"/>
  </cols>
  <sheetData>
    <row r="1" spans="1:25" x14ac:dyDescent="0.2">
      <c r="A1" s="578" t="s">
        <v>54</v>
      </c>
      <c r="E1" s="662" t="s">
        <v>398</v>
      </c>
      <c r="K1" s="662" t="s">
        <v>1013</v>
      </c>
      <c r="L1" s="662" t="s">
        <v>632</v>
      </c>
      <c r="M1" s="662" t="s">
        <v>473</v>
      </c>
      <c r="N1" s="662" t="s">
        <v>474</v>
      </c>
      <c r="O1" s="662" t="s">
        <v>475</v>
      </c>
      <c r="P1" s="662" t="s">
        <v>476</v>
      </c>
      <c r="Q1" s="662" t="s">
        <v>1036</v>
      </c>
      <c r="R1" s="662" t="s">
        <v>471</v>
      </c>
      <c r="S1" s="662" t="s">
        <v>1037</v>
      </c>
      <c r="T1" s="662" t="s">
        <v>1038</v>
      </c>
      <c r="U1" s="662" t="s">
        <v>1039</v>
      </c>
      <c r="V1" s="662" t="s">
        <v>1090</v>
      </c>
      <c r="W1" s="662" t="s">
        <v>1048</v>
      </c>
      <c r="X1" s="662" t="s">
        <v>1067</v>
      </c>
      <c r="Y1" s="662" t="s">
        <v>1235</v>
      </c>
    </row>
    <row r="2" spans="1:25" x14ac:dyDescent="0.2">
      <c r="A2" s="662" t="s">
        <v>1003</v>
      </c>
      <c r="B2" s="662">
        <v>0</v>
      </c>
    </row>
    <row r="3" spans="1:25" x14ac:dyDescent="0.2">
      <c r="A3" s="662" t="s">
        <v>1052</v>
      </c>
      <c r="B3" s="497">
        <f>GebDatum</f>
        <v>42280</v>
      </c>
      <c r="C3" s="492">
        <v>0</v>
      </c>
      <c r="E3" s="662" t="s">
        <v>1236</v>
      </c>
    </row>
    <row r="4" spans="1:25" x14ac:dyDescent="0.2">
      <c r="A4" s="662" t="s">
        <v>1023</v>
      </c>
      <c r="B4" s="515">
        <f>_Gewicht</f>
        <v>10</v>
      </c>
      <c r="C4" s="288" t="s">
        <v>1237</v>
      </c>
      <c r="D4" s="496">
        <v>30</v>
      </c>
    </row>
    <row r="5" spans="1:25" x14ac:dyDescent="0.2">
      <c r="A5" s="662" t="s">
        <v>624</v>
      </c>
      <c r="B5" s="497">
        <f>OpnDatum</f>
        <v>42698</v>
      </c>
      <c r="C5" s="288" t="s">
        <v>1238</v>
      </c>
      <c r="D5" s="496">
        <v>0</v>
      </c>
    </row>
    <row r="6" spans="1:25" x14ac:dyDescent="0.2">
      <c r="A6" s="578" t="s">
        <v>1239</v>
      </c>
      <c r="B6" s="492">
        <f ca="1">TODAY()-B3+1+C3</f>
        <v>424</v>
      </c>
      <c r="C6" s="662">
        <f ca="1">IF(B6&lt;7,B6,6)</f>
        <v>6</v>
      </c>
    </row>
    <row r="7" spans="1:25" x14ac:dyDescent="0.2">
      <c r="A7" s="662" t="s">
        <v>398</v>
      </c>
    </row>
    <row r="8" spans="1:25" x14ac:dyDescent="0.2">
      <c r="A8" s="662" t="s">
        <v>1056</v>
      </c>
    </row>
    <row r="9" spans="1:25" x14ac:dyDescent="0.2">
      <c r="A9" s="662" t="s">
        <v>1240</v>
      </c>
    </row>
    <row r="10" spans="1:25" x14ac:dyDescent="0.2">
      <c r="A10" s="662" t="s">
        <v>603</v>
      </c>
      <c r="D10" s="662">
        <v>0</v>
      </c>
    </row>
    <row r="11" spans="1:25" x14ac:dyDescent="0.2">
      <c r="A11" s="662" t="s">
        <v>1059</v>
      </c>
      <c r="D11" s="662">
        <v>0</v>
      </c>
      <c r="M11" s="662">
        <v>2</v>
      </c>
      <c r="N11" s="662">
        <v>3</v>
      </c>
      <c r="O11" s="662">
        <v>4</v>
      </c>
      <c r="P11" s="662">
        <v>5</v>
      </c>
      <c r="Q11" s="662">
        <v>6</v>
      </c>
      <c r="R11" s="662">
        <v>7</v>
      </c>
      <c r="S11" s="662">
        <v>8</v>
      </c>
      <c r="T11" s="662">
        <v>9</v>
      </c>
      <c r="U11" s="662">
        <v>10</v>
      </c>
      <c r="V11" s="662">
        <v>11</v>
      </c>
      <c r="W11" s="662">
        <v>12</v>
      </c>
    </row>
    <row r="12" spans="1:25" x14ac:dyDescent="0.2">
      <c r="A12" s="662" t="s">
        <v>603</v>
      </c>
      <c r="D12" s="662">
        <v>0</v>
      </c>
    </row>
    <row r="13" spans="1:25" x14ac:dyDescent="0.2">
      <c r="A13" s="662" t="s">
        <v>1059</v>
      </c>
      <c r="D13" s="662">
        <v>0</v>
      </c>
    </row>
    <row r="14" spans="1:25" x14ac:dyDescent="0.2">
      <c r="A14" s="662" t="s">
        <v>583</v>
      </c>
      <c r="D14" s="662">
        <v>1</v>
      </c>
      <c r="K14" s="662">
        <v>1</v>
      </c>
      <c r="L14" s="662">
        <f>IF(AND(_Extra=2,_Voeding&gt;1),(D10*D11+D12*D13)/10,0)</f>
        <v>0</v>
      </c>
      <c r="M14" s="662">
        <f>INDEX(Pos,$D$14,M11)*$L$14</f>
        <v>0</v>
      </c>
      <c r="N14" s="662">
        <f t="shared" ref="N14:W14" si="0">INDEX(Pos,$D$14,N11)*$L$14</f>
        <v>0</v>
      </c>
      <c r="O14" s="662">
        <f t="shared" si="0"/>
        <v>0</v>
      </c>
      <c r="P14" s="662">
        <f t="shared" si="0"/>
        <v>0</v>
      </c>
      <c r="Q14" s="662">
        <f t="shared" si="0"/>
        <v>0</v>
      </c>
      <c r="R14" s="662">
        <f>INDEX(Pos,$D$14,R11)*$L$14</f>
        <v>0</v>
      </c>
      <c r="S14" s="662">
        <f t="shared" si="0"/>
        <v>0</v>
      </c>
      <c r="T14" s="662">
        <f t="shared" si="0"/>
        <v>0</v>
      </c>
      <c r="U14" s="662">
        <f t="shared" si="0"/>
        <v>0</v>
      </c>
      <c r="V14" s="662">
        <f t="shared" si="0"/>
        <v>0</v>
      </c>
      <c r="W14" s="662">
        <f t="shared" si="0"/>
        <v>0</v>
      </c>
    </row>
    <row r="15" spans="1:25" x14ac:dyDescent="0.2">
      <c r="A15" s="662" t="s">
        <v>1058</v>
      </c>
      <c r="B15" s="662">
        <v>2</v>
      </c>
    </row>
    <row r="16" spans="1:25" x14ac:dyDescent="0.2">
      <c r="A16" s="662" t="s">
        <v>1241</v>
      </c>
      <c r="B16" s="662">
        <f ca="1">IF(AND(D4&lt;37,_Gewicht&gt;=1),INDEX(Advies!B4:G4,1,Berekeningen1700!C6),IF(_Gewicht&lt;1,INDEX(Advies!B5:G5,1,Berekeningen1700!C6),INDEX(Advies!B6:G6,1,Berekeningen1700!C6)))+IF(B15=1,20,0)</f>
        <v>150</v>
      </c>
      <c r="C16" s="662">
        <f ca="1">ROUND(B16/5,0)*5+(D16-5000)</f>
        <v>150</v>
      </c>
      <c r="D16" s="662">
        <v>5000</v>
      </c>
    </row>
    <row r="17" spans="1:25" x14ac:dyDescent="0.2">
      <c r="A17" s="662" t="s">
        <v>1242</v>
      </c>
      <c r="B17" s="662" t="b">
        <v>0</v>
      </c>
      <c r="C17" s="662">
        <f ca="1">ROUND(C16*_Gewicht-L14,0)</f>
        <v>1500</v>
      </c>
    </row>
    <row r="18" spans="1:25" x14ac:dyDescent="0.2">
      <c r="A18" s="662" t="s">
        <v>1455</v>
      </c>
      <c r="B18" s="662">
        <v>0</v>
      </c>
      <c r="K18" s="662" t="b">
        <v>0</v>
      </c>
      <c r="L18" s="662">
        <f>IF(K18,0,B18*2.4)</f>
        <v>0</v>
      </c>
      <c r="M18" s="662">
        <f>0.155*L18/2</f>
        <v>0</v>
      </c>
    </row>
    <row r="19" spans="1:25" x14ac:dyDescent="0.2">
      <c r="B19" s="662" t="s">
        <v>1087</v>
      </c>
      <c r="C19" s="662" t="s">
        <v>1243</v>
      </c>
      <c r="D19" s="662" t="s">
        <v>1244</v>
      </c>
      <c r="E19" s="662" t="s">
        <v>330</v>
      </c>
      <c r="F19" s="662" t="s">
        <v>96</v>
      </c>
      <c r="G19" s="662" t="s">
        <v>686</v>
      </c>
      <c r="H19" s="662" t="s">
        <v>1245</v>
      </c>
      <c r="I19" s="662" t="s">
        <v>1246</v>
      </c>
      <c r="J19" s="662" t="s">
        <v>1089</v>
      </c>
    </row>
    <row r="20" spans="1:25" x14ac:dyDescent="0.2">
      <c r="A20" s="662" t="s">
        <v>1247</v>
      </c>
      <c r="B20" s="662">
        <v>1</v>
      </c>
      <c r="C20" s="662">
        <v>0</v>
      </c>
      <c r="D20" s="662">
        <v>0</v>
      </c>
      <c r="E20" s="662">
        <v>1</v>
      </c>
      <c r="F20" s="662">
        <v>0</v>
      </c>
      <c r="G20" s="662">
        <v>1</v>
      </c>
      <c r="H20" s="662">
        <f>IF(INDEX(Medicamenten,Berekeningen1700!B20,5)=0,1,INDEX(Medicamenten,Berekeningen1700!B20,5))</f>
        <v>1</v>
      </c>
      <c r="I20" s="662">
        <f>IF(D20&gt;0,(F20*IF(Y20*10&gt;=24,2.4,2.4)*((C20/10)/D20))/($B$4)/J20,0)</f>
        <v>0</v>
      </c>
      <c r="J20" s="662">
        <f>IF(Berekeningen1700!H20&gt;1,INDEX(FaktorLijst,Berekeningen1700!H20),1)</f>
        <v>1</v>
      </c>
      <c r="K20" s="662">
        <v>0</v>
      </c>
      <c r="L20" s="662">
        <f>IF(K20,0,F20*2.4)</f>
        <v>0</v>
      </c>
      <c r="M20" s="662">
        <f>IF($E20&gt;1,INDEX(Opl,$E20,3),0)*$L20</f>
        <v>0</v>
      </c>
      <c r="N20" s="662">
        <f>IF($E20&gt;1,INDEX(Opl,$E20,4),0)*$L20</f>
        <v>0</v>
      </c>
      <c r="O20" s="662">
        <f>IF($E20&gt;1,INDEX(Opl,$E20,6),0)*$L20</f>
        <v>0</v>
      </c>
      <c r="P20" s="662">
        <f>IF($E20&gt;1,INDEX(Opl,$E20,7),0)*$L20</f>
        <v>0</v>
      </c>
      <c r="Q20" s="662">
        <f>IF($E20&gt;1,INDEX(Opl,$E20,8),0)*$L20</f>
        <v>0</v>
      </c>
      <c r="R20" s="662">
        <f>IF($E20&gt;1,INDEX(Opl,$E20,5),0)*$L20</f>
        <v>0</v>
      </c>
      <c r="S20" s="662">
        <f>IF($E20&gt;1,INDEX(Opl,$E20,2),0)*$L20</f>
        <v>0</v>
      </c>
      <c r="X20" s="662">
        <f>ROUND(IF(Y20*10&gt;1,Y20*10,Y20*600),0)</f>
        <v>0</v>
      </c>
      <c r="Y20" s="662">
        <f>IF(F20&gt;0,D20/F20,0)</f>
        <v>0</v>
      </c>
    </row>
    <row r="21" spans="1:25" x14ac:dyDescent="0.2">
      <c r="A21" s="662" t="s">
        <v>1248</v>
      </c>
      <c r="B21" s="662">
        <v>1</v>
      </c>
      <c r="C21" s="662">
        <v>0</v>
      </c>
      <c r="D21" s="662">
        <v>0</v>
      </c>
      <c r="E21" s="662">
        <v>1</v>
      </c>
      <c r="F21" s="662">
        <v>0</v>
      </c>
      <c r="G21" s="662">
        <v>1</v>
      </c>
      <c r="H21" s="823">
        <f>IF(INDEX(Medicamenten,Berekeningen1700!B21,5)=0,1,INDEX(Medicamenten,Berekeningen1700!B21,5))</f>
        <v>1</v>
      </c>
      <c r="I21" s="823">
        <f t="shared" ref="I21:I28" si="1">IF(D21&gt;0,(F21*IF(Y21*10&gt;=24,2.4,2.4)*((C21/10)/D21))/($B$4)/J21,0)</f>
        <v>0</v>
      </c>
      <c r="J21" s="823">
        <f>IF(Berekeningen1700!H21&gt;1,INDEX(FaktorLijst,Berekeningen1700!H21),1)</f>
        <v>1</v>
      </c>
      <c r="K21" s="662">
        <v>0</v>
      </c>
      <c r="L21" s="662">
        <f t="shared" ref="L21:L28" si="2">IF(K21,0,F21*2.4)</f>
        <v>0</v>
      </c>
      <c r="M21" s="662">
        <f t="shared" ref="M21:M31" si="3">IF($E21&gt;1,INDEX(Opl,$E21,3),0)*$L21</f>
        <v>0</v>
      </c>
      <c r="N21" s="662">
        <f t="shared" ref="N21:N31" si="4">IF($E21&gt;1,INDEX(Opl,$E21,4),0)*$L21</f>
        <v>0</v>
      </c>
      <c r="O21" s="662">
        <f t="shared" ref="O21:O31" si="5">IF($E21&gt;1,INDEX(Opl,$E21,6),0)*$L21</f>
        <v>0</v>
      </c>
      <c r="P21" s="662">
        <f t="shared" ref="P21:P31" si="6">IF($E21&gt;1,INDEX(Opl,$E21,7),0)*$L21</f>
        <v>0</v>
      </c>
      <c r="Q21" s="662">
        <f t="shared" ref="Q21:Q31" si="7">IF($E21&gt;1,INDEX(Opl,$E21,8),0)*$L21</f>
        <v>0</v>
      </c>
      <c r="R21" s="662">
        <f t="shared" ref="R21:R27" si="8">IF($E21&gt;1,INDEX(Opl,$E21,5),0)*$L21</f>
        <v>0</v>
      </c>
      <c r="S21" s="662">
        <f t="shared" ref="S21:S31" si="9">IF($E21&gt;1,INDEX(Opl,$E21,2),0)*$L21</f>
        <v>0</v>
      </c>
      <c r="X21" s="662">
        <f t="shared" ref="X21:X28" si="10">ROUND(IF(Y21*10&gt;1,Y21*10,Y21*600),0)</f>
        <v>0</v>
      </c>
      <c r="Y21" s="662">
        <f t="shared" ref="Y21:Y28" si="11">IF(F21&gt;0,D21/F21,0)</f>
        <v>0</v>
      </c>
    </row>
    <row r="22" spans="1:25" x14ac:dyDescent="0.2">
      <c r="A22" s="662" t="s">
        <v>1249</v>
      </c>
      <c r="B22" s="662">
        <v>1</v>
      </c>
      <c r="C22" s="662">
        <v>0</v>
      </c>
      <c r="D22" s="662">
        <v>0</v>
      </c>
      <c r="E22" s="662">
        <v>1</v>
      </c>
      <c r="F22" s="662">
        <v>0</v>
      </c>
      <c r="G22" s="662">
        <v>1</v>
      </c>
      <c r="H22" s="823">
        <f>IF(INDEX(Medicamenten,Berekeningen1700!B22,5)=0,1,INDEX(Medicamenten,Berekeningen1700!B22,5))</f>
        <v>1</v>
      </c>
      <c r="I22" s="823">
        <f t="shared" si="1"/>
        <v>0</v>
      </c>
      <c r="J22" s="823">
        <f>IF(Berekeningen1700!H22&gt;1,INDEX(FaktorLijst,Berekeningen1700!H22),1)</f>
        <v>1</v>
      </c>
      <c r="K22" s="662">
        <v>0</v>
      </c>
      <c r="L22" s="662">
        <f t="shared" si="2"/>
        <v>0</v>
      </c>
      <c r="M22" s="662">
        <f t="shared" si="3"/>
        <v>0</v>
      </c>
      <c r="N22" s="662">
        <f t="shared" si="4"/>
        <v>0</v>
      </c>
      <c r="O22" s="662">
        <f t="shared" si="5"/>
        <v>0</v>
      </c>
      <c r="P22" s="662">
        <f t="shared" si="6"/>
        <v>0</v>
      </c>
      <c r="Q22" s="662">
        <f t="shared" si="7"/>
        <v>0</v>
      </c>
      <c r="R22" s="662">
        <f t="shared" si="8"/>
        <v>0</v>
      </c>
      <c r="S22" s="662">
        <f t="shared" si="9"/>
        <v>0</v>
      </c>
      <c r="X22" s="662">
        <f t="shared" si="10"/>
        <v>0</v>
      </c>
      <c r="Y22" s="662">
        <f t="shared" si="11"/>
        <v>0</v>
      </c>
    </row>
    <row r="23" spans="1:25" x14ac:dyDescent="0.2">
      <c r="A23" s="662" t="s">
        <v>1250</v>
      </c>
      <c r="B23" s="662">
        <v>1</v>
      </c>
      <c r="C23" s="662">
        <v>0</v>
      </c>
      <c r="D23" s="662">
        <v>0</v>
      </c>
      <c r="E23" s="662">
        <v>1</v>
      </c>
      <c r="F23" s="662">
        <v>0</v>
      </c>
      <c r="G23" s="662">
        <v>1</v>
      </c>
      <c r="H23" s="823">
        <f>IF(INDEX(Medicamenten,Berekeningen1700!B23,5)=0,1,INDEX(Medicamenten,Berekeningen1700!B23,5))</f>
        <v>1</v>
      </c>
      <c r="I23" s="823">
        <f t="shared" si="1"/>
        <v>0</v>
      </c>
      <c r="J23" s="823">
        <f>IF(Berekeningen1700!H23&gt;1,INDEX(FaktorLijst,Berekeningen1700!H23),1)</f>
        <v>1</v>
      </c>
      <c r="K23" s="662">
        <v>0</v>
      </c>
      <c r="L23" s="662">
        <f t="shared" si="2"/>
        <v>0</v>
      </c>
      <c r="M23" s="662">
        <f t="shared" si="3"/>
        <v>0</v>
      </c>
      <c r="N23" s="662">
        <f t="shared" si="4"/>
        <v>0</v>
      </c>
      <c r="O23" s="662">
        <f t="shared" si="5"/>
        <v>0</v>
      </c>
      <c r="P23" s="662">
        <f t="shared" si="6"/>
        <v>0</v>
      </c>
      <c r="Q23" s="662">
        <f t="shared" si="7"/>
        <v>0</v>
      </c>
      <c r="R23" s="662">
        <f t="shared" si="8"/>
        <v>0</v>
      </c>
      <c r="S23" s="662">
        <f t="shared" si="9"/>
        <v>0</v>
      </c>
      <c r="X23" s="662">
        <f t="shared" si="10"/>
        <v>0</v>
      </c>
      <c r="Y23" s="662">
        <f t="shared" si="11"/>
        <v>0</v>
      </c>
    </row>
    <row r="24" spans="1:25" x14ac:dyDescent="0.2">
      <c r="A24" s="662" t="s">
        <v>1251</v>
      </c>
      <c r="B24" s="662">
        <v>1</v>
      </c>
      <c r="C24" s="662">
        <v>0</v>
      </c>
      <c r="D24" s="662">
        <v>0</v>
      </c>
      <c r="E24" s="662">
        <v>1</v>
      </c>
      <c r="F24" s="662">
        <v>0</v>
      </c>
      <c r="G24" s="662">
        <v>1</v>
      </c>
      <c r="H24" s="823">
        <f>IF(INDEX(Medicamenten,Berekeningen1700!B24,5)=0,1,INDEX(Medicamenten,Berekeningen1700!B24,5))</f>
        <v>1</v>
      </c>
      <c r="I24" s="823">
        <f t="shared" si="1"/>
        <v>0</v>
      </c>
      <c r="J24" s="823">
        <f>IF(Berekeningen1700!H24&gt;1,INDEX(FaktorLijst,Berekeningen1700!H24),1)</f>
        <v>1</v>
      </c>
      <c r="K24" s="662">
        <v>0</v>
      </c>
      <c r="L24" s="662">
        <f t="shared" si="2"/>
        <v>0</v>
      </c>
      <c r="M24" s="662">
        <f t="shared" si="3"/>
        <v>0</v>
      </c>
      <c r="N24" s="662">
        <f t="shared" si="4"/>
        <v>0</v>
      </c>
      <c r="O24" s="662">
        <f t="shared" si="5"/>
        <v>0</v>
      </c>
      <c r="P24" s="662">
        <f t="shared" si="6"/>
        <v>0</v>
      </c>
      <c r="Q24" s="662">
        <f t="shared" si="7"/>
        <v>0</v>
      </c>
      <c r="R24" s="662">
        <f t="shared" si="8"/>
        <v>0</v>
      </c>
      <c r="S24" s="662">
        <f t="shared" si="9"/>
        <v>0</v>
      </c>
      <c r="X24" s="662">
        <f t="shared" si="10"/>
        <v>0</v>
      </c>
      <c r="Y24" s="662">
        <f t="shared" si="11"/>
        <v>0</v>
      </c>
    </row>
    <row r="25" spans="1:25" x14ac:dyDescent="0.2">
      <c r="A25" s="662" t="s">
        <v>1252</v>
      </c>
      <c r="B25" s="662">
        <v>1</v>
      </c>
      <c r="C25" s="662">
        <v>0</v>
      </c>
      <c r="D25" s="662">
        <v>0</v>
      </c>
      <c r="E25" s="662">
        <v>1</v>
      </c>
      <c r="F25" s="662">
        <v>0</v>
      </c>
      <c r="G25" s="662">
        <v>1</v>
      </c>
      <c r="H25" s="823">
        <f>IF(INDEX(Medicamenten,Berekeningen1700!B25,5)=0,1,INDEX(Medicamenten,Berekeningen1700!B25,5))</f>
        <v>1</v>
      </c>
      <c r="I25" s="823">
        <f t="shared" si="1"/>
        <v>0</v>
      </c>
      <c r="J25" s="823">
        <f>IF(Berekeningen1700!H25&gt;1,INDEX(FaktorLijst,Berekeningen1700!H25),1)</f>
        <v>1</v>
      </c>
      <c r="K25" s="662">
        <v>0</v>
      </c>
      <c r="L25" s="662">
        <f t="shared" si="2"/>
        <v>0</v>
      </c>
      <c r="M25" s="662">
        <f t="shared" si="3"/>
        <v>0</v>
      </c>
      <c r="N25" s="662">
        <f t="shared" si="4"/>
        <v>0</v>
      </c>
      <c r="O25" s="662">
        <f t="shared" si="5"/>
        <v>0</v>
      </c>
      <c r="P25" s="662">
        <f t="shared" si="6"/>
        <v>0</v>
      </c>
      <c r="Q25" s="662">
        <f t="shared" si="7"/>
        <v>0</v>
      </c>
      <c r="R25" s="662">
        <f t="shared" si="8"/>
        <v>0</v>
      </c>
      <c r="S25" s="662">
        <f t="shared" si="9"/>
        <v>0</v>
      </c>
      <c r="X25" s="662">
        <f t="shared" si="10"/>
        <v>0</v>
      </c>
      <c r="Y25" s="662">
        <f t="shared" si="11"/>
        <v>0</v>
      </c>
    </row>
    <row r="26" spans="1:25" x14ac:dyDescent="0.2">
      <c r="A26" s="662" t="s">
        <v>1253</v>
      </c>
      <c r="B26" s="662">
        <v>1</v>
      </c>
      <c r="C26" s="662">
        <v>0</v>
      </c>
      <c r="D26" s="662">
        <v>0</v>
      </c>
      <c r="E26" s="662">
        <v>1</v>
      </c>
      <c r="F26" s="662">
        <v>0</v>
      </c>
      <c r="G26" s="662">
        <v>1</v>
      </c>
      <c r="H26" s="823">
        <f>IF(INDEX(Medicamenten,Berekeningen1700!B26,5)=0,1,INDEX(Medicamenten,Berekeningen1700!B26,5))</f>
        <v>1</v>
      </c>
      <c r="I26" s="823">
        <f t="shared" si="1"/>
        <v>0</v>
      </c>
      <c r="J26" s="823">
        <f>IF(Berekeningen1700!H26&gt;1,INDEX(FaktorLijst,Berekeningen1700!H26),1)</f>
        <v>1</v>
      </c>
      <c r="K26" s="662">
        <v>0</v>
      </c>
      <c r="L26" s="662">
        <f t="shared" si="2"/>
        <v>0</v>
      </c>
      <c r="M26" s="662">
        <f t="shared" si="3"/>
        <v>0</v>
      </c>
      <c r="N26" s="662">
        <f t="shared" si="4"/>
        <v>0</v>
      </c>
      <c r="O26" s="662">
        <f t="shared" si="5"/>
        <v>0</v>
      </c>
      <c r="P26" s="662">
        <f t="shared" si="6"/>
        <v>0</v>
      </c>
      <c r="Q26" s="662">
        <f t="shared" si="7"/>
        <v>0</v>
      </c>
      <c r="R26" s="662">
        <f t="shared" si="8"/>
        <v>0</v>
      </c>
      <c r="S26" s="662">
        <f t="shared" si="9"/>
        <v>0</v>
      </c>
      <c r="X26" s="662">
        <f t="shared" si="10"/>
        <v>0</v>
      </c>
      <c r="Y26" s="662">
        <f t="shared" si="11"/>
        <v>0</v>
      </c>
    </row>
    <row r="27" spans="1:25" x14ac:dyDescent="0.2">
      <c r="A27" s="662" t="s">
        <v>1254</v>
      </c>
      <c r="B27" s="662">
        <v>1</v>
      </c>
      <c r="C27" s="662">
        <v>0</v>
      </c>
      <c r="D27" s="662">
        <v>0</v>
      </c>
      <c r="E27" s="662">
        <v>1</v>
      </c>
      <c r="F27" s="662">
        <v>0</v>
      </c>
      <c r="G27" s="662">
        <v>1</v>
      </c>
      <c r="H27" s="823">
        <f>IF(INDEX(Medicamenten,Berekeningen1700!B27,5)=0,1,INDEX(Medicamenten,Berekeningen1700!B27,5))</f>
        <v>1</v>
      </c>
      <c r="I27" s="823">
        <f t="shared" si="1"/>
        <v>0</v>
      </c>
      <c r="J27" s="823">
        <f>IF(Berekeningen1700!H27&gt;1,INDEX(FaktorLijst,Berekeningen1700!H27),1)</f>
        <v>1</v>
      </c>
      <c r="K27" s="662">
        <v>0</v>
      </c>
      <c r="L27" s="662">
        <f t="shared" si="2"/>
        <v>0</v>
      </c>
      <c r="M27" s="662">
        <f t="shared" si="3"/>
        <v>0</v>
      </c>
      <c r="N27" s="662">
        <f t="shared" si="4"/>
        <v>0</v>
      </c>
      <c r="O27" s="662">
        <f t="shared" si="5"/>
        <v>0</v>
      </c>
      <c r="P27" s="662">
        <f t="shared" si="6"/>
        <v>0</v>
      </c>
      <c r="Q27" s="662">
        <f t="shared" si="7"/>
        <v>0</v>
      </c>
      <c r="R27" s="662">
        <f t="shared" si="8"/>
        <v>0</v>
      </c>
      <c r="S27" s="662">
        <f t="shared" si="9"/>
        <v>0</v>
      </c>
      <c r="X27" s="662">
        <f t="shared" si="10"/>
        <v>0</v>
      </c>
      <c r="Y27" s="662">
        <f t="shared" si="11"/>
        <v>0</v>
      </c>
    </row>
    <row r="28" spans="1:25" x14ac:dyDescent="0.2">
      <c r="A28" s="662" t="s">
        <v>1255</v>
      </c>
      <c r="B28" s="662">
        <v>1</v>
      </c>
      <c r="C28" s="662">
        <v>0</v>
      </c>
      <c r="D28" s="662">
        <v>0</v>
      </c>
      <c r="E28" s="662">
        <v>1</v>
      </c>
      <c r="F28" s="662">
        <v>0</v>
      </c>
      <c r="G28" s="662">
        <v>1</v>
      </c>
      <c r="H28" s="823">
        <f>IF(INDEX(Medicamenten,Berekeningen1700!B28,5)=0,1,INDEX(Medicamenten,Berekeningen1700!B28,5))</f>
        <v>1</v>
      </c>
      <c r="I28" s="823">
        <f t="shared" si="1"/>
        <v>0</v>
      </c>
      <c r="J28" s="823">
        <f>IF(Berekeningen1700!H28&gt;1,INDEX(FaktorLijst,Berekeningen1700!H28),1)</f>
        <v>1</v>
      </c>
      <c r="K28" s="662">
        <v>0</v>
      </c>
      <c r="L28" s="662">
        <f t="shared" si="2"/>
        <v>0</v>
      </c>
      <c r="M28" s="662">
        <f t="shared" si="3"/>
        <v>0</v>
      </c>
      <c r="N28" s="662">
        <f t="shared" si="4"/>
        <v>0</v>
      </c>
      <c r="O28" s="662">
        <f t="shared" si="5"/>
        <v>0</v>
      </c>
      <c r="P28" s="662">
        <f t="shared" si="6"/>
        <v>0</v>
      </c>
      <c r="Q28" s="662">
        <f t="shared" si="7"/>
        <v>0</v>
      </c>
      <c r="R28" s="662">
        <f>IF($E28&gt;1,INDEX(Opl,$E28,5),0)*$L28</f>
        <v>0</v>
      </c>
      <c r="S28" s="662">
        <f t="shared" si="9"/>
        <v>0</v>
      </c>
      <c r="X28" s="662">
        <f t="shared" si="10"/>
        <v>0</v>
      </c>
      <c r="Y28" s="662">
        <f t="shared" si="11"/>
        <v>0</v>
      </c>
    </row>
    <row r="29" spans="1:25" x14ac:dyDescent="0.2">
      <c r="A29" s="662" t="s">
        <v>1068</v>
      </c>
      <c r="E29" s="662">
        <v>1</v>
      </c>
      <c r="F29" s="662">
        <v>0</v>
      </c>
      <c r="K29" s="662" t="b">
        <v>0</v>
      </c>
      <c r="L29" s="662">
        <f>IF(K29,0,F29*2.4)</f>
        <v>0</v>
      </c>
      <c r="M29" s="662">
        <f t="shared" si="3"/>
        <v>0</v>
      </c>
      <c r="N29" s="662">
        <f t="shared" si="4"/>
        <v>0</v>
      </c>
      <c r="O29" s="662">
        <f t="shared" si="5"/>
        <v>0</v>
      </c>
      <c r="P29" s="662">
        <f t="shared" si="6"/>
        <v>0</v>
      </c>
      <c r="Q29" s="662">
        <f t="shared" si="7"/>
        <v>0</v>
      </c>
      <c r="R29" s="662">
        <f>IF($E29&gt;1,INDEX(Opl,$E29,5),0)*$L29</f>
        <v>0</v>
      </c>
      <c r="S29" s="662">
        <f t="shared" si="9"/>
        <v>0</v>
      </c>
      <c r="X29" s="662">
        <f>ROUND(IF(Y29*10&gt;1,Y29*10,Y29*600),0)</f>
        <v>0</v>
      </c>
      <c r="Y29" s="662">
        <f>IF(F29&gt;0,D29/F29,0)</f>
        <v>0</v>
      </c>
    </row>
    <row r="30" spans="1:25" x14ac:dyDescent="0.2">
      <c r="A30" s="662" t="s">
        <v>1069</v>
      </c>
      <c r="E30" s="662">
        <v>1</v>
      </c>
      <c r="F30" s="662">
        <v>0</v>
      </c>
      <c r="K30" s="662" t="b">
        <v>0</v>
      </c>
      <c r="L30" s="662">
        <f>IF(K30,0,F30*2.4)</f>
        <v>0</v>
      </c>
      <c r="M30" s="662">
        <f t="shared" si="3"/>
        <v>0</v>
      </c>
      <c r="N30" s="662">
        <f t="shared" si="4"/>
        <v>0</v>
      </c>
      <c r="O30" s="662">
        <f t="shared" si="5"/>
        <v>0</v>
      </c>
      <c r="P30" s="662">
        <f t="shared" si="6"/>
        <v>0</v>
      </c>
      <c r="Q30" s="662">
        <f t="shared" si="7"/>
        <v>0</v>
      </c>
      <c r="R30" s="662">
        <f>IF($E30&gt;1,INDEX(Opl,$E30,5),0)*$L30</f>
        <v>0</v>
      </c>
      <c r="S30" s="662">
        <f t="shared" si="9"/>
        <v>0</v>
      </c>
      <c r="X30" s="662">
        <f>ROUND(IF(Y30*10&gt;1,Y30*10,Y30*600),0)</f>
        <v>0</v>
      </c>
      <c r="Y30" s="662">
        <f>IF(F30&gt;0,D30/F30,0)</f>
        <v>0</v>
      </c>
    </row>
    <row r="31" spans="1:25" x14ac:dyDescent="0.2">
      <c r="A31" s="662" t="s">
        <v>1070</v>
      </c>
      <c r="E31" s="662">
        <v>1</v>
      </c>
      <c r="F31" s="662">
        <v>0</v>
      </c>
      <c r="K31" s="662" t="b">
        <v>0</v>
      </c>
      <c r="L31" s="662">
        <f>IF(K31,0,F31*2.4)</f>
        <v>0</v>
      </c>
      <c r="M31" s="662">
        <f t="shared" si="3"/>
        <v>0</v>
      </c>
      <c r="N31" s="662">
        <f t="shared" si="4"/>
        <v>0</v>
      </c>
      <c r="O31" s="662">
        <f t="shared" si="5"/>
        <v>0</v>
      </c>
      <c r="P31" s="662">
        <f t="shared" si="6"/>
        <v>0</v>
      </c>
      <c r="Q31" s="662">
        <f t="shared" si="7"/>
        <v>0</v>
      </c>
      <c r="R31" s="662">
        <f>IF($E31&gt;1,INDEX(Opl,$E31,5),0)*$L31</f>
        <v>0</v>
      </c>
      <c r="S31" s="662">
        <f t="shared" si="9"/>
        <v>0</v>
      </c>
      <c r="X31" s="662">
        <f>ROUND(IF(Y31*10&gt;1,Y31*10,Y31*600),0)</f>
        <v>0</v>
      </c>
      <c r="Y31" s="662">
        <f>IF(F31&gt;0,D31/F31,0)</f>
        <v>0</v>
      </c>
    </row>
    <row r="32" spans="1:25" x14ac:dyDescent="0.2">
      <c r="A32" s="662" t="s">
        <v>2289</v>
      </c>
    </row>
    <row r="33" spans="1:23" x14ac:dyDescent="0.2">
      <c r="A33" s="662" t="s">
        <v>2290</v>
      </c>
    </row>
    <row r="34" spans="1:23" x14ac:dyDescent="0.2">
      <c r="B34" s="662" t="s">
        <v>1256</v>
      </c>
      <c r="C34" s="662" t="s">
        <v>1257</v>
      </c>
      <c r="D34" s="662" t="s">
        <v>1258</v>
      </c>
      <c r="F34" s="823" t="s">
        <v>2429</v>
      </c>
    </row>
    <row r="35" spans="1:23" x14ac:dyDescent="0.2">
      <c r="A35" s="823" t="str">
        <f>INDEX(lijstIntralipidSmof,SelectedIntralipidSmof1700)</f>
        <v>Intralipid 20% (incl vitintra)</v>
      </c>
      <c r="B35" s="492">
        <f ca="1">ROUND(_Gewicht*INDEX(Advies!$B$9:$G$16,8,Berekeningen1700!$C$6),0)</f>
        <v>120</v>
      </c>
      <c r="C35" s="662">
        <f ca="1">ROUND(IF(AND(B17,B35+(D35-5000)&gt;0),B35+(D35-5000),0),0)</f>
        <v>0</v>
      </c>
      <c r="D35" s="662">
        <v>5000</v>
      </c>
      <c r="F35" s="823">
        <v>1</v>
      </c>
      <c r="L35" s="662">
        <f ca="1">C35</f>
        <v>0</v>
      </c>
      <c r="T35" s="662">
        <f ca="1">0.2*L35*10/12</f>
        <v>0</v>
      </c>
      <c r="W35" s="662">
        <f ca="1">40*C35*2/12</f>
        <v>0</v>
      </c>
    </row>
    <row r="36" spans="1:23" x14ac:dyDescent="0.2">
      <c r="A36" s="662" t="s">
        <v>1072</v>
      </c>
      <c r="B36" s="492"/>
      <c r="D36" s="662">
        <v>1</v>
      </c>
    </row>
    <row r="37" spans="1:23" x14ac:dyDescent="0.2">
      <c r="A37" s="662" t="s">
        <v>689</v>
      </c>
      <c r="B37" s="492">
        <f ca="1">ROUND(_Gewicht*INDEX(Advies!$B$9:$G$16,2,Berekeningen1700!$C$6),0)</f>
        <v>0</v>
      </c>
      <c r="C37" s="662">
        <f ca="1">IF(AND($B$17,B37+(D37-5000)/10&gt;0),ROUND(B37+(D37-5000)/10,1),0)</f>
        <v>0</v>
      </c>
      <c r="D37" s="662">
        <v>5000</v>
      </c>
      <c r="L37" s="662">
        <f ca="1">IF(OR($D$36=1,$D$36=3),C37,0)</f>
        <v>0</v>
      </c>
      <c r="M37" s="662">
        <f ca="1">L37*0.5</f>
        <v>0</v>
      </c>
      <c r="V37" s="662">
        <f ca="1">L37*0.5</f>
        <v>0</v>
      </c>
    </row>
    <row r="38" spans="1:23" x14ac:dyDescent="0.2">
      <c r="A38" s="662" t="s">
        <v>1073</v>
      </c>
      <c r="B38" s="492">
        <f ca="1">ROUND(_Gewicht*INDEX(Advies!$B$9:$G$16,3,Berekeningen1700!$C$6),0)</f>
        <v>0</v>
      </c>
      <c r="C38" s="662">
        <f ca="1">IF(AND($B$17,B38+(D38-5000)/10&gt;0),ROUND(B38+(D38-5000)/10,1),0)</f>
        <v>0</v>
      </c>
      <c r="D38" s="662">
        <v>5000</v>
      </c>
      <c r="L38" s="662">
        <f ca="1">IF(OR($D$36=1,$D$36=3),C38,0)</f>
        <v>0</v>
      </c>
      <c r="N38" s="662">
        <f ca="1">L38</f>
        <v>0</v>
      </c>
    </row>
    <row r="39" spans="1:23" x14ac:dyDescent="0.2">
      <c r="A39" s="662" t="s">
        <v>1074</v>
      </c>
      <c r="B39" s="492">
        <f ca="1">ROUND(_Gewicht*INDEX(Advies!$B$9:$G$16,4,Berekeningen1700!$C$6),0)</f>
        <v>0</v>
      </c>
      <c r="C39" s="662">
        <f ca="1">IF(AND($B$17,B39+(D39-5000)/10&gt;0),ROUND(B39+(D39-5000)/10,1),0)</f>
        <v>0</v>
      </c>
      <c r="D39" s="662">
        <v>5000</v>
      </c>
      <c r="L39" s="662">
        <f ca="1">IF($D$36=1,C39,0)</f>
        <v>0</v>
      </c>
      <c r="O39" s="662">
        <f ca="1">L39*0.225</f>
        <v>0</v>
      </c>
      <c r="V39" s="662">
        <f ca="1">L39*0.225*2</f>
        <v>0</v>
      </c>
    </row>
    <row r="40" spans="1:23" x14ac:dyDescent="0.2">
      <c r="A40" s="662" t="s">
        <v>1075</v>
      </c>
      <c r="B40" s="492">
        <f ca="1">ROUND(_Gewicht*INDEX(Advies!$B$9:$G$16,5,Berekeningen1700!$C$6),1)</f>
        <v>0</v>
      </c>
      <c r="C40" s="662">
        <f ca="1">IF(AND($B$17,B40+(D40-5000)/10&gt;0),ROUND(B40+(D40-5000)/10,1),0)</f>
        <v>0</v>
      </c>
      <c r="D40" s="662">
        <v>5000</v>
      </c>
      <c r="L40" s="662">
        <f ca="1">IF($D$36=1,C40,0)</f>
        <v>0</v>
      </c>
      <c r="P40" s="662">
        <f ca="1">L40*0.5</f>
        <v>0</v>
      </c>
      <c r="V40" s="662">
        <f ca="1">L40*0.5*2</f>
        <v>0</v>
      </c>
    </row>
    <row r="41" spans="1:23" x14ac:dyDescent="0.2">
      <c r="A41" s="662" t="s">
        <v>436</v>
      </c>
      <c r="B41" s="492">
        <f ca="1">ROUND(_Gewicht*INDEX(Advies!$B$9:$G$16,6,Berekeningen1700!$C$6),1)</f>
        <v>0</v>
      </c>
      <c r="C41" s="662">
        <f ca="1">IF(AND($B$17,B41+(D41-5000)/10&gt;0),ROUND(B41+(D41-5000)/10,1),0)</f>
        <v>0</v>
      </c>
      <c r="D41" s="662">
        <v>5000</v>
      </c>
      <c r="L41" s="662">
        <f ca="1">IF($D$36=1,C41,0)</f>
        <v>0</v>
      </c>
      <c r="W41" s="662">
        <f ca="1">40*C41</f>
        <v>0</v>
      </c>
    </row>
    <row r="42" spans="1:23" x14ac:dyDescent="0.2">
      <c r="A42" s="662" t="s">
        <v>1030</v>
      </c>
      <c r="B42" s="492">
        <f ca="1">ROUND(_Gewicht*INDEX(Advies!$B$9:$G$16,7,Berekeningen1700!$C$6),0)</f>
        <v>0</v>
      </c>
      <c r="C42" s="662">
        <f ca="1">IF(AND($B$17,B42+(D42-5000)&gt;0),ROUND(B42+(D42-5000),0),0)</f>
        <v>0</v>
      </c>
      <c r="D42" s="662">
        <v>5000</v>
      </c>
      <c r="L42" s="662">
        <f ca="1">IF($D$36=1,C42,0)</f>
        <v>0</v>
      </c>
      <c r="R42" s="662">
        <f ca="1">0.1*L42</f>
        <v>0</v>
      </c>
    </row>
    <row r="43" spans="1:23" x14ac:dyDescent="0.2">
      <c r="A43" s="662" t="s">
        <v>1031</v>
      </c>
      <c r="B43" s="492">
        <f ca="1">ROUND(_Gewicht*INDEX(Advies!$B$9:$G$16,1,Berekeningen1700!$C$6),1)</f>
        <v>350</v>
      </c>
      <c r="C43" s="662">
        <f ca="1">ROUND(IF(AND($B$17,B43+(D43-5000)&gt;0),B43+(D43-5000),0),0)</f>
        <v>0</v>
      </c>
      <c r="D43" s="662">
        <v>5000</v>
      </c>
      <c r="L43" s="662">
        <f>IF(D36=2,C43,0)</f>
        <v>0</v>
      </c>
      <c r="M43" s="662">
        <f>INDEX(TpnNICU,2,M11)*$L$43</f>
        <v>0</v>
      </c>
      <c r="N43" s="662">
        <f t="shared" ref="N43:U43" si="12">INDEX(TpnNICU,2,N11)*$L$43</f>
        <v>0</v>
      </c>
      <c r="O43" s="662">
        <f t="shared" si="12"/>
        <v>0</v>
      </c>
      <c r="P43" s="662">
        <f t="shared" si="12"/>
        <v>0</v>
      </c>
      <c r="Q43" s="662">
        <f t="shared" si="12"/>
        <v>0</v>
      </c>
      <c r="R43" s="662">
        <f t="shared" si="12"/>
        <v>0</v>
      </c>
      <c r="S43" s="662">
        <f t="shared" si="12"/>
        <v>0</v>
      </c>
      <c r="T43" s="662">
        <f t="shared" si="12"/>
        <v>0</v>
      </c>
      <c r="U43" s="662">
        <f t="shared" si="12"/>
        <v>0</v>
      </c>
    </row>
    <row r="44" spans="1:23" x14ac:dyDescent="0.2">
      <c r="A44" s="662" t="s">
        <v>687</v>
      </c>
      <c r="B44" s="492">
        <f ca="1">ROUND(_Gewicht*INDEX(Advies!$B$9:$G$16,1,Berekeningen1700!$C$6),1)</f>
        <v>350</v>
      </c>
      <c r="C44" s="662">
        <f ca="1">ROUND(IF(AND($B$17,B44+(D44-5000)&gt;0),B44+(D44-5000),0),0)</f>
        <v>0</v>
      </c>
      <c r="D44" s="662">
        <v>5000</v>
      </c>
      <c r="L44" s="662">
        <f>IF(D36=3,C44,0)</f>
        <v>0</v>
      </c>
      <c r="M44" s="662">
        <f>INDEX(TpnNICU,1,M11)*$L$44</f>
        <v>0</v>
      </c>
      <c r="N44" s="662">
        <f t="shared" ref="N44:U44" si="13">INDEX(TpnNICU,1,N11)*$L$44</f>
        <v>0</v>
      </c>
      <c r="O44" s="662">
        <f t="shared" si="13"/>
        <v>0</v>
      </c>
      <c r="P44" s="662">
        <f t="shared" si="13"/>
        <v>0</v>
      </c>
      <c r="Q44" s="662">
        <f t="shared" si="13"/>
        <v>0</v>
      </c>
      <c r="R44" s="662">
        <f t="shared" si="13"/>
        <v>0</v>
      </c>
      <c r="S44" s="662">
        <f t="shared" si="13"/>
        <v>0</v>
      </c>
      <c r="T44" s="662">
        <f t="shared" si="13"/>
        <v>0</v>
      </c>
      <c r="U44" s="662">
        <f t="shared" si="13"/>
        <v>0</v>
      </c>
    </row>
    <row r="45" spans="1:23" x14ac:dyDescent="0.2">
      <c r="A45" s="662" t="s">
        <v>1259</v>
      </c>
      <c r="D45" s="662">
        <v>2</v>
      </c>
      <c r="L45" s="662">
        <f>IF(B17,ROUND(C17-SUM(L18:L44),1),0)</f>
        <v>0</v>
      </c>
      <c r="S45" s="662">
        <f>INDEX(Opl,D45+1,2)*L45</f>
        <v>0</v>
      </c>
    </row>
    <row r="47" spans="1:23" x14ac:dyDescent="0.2">
      <c r="A47" s="662" t="s">
        <v>243</v>
      </c>
      <c r="L47" s="662">
        <f ca="1">L49+L50</f>
        <v>0</v>
      </c>
      <c r="M47" s="662">
        <f t="shared" ref="M47:W47" ca="1" si="14">M49+M50</f>
        <v>0</v>
      </c>
      <c r="N47" s="662">
        <f t="shared" ca="1" si="14"/>
        <v>0</v>
      </c>
      <c r="O47" s="662">
        <f t="shared" ca="1" si="14"/>
        <v>0</v>
      </c>
      <c r="P47" s="662">
        <f t="shared" ca="1" si="14"/>
        <v>0</v>
      </c>
      <c r="Q47" s="662">
        <f t="shared" si="14"/>
        <v>0</v>
      </c>
      <c r="R47" s="662">
        <f t="shared" ca="1" si="14"/>
        <v>0</v>
      </c>
      <c r="S47" s="662">
        <f t="shared" si="14"/>
        <v>0</v>
      </c>
      <c r="T47" s="662">
        <f t="shared" ca="1" si="14"/>
        <v>0</v>
      </c>
      <c r="U47" s="662">
        <f t="shared" ca="1" si="14"/>
        <v>0</v>
      </c>
      <c r="V47" s="662">
        <f t="shared" ca="1" si="14"/>
        <v>0</v>
      </c>
      <c r="W47" s="662">
        <f t="shared" ca="1" si="14"/>
        <v>0</v>
      </c>
    </row>
    <row r="49" spans="1:23" x14ac:dyDescent="0.2">
      <c r="A49" s="662" t="s">
        <v>439</v>
      </c>
      <c r="L49" s="662">
        <f>L14</f>
        <v>0</v>
      </c>
      <c r="M49" s="662">
        <f t="shared" ref="M49:W49" si="15">M14+IF(INDEX(LijstenLijstVoeding,_Voeding,14)="MM",M57,M62)</f>
        <v>0</v>
      </c>
      <c r="N49" s="662">
        <f t="shared" si="15"/>
        <v>0</v>
      </c>
      <c r="O49" s="662">
        <f t="shared" si="15"/>
        <v>0</v>
      </c>
      <c r="P49" s="662">
        <f t="shared" si="15"/>
        <v>0</v>
      </c>
      <c r="Q49" s="662">
        <f t="shared" si="15"/>
        <v>0</v>
      </c>
      <c r="R49" s="662">
        <f t="shared" si="15"/>
        <v>0</v>
      </c>
      <c r="S49" s="662">
        <f t="shared" si="15"/>
        <v>0</v>
      </c>
      <c r="T49" s="662">
        <f t="shared" si="15"/>
        <v>0</v>
      </c>
      <c r="U49" s="662">
        <f t="shared" si="15"/>
        <v>0</v>
      </c>
      <c r="V49" s="662">
        <f t="shared" si="15"/>
        <v>0</v>
      </c>
      <c r="W49" s="662">
        <f t="shared" si="15"/>
        <v>0</v>
      </c>
    </row>
    <row r="50" spans="1:23" x14ac:dyDescent="0.2">
      <c r="A50" s="662" t="s">
        <v>437</v>
      </c>
      <c r="L50" s="662">
        <f ca="1">SUM(L18:L45)</f>
        <v>0</v>
      </c>
      <c r="M50" s="662">
        <f t="shared" ref="M50:W50" ca="1" si="16">SUM(M18:M45)</f>
        <v>0</v>
      </c>
      <c r="N50" s="662">
        <f t="shared" ca="1" si="16"/>
        <v>0</v>
      </c>
      <c r="O50" s="662">
        <f t="shared" ca="1" si="16"/>
        <v>0</v>
      </c>
      <c r="P50" s="662">
        <f t="shared" ca="1" si="16"/>
        <v>0</v>
      </c>
      <c r="Q50" s="662">
        <f t="shared" si="16"/>
        <v>0</v>
      </c>
      <c r="R50" s="662">
        <f t="shared" ca="1" si="16"/>
        <v>0</v>
      </c>
      <c r="S50" s="662">
        <f t="shared" si="16"/>
        <v>0</v>
      </c>
      <c r="T50" s="662">
        <f t="shared" ca="1" si="16"/>
        <v>0</v>
      </c>
      <c r="U50" s="662">
        <f ca="1">T50*9+S50*4+R50*4</f>
        <v>0</v>
      </c>
      <c r="V50" s="662">
        <f t="shared" ca="1" si="16"/>
        <v>0</v>
      </c>
      <c r="W50" s="662">
        <f t="shared" ca="1" si="16"/>
        <v>0</v>
      </c>
    </row>
    <row r="52" spans="1:23" x14ac:dyDescent="0.2">
      <c r="A52" s="662" t="s">
        <v>1679</v>
      </c>
      <c r="B52" s="662">
        <v>2</v>
      </c>
      <c r="K52" s="662">
        <v>1</v>
      </c>
      <c r="L52" s="823">
        <f>INDEX(_VoedingBMFWaarden,Berekeningen1700!K52)</f>
        <v>0</v>
      </c>
      <c r="M52" s="653">
        <f t="shared" ref="M52:W52" si="17">IF($K52&gt;1,($L52/100)*$L$49*HLOOKUP(M1,_VoedingToevoegingenBMF,$B52,FALSE),0)</f>
        <v>0</v>
      </c>
      <c r="N52" s="653">
        <f t="shared" si="17"/>
        <v>0</v>
      </c>
      <c r="O52" s="653">
        <f t="shared" si="17"/>
        <v>0</v>
      </c>
      <c r="P52" s="653">
        <f t="shared" si="17"/>
        <v>0</v>
      </c>
      <c r="Q52" s="653">
        <f t="shared" si="17"/>
        <v>0</v>
      </c>
      <c r="R52" s="653">
        <f t="shared" si="17"/>
        <v>0</v>
      </c>
      <c r="S52" s="653">
        <f t="shared" si="17"/>
        <v>0</v>
      </c>
      <c r="T52" s="653">
        <f t="shared" si="17"/>
        <v>0</v>
      </c>
      <c r="U52" s="653">
        <f t="shared" si="17"/>
        <v>0</v>
      </c>
      <c r="V52" s="653">
        <f t="shared" si="17"/>
        <v>0</v>
      </c>
      <c r="W52" s="653">
        <f t="shared" si="17"/>
        <v>0</v>
      </c>
    </row>
    <row r="53" spans="1:23" x14ac:dyDescent="0.2">
      <c r="A53" s="662" t="s">
        <v>1670</v>
      </c>
      <c r="B53" s="662">
        <v>1</v>
      </c>
      <c r="C53" s="662">
        <f>_Toevoeging_1+1</f>
        <v>2</v>
      </c>
      <c r="K53" s="662">
        <v>1</v>
      </c>
      <c r="L53" s="823">
        <f>INDEX(_VoedingToevoegingenWaarden,Berekeningen1700!K53)</f>
        <v>0</v>
      </c>
      <c r="M53" s="653">
        <f>IF($B53&gt;1,($L53)*$L$49*HLOOKUP(Berekeningen1700!M$1,LijstenOpzoektabelMM,$C53,FALSE),0)</f>
        <v>0</v>
      </c>
      <c r="N53" s="653">
        <f>IF($B53&gt;1,($L53)*$L$49*HLOOKUP(Berekeningen1700!N$1,LijstenOpzoektabelMM,$C53,FALSE),0)</f>
        <v>0</v>
      </c>
      <c r="O53" s="653">
        <f>IF($B53&gt;1,($L53)*$L$49*HLOOKUP(Berekeningen1700!O$1,LijstenOpzoektabelMM,$C53,FALSE),0)</f>
        <v>0</v>
      </c>
      <c r="P53" s="653">
        <f>IF($B53&gt;1,($L53)*$L$49*HLOOKUP(Berekeningen1700!P$1,LijstenOpzoektabelMM,$C53,FALSE),0)</f>
        <v>0</v>
      </c>
      <c r="Q53" s="653">
        <f>IF($B53&gt;1,($L53)*$L$49*HLOOKUP(Berekeningen1700!Q$1,LijstenOpzoektabelMM,$C53,FALSE),0)</f>
        <v>0</v>
      </c>
      <c r="R53" s="653">
        <f>IF($B53&gt;1,($L53)*$L$49*HLOOKUP(Berekeningen1700!R$1,LijstenOpzoektabelMM,$C53,FALSE),0)</f>
        <v>0</v>
      </c>
      <c r="S53" s="653">
        <f>IF($B53&gt;1,($L53)*$L$49*HLOOKUP(Berekeningen1700!S$1,LijstenOpzoektabelMM,$C53,FALSE),0)</f>
        <v>0</v>
      </c>
      <c r="T53" s="653">
        <f>IF($B53&gt;1,($L53)*$L$49*HLOOKUP(Berekeningen1700!T$1,LijstenOpzoektabelMM,$C53,FALSE),0)</f>
        <v>0</v>
      </c>
      <c r="U53" s="653">
        <f>IF($B53&gt;1,($L53)*$L$49*HLOOKUP(Berekeningen1700!U$1,LijstenOpzoektabelMM,$C53,FALSE),0)</f>
        <v>0</v>
      </c>
      <c r="V53" s="653">
        <f>IF($B53&gt;1,($L53)*$L$49*HLOOKUP(Berekeningen1700!V$1,LijstenOpzoektabelMM,$C53,FALSE),0)</f>
        <v>0</v>
      </c>
      <c r="W53" s="653">
        <f>IF($B53&gt;1,($L53)*$L$49*HLOOKUP(Berekeningen1700!W$1,LijstenOpzoektabelMM,$C53,FALSE),0)</f>
        <v>0</v>
      </c>
    </row>
    <row r="54" spans="1:23" x14ac:dyDescent="0.2">
      <c r="A54" s="662" t="s">
        <v>1671</v>
      </c>
      <c r="B54" s="662">
        <v>1</v>
      </c>
      <c r="C54" s="662">
        <f>_Toevoeging_2+1</f>
        <v>2</v>
      </c>
      <c r="K54" s="662">
        <v>1</v>
      </c>
      <c r="L54" s="823">
        <f>INDEX(_VoedingToevoegingenWaarden,Berekeningen1700!K54)</f>
        <v>0</v>
      </c>
      <c r="M54" s="653">
        <f>IF($B54&gt;1,($L54)*$L$49*HLOOKUP(Berekeningen1700!M$1,LijstenOpzoektabelMM,$C54,FALSE),0)</f>
        <v>0</v>
      </c>
      <c r="N54" s="653">
        <f>IF($B54&gt;1,($L54)*$L$49*HLOOKUP(Berekeningen1700!N$1,LijstenOpzoektabelMM,$C54,FALSE),0)</f>
        <v>0</v>
      </c>
      <c r="O54" s="653">
        <f>IF($B54&gt;1,($L54)*$L$49*HLOOKUP(Berekeningen1700!O$1,LijstenOpzoektabelMM,$C54,FALSE),0)</f>
        <v>0</v>
      </c>
      <c r="P54" s="653">
        <f>IF($B54&gt;1,($L54)*$L$49*HLOOKUP(Berekeningen1700!P$1,LijstenOpzoektabelMM,$C54,FALSE),0)</f>
        <v>0</v>
      </c>
      <c r="Q54" s="653">
        <f>IF($B54&gt;1,($L54)*$L$49*HLOOKUP(Berekeningen1700!Q$1,LijstenOpzoektabelMM,$C54,FALSE),0)</f>
        <v>0</v>
      </c>
      <c r="R54" s="653">
        <f>IF($B54&gt;1,($L54)*$L$49*HLOOKUP(Berekeningen1700!R$1,LijstenOpzoektabelMM,$C54,FALSE),0)</f>
        <v>0</v>
      </c>
      <c r="S54" s="653">
        <f>IF($B54&gt;1,($L54)*$L$49*HLOOKUP(Berekeningen1700!S$1,LijstenOpzoektabelMM,$C54,FALSE),0)</f>
        <v>0</v>
      </c>
      <c r="T54" s="653">
        <f>IF($B54&gt;1,($L54)*$L$49*HLOOKUP(Berekeningen1700!T$1,LijstenOpzoektabelMM,$C54,FALSE),0)</f>
        <v>0</v>
      </c>
      <c r="U54" s="653">
        <f>IF($B54&gt;1,($L54)*$L$49*HLOOKUP(Berekeningen1700!U$1,LijstenOpzoektabelMM,$C54,FALSE),0)</f>
        <v>0</v>
      </c>
      <c r="V54" s="653">
        <f>IF($B54&gt;1,($L54)*$L$49*HLOOKUP(Berekeningen1700!V$1,LijstenOpzoektabelMM,$C54,FALSE),0)</f>
        <v>0</v>
      </c>
      <c r="W54" s="653">
        <f>IF($B54&gt;1,($L54)*$L$49*HLOOKUP(Berekeningen1700!W$1,LijstenOpzoektabelMM,$C54,FALSE),0)</f>
        <v>0</v>
      </c>
    </row>
    <row r="55" spans="1:23" x14ac:dyDescent="0.2">
      <c r="A55" s="662" t="s">
        <v>1672</v>
      </c>
      <c r="B55" s="662">
        <v>1</v>
      </c>
      <c r="C55" s="662">
        <f>_Toevoeging_3+1</f>
        <v>2</v>
      </c>
      <c r="K55" s="662">
        <v>1</v>
      </c>
      <c r="L55" s="823">
        <f>INDEX(_VoedingToevoegingenWaarden,Berekeningen1700!K55)</f>
        <v>0</v>
      </c>
      <c r="M55" s="653">
        <f>IF($B55&gt;1,($L55)*$L$49*HLOOKUP(Berekeningen1700!M$1,LijstenOpzoektabelMM,$C55,FALSE),0)</f>
        <v>0</v>
      </c>
      <c r="N55" s="653">
        <f>IF($B55&gt;1,($L55)*$L$49*HLOOKUP(Berekeningen1700!N$1,LijstenOpzoektabelMM,$C55,FALSE),0)</f>
        <v>0</v>
      </c>
      <c r="O55" s="653">
        <f>IF($B55&gt;1,($L55)*$L$49*HLOOKUP(Berekeningen1700!O$1,LijstenOpzoektabelMM,$C55,FALSE),0)</f>
        <v>0</v>
      </c>
      <c r="P55" s="653">
        <f>IF($B55&gt;1,($L55)*$L$49*HLOOKUP(Berekeningen1700!P$1,LijstenOpzoektabelMM,$C55,FALSE),0)</f>
        <v>0</v>
      </c>
      <c r="Q55" s="653">
        <f>IF($B55&gt;1,($L55)*$L$49*HLOOKUP(Berekeningen1700!Q$1,LijstenOpzoektabelMM,$C55,FALSE),0)</f>
        <v>0</v>
      </c>
      <c r="R55" s="653">
        <f>IF($B55&gt;1,($L55)*$L$49*HLOOKUP(Berekeningen1700!R$1,LijstenOpzoektabelMM,$C55,FALSE),0)</f>
        <v>0</v>
      </c>
      <c r="S55" s="653">
        <f>IF($B55&gt;1,($L55)*$L$49*HLOOKUP(Berekeningen1700!S$1,LijstenOpzoektabelMM,$C55,FALSE),0)</f>
        <v>0</v>
      </c>
      <c r="T55" s="653">
        <f>IF($B55&gt;1,($L55)*$L$49*HLOOKUP(Berekeningen1700!T$1,LijstenOpzoektabelMM,$C55,FALSE),0)</f>
        <v>0</v>
      </c>
      <c r="U55" s="653">
        <f>IF($B55&gt;1,($L55)*$L$49*HLOOKUP(Berekeningen1700!U$1,LijstenOpzoektabelMM,$C55,FALSE),0)</f>
        <v>0</v>
      </c>
      <c r="V55" s="653">
        <f>IF($B55&gt;1,($L55)*$L$49*HLOOKUP(Berekeningen1700!V$1,LijstenOpzoektabelMM,$C55,FALSE),0)</f>
        <v>0</v>
      </c>
      <c r="W55" s="653">
        <f>IF($B55&gt;1,($L55)*$L$49*HLOOKUP(Berekeningen1700!W$1,LijstenOpzoektabelMM,$C55,FALSE),0)</f>
        <v>0</v>
      </c>
    </row>
    <row r="56" spans="1:23" x14ac:dyDescent="0.2">
      <c r="A56" s="662" t="s">
        <v>1673</v>
      </c>
      <c r="B56" s="662">
        <v>1</v>
      </c>
      <c r="C56" s="662">
        <f>_Toevoeging_4+1</f>
        <v>2</v>
      </c>
      <c r="K56" s="662">
        <v>1</v>
      </c>
      <c r="L56" s="823">
        <f>INDEX(_VoedingToevoegingenWaarden,Berekeningen1700!K56)</f>
        <v>0</v>
      </c>
      <c r="M56" s="653">
        <f>IF($B56&gt;1,($L56)*$L$49*HLOOKUP(Berekeningen1700!M$1,LijstenOpzoektabelMM,$C56,FALSE),0)</f>
        <v>0</v>
      </c>
      <c r="N56" s="653">
        <f>IF($B56&gt;1,($L56)*$L$49*HLOOKUP(Berekeningen1700!N$1,LijstenOpzoektabelMM,$C56,FALSE),0)</f>
        <v>0</v>
      </c>
      <c r="O56" s="653">
        <f>IF($B56&gt;1,($L56)*$L$49*HLOOKUP(Berekeningen1700!O$1,LijstenOpzoektabelMM,$C56,FALSE),0)</f>
        <v>0</v>
      </c>
      <c r="P56" s="653">
        <f>IF($B56&gt;1,($L56)*$L$49*HLOOKUP(Berekeningen1700!P$1,LijstenOpzoektabelMM,$C56,FALSE),0)</f>
        <v>0</v>
      </c>
      <c r="Q56" s="653">
        <f>IF($B56&gt;1,($L56)*$L$49*HLOOKUP(Berekeningen1700!Q$1,LijstenOpzoektabelMM,$C56,FALSE),0)</f>
        <v>0</v>
      </c>
      <c r="R56" s="653">
        <f>IF($B56&gt;1,($L56)*$L$49*HLOOKUP(Berekeningen1700!R$1,LijstenOpzoektabelMM,$C56,FALSE),0)</f>
        <v>0</v>
      </c>
      <c r="S56" s="653">
        <f>IF($B56&gt;1,($L56)*$L$49*HLOOKUP(Berekeningen1700!S$1,LijstenOpzoektabelMM,$C56,FALSE),0)</f>
        <v>0</v>
      </c>
      <c r="T56" s="653">
        <f>IF($B56&gt;1,($L56)*$L$49*HLOOKUP(Berekeningen1700!T$1,LijstenOpzoektabelMM,$C56,FALSE),0)</f>
        <v>0</v>
      </c>
      <c r="U56" s="653">
        <f>IF($B56&gt;1,($L56)*$L$49*HLOOKUP(Berekeningen1700!U$1,LijstenOpzoektabelMM,$C56,FALSE),0)</f>
        <v>0</v>
      </c>
      <c r="V56" s="653">
        <f>IF($B56&gt;1,($L56)*$L$49*HLOOKUP(Berekeningen1700!V$1,LijstenOpzoektabelMM,$C56,FALSE),0)</f>
        <v>0</v>
      </c>
      <c r="W56" s="653">
        <f>IF($B56&gt;1,($L56)*$L$49*HLOOKUP(Berekeningen1700!W$1,LijstenOpzoektabelMM,$C56,FALSE),0)</f>
        <v>0</v>
      </c>
    </row>
    <row r="57" spans="1:23" x14ac:dyDescent="0.2">
      <c r="A57" s="662" t="s">
        <v>1773</v>
      </c>
      <c r="L57" s="823"/>
      <c r="M57" s="653">
        <f>SUM(M52:M56)</f>
        <v>0</v>
      </c>
      <c r="N57" s="653">
        <f t="shared" ref="N57:W57" si="18">SUM(N52:N56)</f>
        <v>0</v>
      </c>
      <c r="O57" s="653">
        <f t="shared" si="18"/>
        <v>0</v>
      </c>
      <c r="P57" s="653">
        <f t="shared" si="18"/>
        <v>0</v>
      </c>
      <c r="Q57" s="653">
        <f t="shared" si="18"/>
        <v>0</v>
      </c>
      <c r="R57" s="653">
        <f t="shared" si="18"/>
        <v>0</v>
      </c>
      <c r="S57" s="653">
        <f t="shared" si="18"/>
        <v>0</v>
      </c>
      <c r="T57" s="653">
        <f t="shared" si="18"/>
        <v>0</v>
      </c>
      <c r="U57" s="653">
        <f t="shared" si="18"/>
        <v>0</v>
      </c>
      <c r="V57" s="653">
        <f t="shared" si="18"/>
        <v>0</v>
      </c>
      <c r="W57" s="653">
        <f t="shared" si="18"/>
        <v>0</v>
      </c>
    </row>
    <row r="58" spans="1:23" x14ac:dyDescent="0.2">
      <c r="A58" s="662" t="s">
        <v>1674</v>
      </c>
      <c r="B58" s="662">
        <v>1</v>
      </c>
      <c r="C58" s="662">
        <f>_Toevoeging_5+1</f>
        <v>2</v>
      </c>
      <c r="K58" s="662">
        <v>1</v>
      </c>
      <c r="L58" s="823">
        <f>INDEX(_VoedingToevoegingenWaarden,Berekeningen1700!K58)</f>
        <v>0</v>
      </c>
      <c r="M58" s="653">
        <f>IF($B58&gt;1,($L58)*$L$49*HLOOKUP(Berekeningen1700!M$1,LijstenOpzoektabelKV,$C58,FALSE),0)</f>
        <v>0</v>
      </c>
      <c r="N58" s="653">
        <f>IF($B58&gt;1,($L58)*$L$49*HLOOKUP(Berekeningen1700!N$1,LijstenOpzoektabelKV,$C58,FALSE),0)</f>
        <v>0</v>
      </c>
      <c r="O58" s="653">
        <f>IF($B58&gt;1,($L58)*$L$49*HLOOKUP(Berekeningen1700!O$1,LijstenOpzoektabelKV,$C58,FALSE),0)</f>
        <v>0</v>
      </c>
      <c r="P58" s="653">
        <f>IF($B58&gt;1,($L58)*$L$49*HLOOKUP(Berekeningen1700!P$1,LijstenOpzoektabelKV,$C58,FALSE),0)</f>
        <v>0</v>
      </c>
      <c r="Q58" s="653">
        <f>IF($B58&gt;1,($L58)*$L$49*HLOOKUP(Berekeningen1700!Q$1,LijstenOpzoektabelKV,$C58,FALSE),0)</f>
        <v>0</v>
      </c>
      <c r="R58" s="653">
        <f>IF($B58&gt;1,($L58)*$L$49*HLOOKUP(Berekeningen1700!R$1,LijstenOpzoektabelKV,$C58,FALSE),0)</f>
        <v>0</v>
      </c>
      <c r="S58" s="653">
        <f>IF($B58&gt;1,($L58)*$L$49*HLOOKUP(Berekeningen1700!S$1,LijstenOpzoektabelKV,$C58,FALSE),0)</f>
        <v>0</v>
      </c>
      <c r="T58" s="653">
        <f>IF($B58&gt;1,($L58)*$L$49*HLOOKUP(Berekeningen1700!T$1,LijstenOpzoektabelKV,$C58,FALSE),0)</f>
        <v>0</v>
      </c>
      <c r="U58" s="653">
        <f>IF($B58&gt;1,($L58)*$L$49*HLOOKUP(Berekeningen1700!U$1,LijstenOpzoektabelKV,$C58,FALSE),0)</f>
        <v>0</v>
      </c>
      <c r="V58" s="653">
        <f>IF($B58&gt;1,($L58)*$L$49*HLOOKUP(Berekeningen1700!V$1,LijstenOpzoektabelKV,$C58,FALSE),0)</f>
        <v>0</v>
      </c>
      <c r="W58" s="653">
        <f>IF($B58&gt;1,($L58)*$L$49*HLOOKUP(Berekeningen1700!W$1,LijstenOpzoektabelKV,$C58,FALSE),0)</f>
        <v>0</v>
      </c>
    </row>
    <row r="59" spans="1:23" x14ac:dyDescent="0.2">
      <c r="A59" s="662" t="s">
        <v>1675</v>
      </c>
      <c r="B59" s="662">
        <v>1</v>
      </c>
      <c r="C59" s="662">
        <f>_Toevoeging_6+1</f>
        <v>2</v>
      </c>
      <c r="K59" s="662">
        <v>1</v>
      </c>
      <c r="L59" s="823">
        <f>INDEX(_VoedingToevoegingenWaarden,Berekeningen1700!K59)</f>
        <v>0</v>
      </c>
      <c r="M59" s="653">
        <f>IF($B59&gt;1,($L59)*$L$49*HLOOKUP(Berekeningen1700!M$1,LijstenOpzoektabelKV,$C59,FALSE),0)</f>
        <v>0</v>
      </c>
      <c r="N59" s="653">
        <f>IF($B59&gt;1,($L59)*$L$49*HLOOKUP(Berekeningen1700!N$1,LijstenOpzoektabelKV,$C59,FALSE),0)</f>
        <v>0</v>
      </c>
      <c r="O59" s="653">
        <f>IF($B59&gt;1,($L59)*$L$49*HLOOKUP(Berekeningen1700!O$1,LijstenOpzoektabelKV,$C59,FALSE),0)</f>
        <v>0</v>
      </c>
      <c r="P59" s="653">
        <f>IF($B59&gt;1,($L59)*$L$49*HLOOKUP(Berekeningen1700!P$1,LijstenOpzoektabelKV,$C59,FALSE),0)</f>
        <v>0</v>
      </c>
      <c r="Q59" s="653">
        <f>IF($B59&gt;1,($L59)*$L$49*HLOOKUP(Berekeningen1700!Q$1,LijstenOpzoektabelKV,$C59,FALSE),0)</f>
        <v>0</v>
      </c>
      <c r="R59" s="653">
        <f>IF($B59&gt;1,($L59)*$L$49*HLOOKUP(Berekeningen1700!R$1,LijstenOpzoektabelKV,$C59,FALSE),0)</f>
        <v>0</v>
      </c>
      <c r="S59" s="653">
        <f>IF($B59&gt;1,($L59)*$L$49*HLOOKUP(Berekeningen1700!S$1,LijstenOpzoektabelKV,$C59,FALSE),0)</f>
        <v>0</v>
      </c>
      <c r="T59" s="653">
        <f>IF($B59&gt;1,($L59)*$L$49*HLOOKUP(Berekeningen1700!T$1,LijstenOpzoektabelKV,$C59,FALSE),0)</f>
        <v>0</v>
      </c>
      <c r="U59" s="653">
        <f>IF($B59&gt;1,($L59)*$L$49*HLOOKUP(Berekeningen1700!U$1,LijstenOpzoektabelKV,$C59,FALSE),0)</f>
        <v>0</v>
      </c>
      <c r="V59" s="653">
        <f>IF($B59&gt;1,($L59)*$L$49*HLOOKUP(Berekeningen1700!V$1,LijstenOpzoektabelKV,$C59,FALSE),0)</f>
        <v>0</v>
      </c>
      <c r="W59" s="653">
        <f>IF($B59&gt;1,($L59)*$L$49*HLOOKUP(Berekeningen1700!W$1,LijstenOpzoektabelKV,$C59,FALSE),0)</f>
        <v>0</v>
      </c>
    </row>
    <row r="60" spans="1:23" x14ac:dyDescent="0.2">
      <c r="A60" s="662" t="s">
        <v>1676</v>
      </c>
      <c r="B60" s="662">
        <v>1</v>
      </c>
      <c r="C60" s="662">
        <f>_Toevoeging_7+1</f>
        <v>2</v>
      </c>
      <c r="K60" s="662">
        <v>1</v>
      </c>
      <c r="L60" s="823">
        <f>INDEX(_VoedingToevoegingenWaarden,Berekeningen1700!K60)</f>
        <v>0</v>
      </c>
      <c r="M60" s="653">
        <f>IF($B60&gt;1,($L60)*$L$49*HLOOKUP(Berekeningen1700!M$1,LijstenOpzoektabelKV,$C60,FALSE),0)</f>
        <v>0</v>
      </c>
      <c r="N60" s="653">
        <f>IF($B60&gt;1,($L60)*$L$49*HLOOKUP(Berekeningen1700!N$1,LijstenOpzoektabelKV,$C60,FALSE),0)</f>
        <v>0</v>
      </c>
      <c r="O60" s="653">
        <f>IF($B60&gt;1,($L60)*$L$49*HLOOKUP(Berekeningen1700!O$1,LijstenOpzoektabelKV,$C60,FALSE),0)</f>
        <v>0</v>
      </c>
      <c r="P60" s="653">
        <f>IF($B60&gt;1,($L60)*$L$49*HLOOKUP(Berekeningen1700!P$1,LijstenOpzoektabelKV,$C60,FALSE),0)</f>
        <v>0</v>
      </c>
      <c r="Q60" s="653">
        <f>IF($B60&gt;1,($L60)*$L$49*HLOOKUP(Berekeningen1700!Q$1,LijstenOpzoektabelKV,$C60,FALSE),0)</f>
        <v>0</v>
      </c>
      <c r="R60" s="653">
        <f>IF($B60&gt;1,($L60)*$L$49*HLOOKUP(Berekeningen1700!R$1,LijstenOpzoektabelKV,$C60,FALSE),0)</f>
        <v>0</v>
      </c>
      <c r="S60" s="653">
        <f>IF($B60&gt;1,($L60)*$L$49*HLOOKUP(Berekeningen1700!S$1,LijstenOpzoektabelKV,$C60,FALSE),0)</f>
        <v>0</v>
      </c>
      <c r="T60" s="653">
        <f>IF($B60&gt;1,($L60)*$L$49*HLOOKUP(Berekeningen1700!T$1,LijstenOpzoektabelKV,$C60,FALSE),0)</f>
        <v>0</v>
      </c>
      <c r="U60" s="653">
        <f>IF($B60&gt;1,($L60)*$L$49*HLOOKUP(Berekeningen1700!U$1,LijstenOpzoektabelKV,$C60,FALSE),0)</f>
        <v>0</v>
      </c>
      <c r="V60" s="653">
        <f>IF($B60&gt;1,($L60)*$L$49*HLOOKUP(Berekeningen1700!V$1,LijstenOpzoektabelKV,$C60,FALSE),0)</f>
        <v>0</v>
      </c>
      <c r="W60" s="653">
        <f>IF($B60&gt;1,($L60)*$L$49*HLOOKUP(Berekeningen1700!W$1,LijstenOpzoektabelKV,$C60,FALSE),0)</f>
        <v>0</v>
      </c>
    </row>
    <row r="61" spans="1:23" x14ac:dyDescent="0.2">
      <c r="A61" s="662" t="s">
        <v>1677</v>
      </c>
      <c r="B61" s="662">
        <v>1</v>
      </c>
      <c r="C61" s="662">
        <f>_Toevoeging_8+1</f>
        <v>2</v>
      </c>
      <c r="K61" s="662">
        <v>1</v>
      </c>
      <c r="L61" s="823">
        <f>INDEX(_VoedingToevoegingenWaarden,Berekeningen1700!K61)</f>
        <v>0</v>
      </c>
      <c r="M61" s="653">
        <f>IF($B61&gt;1,($L61)*$L$49*HLOOKUP(Berekeningen1700!M$1,LijstenOpzoektabelKV,$C61,FALSE),0)</f>
        <v>0</v>
      </c>
      <c r="N61" s="653">
        <f>IF($B61&gt;1,($L61)*$L$49*HLOOKUP(Berekeningen1700!N$1,LijstenOpzoektabelKV,$C61,FALSE),0)</f>
        <v>0</v>
      </c>
      <c r="O61" s="653">
        <f>IF($B61&gt;1,($L61)*$L$49*HLOOKUP(Berekeningen1700!O$1,LijstenOpzoektabelKV,$C61,FALSE),0)</f>
        <v>0</v>
      </c>
      <c r="P61" s="653">
        <f>IF($B61&gt;1,($L61)*$L$49*HLOOKUP(Berekeningen1700!P$1,LijstenOpzoektabelKV,$C61,FALSE),0)</f>
        <v>0</v>
      </c>
      <c r="Q61" s="653">
        <f>IF($B61&gt;1,($L61)*$L$49*HLOOKUP(Berekeningen1700!Q$1,LijstenOpzoektabelKV,$C61,FALSE),0)</f>
        <v>0</v>
      </c>
      <c r="R61" s="653">
        <f>IF($B61&gt;1,($L61)*$L$49*HLOOKUP(Berekeningen1700!R$1,LijstenOpzoektabelKV,$C61,FALSE),0)</f>
        <v>0</v>
      </c>
      <c r="S61" s="653">
        <f>IF($B61&gt;1,($L61)*$L$49*HLOOKUP(Berekeningen1700!S$1,LijstenOpzoektabelKV,$C61,FALSE),0)</f>
        <v>0</v>
      </c>
      <c r="T61" s="653">
        <f>IF($B61&gt;1,($L61)*$L$49*HLOOKUP(Berekeningen1700!T$1,LijstenOpzoektabelKV,$C61,FALSE),0)</f>
        <v>0</v>
      </c>
      <c r="U61" s="653">
        <f>IF($B61&gt;1,($L61)*$L$49*HLOOKUP(Berekeningen1700!U$1,LijstenOpzoektabelKV,$C61,FALSE),0)</f>
        <v>0</v>
      </c>
      <c r="V61" s="653">
        <f>IF($B61&gt;1,($L61)*$L$49*HLOOKUP(Berekeningen1700!V$1,LijstenOpzoektabelKV,$C61,FALSE),0)</f>
        <v>0</v>
      </c>
      <c r="W61" s="653">
        <f>IF($B61&gt;1,($L61)*$L$49*HLOOKUP(Berekeningen1700!W$1,LijstenOpzoektabelKV,$C61,FALSE),0)</f>
        <v>0</v>
      </c>
    </row>
    <row r="62" spans="1:23" x14ac:dyDescent="0.2">
      <c r="A62" s="662" t="s">
        <v>1774</v>
      </c>
      <c r="M62" s="653">
        <f>SUM(M58:M61)</f>
        <v>0</v>
      </c>
      <c r="N62" s="653">
        <f t="shared" ref="N62:W62" si="19">SUM(N58:N61)</f>
        <v>0</v>
      </c>
      <c r="O62" s="653">
        <f t="shared" si="19"/>
        <v>0</v>
      </c>
      <c r="P62" s="653">
        <f t="shared" si="19"/>
        <v>0</v>
      </c>
      <c r="Q62" s="653">
        <f t="shared" si="19"/>
        <v>0</v>
      </c>
      <c r="R62" s="653">
        <f t="shared" si="19"/>
        <v>0</v>
      </c>
      <c r="S62" s="653">
        <f t="shared" si="19"/>
        <v>0</v>
      </c>
      <c r="T62" s="653">
        <f t="shared" si="19"/>
        <v>0</v>
      </c>
      <c r="U62" s="653">
        <f t="shared" si="19"/>
        <v>0</v>
      </c>
      <c r="V62" s="653">
        <f t="shared" si="19"/>
        <v>0</v>
      </c>
      <c r="W62" s="653">
        <f t="shared" si="19"/>
        <v>0</v>
      </c>
    </row>
    <row r="65" spans="1:13" x14ac:dyDescent="0.2">
      <c r="A65" s="662" t="s">
        <v>1069</v>
      </c>
    </row>
    <row r="70" spans="1:13" x14ac:dyDescent="0.2">
      <c r="B70" s="285"/>
      <c r="C70" s="279"/>
      <c r="D70" s="279"/>
      <c r="E70" s="279"/>
      <c r="F70" s="286"/>
      <c r="G70" s="279"/>
      <c r="H70" s="279"/>
      <c r="I70" s="279"/>
    </row>
    <row r="71" spans="1:13" x14ac:dyDescent="0.2">
      <c r="M71" s="641"/>
    </row>
    <row r="73" spans="1:13" x14ac:dyDescent="0.2">
      <c r="A73" s="662" t="s">
        <v>1645</v>
      </c>
      <c r="B73" s="820" t="str">
        <f ca="1">IF(Afspraken1700!E18=0,"",CONCATENATE(Afspraken1700!B18,": ",Afspraken1700!E18," ",Afspraken1700!F18," = "&amp;Berekeningen1700!L47&amp;" ml"))</f>
        <v/>
      </c>
    </row>
    <row r="74" spans="1:13" x14ac:dyDescent="0.2">
      <c r="A74" s="662" t="s">
        <v>1646</v>
      </c>
      <c r="B74" s="820" t="str">
        <f>IF(INDEX(Pos,Berekeningen1700!D14,1)=0,"",CONCATENATE(Afspraken1700!H21," ",INDEX(Pos,Berekeningen1700!D14,1)))</f>
        <v/>
      </c>
    </row>
    <row r="75" spans="1:13" x14ac:dyDescent="0.2">
      <c r="A75" s="662" t="s">
        <v>1647</v>
      </c>
      <c r="B75" s="820" t="str">
        <f>IF(INDEX(Pos,Berekeningen1700!D14,1)=0,"",CONCATENATE("Hoeveelheid 1:  ",Afspraken1700!E21," ",Afspraken1700!F21," ",Afspraken1700!G21))</f>
        <v/>
      </c>
    </row>
    <row r="76" spans="1:13" x14ac:dyDescent="0.2">
      <c r="A76" s="662" t="s">
        <v>1648</v>
      </c>
      <c r="B76" s="820" t="str">
        <f>IF(INDEX(Pos,Berekeningen1700!D14,1)=0,"",CONCATENATE("Hoeveelheid 2:  ",Afspraken1700!E22," ",Afspraken1700!F22," ",Afspraken1700!G22))</f>
        <v/>
      </c>
    </row>
    <row r="77" spans="1:13" x14ac:dyDescent="0.2">
      <c r="A77" s="662" t="s">
        <v>1649</v>
      </c>
      <c r="B77" s="820" t="str">
        <f>IF(AND(INDEX(LijstenLijstVoeding,_Voeding1700,14)="MM",_Percentage1700_0 &gt; 0), CONCATENATE("Toev MM: BMF ",_Percentage1700_0," %"),"")</f>
        <v/>
      </c>
    </row>
    <row r="78" spans="1:13" x14ac:dyDescent="0.2">
      <c r="A78" s="662" t="s">
        <v>1650</v>
      </c>
      <c r="B78" s="820" t="str">
        <f>IF(AND(INDEX(LijstenLijstVoeding,_Voeding1700,14)="MM",_Toevoeging1700_1 &gt; 1,_Percentage1700_1 &gt; 0), CONCATENATE("Toev MM: ",INDEX(_VoedingToevoegingenMoedermelk,_Toevoeging1700_1,1)," ",_Percentage1700_1," %"),"")</f>
        <v/>
      </c>
    </row>
    <row r="79" spans="1:13" x14ac:dyDescent="0.2">
      <c r="A79" s="662" t="s">
        <v>1651</v>
      </c>
      <c r="B79" s="820" t="str">
        <f>IF(AND(INDEX(LijstenLijstVoeding,_Voeding1700,14)="MM",_Toevoeging1700_2 &gt; 1,_Percentage1700_2 &gt; 0), CONCATENATE("Toev MM: ",INDEX(_VoedingToevoegingenMoedermelk,_Toevoeging1700_2,1)," ",_Percentage1700_2," %"),"")</f>
        <v/>
      </c>
    </row>
    <row r="80" spans="1:13" x14ac:dyDescent="0.2">
      <c r="A80" s="662" t="s">
        <v>1652</v>
      </c>
      <c r="B80" s="820" t="str">
        <f>IF(AND(INDEX(LijstenLijstVoeding,_Voeding1700,14)="MM",_Toevoeging1700_3 &gt; 1,_Percentage1700_3 &gt; 0), CONCATENATE("Toev MM: ",INDEX(_VoedingToevoegingenMoedermelk,_Toevoeging1700_3,1)," ",_Percentage1700_3," %"),"")</f>
        <v/>
      </c>
    </row>
    <row r="81" spans="1:2" x14ac:dyDescent="0.2">
      <c r="A81" s="662" t="s">
        <v>1653</v>
      </c>
      <c r="B81" s="820" t="str">
        <f>IF(AND(INDEX(LijstenLijstVoeding,_Voeding1700,14)="MM",_Toevoeging1700_4 &gt; 1,_Percentage1700_4 &gt; 0), CONCATENATE("Toev MM: ",INDEX(_VoedingToevoegingenMoedermelk,_Toevoeging1700_4,1)," ",_Percentage1700_4," %"),"")</f>
        <v/>
      </c>
    </row>
    <row r="82" spans="1:2" x14ac:dyDescent="0.2">
      <c r="A82" s="662" t="s">
        <v>1654</v>
      </c>
      <c r="B82" s="820" t="str">
        <f>IF(AND(INDEX(LijstenLijstVoeding,_Voeding1700,14)="KV",_Toevoeging1700_5 &gt; 1,_Percentage1700_5 &gt; 0), CONCATENATE("Toev KV: ",INDEX(_VoedingToevoegingenKunstvoeding,_Toevoeging1700_5,1)," ",_Percentage1700_5," %"),"")</f>
        <v/>
      </c>
    </row>
    <row r="83" spans="1:2" x14ac:dyDescent="0.2">
      <c r="A83" s="662" t="s">
        <v>1994</v>
      </c>
      <c r="B83" s="820" t="str">
        <f>IF(AND(INDEX(LijstenLijstVoeding,_Voeding1700,14)="KV",_Toevoeging1700_6 &gt; 1,_Percentage1700_6 &gt; 0), CONCATENATE("Toev KV: ",INDEX(_VoedingToevoegingenKunstvoeding,_Toevoeging1700_6,1)," ",_Percentage1700_6," %"),"")</f>
        <v/>
      </c>
    </row>
    <row r="84" spans="1:2" x14ac:dyDescent="0.2">
      <c r="A84" s="662" t="s">
        <v>1995</v>
      </c>
      <c r="B84" s="820" t="str">
        <f>IF(AND(INDEX(LijstenLijstVoeding,_Voeding1700,14)="KV",_Toevoeging1700_7 &gt; 1,_Percentage1700_7 &gt; 0), CONCATENATE("Toev KV: ",INDEX(_VoedingToevoegingenKunstvoeding,_Toevoeging1700_7,1)," ",_Percentage1700_7," %"),"")</f>
        <v/>
      </c>
    </row>
    <row r="85" spans="1:2" x14ac:dyDescent="0.2">
      <c r="A85" s="662" t="s">
        <v>1996</v>
      </c>
      <c r="B85" s="820" t="str">
        <f>IF(AND(INDEX(LijstenLijstVoeding,_Voeding1700,14)="KV",_Toevoeging1700_8 &gt; 1,_Percentage1700_8 &gt; 0), CONCATENATE("Toev KV: ",INDEX(_VoedingToevoegingenKunstvoeding,_Toevoeging1700_8,1)," ",_Percentage1700_8," %"),"")</f>
        <v/>
      </c>
    </row>
    <row r="86" spans="1:2" x14ac:dyDescent="0.2">
      <c r="A86" s="662" t="s">
        <v>1997</v>
      </c>
      <c r="B86" s="820" t="str">
        <f ca="1">IF(Afspraken1700!E28&gt;0,CONCATENATE(Afspraken1700!B28," ",Afspraken1700!E28," ",Afspraken1700!F28),"")</f>
        <v/>
      </c>
    </row>
    <row r="87" spans="1:2" x14ac:dyDescent="0.2">
      <c r="A87" s="662" t="s">
        <v>1998</v>
      </c>
      <c r="B87" s="820" t="str">
        <f>CONCATENATE(Afspraken1700!B19,": ",IF(Berekeningen1700!B15=1,"Ja","Nee"))</f>
        <v>Fototherapie: Nee</v>
      </c>
    </row>
    <row r="90" spans="1:2" x14ac:dyDescent="0.2">
      <c r="A90" s="518" t="s">
        <v>2287</v>
      </c>
      <c r="B90" s="823" t="str">
        <f>IF(Berekeningen1700!B20&gt;1,INDEX(Medicamenten,Berekeningen1700!B20, 1)&amp;" "&amp;Afspraken1700!C32&amp;" "&amp;Afspraken1700!D32&amp;" "&amp; INDEX(Opl,Berekeningen1700!E20,1)&amp;" " &amp; Afspraken1700!G32&amp;" (="&amp;Afspraken1700!H32&amp;" "&amp;Afspraken1700!I32&amp;"), inlooptijd: "&amp;Afspraken1700!N32,"")</f>
        <v/>
      </c>
    </row>
    <row r="91" spans="1:2" x14ac:dyDescent="0.2">
      <c r="A91" s="518" t="s">
        <v>2287</v>
      </c>
      <c r="B91" s="823" t="str">
        <f>IF(Berekeningen1700!B21&gt;1,INDEX(Medicamenten,Berekeningen1700!B21, 1)&amp;" "&amp;Afspraken1700!C33&amp;" "&amp;Afspraken1700!D33&amp;" "&amp; INDEX(Opl,Berekeningen1700!E21,1)&amp;" " &amp; Afspraken1700!G33&amp;" (="&amp;Afspraken1700!H33&amp;" "&amp;Afspraken1700!I33&amp;"), inlooptijd: "&amp;Afspraken1700!N33,"")</f>
        <v/>
      </c>
    </row>
    <row r="92" spans="1:2" x14ac:dyDescent="0.2">
      <c r="A92" s="518" t="s">
        <v>2287</v>
      </c>
      <c r="B92" s="823" t="str">
        <f>IF(Berekeningen1700!B22&gt;1,INDEX(Medicamenten,Berekeningen1700!B22, 1)&amp;" "&amp;Afspraken1700!C34&amp;" "&amp;Afspraken1700!D34&amp;" "&amp; INDEX(Opl,Berekeningen1700!E22,1)&amp;" " &amp; Afspraken1700!G34&amp;" (="&amp;Afspraken1700!H34&amp;" "&amp;Afspraken1700!I34&amp;"), inlooptijd: "&amp;Afspraken1700!N34,"")</f>
        <v/>
      </c>
    </row>
    <row r="93" spans="1:2" x14ac:dyDescent="0.2">
      <c r="A93" s="518" t="s">
        <v>2287</v>
      </c>
      <c r="B93" s="823" t="str">
        <f>IF(Berekeningen1700!B23&gt;1,INDEX(Medicamenten,Berekeningen1700!B23, 1)&amp;" "&amp;Afspraken1700!C35&amp;" "&amp;Afspraken1700!D35&amp;" "&amp; INDEX(Opl,Berekeningen1700!E23,1)&amp;" " &amp; Afspraken1700!G35&amp;" (="&amp;Afspraken1700!H35&amp;" "&amp;Afspraken1700!I35&amp;"), inlooptijd: "&amp;Afspraken1700!N35,"")</f>
        <v/>
      </c>
    </row>
    <row r="94" spans="1:2" x14ac:dyDescent="0.2">
      <c r="A94" s="518" t="s">
        <v>2287</v>
      </c>
      <c r="B94" s="823" t="str">
        <f>IF(Berekeningen1700!B24&gt;1,INDEX(Medicamenten,Berekeningen1700!B24, 1)&amp;" "&amp;Afspraken1700!C36&amp;" "&amp;Afspraken1700!D36&amp;" "&amp; INDEX(Opl,Berekeningen1700!E24,1)&amp;" " &amp; Afspraken1700!G36&amp;" (="&amp;Afspraken1700!H36&amp;" "&amp;Afspraken1700!I36&amp;"), inlooptijd: "&amp;Afspraken1700!N36,"")</f>
        <v/>
      </c>
    </row>
    <row r="95" spans="1:2" x14ac:dyDescent="0.2">
      <c r="A95" s="518" t="s">
        <v>2287</v>
      </c>
      <c r="B95" s="823" t="str">
        <f>IF(Berekeningen1700!B25&gt;1,INDEX(Medicamenten,Berekeningen1700!B25, 1)&amp;" "&amp;Afspraken1700!C37&amp;" "&amp;Afspraken1700!D37&amp;" "&amp; INDEX(Opl,Berekeningen1700!E25,1)&amp;" " &amp; Afspraken1700!G37&amp;" (="&amp;Afspraken1700!H37&amp;" "&amp;Afspraken1700!I37&amp;"), inlooptijd: "&amp;Afspraken1700!N37,"")</f>
        <v/>
      </c>
    </row>
    <row r="96" spans="1:2" x14ac:dyDescent="0.2">
      <c r="A96" s="518" t="s">
        <v>2287</v>
      </c>
      <c r="B96" s="823" t="str">
        <f>IF(Berekeningen1700!B26&gt;1,INDEX(Medicamenten,Berekeningen1700!B26, 1)&amp;" "&amp;Afspraken1700!C38&amp;" "&amp;Afspraken1700!D38&amp;" "&amp; INDEX(Opl,Berekeningen1700!E26,1)&amp;" " &amp; Afspraken1700!G38&amp;" (="&amp;Afspraken1700!H38&amp;" "&amp;Afspraken1700!I38&amp;"), inlooptijd: "&amp;Afspraken1700!N38,"")</f>
        <v/>
      </c>
    </row>
    <row r="97" spans="1:2" x14ac:dyDescent="0.2">
      <c r="A97" s="518" t="s">
        <v>2287</v>
      </c>
      <c r="B97" s="823" t="str">
        <f>IF(Berekeningen1700!B27&gt;1,INDEX(Medicamenten,Berekeningen1700!B27, 1)&amp;" "&amp;Afspraken1700!C39&amp;" "&amp;Afspraken1700!D39&amp;" "&amp; INDEX(Opl,Berekeningen1700!E27,1)&amp;" " &amp; Afspraken1700!G39&amp;" (="&amp;Afspraken1700!H39&amp;" "&amp;Afspraken1700!I39&amp;"), inlooptijd: "&amp;Afspraken1700!N39,"")</f>
        <v/>
      </c>
    </row>
    <row r="98" spans="1:2" x14ac:dyDescent="0.2">
      <c r="A98" s="518" t="s">
        <v>2287</v>
      </c>
      <c r="B98" s="823" t="str">
        <f>IF(Berekeningen1700!B28&gt;1,INDEX(Medicamenten,Berekeningen1700!B28, 1)&amp;" "&amp;Afspraken1700!C40&amp;" "&amp;Afspraken1700!D40&amp;" "&amp; INDEX(Opl,Berekeningen1700!E28,1)&amp;" " &amp; Afspraken1700!G40&amp;" (="&amp;Afspraken1700!H40&amp;" "&amp;Afspraken1700!I40&amp;"), inlooptijd: "&amp;Afspraken1700!N40,"")</f>
        <v/>
      </c>
    </row>
    <row r="99" spans="1:2" x14ac:dyDescent="0.2">
      <c r="A99" s="518" t="s">
        <v>2287</v>
      </c>
      <c r="B99" s="823" t="str">
        <f>IF(Berekeningen1700!E29&gt;1, Afspraken1700!B42&amp;": "&amp; INDEX(Opl,Berekeningen1700!$E29,1)&amp;" " &amp; Afspraken1700!G42,"")</f>
        <v/>
      </c>
    </row>
    <row r="100" spans="1:2" x14ac:dyDescent="0.2">
      <c r="A100" s="518" t="s">
        <v>2287</v>
      </c>
      <c r="B100" s="823" t="str">
        <f>IF(Berekeningen1700!E30&gt;1, Afspraken1700!B43&amp;": "&amp; INDEX(Opl,Berekeningen1700!$E30,1)&amp;" " &amp; Afspraken1700!G43,"")</f>
        <v/>
      </c>
    </row>
    <row r="101" spans="1:2" x14ac:dyDescent="0.2">
      <c r="A101" s="518" t="s">
        <v>2287</v>
      </c>
      <c r="B101" s="823" t="str">
        <f>IF(Berekeningen1700!E31&gt;1, Afspraken1700!B44&amp;": "&amp; INDEX(Opl,Berekeningen1700!$E31,1)&amp;" " &amp; Afspraken1700!G44,"")</f>
        <v/>
      </c>
    </row>
    <row r="102" spans="1:2" x14ac:dyDescent="0.2">
      <c r="A102" s="518" t="s">
        <v>2287</v>
      </c>
      <c r="B102" s="823" t="str">
        <f>IF(Berekeningen1700!B32="","",Berekeningen1700!B32)</f>
        <v/>
      </c>
    </row>
    <row r="103" spans="1:2" x14ac:dyDescent="0.2">
      <c r="A103" s="518" t="s">
        <v>2287</v>
      </c>
      <c r="B103" s="823" t="str">
        <f>IF(Berekeningen1700!B33="","",Berekeningen1700!B33)</f>
        <v/>
      </c>
    </row>
    <row r="104" spans="1:2" x14ac:dyDescent="0.2">
      <c r="A104" s="518" t="s">
        <v>2287</v>
      </c>
      <c r="B104" s="823" t="str">
        <f ca="1">IF(Berekeningen1700!C35&lt;&gt;0,CONCATENATE("Intralipid 20% (incl.vitintra) ",ROUNDUP(Berekeningen1700!C35/24,1)," ml/uur"),"")</f>
        <v/>
      </c>
    </row>
    <row r="105" spans="1:2" x14ac:dyDescent="0.2">
      <c r="A105" s="518" t="s">
        <v>2287</v>
      </c>
      <c r="B105" s="823" t="str">
        <f ca="1">IF(_WerkbriefTPNStand&lt;&gt;"",CONCATENATE("TPN: ",_WerkbriefTPNStand, " ml/uur"),"")</f>
        <v/>
      </c>
    </row>
    <row r="106" spans="1:2" x14ac:dyDescent="0.2">
      <c r="A106" s="518" t="s">
        <v>2287</v>
      </c>
      <c r="B106" s="823" t="str">
        <f ca="1">IF(_WerkbriefTPNStand&lt;&gt;"",CONCATENATE("TPN Totaal: ",_WerkbriefTPNTotaalGeheel,",", ROUND(_WerkbriefTPNTotaalBreuk,0), " ml"),"")</f>
        <v/>
      </c>
    </row>
    <row r="107" spans="1:2" x14ac:dyDescent="0.2">
      <c r="A107" s="518" t="s">
        <v>2287</v>
      </c>
      <c r="B107" s="823" t="str">
        <f ca="1">IF(OR(_WerkbriefTPNNaClGeheel&lt;&gt;"",_WerkbriefTPNNaClBreuk&lt;&gt;""),CONCATENATE(_WerkbriefTPNNaCLTekst," ",_WerkbriefTPNNaClGeheel,",", _WerkbriefTPNNaClBreuk, " ml"),"")</f>
        <v/>
      </c>
    </row>
    <row r="108" spans="1:2" x14ac:dyDescent="0.2">
      <c r="A108" s="518" t="s">
        <v>2287</v>
      </c>
      <c r="B108" s="823" t="str">
        <f ca="1">IF(OR(_WerkbriefTPNKacetaatGeheel&lt;&gt;"",_WerkbriefTPNKacetaatBreuk&lt;&gt;""),CONCATENATE(_WerkbriefTPNKacetaatTekst," ",_WerkbriefTPNKacetaatGeheel,",", _WerkbriefTPNKacetaatBreuk, " ml"),"")</f>
        <v/>
      </c>
    </row>
    <row r="109" spans="1:2" x14ac:dyDescent="0.2">
      <c r="A109" s="518" t="s">
        <v>2287</v>
      </c>
      <c r="B109" s="823" t="str">
        <f ca="1">IF(OR(_WerkbriefTPNCaClGeheel&lt;&gt;"",_WerkbriefTPNCaClBreuk&lt;&gt;""),CONCATENATE(_WerkbriefTPNCaClTekst," ",_WerkbriefTPNCaClGeheel,",", _WerkbriefTPNCaClBreuk, " ml"),"")</f>
        <v/>
      </c>
    </row>
    <row r="110" spans="1:2" x14ac:dyDescent="0.2">
      <c r="A110" s="518" t="s">
        <v>2287</v>
      </c>
      <c r="B110" s="823" t="str">
        <f ca="1">IF(OR(_WerkbriefTPNMgClGeheel&lt;&gt;"",_WerkbriefTPNMgClBreuk&lt;&gt;""),CONCATENATE(_WerkbriefTPNMgClTekst," ",_WerkbriefTPNMgClGeheel,",", _WerkbriefTPNMgClBreuk, " ml"),"")</f>
        <v/>
      </c>
    </row>
    <row r="111" spans="1:2" x14ac:dyDescent="0.2">
      <c r="A111" s="518" t="s">
        <v>2287</v>
      </c>
      <c r="B111" s="823" t="str">
        <f ca="1">IF(OR(_WerkbriefTPNSoluvitGeheel&lt;&gt;"",_WerkbriefTPNSoluvitBreuk&lt;&gt;""),CONCATENATE(_WerkbriefTPNSoluvitTekst," ",_WerkbriefTPNSoluvitGeheel,",", _WerkbriefTPNSoluvitBreuk, " ml"),"")</f>
        <v/>
      </c>
    </row>
    <row r="112" spans="1:2" x14ac:dyDescent="0.2">
      <c r="A112" s="518" t="s">
        <v>2287</v>
      </c>
      <c r="B112" s="823" t="str">
        <f ca="1">IF(OR(_WerkbriefTPNPrimeneGeheel&lt;&gt;"",_WerkbriefTPNPrimeneBreuk&lt;&gt;""),CONCATENATE(_WerkbriefTPNPrimeneTekst," ",_WerkbriefTPNPrimeneGeheel,",", _WerkbriefTPNPrimeneBreuk, " ml"),"")</f>
        <v/>
      </c>
    </row>
    <row r="113" spans="1:2" x14ac:dyDescent="0.2">
      <c r="A113" s="518" t="s">
        <v>2287</v>
      </c>
      <c r="B113" s="823" t="str">
        <f>IF(OR(_WerkbriefTPNNICUmixGeheel&lt;&gt;"",_WerkbriefTPNNICUmixBreuk&lt;&gt;""),CONCATENATE(_WerkbriefTPNNICUmixTekst," ",_WerkbriefTPNNICUmixGeheel,",", _WerkbriefTPNNICUmixBreuk, " ml"),"")</f>
        <v/>
      </c>
    </row>
    <row r="114" spans="1:2" x14ac:dyDescent="0.2">
      <c r="A114" s="518" t="s">
        <v>2287</v>
      </c>
      <c r="B114" s="823" t="str">
        <f>IF(OR(_WerkbriefTPNSamBGeheel&lt;&gt;"",_WerkbriefTPNSamBBreuk&lt;&gt;""),CONCATENATE(_WerkbriefTPNSamBTekst," ",_WerkbriefTPNSamBGeheel,",", _WerkbriefTPNSamBBreuk, " ml"),"")</f>
        <v/>
      </c>
    </row>
    <row r="115" spans="1:2" x14ac:dyDescent="0.2">
      <c r="A115" s="518" t="s">
        <v>2287</v>
      </c>
      <c r="B115" s="823" t="str">
        <f>IF(OR(_WerkbriefTPNGlucGeheel&lt;&gt;"",_WerkbriefTPNGlucBreuk&lt;&gt;""),CONCATENATE(_WerkbriefTPNGlucTekst," ",_WerkbriefTPNGlucGeheel,",", ROUND(_WerkbriefTPNGlucBreuk,2), " ml"),"")</f>
        <v/>
      </c>
    </row>
    <row r="116" spans="1:2" x14ac:dyDescent="0.2">
      <c r="A116" s="518" t="s">
        <v>2287</v>
      </c>
      <c r="B116" s="823" t="str">
        <f>IF(_WerkbriefIntravasaleToegangStand&lt;&gt;"",CONCATENATE(_WerkbriefIntravasaleToegangTekst," ",_WerkbriefIntravasaleToegangStand, " ml/uur"),"")</f>
        <v/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WerkBrief">
    <tabColor rgb="FF7030A0"/>
    <pageSetUpPr autoPageBreaks="0"/>
  </sheetPr>
  <dimension ref="A1:P60"/>
  <sheetViews>
    <sheetView zoomScaleNormal="100" workbookViewId="0"/>
  </sheetViews>
  <sheetFormatPr defaultColWidth="5.7109375" defaultRowHeight="12.75" x14ac:dyDescent="0.2"/>
  <cols>
    <col min="1" max="12" width="5.7109375" style="321"/>
    <col min="13" max="14" width="7.85546875" style="321" customWidth="1"/>
    <col min="15" max="16384" width="5.7109375" style="321"/>
  </cols>
  <sheetData>
    <row r="1" spans="1:16" x14ac:dyDescent="0.2">
      <c r="A1" s="598" t="s">
        <v>1019</v>
      </c>
      <c r="L1" s="321" t="s">
        <v>1004</v>
      </c>
      <c r="M1" s="322">
        <f>_Bed</f>
        <v>0</v>
      </c>
    </row>
    <row r="2" spans="1:16" x14ac:dyDescent="0.2">
      <c r="A2" s="321" t="s">
        <v>1020</v>
      </c>
      <c r="C2" s="323" t="str">
        <f>_VoorNaam&amp;" "&amp;_AchterNaam</f>
        <v>Test Test</v>
      </c>
      <c r="G2" s="321" t="s">
        <v>1021</v>
      </c>
      <c r="I2" s="903">
        <f ca="1">TODAY()</f>
        <v>42703</v>
      </c>
      <c r="J2" s="903"/>
      <c r="K2" s="903"/>
      <c r="L2" s="321" t="s">
        <v>1022</v>
      </c>
      <c r="M2" s="904">
        <f ca="1">NOW()</f>
        <v>42703.010065625</v>
      </c>
      <c r="N2" s="904"/>
    </row>
    <row r="3" spans="1:16" x14ac:dyDescent="0.2">
      <c r="A3" s="321" t="s">
        <v>1023</v>
      </c>
      <c r="C3" s="323">
        <f>_Gewicht</f>
        <v>10</v>
      </c>
      <c r="D3" s="321" t="s">
        <v>62</v>
      </c>
      <c r="I3" s="324"/>
      <c r="J3" s="324"/>
      <c r="K3" s="324"/>
      <c r="M3" s="325"/>
      <c r="N3" s="325"/>
    </row>
    <row r="4" spans="1:16" x14ac:dyDescent="0.2">
      <c r="G4" s="321" t="s">
        <v>1024</v>
      </c>
      <c r="I4" s="323" t="str">
        <f>IF(_Arts&gt;0,_Arts,"")</f>
        <v/>
      </c>
      <c r="L4" s="321" t="s">
        <v>1025</v>
      </c>
      <c r="M4" s="326"/>
      <c r="N4" s="326"/>
      <c r="O4" s="326"/>
      <c r="P4" s="326"/>
    </row>
    <row r="5" spans="1:16" ht="24" customHeight="1" x14ac:dyDescent="0.2">
      <c r="A5" s="327" t="s">
        <v>389</v>
      </c>
      <c r="B5" s="328"/>
      <c r="C5" s="329" t="s">
        <v>1026</v>
      </c>
      <c r="D5" s="329"/>
      <c r="E5" s="329"/>
      <c r="F5" s="329"/>
      <c r="G5" s="329"/>
      <c r="H5" s="330">
        <f ca="1">Afspraken1700!E28</f>
        <v>0</v>
      </c>
      <c r="I5" s="329" t="s">
        <v>366</v>
      </c>
      <c r="J5" s="329"/>
      <c r="K5" s="329"/>
      <c r="L5" s="329"/>
      <c r="M5" s="905" t="s">
        <v>1027</v>
      </c>
      <c r="N5" s="906"/>
      <c r="O5" s="331" t="s">
        <v>1028</v>
      </c>
      <c r="P5" s="332"/>
    </row>
    <row r="6" spans="1:16" ht="15" x14ac:dyDescent="0.2">
      <c r="A6" s="606" t="str">
        <f>IF(M6&lt;&gt;"",M6/24,"")</f>
        <v/>
      </c>
      <c r="B6" s="328"/>
      <c r="C6" s="327" t="str">
        <f>Afspraken1700!B30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IF(24*Berekeningen1700!B18&gt;0,TRUNC(24*Berekeningen1700!B18/10),"")</f>
        <v/>
      </c>
      <c r="N6" s="335" t="str">
        <f>IF(Berekeningen1700!B18&gt;0,(24*Berekeningen1700!B18/10-M6)*10,"")</f>
        <v/>
      </c>
      <c r="O6" s="331" t="str">
        <f>IF(Berekeningen1700!K18,"extra","")</f>
        <v/>
      </c>
      <c r="P6" s="332"/>
    </row>
    <row r="7" spans="1:16" ht="15" x14ac:dyDescent="0.2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2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66</v>
      </c>
      <c r="I8" s="339"/>
      <c r="J8" s="339"/>
      <c r="K8" s="339"/>
      <c r="L8" s="340"/>
      <c r="M8" s="341" t="str">
        <f ca="1">IF(Berekeningen1700!$L$37&gt;0,IF(_DagKeuze&lt;&gt;2,TRUNC(Berekeningen1700!$C$37),0),"")</f>
        <v/>
      </c>
      <c r="N8" s="342" t="str">
        <f ca="1">IF(Berekeningen1700!$L$37&gt;0,IF(_DagKeuze1700&lt;&gt;2,(Berekeningen1700!$C$37-M8)*100,0),"")</f>
        <v/>
      </c>
      <c r="O8" s="331"/>
      <c r="P8" s="332"/>
    </row>
    <row r="9" spans="1:16" ht="14.25" customHeight="1" x14ac:dyDescent="0.2">
      <c r="A9" s="343"/>
      <c r="B9" s="331"/>
      <c r="C9" s="327"/>
      <c r="D9" s="334"/>
      <c r="E9" s="334"/>
      <c r="F9" s="334"/>
      <c r="G9" s="334"/>
      <c r="H9" s="334" t="s">
        <v>1029</v>
      </c>
      <c r="I9" s="334"/>
      <c r="J9" s="334"/>
      <c r="K9" s="334"/>
      <c r="L9" s="328"/>
      <c r="M9" s="344" t="str">
        <f ca="1">IF(Berekeningen1700!$L$38&gt;0,IF(_DagKeuze1700&lt;&gt;2,TRUNC(Berekeningen1700!$C$38),0),"")</f>
        <v/>
      </c>
      <c r="N9" s="335" t="str">
        <f ca="1">IF(Berekeningen1700!$L$38&gt;0,IF(_DagKeuze1700&lt;&gt;2,(Berekeningen1700!$C$38-M9)*100,0),"")</f>
        <v/>
      </c>
      <c r="O9" s="331"/>
      <c r="P9" s="332"/>
    </row>
    <row r="10" spans="1:16" ht="14.25" customHeight="1" x14ac:dyDescent="0.2">
      <c r="A10" s="343"/>
      <c r="B10" s="331"/>
      <c r="C10" s="338"/>
      <c r="D10" s="339"/>
      <c r="E10" s="339"/>
      <c r="F10" s="339"/>
      <c r="G10" s="339"/>
      <c r="H10" s="339" t="s">
        <v>900</v>
      </c>
      <c r="I10" s="339"/>
      <c r="J10" s="339"/>
      <c r="K10" s="339"/>
      <c r="L10" s="340"/>
      <c r="M10" s="341" t="str">
        <f ca="1">IF(Berekeningen1700!$L$39&gt;0,TRUNC(Berekeningen1700!$C$39),"")</f>
        <v/>
      </c>
      <c r="N10" s="342" t="str">
        <f ca="1">IF(Berekeningen1700!$L$39&gt;0,IF(_DagKeuze1700=1,Berekeningen1700!$C$39-M10,0),"")</f>
        <v/>
      </c>
      <c r="O10" s="331"/>
      <c r="P10" s="332"/>
    </row>
    <row r="11" spans="1:16" ht="14.25" customHeight="1" x14ac:dyDescent="0.2">
      <c r="A11" s="343"/>
      <c r="B11" s="331"/>
      <c r="C11" s="327"/>
      <c r="D11" s="334"/>
      <c r="E11" s="334"/>
      <c r="F11" s="334"/>
      <c r="G11" s="334"/>
      <c r="H11" s="334" t="s">
        <v>901</v>
      </c>
      <c r="I11" s="334"/>
      <c r="J11" s="334"/>
      <c r="K11" s="334"/>
      <c r="L11" s="328"/>
      <c r="M11" s="344" t="str">
        <f ca="1">IF(Berekeningen1700!$L$40&gt;0,TRUNC(Berekeningen1700!$C$40),"")</f>
        <v/>
      </c>
      <c r="N11" s="335" t="str">
        <f ca="1">IF(Berekeningen1700!$L$40&gt;0,IF(_DagKeuze1700=1,(Berekeningen1700!$C$40-M11)*100,0),"")</f>
        <v/>
      </c>
      <c r="O11" s="331"/>
      <c r="P11" s="332"/>
    </row>
    <row r="12" spans="1:16" ht="14.25" customHeight="1" x14ac:dyDescent="0.2">
      <c r="A12" s="343"/>
      <c r="B12" s="331"/>
      <c r="C12" s="338"/>
      <c r="D12" s="339"/>
      <c r="E12" s="339"/>
      <c r="F12" s="339"/>
      <c r="G12" s="339"/>
      <c r="H12" s="339" t="s">
        <v>436</v>
      </c>
      <c r="I12" s="339"/>
      <c r="J12" s="339"/>
      <c r="K12" s="339"/>
      <c r="L12" s="340"/>
      <c r="M12" s="341" t="str">
        <f ca="1">IF(Berekeningen1700!$L$41&gt;0,TRUNC(Berekeningen1700!$C$41),"")</f>
        <v/>
      </c>
      <c r="N12" s="342" t="str">
        <f ca="1">IF(Berekeningen1700!$L$41&gt;0,IF(_DagKeuze1700=1,(Berekeningen1700!$C$41-M12)*100,0),"")</f>
        <v/>
      </c>
      <c r="O12" s="331"/>
      <c r="P12" s="332"/>
    </row>
    <row r="13" spans="1:16" ht="14.25" customHeight="1" x14ac:dyDescent="0.2">
      <c r="A13" s="343"/>
      <c r="B13" s="331"/>
      <c r="C13" s="327"/>
      <c r="D13" s="334"/>
      <c r="E13" s="334"/>
      <c r="F13" s="334"/>
      <c r="G13" s="334"/>
      <c r="H13" s="334" t="s">
        <v>1030</v>
      </c>
      <c r="I13" s="334"/>
      <c r="J13" s="334"/>
      <c r="K13" s="334"/>
      <c r="L13" s="328"/>
      <c r="M13" s="344" t="str">
        <f ca="1">IF(Berekeningen1700!$L$42&gt;0,TRUNC(Berekeningen1700!$C$42),"")</f>
        <v/>
      </c>
      <c r="N13" s="335" t="str">
        <f ca="1">IF(Berekeningen1700!$L$42&gt;0,IF(_DagKeuze1700&lt;&gt;1,(Berekeningen1700!$C$42-M13)*100,0),"")</f>
        <v/>
      </c>
      <c r="O13" s="331"/>
      <c r="P13" s="332"/>
    </row>
    <row r="14" spans="1:16" ht="14.25" customHeight="1" x14ac:dyDescent="0.2">
      <c r="A14" s="343"/>
      <c r="B14" s="331"/>
      <c r="C14" s="338"/>
      <c r="D14" s="339"/>
      <c r="E14" s="339"/>
      <c r="F14" s="339"/>
      <c r="G14" s="339"/>
      <c r="H14" s="339" t="s">
        <v>1031</v>
      </c>
      <c r="I14" s="339"/>
      <c r="J14" s="339"/>
      <c r="K14" s="339"/>
      <c r="L14" s="340"/>
      <c r="M14" s="341" t="str">
        <f>IF(_DagKeuze=2,TRUNC(Berekeningen1700!$C$43),"")</f>
        <v/>
      </c>
      <c r="N14" s="342" t="str">
        <f>IF(_DagKeuze=2,(Berekeningen1700!$C$43-M14)*100,"")</f>
        <v/>
      </c>
      <c r="O14" s="331"/>
      <c r="P14" s="332"/>
    </row>
    <row r="15" spans="1:16" ht="14.25" customHeight="1" x14ac:dyDescent="0.2">
      <c r="A15" s="343"/>
      <c r="B15" s="331"/>
      <c r="C15" s="327"/>
      <c r="D15" s="334"/>
      <c r="E15" s="334"/>
      <c r="F15" s="334"/>
      <c r="G15" s="334"/>
      <c r="H15" s="334" t="s">
        <v>687</v>
      </c>
      <c r="I15" s="334"/>
      <c r="J15" s="334"/>
      <c r="K15" s="334"/>
      <c r="L15" s="328"/>
      <c r="M15" s="344" t="str">
        <f>IF(_DagKeuze=3,TRUNC(Berekeningen1700!$C$44),"")</f>
        <v/>
      </c>
      <c r="N15" s="335" t="str">
        <f>IF(_DagKeuze=3,(Berekeningen1700!$C$44-M15)*100,"")</f>
        <v/>
      </c>
      <c r="O15" s="331"/>
      <c r="P15" s="332"/>
    </row>
    <row r="16" spans="1:16" ht="14.25" customHeight="1" x14ac:dyDescent="0.2">
      <c r="A16" s="338"/>
      <c r="B16" s="340"/>
      <c r="C16" s="338"/>
      <c r="D16" s="339"/>
      <c r="E16" s="339"/>
      <c r="F16" s="339"/>
      <c r="G16" s="339"/>
      <c r="H16" s="339" t="str">
        <f>INDEX(Opl,Berekeningen1700!D45+1,1)</f>
        <v>glucose 10%</v>
      </c>
      <c r="I16" s="339"/>
      <c r="J16" s="339"/>
      <c r="K16" s="339"/>
      <c r="L16" s="340"/>
      <c r="M16" s="341" t="str">
        <f>IF(Berekeningen1700!$L$45&gt;0,TRUNC(Berekeningen1700!$L$45),"")</f>
        <v/>
      </c>
      <c r="N16" s="342" t="str">
        <f>IF(Berekeningen1700!$L$45&gt;0,(Berekeningen1700!$L$45-M16)*100,"")</f>
        <v/>
      </c>
      <c r="O16" s="331"/>
      <c r="P16" s="332"/>
    </row>
    <row r="17" spans="1:16" ht="14.25" customHeight="1" x14ac:dyDescent="0.2">
      <c r="A17" s="329"/>
      <c r="B17" s="329"/>
      <c r="C17" s="331"/>
      <c r="D17" s="331"/>
      <c r="E17" s="331"/>
      <c r="F17" s="331"/>
      <c r="G17" s="331"/>
      <c r="H17" s="345" t="s">
        <v>243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2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2">
      <c r="A19" s="327" t="s">
        <v>389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2">
      <c r="A20" s="351" t="str">
        <f>IF(F20&lt;&gt;"",_Stand_10/10,"")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IF(Berekeningen1700!E29&gt;1,INDEX(Opl,Berekeningen1700!E29,1),"")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IF(_Extra_11,"extra","")</f>
        <v/>
      </c>
      <c r="P20" s="332"/>
    </row>
    <row r="21" spans="1:16" ht="14.25" customHeight="1" x14ac:dyDescent="0.2">
      <c r="A21" s="351" t="str">
        <f>IF(F21&lt;&gt;"",_Stand_11/10,"")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IF(Berekeningen1700!E30&gt;1,INDEX(Opl,Berekeningen1700!E30,1),"")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IF(_Extra_12,"extra","")</f>
        <v/>
      </c>
      <c r="P21" s="332"/>
    </row>
    <row r="22" spans="1:16" ht="14.25" customHeight="1" x14ac:dyDescent="0.2">
      <c r="A22" s="351" t="str">
        <f>IF(F22&lt;&gt;"",_Stand_12/10,"")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IF(Berekeningen1700!E31&gt;1,INDEX(Opl,Berekeningen1700!E31,1),"")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IF(_Extra_13,"extra","")</f>
        <v/>
      </c>
      <c r="P22" s="332"/>
    </row>
    <row r="23" spans="1:16" ht="14.25" customHeight="1" x14ac:dyDescent="0.2">
      <c r="A23" s="351" t="str">
        <f ca="1">IF(D23&lt;&gt;"",ROUNDUP(Berekeningen1700!C35/24,1),"")</f>
        <v/>
      </c>
      <c r="B23" s="352"/>
      <c r="C23" s="353"/>
      <c r="D23" s="327" t="str">
        <f ca="1">IF(Berekeningen1700!C35&lt;&gt;0,INDEX(lijstIntralipidSmof,SelectedIntralipidSmof1700),"")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IF(D23&lt;&gt;"",TRUNC(Berekeningen1700!C35),"")</f>
        <v/>
      </c>
      <c r="N23" s="335" t="str">
        <f ca="1">IF(D23&lt;&gt;"",(Berekeningen1700!C35-M23)*100,"")</f>
        <v/>
      </c>
      <c r="O23" s="331"/>
      <c r="P23" s="332"/>
    </row>
    <row r="24" spans="1:16" ht="14.25" customHeight="1" x14ac:dyDescent="0.2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2">
      <c r="A25" s="327" t="s">
        <v>389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2">
      <c r="A26" s="351" t="str">
        <f>IF(Berekeningen1700!B20&gt;1,Berekeningen1700!F20/10,"")</f>
        <v/>
      </c>
      <c r="B26" s="351"/>
      <c r="C26" s="356" t="str">
        <f>IF(A26&lt;&gt;"",IF(Berekeningen1700!B20&gt;1,INDEX(Medicamenten,Berekeningen1700!B20,1),""),"")</f>
        <v/>
      </c>
      <c r="D26" s="329"/>
      <c r="E26" s="330" t="str">
        <f>IF(A26&lt;&gt;"",IF(Berekeningen1700!B20&gt;1,Berekeningen1700!C20/10,""),"")</f>
        <v/>
      </c>
      <c r="F26" s="329" t="str">
        <f>IF(_Medicament_1&lt;&gt;5,"mg","ml")</f>
        <v>mg</v>
      </c>
      <c r="G26" s="357" t="s">
        <v>1032</v>
      </c>
      <c r="H26" s="329" t="str">
        <f>IF(A26&lt;&gt;"",IF(Berekeningen1700!B20&gt;1,INDEX(Medicamenten,Berekeningen1700!B20,3),""),"")</f>
        <v/>
      </c>
      <c r="I26" s="329" t="s">
        <v>1033</v>
      </c>
      <c r="J26" s="329" t="str">
        <f>IF(A26&lt;&gt;"",IF(Berekeningen1700!B20&gt;1,INDEX(Medicamenten,Berekeningen1700!B20,4),""),"")</f>
        <v/>
      </c>
      <c r="K26" s="329" t="s">
        <v>1034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IF(C26&lt;&gt;"",IF(_Extra_1,"extra",""),"")</f>
        <v/>
      </c>
      <c r="P26" s="332"/>
    </row>
    <row r="27" spans="1:16" ht="14.25" customHeight="1" x14ac:dyDescent="0.2">
      <c r="A27" s="351"/>
      <c r="B27" s="351"/>
      <c r="C27" s="343"/>
      <c r="D27" s="331"/>
      <c r="E27" s="331"/>
      <c r="F27" s="331"/>
      <c r="G27" s="360"/>
      <c r="H27" s="331"/>
      <c r="I27" s="331" t="s">
        <v>1035</v>
      </c>
      <c r="J27" s="331" t="str">
        <f>IF(A26&lt;&gt;"",IF(A26&gt;0,Print!I33,""),"")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2">
      <c r="A28" s="351"/>
      <c r="B28" s="351"/>
      <c r="C28" s="338" t="str">
        <f>IF(A26&lt;&gt;"",Print!K33,"")</f>
        <v/>
      </c>
      <c r="D28" s="339"/>
      <c r="E28" s="339" t="str">
        <f>IF(A26&lt;&gt;"",Print!M33&amp;" "&amp;Print!N33,"")</f>
        <v/>
      </c>
      <c r="F28" s="339"/>
      <c r="G28" s="363"/>
      <c r="H28" s="339"/>
      <c r="I28" s="339"/>
      <c r="J28" s="364" t="s">
        <v>243</v>
      </c>
      <c r="K28" s="339"/>
      <c r="L28" s="339"/>
      <c r="M28" s="344" t="str">
        <f>IF(A26&lt;&gt;"",TRUNC(_OplHoev_1),"")</f>
        <v/>
      </c>
      <c r="N28" s="335" t="str">
        <f>IF(A26&lt;&gt;"",(_OplHoev_1-M28)*100,"")</f>
        <v/>
      </c>
      <c r="O28" s="331"/>
      <c r="P28" s="332"/>
    </row>
    <row r="29" spans="1:16" ht="14.25" customHeight="1" x14ac:dyDescent="0.2">
      <c r="A29" s="351" t="str">
        <f>IF(Berekeningen1700!B21&gt;1,Berekeningen1700!F21/10,"")</f>
        <v/>
      </c>
      <c r="B29" s="351"/>
      <c r="C29" s="356" t="str">
        <f>IF(A29&lt;&gt;"",IF(Berekeningen1700!B21&gt;1,INDEX(Medicamenten,Berekeningen1700!B21,1),""),"")</f>
        <v/>
      </c>
      <c r="D29" s="329"/>
      <c r="E29" s="330" t="str">
        <f>IF(A29&lt;&gt;"",IF(Berekeningen1700!B21&gt;1,Berekeningen1700!C21/10,""),"")</f>
        <v/>
      </c>
      <c r="F29" s="329" t="str">
        <f>IF(_Medicament_2&lt;&gt;5,"mg","ml")</f>
        <v>mg</v>
      </c>
      <c r="G29" s="357" t="s">
        <v>1032</v>
      </c>
      <c r="H29" s="329" t="str">
        <f>IF(A29&lt;&gt;"",IF(Berekeningen1700!B21&gt;1,INDEX(Medicamenten,Berekeningen1700!B21,3),""),"")</f>
        <v/>
      </c>
      <c r="I29" s="329" t="s">
        <v>1033</v>
      </c>
      <c r="J29" s="329" t="str">
        <f>IF(A29&lt;&gt;"",IF(Berekeningen1700!B21&gt;1,INDEX(Medicamenten,Berekeningen1700!B21,4),""),"")</f>
        <v/>
      </c>
      <c r="K29" s="329" t="s">
        <v>1034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IF(C29&lt;&gt;"",IF(_Extra_2,"extra",""),"")</f>
        <v/>
      </c>
      <c r="P29" s="332"/>
    </row>
    <row r="30" spans="1:16" ht="14.25" customHeight="1" x14ac:dyDescent="0.2">
      <c r="A30" s="351"/>
      <c r="B30" s="351"/>
      <c r="C30" s="343"/>
      <c r="D30" s="331"/>
      <c r="E30" s="331"/>
      <c r="F30" s="331"/>
      <c r="G30" s="360"/>
      <c r="H30" s="331"/>
      <c r="I30" s="331" t="s">
        <v>1035</v>
      </c>
      <c r="J30" s="331" t="str">
        <f>IF(A29&lt;&gt;"",IF(A29&gt;0,Print!I34,""),"")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2">
      <c r="A31" s="351"/>
      <c r="B31" s="351"/>
      <c r="C31" s="338" t="str">
        <f>IF(A29&lt;&gt;"",Print!K34,"")</f>
        <v/>
      </c>
      <c r="D31" s="339"/>
      <c r="E31" s="339" t="str">
        <f>IF(A29&lt;&gt;"",Print!M34&amp;" "&amp;Print!N34,"")</f>
        <v/>
      </c>
      <c r="F31" s="339"/>
      <c r="G31" s="363"/>
      <c r="H31" s="339"/>
      <c r="I31" s="339"/>
      <c r="J31" s="364" t="s">
        <v>243</v>
      </c>
      <c r="K31" s="339"/>
      <c r="L31" s="339"/>
      <c r="M31" s="344" t="str">
        <f>IF(A29&lt;&gt;"",TRUNC(_OplHoev_2),"")</f>
        <v/>
      </c>
      <c r="N31" s="335" t="str">
        <f>IF(A29&lt;&gt;"",(_OplHoev_2-M31)*100,"")</f>
        <v/>
      </c>
      <c r="O31" s="331"/>
      <c r="P31" s="332"/>
    </row>
    <row r="32" spans="1:16" ht="14.25" customHeight="1" x14ac:dyDescent="0.2">
      <c r="A32" s="351" t="str">
        <f>IF(Berekeningen1700!B22&gt;1,Berekeningen1700!F22/10,"")</f>
        <v/>
      </c>
      <c r="B32" s="351"/>
      <c r="C32" s="356" t="str">
        <f>IF(A32&lt;&gt;"",IF(Berekeningen1700!B22&gt;1,INDEX(Medicamenten,Berekeningen1700!B22,1),""),"")</f>
        <v/>
      </c>
      <c r="D32" s="329"/>
      <c r="E32" s="330" t="str">
        <f>IF(A32&lt;&gt;"",IF(Berekeningen1700!B22&gt;1,Berekeningen1700!C22/10,""),"")</f>
        <v/>
      </c>
      <c r="F32" s="329" t="str">
        <f>IF(_Medicament_3&lt;&gt;5,"mg","ml")</f>
        <v>mg</v>
      </c>
      <c r="G32" s="357" t="s">
        <v>1032</v>
      </c>
      <c r="H32" s="329" t="str">
        <f>IF(A32&lt;&gt;"",IF(Berekeningen1700!B22&gt;1,INDEX(Medicamenten,Berekeningen1700!B22,3),""),"")</f>
        <v/>
      </c>
      <c r="I32" s="329" t="s">
        <v>1033</v>
      </c>
      <c r="J32" s="329" t="str">
        <f>IF(A32&lt;&gt;"",IF(Berekeningen1700!B22&gt;1,INDEX(Medicamenten,Berekeningen1700!B22,4),""),"")</f>
        <v/>
      </c>
      <c r="K32" s="329" t="s">
        <v>1034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IF(C32&lt;&gt;"",IF(_Extra_3,"extra",""),"")</f>
        <v/>
      </c>
      <c r="P32" s="332"/>
    </row>
    <row r="33" spans="1:16" ht="14.25" customHeight="1" x14ac:dyDescent="0.2">
      <c r="A33" s="351"/>
      <c r="B33" s="351"/>
      <c r="C33" s="343"/>
      <c r="D33" s="331"/>
      <c r="E33" s="331"/>
      <c r="F33" s="331"/>
      <c r="G33" s="360"/>
      <c r="H33" s="331"/>
      <c r="I33" s="331" t="s">
        <v>1035</v>
      </c>
      <c r="J33" s="331" t="str">
        <f>IF(A32&lt;&gt;"",IF(A32&gt;0,Print!I35,""),"")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2">
      <c r="A34" s="351"/>
      <c r="B34" s="351"/>
      <c r="C34" s="338" t="str">
        <f>IF(A32&lt;&gt;"",Print!K35,"")</f>
        <v/>
      </c>
      <c r="D34" s="339"/>
      <c r="E34" s="339" t="str">
        <f>IF(A32&lt;&gt;"",Print!M35&amp;" "&amp;Print!N35,"")</f>
        <v/>
      </c>
      <c r="F34" s="339"/>
      <c r="G34" s="363"/>
      <c r="H34" s="339"/>
      <c r="I34" s="339"/>
      <c r="J34" s="364" t="s">
        <v>243</v>
      </c>
      <c r="K34" s="339"/>
      <c r="L34" s="339"/>
      <c r="M34" s="344" t="str">
        <f>IF(A32&lt;&gt;"",TRUNC(_OplHoev_3),"")</f>
        <v/>
      </c>
      <c r="N34" s="335" t="str">
        <f>IF(A32&lt;&gt;"",(_OplHoev_3-M34)*100,"")</f>
        <v/>
      </c>
      <c r="O34" s="331"/>
      <c r="P34" s="332"/>
    </row>
    <row r="35" spans="1:16" ht="14.25" customHeight="1" x14ac:dyDescent="0.2">
      <c r="A35" s="351" t="str">
        <f>IF(Berekeningen1700!B23&gt;1,Berekeningen1700!F23/10,"")</f>
        <v/>
      </c>
      <c r="B35" s="351"/>
      <c r="C35" s="356" t="str">
        <f>IF(A35&lt;&gt;"",IF(Berekeningen1700!B23&gt;1,INDEX(Medicamenten,Berekeningen1700!B23,1),""),"")</f>
        <v/>
      </c>
      <c r="D35" s="329"/>
      <c r="E35" s="330" t="str">
        <f>IF(A35&lt;&gt;"",IF(Berekeningen1700!B23&gt;1,Berekeningen1700!C23/10,""),"")</f>
        <v/>
      </c>
      <c r="F35" s="329" t="str">
        <f>IF(_Medicament_4&lt;&gt;5,"mg","ml")</f>
        <v>mg</v>
      </c>
      <c r="G35" s="357" t="s">
        <v>1032</v>
      </c>
      <c r="H35" s="329" t="str">
        <f>IF(A35&lt;&gt;"",IF(Berekeningen1700!B23&gt;1,INDEX(Medicamenten,Berekeningen1700!B23,3),""),"")</f>
        <v/>
      </c>
      <c r="I35" s="329" t="s">
        <v>1033</v>
      </c>
      <c r="J35" s="329" t="str">
        <f>IF(A35&lt;&gt;"",IF(Berekeningen1700!B23&gt;1,INDEX(Medicamenten,Berekeningen1700!B23,4),""),"")</f>
        <v/>
      </c>
      <c r="K35" s="329" t="s">
        <v>1034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IF(C35&lt;&gt;"",IF(_Extra_4,"extra",""),"")</f>
        <v/>
      </c>
      <c r="P35" s="332"/>
    </row>
    <row r="36" spans="1:16" ht="14.25" customHeight="1" x14ac:dyDescent="0.2">
      <c r="A36" s="351"/>
      <c r="B36" s="351"/>
      <c r="C36" s="343"/>
      <c r="D36" s="331"/>
      <c r="E36" s="331"/>
      <c r="F36" s="331"/>
      <c r="G36" s="360"/>
      <c r="H36" s="331"/>
      <c r="I36" s="331" t="s">
        <v>1035</v>
      </c>
      <c r="J36" s="331" t="str">
        <f>IF(A35&lt;&gt;"",IF(A35&gt;0,Print!I36,""),"")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2">
      <c r="A37" s="351"/>
      <c r="B37" s="351"/>
      <c r="C37" s="338" t="str">
        <f>IF(A35&lt;&gt;"",Print!K36,"")</f>
        <v/>
      </c>
      <c r="D37" s="339"/>
      <c r="E37" s="339" t="str">
        <f>IF(A35&lt;&gt;"",Print!M36&amp;" "&amp;Print!N36,"")</f>
        <v/>
      </c>
      <c r="F37" s="339"/>
      <c r="G37" s="363"/>
      <c r="H37" s="339"/>
      <c r="I37" s="339"/>
      <c r="J37" s="364" t="s">
        <v>243</v>
      </c>
      <c r="K37" s="339"/>
      <c r="L37" s="339"/>
      <c r="M37" s="344" t="str">
        <f>IF(A35&lt;&gt;"",TRUNC(_OplHoev_4),"")</f>
        <v/>
      </c>
      <c r="N37" s="335" t="str">
        <f>IF(A35&lt;&gt;"",(_OplHoev_4-M37)*100,"")</f>
        <v/>
      </c>
      <c r="O37" s="331"/>
      <c r="P37" s="332"/>
    </row>
    <row r="38" spans="1:16" ht="14.25" customHeight="1" x14ac:dyDescent="0.2">
      <c r="A38" s="351" t="str">
        <f>IF(Berekeningen1700!B24&gt;1,Berekeningen1700!F24/10,"")</f>
        <v/>
      </c>
      <c r="B38" s="351"/>
      <c r="C38" s="356" t="str">
        <f>IF(A38&lt;&gt;"",IF(Berekeningen1700!B24&gt;1,INDEX(Medicamenten,Berekeningen1700!B24,1),""),"")</f>
        <v/>
      </c>
      <c r="D38" s="329"/>
      <c r="E38" s="330" t="str">
        <f>IF(A38&lt;&gt;"",IF(Berekeningen1700!B24&gt;1,Berekeningen1700!C24/10,""),"")</f>
        <v/>
      </c>
      <c r="F38" s="329" t="str">
        <f>IF(_Medicament_5&lt;&gt;5,"mg","ml")</f>
        <v>mg</v>
      </c>
      <c r="G38" s="357" t="s">
        <v>1032</v>
      </c>
      <c r="H38" s="329" t="str">
        <f>IF(A38&lt;&gt;"",IF(Berekeningen1700!B24&gt;1,INDEX(Medicamenten,Berekeningen1700!B24,3),""),"")</f>
        <v/>
      </c>
      <c r="I38" s="329" t="s">
        <v>1033</v>
      </c>
      <c r="J38" s="329" t="str">
        <f>IF(A38&lt;&gt;"",IF(Berekeningen1700!B24&gt;1,INDEX(Medicamenten,Berekeningen1700!B24,4),""),"")</f>
        <v/>
      </c>
      <c r="K38" s="329" t="s">
        <v>1034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IF(C38&lt;&gt;"",IF(_Extra_5,"extra",""),"")</f>
        <v/>
      </c>
      <c r="P38" s="332"/>
    </row>
    <row r="39" spans="1:16" ht="14.25" customHeight="1" x14ac:dyDescent="0.2">
      <c r="A39" s="351"/>
      <c r="B39" s="351"/>
      <c r="C39" s="343"/>
      <c r="D39" s="331"/>
      <c r="E39" s="331"/>
      <c r="F39" s="331"/>
      <c r="G39" s="360"/>
      <c r="H39" s="331"/>
      <c r="I39" s="331" t="s">
        <v>1035</v>
      </c>
      <c r="J39" s="331" t="str">
        <f>IF(A38&lt;&gt;"",IF(A38&gt;0,Print!I37,""),"")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2">
      <c r="A40" s="351"/>
      <c r="B40" s="351"/>
      <c r="C40" s="338" t="str">
        <f>IF(A38&lt;&gt;"",Print!K37,"")</f>
        <v/>
      </c>
      <c r="D40" s="339"/>
      <c r="E40" s="339" t="str">
        <f>IF(A38&lt;&gt;"",Print!M37&amp;" "&amp;Print!N37,"")</f>
        <v/>
      </c>
      <c r="F40" s="339"/>
      <c r="G40" s="363"/>
      <c r="H40" s="339"/>
      <c r="I40" s="339"/>
      <c r="J40" s="364" t="s">
        <v>243</v>
      </c>
      <c r="K40" s="339"/>
      <c r="L40" s="339"/>
      <c r="M40" s="344" t="str">
        <f>IF(A38&lt;&gt;"",TRUNC(_OplHoev_5),"")</f>
        <v/>
      </c>
      <c r="N40" s="335" t="str">
        <f>IF(A38&lt;&gt;"",(_OplHoev_5-M40)*100,"")</f>
        <v/>
      </c>
      <c r="O40" s="331"/>
      <c r="P40" s="332"/>
    </row>
    <row r="41" spans="1:16" ht="14.25" customHeight="1" x14ac:dyDescent="0.2">
      <c r="A41" s="351" t="str">
        <f>IF(Berekeningen1700!B25&gt;1,Berekeningen1700!F25/10,"")</f>
        <v/>
      </c>
      <c r="B41" s="351"/>
      <c r="C41" s="356" t="str">
        <f>IF(A41&lt;&gt;"",IF(Berekeningen1700!B25&gt;1,INDEX(Medicamenten,Berekeningen1700!B25,1),""),"")</f>
        <v/>
      </c>
      <c r="D41" s="329"/>
      <c r="E41" s="330" t="str">
        <f>IF(A41&lt;&gt;"",IF(Berekeningen1700!B25&gt;1,Berekeningen1700!C25/10,""),"")</f>
        <v/>
      </c>
      <c r="F41" s="329" t="str">
        <f>IF(_Medicament_6&lt;&gt;5,"mg","ml")</f>
        <v>mg</v>
      </c>
      <c r="G41" s="357" t="s">
        <v>1032</v>
      </c>
      <c r="H41" s="329" t="str">
        <f>IF(A41&lt;&gt;"",IF(Berekeningen1700!B25&gt;1,INDEX(Medicamenten,Berekeningen1700!B25,3),""),"")</f>
        <v/>
      </c>
      <c r="I41" s="329" t="s">
        <v>1033</v>
      </c>
      <c r="J41" s="329" t="str">
        <f>IF(A41&lt;&gt;"",IF(Berekeningen1700!B25&gt;1,INDEX(Medicamenten,Berekeningen1700!B25,4),""),"")</f>
        <v/>
      </c>
      <c r="K41" s="329" t="s">
        <v>1034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IF(C41&lt;&gt;"",IF(_Extra_6,"extra",""),"")</f>
        <v/>
      </c>
      <c r="P41" s="332"/>
    </row>
    <row r="42" spans="1:16" ht="14.25" customHeight="1" x14ac:dyDescent="0.2">
      <c r="A42" s="351"/>
      <c r="B42" s="351"/>
      <c r="C42" s="343"/>
      <c r="D42" s="331"/>
      <c r="E42" s="331"/>
      <c r="F42" s="331"/>
      <c r="G42" s="360"/>
      <c r="H42" s="331"/>
      <c r="I42" s="331" t="s">
        <v>1035</v>
      </c>
      <c r="J42" s="331" t="str">
        <f>IF(A41&lt;&gt;"",IF(A41&gt;0,Print!I38,""),"")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2">
      <c r="A43" s="351"/>
      <c r="B43" s="351"/>
      <c r="C43" s="338" t="str">
        <f>IF(A41&lt;&gt;"",Print!K38,"")</f>
        <v/>
      </c>
      <c r="D43" s="339"/>
      <c r="E43" s="339" t="str">
        <f>IF(A41&lt;&gt;"",Print!M38&amp;" "&amp;Print!N38,"")</f>
        <v/>
      </c>
      <c r="F43" s="339"/>
      <c r="G43" s="363"/>
      <c r="H43" s="339"/>
      <c r="I43" s="339"/>
      <c r="J43" s="364" t="s">
        <v>243</v>
      </c>
      <c r="K43" s="339"/>
      <c r="L43" s="339"/>
      <c r="M43" s="344" t="str">
        <f>IF(A41&lt;&gt;"",TRUNC(_OplHoev_6),"")</f>
        <v/>
      </c>
      <c r="N43" s="335" t="str">
        <f>IF(A41&lt;&gt;"",(_OplHoev_6-M43)*100,"")</f>
        <v/>
      </c>
      <c r="O43" s="331"/>
      <c r="P43" s="332"/>
    </row>
    <row r="44" spans="1:16" ht="14.25" customHeight="1" x14ac:dyDescent="0.2">
      <c r="A44" s="351" t="str">
        <f>IF(Berekeningen1700!B26&gt;1,Berekeningen1700!F26/10,"")</f>
        <v/>
      </c>
      <c r="B44" s="351"/>
      <c r="C44" s="356" t="str">
        <f>IF(A44&lt;&gt;"",IF(Berekeningen1700!B26&gt;1,INDEX(Medicamenten,Berekeningen1700!B26,1),""),"")</f>
        <v/>
      </c>
      <c r="D44" s="329"/>
      <c r="E44" s="330" t="str">
        <f>IF(A44&lt;&gt;"",IF(Berekeningen1700!B26&gt;1,Berekeningen1700!C26/10,""),"")</f>
        <v/>
      </c>
      <c r="F44" s="329" t="str">
        <f>IF(_Medicament_7&lt;&gt;5,"mg","ml")</f>
        <v>mg</v>
      </c>
      <c r="G44" s="357" t="s">
        <v>1032</v>
      </c>
      <c r="H44" s="329" t="str">
        <f>IF(A44&lt;&gt;"",IF(Berekeningen1700!B26&gt;1,INDEX(Medicamenten,Berekeningen1700!B26,3),""),"")</f>
        <v/>
      </c>
      <c r="I44" s="329" t="s">
        <v>1033</v>
      </c>
      <c r="J44" s="329" t="str">
        <f>IF(A44&lt;&gt;"",IF(Berekeningen1700!B26&gt;1,INDEX(Medicamenten,Berekeningen1700!B26,4),""),"")</f>
        <v/>
      </c>
      <c r="K44" s="329" t="s">
        <v>1034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IF(C44&lt;&gt;"",IF(_Extra_7,"extra",""),"")</f>
        <v/>
      </c>
      <c r="P44" s="332"/>
    </row>
    <row r="45" spans="1:16" ht="14.25" customHeight="1" x14ac:dyDescent="0.2">
      <c r="A45" s="351"/>
      <c r="B45" s="351"/>
      <c r="C45" s="343"/>
      <c r="D45" s="331"/>
      <c r="E45" s="331"/>
      <c r="F45" s="331"/>
      <c r="G45" s="360"/>
      <c r="H45" s="331"/>
      <c r="I45" s="331" t="s">
        <v>1035</v>
      </c>
      <c r="J45" s="331" t="str">
        <f>IF(A44&lt;&gt;"",IF(A44&gt;0,Print!I39,""),"")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2">
      <c r="A46" s="351"/>
      <c r="B46" s="351"/>
      <c r="C46" s="338" t="str">
        <f>IF(A44&lt;&gt;"",Print!K39,"")</f>
        <v/>
      </c>
      <c r="D46" s="339"/>
      <c r="E46" s="339" t="str">
        <f>IF(A44&lt;&gt;"",Print!M39&amp;" "&amp;Print!N39,"")</f>
        <v/>
      </c>
      <c r="F46" s="339"/>
      <c r="G46" s="363"/>
      <c r="H46" s="339"/>
      <c r="I46" s="339"/>
      <c r="J46" s="364" t="s">
        <v>243</v>
      </c>
      <c r="K46" s="339"/>
      <c r="L46" s="339"/>
      <c r="M46" s="344" t="str">
        <f>IF(A44&lt;&gt;"",TRUNC(_OplHoev_7),"")</f>
        <v/>
      </c>
      <c r="N46" s="335" t="str">
        <f>IF(A44&lt;&gt;"",(_OplHoev_7-M46)*100,"")</f>
        <v/>
      </c>
      <c r="O46" s="331"/>
      <c r="P46" s="332"/>
    </row>
    <row r="47" spans="1:16" ht="14.25" customHeight="1" x14ac:dyDescent="0.2">
      <c r="A47" s="351" t="str">
        <f>IF(Berekeningen1700!B27&gt;1,Berekeningen1700!F27/10,"")</f>
        <v/>
      </c>
      <c r="B47" s="351"/>
      <c r="C47" s="356" t="str">
        <f>IF(A47&lt;&gt;"",IF(Berekeningen1700!B27&gt;1,INDEX(Medicamenten,Berekeningen1700!B27,1),""),"")</f>
        <v/>
      </c>
      <c r="D47" s="329"/>
      <c r="E47" s="330" t="str">
        <f>IF(A47&lt;&gt;"",IF(Berekeningen1700!B27&gt;1,Berekeningen1700!C27/10,""),"")</f>
        <v/>
      </c>
      <c r="F47" s="329" t="str">
        <f>IF(_Medicament_8&lt;&gt;5,"mg","ml")</f>
        <v>mg</v>
      </c>
      <c r="G47" s="357" t="s">
        <v>1032</v>
      </c>
      <c r="H47" s="329" t="str">
        <f>IF(A47&lt;&gt;"",IF(Berekeningen1700!B27&gt;1,INDEX(Medicamenten,Berekeningen1700!B27,3),""),"")</f>
        <v/>
      </c>
      <c r="I47" s="329" t="s">
        <v>1033</v>
      </c>
      <c r="J47" s="329" t="str">
        <f>IF(A47&lt;&gt;"",IF(Berekeningen1700!B27&gt;1,INDEX(Medicamenten,Berekeningen1700!B27,4),""),"")</f>
        <v/>
      </c>
      <c r="K47" s="329" t="s">
        <v>1034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IF(C47&lt;&gt;"",IF(_Extra_1=8,"extra",""),"")</f>
        <v/>
      </c>
      <c r="P47" s="332"/>
    </row>
    <row r="48" spans="1:16" ht="14.25" customHeight="1" x14ac:dyDescent="0.2">
      <c r="A48" s="351"/>
      <c r="B48" s="351"/>
      <c r="C48" s="343"/>
      <c r="D48" s="331"/>
      <c r="E48" s="331"/>
      <c r="F48" s="331"/>
      <c r="G48" s="360"/>
      <c r="H48" s="331"/>
      <c r="I48" s="331" t="s">
        <v>1035</v>
      </c>
      <c r="J48" s="331" t="str">
        <f>IF(A47&lt;&gt;"",IF(A47&gt;0,Print!I40,""),"")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2">
      <c r="A49" s="351"/>
      <c r="B49" s="351"/>
      <c r="C49" s="338" t="str">
        <f>IF(A47&lt;&gt;"",Print!K40,"")</f>
        <v/>
      </c>
      <c r="D49" s="339"/>
      <c r="E49" s="339" t="str">
        <f>IF(A47&lt;&gt;"",Print!M40&amp;" "&amp;Print!N40,"")</f>
        <v/>
      </c>
      <c r="F49" s="339"/>
      <c r="G49" s="363"/>
      <c r="H49" s="339"/>
      <c r="I49" s="339"/>
      <c r="J49" s="364" t="s">
        <v>243</v>
      </c>
      <c r="K49" s="339"/>
      <c r="L49" s="339"/>
      <c r="M49" s="344" t="str">
        <f>IF(A47&lt;&gt;"",TRUNC(_OplHoev_8),"")</f>
        <v/>
      </c>
      <c r="N49" s="335" t="str">
        <f>IF(A47&lt;&gt;"",(_OplHoev_8-M49)*100,"")</f>
        <v/>
      </c>
      <c r="O49" s="331"/>
      <c r="P49" s="332"/>
    </row>
    <row r="50" spans="1:16" ht="14.25" customHeight="1" x14ac:dyDescent="0.2">
      <c r="A50" s="351" t="str">
        <f>IF(Berekeningen1700!B28&gt;1,Berekeningen1700!F28/10,"")</f>
        <v/>
      </c>
      <c r="B50" s="351"/>
      <c r="C50" s="356" t="str">
        <f>IF(A50&lt;&gt;"",IF(Berekeningen1700!B28&gt;1,INDEX(Medicamenten,Berekeningen1700!B28,1),""),"")</f>
        <v/>
      </c>
      <c r="D50" s="329"/>
      <c r="E50" s="330" t="str">
        <f>IF(A50&lt;&gt;"",IF(Berekeningen1700!B28&gt;1,Berekeningen1700!C28/10,""),"")</f>
        <v/>
      </c>
      <c r="F50" s="329" t="str">
        <f>IF(_Medicament_9&lt;&gt;5,"mg","ml")</f>
        <v>mg</v>
      </c>
      <c r="G50" s="357" t="s">
        <v>1032</v>
      </c>
      <c r="H50" s="329" t="str">
        <f>IF(A50&lt;&gt;"",IF(Berekeningen1700!B28&gt;1,INDEX(Medicamenten,Berekeningen1700!B28,3),""),"")</f>
        <v/>
      </c>
      <c r="I50" s="329" t="s">
        <v>1033</v>
      </c>
      <c r="J50" s="329" t="str">
        <f>IF(A50&lt;&gt;"",IF(Berekeningen1700!B28&gt;1,INDEX(Medicamenten,Berekeningen1700!B28,4),""),"")</f>
        <v/>
      </c>
      <c r="K50" s="329" t="s">
        <v>1034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IF(C50&lt;&gt;"",IF(_Extra_9,"extra",""),"")</f>
        <v/>
      </c>
      <c r="P50" s="332"/>
    </row>
    <row r="51" spans="1:16" ht="14.25" customHeight="1" x14ac:dyDescent="0.2">
      <c r="A51" s="351"/>
      <c r="B51" s="351"/>
      <c r="C51" s="343"/>
      <c r="D51" s="331"/>
      <c r="E51" s="331"/>
      <c r="F51" s="331"/>
      <c r="G51" s="360"/>
      <c r="H51" s="331"/>
      <c r="I51" s="331" t="s">
        <v>1035</v>
      </c>
      <c r="J51" s="331" t="str">
        <f>IF(A50&lt;&gt;"",IF(A50&gt;0,Print!I41,""),"")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2">
      <c r="A52" s="351"/>
      <c r="B52" s="351"/>
      <c r="C52" s="338" t="str">
        <f>IF(A50&lt;&gt;"",Print!K41,"")</f>
        <v/>
      </c>
      <c r="D52" s="339"/>
      <c r="E52" s="339" t="str">
        <f>IF(A50&lt;&gt;"",Print!M41&amp;" "&amp;Print!N41,"")</f>
        <v/>
      </c>
      <c r="F52" s="339"/>
      <c r="G52" s="363"/>
      <c r="H52" s="339"/>
      <c r="I52" s="339"/>
      <c r="J52" s="364" t="s">
        <v>243</v>
      </c>
      <c r="K52" s="339"/>
      <c r="L52" s="339"/>
      <c r="M52" s="344" t="str">
        <f>IF(A50&lt;&gt;"",TRUNC(_OplHoev_9),"")</f>
        <v/>
      </c>
      <c r="N52" s="335" t="str">
        <f>IF(A50&lt;&gt;"",(_OplHoev_9-M52)*100,"")</f>
        <v/>
      </c>
      <c r="O52" s="331"/>
      <c r="P52" s="332"/>
    </row>
    <row r="53" spans="1:16" ht="14.25" customHeight="1" x14ac:dyDescent="0.2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2">
      <c r="A54" s="327"/>
      <c r="B54" s="328"/>
      <c r="C54" s="367" t="str">
        <f>IF(Print!B45&lt;&gt;0,Print!B45,"")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2">
      <c r="A55" s="327"/>
      <c r="B55" s="328"/>
      <c r="C55" s="367" t="str">
        <f>IF(Print!B46&lt;&gt;0,Print!B46,"")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2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2">
      <c r="D57" s="370"/>
    </row>
    <row r="58" spans="1:16" ht="9.75" customHeight="1" x14ac:dyDescent="0.2"/>
    <row r="59" spans="1:16" ht="14.25" customHeight="1" x14ac:dyDescent="0.2"/>
    <row r="60" spans="1:16" ht="14.25" customHeight="1" x14ac:dyDescent="0.2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Neo">
    <tabColor rgb="FFFFC000"/>
  </sheetPr>
  <dimension ref="A1:K28"/>
  <sheetViews>
    <sheetView workbookViewId="0">
      <selection activeCell="B42" sqref="B4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596"/>
      <c r="B1" s="643" t="s">
        <v>1087</v>
      </c>
      <c r="C1" s="643" t="s">
        <v>1088</v>
      </c>
      <c r="D1" s="643" t="s">
        <v>365</v>
      </c>
      <c r="E1" s="643" t="s">
        <v>366</v>
      </c>
      <c r="F1" s="643" t="s">
        <v>2426</v>
      </c>
      <c r="G1" s="643"/>
      <c r="H1" s="643" t="s">
        <v>2258</v>
      </c>
      <c r="I1" s="643" t="s">
        <v>2259</v>
      </c>
      <c r="J1" s="644" t="s">
        <v>2257</v>
      </c>
      <c r="K1" s="644" t="s">
        <v>2274</v>
      </c>
    </row>
    <row r="2" spans="1:11" x14ac:dyDescent="0.2">
      <c r="A2" s="643">
        <v>1</v>
      </c>
      <c r="B2" s="643"/>
      <c r="C2" s="643"/>
      <c r="D2" s="643"/>
      <c r="E2" s="643"/>
      <c r="F2" s="643"/>
      <c r="G2" s="643"/>
      <c r="H2" s="643"/>
      <c r="I2" s="643"/>
      <c r="K2">
        <v>1</v>
      </c>
    </row>
    <row r="3" spans="1:11" x14ac:dyDescent="0.2">
      <c r="A3" s="643">
        <v>2</v>
      </c>
      <c r="B3" s="643" t="s">
        <v>251</v>
      </c>
      <c r="C3" s="643" t="s">
        <v>1493</v>
      </c>
      <c r="D3" s="643">
        <v>0.1</v>
      </c>
      <c r="E3" s="643">
        <v>1</v>
      </c>
      <c r="F3" s="643">
        <v>2</v>
      </c>
      <c r="G3" s="643" t="s">
        <v>1094</v>
      </c>
      <c r="H3" s="643">
        <v>0.05</v>
      </c>
      <c r="I3" s="643">
        <v>0.1</v>
      </c>
      <c r="J3">
        <v>0.5</v>
      </c>
      <c r="K3">
        <v>3</v>
      </c>
    </row>
    <row r="4" spans="1:11" x14ac:dyDescent="0.2">
      <c r="A4" s="643">
        <v>3</v>
      </c>
      <c r="B4" s="643" t="s">
        <v>1495</v>
      </c>
      <c r="C4" s="643" t="s">
        <v>1352</v>
      </c>
      <c r="D4" s="643">
        <v>0.5</v>
      </c>
      <c r="E4" s="643">
        <v>1</v>
      </c>
      <c r="F4" s="643">
        <v>6</v>
      </c>
      <c r="G4" s="643" t="s">
        <v>893</v>
      </c>
      <c r="H4" s="643">
        <v>10</v>
      </c>
      <c r="I4" s="643">
        <v>100</v>
      </c>
      <c r="J4" s="517">
        <v>10000</v>
      </c>
      <c r="K4">
        <v>3</v>
      </c>
    </row>
    <row r="5" spans="1:11" x14ac:dyDescent="0.2">
      <c r="A5" s="643">
        <v>4</v>
      </c>
      <c r="B5" s="643" t="s">
        <v>1496</v>
      </c>
      <c r="C5" s="643" t="s">
        <v>1497</v>
      </c>
      <c r="D5" s="643">
        <v>50</v>
      </c>
      <c r="E5" s="643">
        <v>1</v>
      </c>
      <c r="F5" s="643">
        <v>2</v>
      </c>
      <c r="G5" s="643" t="s">
        <v>1094</v>
      </c>
      <c r="H5" s="643">
        <v>5</v>
      </c>
      <c r="I5" s="643">
        <v>15</v>
      </c>
      <c r="J5" s="517">
        <v>10000</v>
      </c>
      <c r="K5">
        <v>3</v>
      </c>
    </row>
    <row r="6" spans="1:11" x14ac:dyDescent="0.2">
      <c r="A6" s="643">
        <v>5</v>
      </c>
      <c r="B6" s="643" t="s">
        <v>1518</v>
      </c>
      <c r="C6" s="643" t="s">
        <v>1092</v>
      </c>
      <c r="D6" s="643">
        <v>1</v>
      </c>
      <c r="E6" s="643">
        <v>2</v>
      </c>
      <c r="F6" s="643">
        <v>3</v>
      </c>
      <c r="G6" s="643" t="s">
        <v>738</v>
      </c>
      <c r="H6" s="643">
        <v>0.1</v>
      </c>
      <c r="I6" s="643">
        <v>0.5</v>
      </c>
      <c r="J6" s="517">
        <v>10000</v>
      </c>
      <c r="K6">
        <v>3</v>
      </c>
    </row>
    <row r="7" spans="1:11" x14ac:dyDescent="0.2">
      <c r="A7" s="643">
        <v>6</v>
      </c>
      <c r="B7" s="643" t="s">
        <v>1498</v>
      </c>
      <c r="C7" s="643" t="s">
        <v>1523</v>
      </c>
      <c r="D7" s="643">
        <v>0.15</v>
      </c>
      <c r="E7" s="643">
        <v>1</v>
      </c>
      <c r="F7" s="643">
        <v>7</v>
      </c>
      <c r="G7" s="643" t="s">
        <v>1499</v>
      </c>
      <c r="H7" s="643">
        <v>0.25</v>
      </c>
      <c r="I7" s="643">
        <v>2</v>
      </c>
      <c r="J7" s="517">
        <v>10000</v>
      </c>
      <c r="K7">
        <v>12</v>
      </c>
    </row>
    <row r="8" spans="1:11" x14ac:dyDescent="0.2">
      <c r="A8" s="643">
        <v>7</v>
      </c>
      <c r="B8" s="643" t="s">
        <v>1500</v>
      </c>
      <c r="C8" s="643" t="s">
        <v>1097</v>
      </c>
      <c r="D8" s="643">
        <v>12.5</v>
      </c>
      <c r="E8" s="643">
        <v>1</v>
      </c>
      <c r="F8" s="643">
        <v>2</v>
      </c>
      <c r="G8" s="643" t="s">
        <v>1094</v>
      </c>
      <c r="H8" s="643">
        <v>2.5</v>
      </c>
      <c r="I8" s="643">
        <v>20</v>
      </c>
      <c r="J8" s="517">
        <v>10000</v>
      </c>
      <c r="K8">
        <v>3</v>
      </c>
    </row>
    <row r="9" spans="1:11" x14ac:dyDescent="0.2">
      <c r="A9" s="643">
        <v>8</v>
      </c>
      <c r="B9" s="643" t="s">
        <v>1501</v>
      </c>
      <c r="C9" s="643" t="s">
        <v>1100</v>
      </c>
      <c r="D9" s="643">
        <v>40</v>
      </c>
      <c r="E9" s="643">
        <v>1</v>
      </c>
      <c r="F9" s="643">
        <v>2</v>
      </c>
      <c r="G9" s="643" t="s">
        <v>1094</v>
      </c>
      <c r="H9" s="643">
        <v>1</v>
      </c>
      <c r="I9" s="643">
        <v>20</v>
      </c>
      <c r="J9" s="517">
        <v>10000</v>
      </c>
      <c r="K9">
        <v>3</v>
      </c>
    </row>
    <row r="10" spans="1:11" s="550" customFormat="1" ht="15" x14ac:dyDescent="0.25">
      <c r="A10" s="643">
        <v>9</v>
      </c>
      <c r="B10" s="828" t="s">
        <v>2415</v>
      </c>
      <c r="C10" s="829" t="s">
        <v>2416</v>
      </c>
      <c r="D10" s="828">
        <v>2</v>
      </c>
      <c r="E10" s="828">
        <v>1</v>
      </c>
      <c r="F10" s="827">
        <v>5</v>
      </c>
      <c r="G10" s="829" t="s">
        <v>737</v>
      </c>
      <c r="H10" s="644">
        <v>0.5</v>
      </c>
      <c r="I10" s="644">
        <v>2</v>
      </c>
      <c r="J10" s="550">
        <v>10000</v>
      </c>
      <c r="K10" s="550">
        <v>3</v>
      </c>
    </row>
    <row r="11" spans="1:11" x14ac:dyDescent="0.2">
      <c r="A11" s="643">
        <v>10</v>
      </c>
      <c r="B11" s="643" t="s">
        <v>1505</v>
      </c>
      <c r="C11" s="643" t="s">
        <v>978</v>
      </c>
      <c r="D11" s="643">
        <v>2.5</v>
      </c>
      <c r="E11" s="643">
        <v>1</v>
      </c>
      <c r="F11" s="643"/>
      <c r="G11" s="643" t="s">
        <v>389</v>
      </c>
      <c r="H11" s="643">
        <v>1</v>
      </c>
      <c r="I11" s="643">
        <v>1000</v>
      </c>
      <c r="J11" s="517">
        <v>10000</v>
      </c>
      <c r="K11">
        <v>1</v>
      </c>
    </row>
    <row r="12" spans="1:11" x14ac:dyDescent="0.2">
      <c r="A12" s="643">
        <v>11</v>
      </c>
      <c r="B12" s="643" t="s">
        <v>1502</v>
      </c>
      <c r="C12" s="643" t="s">
        <v>978</v>
      </c>
      <c r="D12" s="643">
        <v>2.5</v>
      </c>
      <c r="E12" s="643">
        <v>1</v>
      </c>
      <c r="F12" s="643"/>
      <c r="G12" s="643" t="s">
        <v>389</v>
      </c>
      <c r="H12" s="643">
        <v>1</v>
      </c>
      <c r="I12" s="643">
        <v>1000</v>
      </c>
      <c r="J12" s="517">
        <v>10000</v>
      </c>
      <c r="K12">
        <v>1</v>
      </c>
    </row>
    <row r="13" spans="1:11" x14ac:dyDescent="0.2">
      <c r="A13" s="643">
        <v>12</v>
      </c>
      <c r="B13" s="644" t="s">
        <v>1503</v>
      </c>
      <c r="C13" s="644" t="s">
        <v>104</v>
      </c>
      <c r="D13" s="644">
        <v>0.01</v>
      </c>
      <c r="E13" s="644">
        <v>1</v>
      </c>
      <c r="F13" s="644">
        <v>6</v>
      </c>
      <c r="G13" s="644" t="s">
        <v>893</v>
      </c>
      <c r="H13" s="644">
        <v>5</v>
      </c>
      <c r="I13" s="644">
        <v>30</v>
      </c>
      <c r="J13" s="517">
        <v>10000</v>
      </c>
      <c r="K13">
        <v>14</v>
      </c>
    </row>
    <row r="14" spans="1:11" x14ac:dyDescent="0.2">
      <c r="A14" s="643">
        <v>13</v>
      </c>
      <c r="B14" s="643" t="s">
        <v>1504</v>
      </c>
      <c r="C14" s="643" t="s">
        <v>962</v>
      </c>
      <c r="D14" s="643">
        <v>10</v>
      </c>
      <c r="E14" s="643">
        <v>11</v>
      </c>
      <c r="F14" s="643">
        <v>4</v>
      </c>
      <c r="G14" s="643" t="s">
        <v>963</v>
      </c>
      <c r="H14" s="643">
        <v>0.1</v>
      </c>
      <c r="I14" s="643">
        <v>1</v>
      </c>
      <c r="J14" s="517">
        <v>10000</v>
      </c>
      <c r="K14">
        <v>3</v>
      </c>
    </row>
    <row r="15" spans="1:11" x14ac:dyDescent="0.2">
      <c r="A15" s="643">
        <v>14</v>
      </c>
      <c r="B15" s="518" t="s">
        <v>1506</v>
      </c>
      <c r="C15" s="263" t="s">
        <v>320</v>
      </c>
      <c r="D15" s="643">
        <v>10</v>
      </c>
      <c r="E15" s="643">
        <v>1</v>
      </c>
      <c r="F15" s="643">
        <v>3</v>
      </c>
      <c r="G15" s="263" t="s">
        <v>738</v>
      </c>
      <c r="H15" s="643">
        <v>1</v>
      </c>
      <c r="I15" s="643">
        <v>4</v>
      </c>
      <c r="J15" s="517">
        <v>10000</v>
      </c>
      <c r="K15">
        <v>3</v>
      </c>
    </row>
    <row r="16" spans="1:11" x14ac:dyDescent="0.2">
      <c r="A16" s="643">
        <v>15</v>
      </c>
      <c r="B16" s="518" t="s">
        <v>1507</v>
      </c>
      <c r="C16" s="263" t="s">
        <v>2424</v>
      </c>
      <c r="D16" s="643">
        <v>100</v>
      </c>
      <c r="E16" s="643">
        <v>1</v>
      </c>
      <c r="F16" s="643">
        <v>9</v>
      </c>
      <c r="G16" s="263" t="s">
        <v>129</v>
      </c>
      <c r="H16" s="643">
        <v>0.01</v>
      </c>
      <c r="I16" s="643">
        <v>0.1</v>
      </c>
      <c r="J16" s="517">
        <v>10000</v>
      </c>
      <c r="K16">
        <v>3</v>
      </c>
    </row>
    <row r="17" spans="1:11" x14ac:dyDescent="0.2">
      <c r="A17" s="643">
        <v>16</v>
      </c>
      <c r="B17" s="518" t="s">
        <v>1508</v>
      </c>
      <c r="C17" s="263" t="s">
        <v>1108</v>
      </c>
      <c r="D17" s="643">
        <v>1</v>
      </c>
      <c r="E17" s="643">
        <v>1</v>
      </c>
      <c r="F17" s="643">
        <v>2</v>
      </c>
      <c r="G17" s="263" t="s">
        <v>1094</v>
      </c>
      <c r="H17" s="643">
        <v>0.01</v>
      </c>
      <c r="I17" s="643">
        <v>1.5</v>
      </c>
      <c r="J17" s="517">
        <v>10000</v>
      </c>
      <c r="K17">
        <v>14</v>
      </c>
    </row>
    <row r="18" spans="1:11" x14ac:dyDescent="0.2">
      <c r="A18" s="643">
        <v>17</v>
      </c>
      <c r="B18" s="518" t="s">
        <v>1509</v>
      </c>
      <c r="C18" s="263" t="s">
        <v>1510</v>
      </c>
      <c r="D18" s="643">
        <v>5</v>
      </c>
      <c r="E18" s="644">
        <v>1</v>
      </c>
      <c r="F18" s="643">
        <v>5</v>
      </c>
      <c r="G18" s="263" t="s">
        <v>737</v>
      </c>
      <c r="H18" s="643">
        <v>0.25</v>
      </c>
      <c r="I18" s="643">
        <v>3</v>
      </c>
      <c r="J18" s="517">
        <v>10000</v>
      </c>
      <c r="K18">
        <v>3</v>
      </c>
    </row>
    <row r="19" spans="1:11" x14ac:dyDescent="0.2">
      <c r="A19" s="643">
        <v>18</v>
      </c>
      <c r="B19" s="643" t="s">
        <v>1519</v>
      </c>
      <c r="C19" s="643" t="s">
        <v>1520</v>
      </c>
      <c r="D19" s="643">
        <v>20</v>
      </c>
      <c r="E19" s="643">
        <v>1</v>
      </c>
      <c r="F19" s="643">
        <v>5</v>
      </c>
      <c r="G19" s="643" t="s">
        <v>737</v>
      </c>
      <c r="H19" s="643">
        <v>4</v>
      </c>
      <c r="I19" s="643">
        <v>7</v>
      </c>
      <c r="J19" s="517">
        <v>10000</v>
      </c>
      <c r="K19">
        <v>3</v>
      </c>
    </row>
    <row r="20" spans="1:11" x14ac:dyDescent="0.2">
      <c r="A20" s="643">
        <v>19</v>
      </c>
      <c r="B20" s="518" t="s">
        <v>570</v>
      </c>
      <c r="C20" s="263" t="s">
        <v>248</v>
      </c>
      <c r="D20" s="643">
        <v>5</v>
      </c>
      <c r="E20" s="643">
        <v>1</v>
      </c>
      <c r="F20" s="643">
        <v>5</v>
      </c>
      <c r="G20" s="263" t="s">
        <v>737</v>
      </c>
      <c r="H20" s="643">
        <v>0.05</v>
      </c>
      <c r="I20" s="643">
        <v>5</v>
      </c>
      <c r="J20" s="517">
        <v>10000</v>
      </c>
      <c r="K20">
        <v>3</v>
      </c>
    </row>
    <row r="21" spans="1:11" x14ac:dyDescent="0.2">
      <c r="A21" s="643">
        <v>20</v>
      </c>
      <c r="B21" s="518" t="s">
        <v>1511</v>
      </c>
      <c r="C21" s="263" t="s">
        <v>1514</v>
      </c>
      <c r="D21" s="643">
        <v>1</v>
      </c>
      <c r="E21" s="643">
        <v>1</v>
      </c>
      <c r="F21" s="643">
        <v>2</v>
      </c>
      <c r="G21" s="263" t="s">
        <v>1094</v>
      </c>
      <c r="H21" s="643">
        <v>0.25</v>
      </c>
      <c r="I21" s="643">
        <v>0.75</v>
      </c>
      <c r="J21" s="517">
        <v>10000</v>
      </c>
      <c r="K21">
        <v>3</v>
      </c>
    </row>
    <row r="22" spans="1:11" x14ac:dyDescent="0.2">
      <c r="A22" s="643">
        <v>21</v>
      </c>
      <c r="B22" s="518" t="s">
        <v>261</v>
      </c>
      <c r="C22" s="263" t="s">
        <v>1113</v>
      </c>
      <c r="D22" s="643">
        <v>10</v>
      </c>
      <c r="E22" s="643">
        <v>1</v>
      </c>
      <c r="F22" s="643">
        <v>3</v>
      </c>
      <c r="G22" s="263" t="s">
        <v>738</v>
      </c>
      <c r="H22" s="643">
        <v>0.125</v>
      </c>
      <c r="I22" s="643">
        <v>0.5</v>
      </c>
      <c r="J22" s="517">
        <v>10000</v>
      </c>
      <c r="K22">
        <v>3</v>
      </c>
    </row>
    <row r="23" spans="1:11" x14ac:dyDescent="0.2">
      <c r="A23" s="643">
        <v>22</v>
      </c>
      <c r="B23" s="643" t="s">
        <v>1521</v>
      </c>
      <c r="C23" s="643" t="s">
        <v>1522</v>
      </c>
      <c r="D23" s="643">
        <v>1</v>
      </c>
      <c r="E23" s="643">
        <v>1</v>
      </c>
      <c r="F23" s="643">
        <v>2</v>
      </c>
      <c r="G23" s="643" t="s">
        <v>1094</v>
      </c>
      <c r="H23" s="643">
        <v>0.5</v>
      </c>
      <c r="I23" s="643">
        <v>2</v>
      </c>
      <c r="J23" s="517">
        <v>10000</v>
      </c>
      <c r="K23">
        <v>3</v>
      </c>
    </row>
    <row r="24" spans="1:11" x14ac:dyDescent="0.2">
      <c r="A24" s="643">
        <v>23</v>
      </c>
      <c r="B24" s="518" t="s">
        <v>1512</v>
      </c>
      <c r="C24" s="263" t="s">
        <v>1515</v>
      </c>
      <c r="D24" s="643">
        <v>25</v>
      </c>
      <c r="E24" s="643">
        <v>1</v>
      </c>
      <c r="F24" s="643">
        <v>2</v>
      </c>
      <c r="G24" s="263" t="s">
        <v>1094</v>
      </c>
      <c r="H24" s="643">
        <v>0.5</v>
      </c>
      <c r="I24" s="643">
        <v>8</v>
      </c>
      <c r="J24" s="517">
        <v>10000</v>
      </c>
      <c r="K24">
        <v>3</v>
      </c>
    </row>
    <row r="25" spans="1:11" x14ac:dyDescent="0.2">
      <c r="A25" s="643">
        <v>24</v>
      </c>
      <c r="B25" s="518" t="s">
        <v>1513</v>
      </c>
      <c r="C25" s="263" t="s">
        <v>1114</v>
      </c>
      <c r="D25" s="643">
        <v>1</v>
      </c>
      <c r="E25" s="643">
        <v>1</v>
      </c>
      <c r="F25" s="643">
        <v>2</v>
      </c>
      <c r="G25" s="263" t="s">
        <v>1094</v>
      </c>
      <c r="H25" s="643">
        <v>0.05</v>
      </c>
      <c r="I25" s="643">
        <v>2</v>
      </c>
      <c r="J25" s="517">
        <v>10000</v>
      </c>
      <c r="K25">
        <v>3</v>
      </c>
    </row>
    <row r="26" spans="1:11" x14ac:dyDescent="0.2">
      <c r="A26" s="643">
        <v>25</v>
      </c>
      <c r="B26" s="518" t="s">
        <v>1516</v>
      </c>
      <c r="C26" s="263" t="s">
        <v>1517</v>
      </c>
      <c r="D26" s="643">
        <v>10</v>
      </c>
      <c r="E26" s="643">
        <v>1</v>
      </c>
      <c r="F26" s="643">
        <v>5</v>
      </c>
      <c r="G26" s="263" t="s">
        <v>737</v>
      </c>
      <c r="H26" s="643">
        <v>0.3</v>
      </c>
      <c r="I26" s="643">
        <v>1.2</v>
      </c>
      <c r="J26" s="517">
        <v>10000</v>
      </c>
      <c r="K26">
        <v>3</v>
      </c>
    </row>
    <row r="27" spans="1:11" x14ac:dyDescent="0.2">
      <c r="A27" s="643"/>
    </row>
    <row r="28" spans="1:11" x14ac:dyDescent="0.2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dvies">
    <tabColor rgb="FFFFC000"/>
  </sheetPr>
  <dimension ref="A1:H32"/>
  <sheetViews>
    <sheetView workbookViewId="0"/>
  </sheetViews>
  <sheetFormatPr defaultRowHeight="12.75" x14ac:dyDescent="0.2"/>
  <cols>
    <col min="1" max="1" width="31.140625" style="271" customWidth="1"/>
    <col min="2" max="16384" width="9.140625" style="271"/>
  </cols>
  <sheetData>
    <row r="1" spans="1:7" x14ac:dyDescent="0.2">
      <c r="A1" s="600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2">
      <c r="A2" s="908"/>
      <c r="B2" s="908"/>
      <c r="C2" s="908"/>
      <c r="D2" s="908"/>
      <c r="E2" s="908"/>
      <c r="F2" s="908"/>
      <c r="G2" s="908"/>
    </row>
    <row r="3" spans="1:7" x14ac:dyDescent="0.2">
      <c r="A3" s="909" t="s">
        <v>1076</v>
      </c>
      <c r="B3" s="909"/>
      <c r="C3" s="909"/>
      <c r="D3" s="909"/>
      <c r="E3" s="909"/>
      <c r="F3" s="909"/>
      <c r="G3" s="909"/>
    </row>
    <row r="4" spans="1:7" x14ac:dyDescent="0.2">
      <c r="A4" s="490" t="s">
        <v>1077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2">
      <c r="A5" s="490" t="s">
        <v>1261</v>
      </c>
      <c r="B5" s="492">
        <f>80-((_Gewicht*1000)-500)/500*30</f>
        <v>-490</v>
      </c>
      <c r="C5" s="492">
        <f>110-((_Gewicht*1000)-500)/500*30</f>
        <v>-460</v>
      </c>
      <c r="D5" s="492">
        <f>150-((_Gewicht*1000)-500)/500*40</f>
        <v>-610</v>
      </c>
      <c r="E5" s="492">
        <f>160-((_Gewicht*1000)-500)/500*10</f>
        <v>-30</v>
      </c>
      <c r="F5" s="492">
        <v>160</v>
      </c>
      <c r="G5" s="492">
        <v>160</v>
      </c>
    </row>
    <row r="6" spans="1:7" x14ac:dyDescent="0.2">
      <c r="A6" s="608" t="s">
        <v>1078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2">
      <c r="A7" s="490"/>
      <c r="B7" s="491"/>
      <c r="C7" s="491"/>
      <c r="D7" s="491"/>
      <c r="E7" s="491"/>
      <c r="F7" s="491"/>
      <c r="G7" s="491"/>
    </row>
    <row r="8" spans="1:7" x14ac:dyDescent="0.2">
      <c r="A8" s="493" t="s">
        <v>1079</v>
      </c>
      <c r="B8" s="494"/>
      <c r="C8" s="494"/>
      <c r="D8" s="494"/>
      <c r="E8" s="494"/>
      <c r="F8" s="494"/>
      <c r="G8" s="494"/>
    </row>
    <row r="9" spans="1:7" x14ac:dyDescent="0.2">
      <c r="A9" s="490" t="s">
        <v>1080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2">
      <c r="A10" s="490" t="s">
        <v>66</v>
      </c>
      <c r="B10" s="491"/>
      <c r="C10" s="491" t="s">
        <v>1081</v>
      </c>
      <c r="D10" s="491" t="s">
        <v>1081</v>
      </c>
      <c r="E10" s="491"/>
      <c r="F10" s="491"/>
      <c r="G10" s="491"/>
    </row>
    <row r="11" spans="1:7" x14ac:dyDescent="0.2">
      <c r="A11" s="490" t="s">
        <v>1029</v>
      </c>
      <c r="B11" s="491"/>
      <c r="C11" s="491" t="s">
        <v>1082</v>
      </c>
      <c r="D11" s="491" t="s">
        <v>1082</v>
      </c>
      <c r="E11" s="491"/>
      <c r="F11" s="491"/>
      <c r="G11" s="491"/>
    </row>
    <row r="12" spans="1:7" ht="15.75" x14ac:dyDescent="0.3">
      <c r="A12" s="490" t="s">
        <v>1083</v>
      </c>
      <c r="B12" s="491" t="s">
        <v>1081</v>
      </c>
      <c r="C12" s="491" t="s">
        <v>1081</v>
      </c>
      <c r="D12" s="491" t="s">
        <v>1081</v>
      </c>
      <c r="E12" s="491"/>
      <c r="F12" s="491"/>
      <c r="G12" s="491"/>
    </row>
    <row r="13" spans="1:7" ht="15.75" x14ac:dyDescent="0.3">
      <c r="A13" s="490" t="s">
        <v>1084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2">
      <c r="A14" s="490" t="s">
        <v>455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2">
      <c r="A15" s="490" t="s">
        <v>1085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5" x14ac:dyDescent="0.2">
      <c r="A16" s="490" t="s">
        <v>1086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2">
      <c r="A17" s="490"/>
      <c r="B17" s="490"/>
      <c r="C17" s="490"/>
      <c r="D17" s="272"/>
      <c r="E17" s="272"/>
      <c r="F17" s="272"/>
      <c r="G17" s="272"/>
    </row>
    <row r="19" spans="1:8" x14ac:dyDescent="0.2">
      <c r="B19" s="495"/>
      <c r="C19" s="495"/>
      <c r="D19" s="495"/>
      <c r="E19" s="495"/>
      <c r="F19" s="495"/>
      <c r="G19" s="495"/>
    </row>
    <row r="21" spans="1:8" x14ac:dyDescent="0.2">
      <c r="A21" s="279"/>
      <c r="B21" s="279"/>
      <c r="C21" s="279"/>
      <c r="D21" s="279"/>
      <c r="E21" s="279"/>
      <c r="F21" s="279"/>
      <c r="G21" s="279"/>
      <c r="H21" s="279"/>
    </row>
    <row r="22" spans="1:8" x14ac:dyDescent="0.2">
      <c r="A22" s="279"/>
      <c r="B22" s="279"/>
      <c r="C22" s="279"/>
      <c r="D22" s="279"/>
      <c r="E22" s="279"/>
      <c r="F22" s="279"/>
      <c r="G22" s="279"/>
      <c r="H22" s="279"/>
    </row>
    <row r="23" spans="1:8" x14ac:dyDescent="0.2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ijsten">
    <tabColor rgb="FFFFC000"/>
  </sheetPr>
  <dimension ref="A1:AE292"/>
  <sheetViews>
    <sheetView workbookViewId="0">
      <selection activeCell="AE5" sqref="AE5"/>
    </sheetView>
  </sheetViews>
  <sheetFormatPr defaultRowHeight="12.75" x14ac:dyDescent="0.2"/>
  <cols>
    <col min="1" max="1" width="14.28515625" style="643" customWidth="1"/>
    <col min="2" max="2" width="8.5703125" style="643" customWidth="1"/>
    <col min="3" max="3" width="6" style="643" bestFit="1" customWidth="1"/>
    <col min="4" max="4" width="2.28515625" style="643" bestFit="1" customWidth="1"/>
    <col min="5" max="5" width="5" style="643" bestFit="1" customWidth="1"/>
    <col min="6" max="6" width="3.28515625" style="643" bestFit="1" customWidth="1"/>
    <col min="7" max="7" width="3.5703125" style="643" bestFit="1" customWidth="1"/>
    <col min="8" max="8" width="4.7109375" style="643" bestFit="1" customWidth="1"/>
    <col min="9" max="9" width="2" style="643" bestFit="1" customWidth="1"/>
    <col min="10" max="10" width="12.7109375" style="643" customWidth="1"/>
    <col min="11" max="11" width="19.28515625" style="643" customWidth="1"/>
    <col min="12" max="12" width="24" style="643" bestFit="1" customWidth="1"/>
    <col min="13" max="13" width="27.42578125" style="643" bestFit="1" customWidth="1"/>
    <col min="14" max="25" width="11.28515625" style="643" customWidth="1"/>
    <col min="26" max="27" width="9.140625" style="643"/>
    <col min="28" max="28" width="14.5703125" style="643" customWidth="1"/>
    <col min="29" max="29" width="23" style="643" bestFit="1" customWidth="1"/>
    <col min="30" max="30" width="9.140625" style="643"/>
    <col min="31" max="31" width="23" style="643" bestFit="1" customWidth="1"/>
    <col min="32" max="16384" width="9.140625" style="643"/>
  </cols>
  <sheetData>
    <row r="1" spans="1:31" x14ac:dyDescent="0.2">
      <c r="A1" s="911" t="s">
        <v>2260</v>
      </c>
      <c r="B1" s="911"/>
      <c r="C1" s="911"/>
      <c r="D1" s="911"/>
      <c r="E1" s="911"/>
      <c r="F1" s="911"/>
      <c r="G1" s="911"/>
      <c r="H1" s="911"/>
      <c r="I1" s="912" t="s">
        <v>2261</v>
      </c>
      <c r="J1" s="912"/>
      <c r="K1" s="912"/>
      <c r="L1" s="910" t="s">
        <v>2262</v>
      </c>
      <c r="M1" s="910"/>
      <c r="N1" s="910"/>
      <c r="O1" s="910"/>
      <c r="P1" s="910"/>
      <c r="Q1" s="910"/>
      <c r="R1" s="910"/>
      <c r="S1" s="910"/>
      <c r="T1" s="910"/>
      <c r="U1" s="910"/>
      <c r="V1" s="910"/>
      <c r="W1" s="910"/>
      <c r="X1" s="910"/>
      <c r="Y1" s="910"/>
      <c r="Z1" s="910"/>
      <c r="AB1" s="910" t="s">
        <v>2267</v>
      </c>
      <c r="AC1" s="910"/>
      <c r="AE1" s="832" t="s">
        <v>2267</v>
      </c>
    </row>
    <row r="2" spans="1:31" x14ac:dyDescent="0.2">
      <c r="A2" s="643" t="s">
        <v>330</v>
      </c>
      <c r="B2" s="643" t="s">
        <v>1037</v>
      </c>
      <c r="C2" s="643" t="s">
        <v>473</v>
      </c>
      <c r="D2" s="643" t="s">
        <v>474</v>
      </c>
      <c r="E2" s="643" t="s">
        <v>466</v>
      </c>
      <c r="F2" s="643" t="s">
        <v>475</v>
      </c>
      <c r="G2" s="643" t="s">
        <v>476</v>
      </c>
      <c r="H2" s="643" t="s">
        <v>1036</v>
      </c>
      <c r="J2" s="643" t="s">
        <v>686</v>
      </c>
      <c r="K2" s="643" t="s">
        <v>1089</v>
      </c>
      <c r="L2" s="654" t="s">
        <v>1990</v>
      </c>
      <c r="M2" s="654" t="s">
        <v>583</v>
      </c>
      <c r="N2" s="654" t="s">
        <v>473</v>
      </c>
      <c r="O2" s="654" t="s">
        <v>474</v>
      </c>
      <c r="P2" s="654" t="s">
        <v>475</v>
      </c>
      <c r="Q2" s="654" t="s">
        <v>476</v>
      </c>
      <c r="R2" s="654" t="s">
        <v>1036</v>
      </c>
      <c r="S2" s="654" t="s">
        <v>471</v>
      </c>
      <c r="T2" s="654" t="s">
        <v>1037</v>
      </c>
      <c r="U2" s="654" t="s">
        <v>1038</v>
      </c>
      <c r="V2" s="654" t="s">
        <v>1039</v>
      </c>
      <c r="W2" s="654" t="s">
        <v>1090</v>
      </c>
      <c r="X2" s="654" t="s">
        <v>1048</v>
      </c>
      <c r="Y2" s="654" t="s">
        <v>1685</v>
      </c>
      <c r="Z2" s="654" t="s">
        <v>1775</v>
      </c>
      <c r="AB2" s="755" t="s">
        <v>1662</v>
      </c>
      <c r="AC2" s="755" t="s">
        <v>1663</v>
      </c>
      <c r="AE2" s="833"/>
    </row>
    <row r="3" spans="1:31" x14ac:dyDescent="0.2">
      <c r="I3" s="643">
        <v>1</v>
      </c>
      <c r="AE3" s="833" t="s">
        <v>1071</v>
      </c>
    </row>
    <row r="4" spans="1:31" x14ac:dyDescent="0.2">
      <c r="A4" s="643" t="s">
        <v>1093</v>
      </c>
      <c r="B4" s="643">
        <v>0.05</v>
      </c>
      <c r="I4" s="643">
        <v>2</v>
      </c>
      <c r="J4" s="643" t="s">
        <v>1094</v>
      </c>
      <c r="K4" s="643">
        <v>1.44</v>
      </c>
      <c r="L4" s="643" t="s">
        <v>374</v>
      </c>
      <c r="M4" s="643" t="s">
        <v>374</v>
      </c>
      <c r="N4" s="685">
        <f t="shared" ref="N4:N19" si="0">VLOOKUP(M4,tblVoedingBasislijst,6,FALSE)*tblOmrekenNA/100</f>
        <v>8.6956000000000012E-3</v>
      </c>
      <c r="O4" s="685">
        <f t="shared" ref="O4:O19" si="1">VLOOKUP(M4,tblVoedingBasislijst,7,FALSE)*tblOmrekenK/100</f>
        <v>1.2820500000000002E-2</v>
      </c>
      <c r="P4" s="685">
        <f t="shared" ref="P4:P19" si="2">VLOOKUP(M4,tblVoedingBasislijst,8,FALSE)*tblOmrekenCa/100</f>
        <v>7.4700000000000001E-3</v>
      </c>
      <c r="Q4" s="685">
        <f t="shared" ref="Q4:Q19" si="3">VLOOKUP(M4,tblVoedingBasislijst,10,FALSE)*tblOmrekenMg/100</f>
        <v>1.23423E-3</v>
      </c>
      <c r="R4" s="685">
        <f t="shared" ref="R4:R19" si="4">VLOOKUP(M4,tblVoedingBasislijst,9,FALSE)*tblOmrekenP/100</f>
        <v>4.8433499999999997E-3</v>
      </c>
      <c r="S4" s="685">
        <f t="shared" ref="S4:S19" si="5">VLOOKUP(M4,tblVoedingBasislijst,3,FALSE)/100</f>
        <v>0.01</v>
      </c>
      <c r="T4" s="685">
        <f t="shared" ref="T4:T19" si="6">VLOOKUP(M4,tblVoedingBasislijst,4,FALSE)/100</f>
        <v>7.0000000000000007E-2</v>
      </c>
      <c r="U4" s="685">
        <f t="shared" ref="U4:U19" si="7">VLOOKUP(M4,tblVoedingBasislijst,5,FALSE)/100</f>
        <v>0.04</v>
      </c>
      <c r="V4" s="685">
        <f t="shared" ref="V4:V19" si="8">VLOOKUP(M4,tblVoedingBasislijst,2,FALSE)/100</f>
        <v>0.68</v>
      </c>
      <c r="W4" s="685">
        <f t="shared" ref="W4:W19" si="9">VLOOKUP(M4,tblVoedingBasislijst,13,FALSE)*tblOmrekenCl/100</f>
        <v>1.212858E-2</v>
      </c>
      <c r="X4" s="685">
        <f t="shared" ref="X4:X19" si="10">VLOOKUP(M4,tblVoedingBasislijst,12,FALSE)*tblOmrekenVitD/100</f>
        <v>0</v>
      </c>
      <c r="Y4" s="685">
        <f t="shared" ref="Y4:Y19" si="11">VLOOKUP(M4,tblVoedingBasislijst,11,FALSE)*tblOmrekenFe/100</f>
        <v>1.7899999999999998E-5</v>
      </c>
      <c r="Z4" s="685" t="s">
        <v>374</v>
      </c>
      <c r="AA4" s="685"/>
      <c r="AB4" s="643">
        <v>2.2000000000000002</v>
      </c>
      <c r="AC4" s="643">
        <v>0.5</v>
      </c>
      <c r="AE4" s="833" t="s">
        <v>2512</v>
      </c>
    </row>
    <row r="5" spans="1:31" x14ac:dyDescent="0.2">
      <c r="A5" s="643" t="s">
        <v>1098</v>
      </c>
      <c r="B5" s="643">
        <v>0.1</v>
      </c>
      <c r="I5" s="643">
        <v>3</v>
      </c>
      <c r="J5" s="643" t="s">
        <v>738</v>
      </c>
      <c r="K5" s="643">
        <v>1</v>
      </c>
      <c r="L5" s="643" t="s">
        <v>1690</v>
      </c>
      <c r="M5" s="643" t="s">
        <v>1690</v>
      </c>
      <c r="N5" s="685">
        <f t="shared" si="0"/>
        <v>3.0434599999999999E-2</v>
      </c>
      <c r="O5" s="685">
        <f t="shared" si="1"/>
        <v>2.0512800000000001E-2</v>
      </c>
      <c r="P5" s="685">
        <f t="shared" si="2"/>
        <v>2.4899999999999999E-2</v>
      </c>
      <c r="Q5" s="685">
        <f t="shared" si="3"/>
        <v>3.2912799999999997E-3</v>
      </c>
      <c r="R5" s="685">
        <f t="shared" si="4"/>
        <v>1.8081839999999998E-2</v>
      </c>
      <c r="S5" s="685">
        <f t="shared" si="5"/>
        <v>2.6000000000000002E-2</v>
      </c>
      <c r="T5" s="685">
        <f t="shared" si="6"/>
        <v>8.4000000000000005E-2</v>
      </c>
      <c r="U5" s="685">
        <f t="shared" si="7"/>
        <v>3.9E-2</v>
      </c>
      <c r="V5" s="685">
        <f t="shared" si="8"/>
        <v>0.8</v>
      </c>
      <c r="W5" s="685">
        <f t="shared" si="9"/>
        <v>2.3975099999999999E-2</v>
      </c>
      <c r="X5" s="685">
        <f t="shared" si="10"/>
        <v>1.2</v>
      </c>
      <c r="Y5" s="685">
        <f t="shared" si="11"/>
        <v>2.8639999999999997E-4</v>
      </c>
      <c r="Z5" s="685" t="s">
        <v>1776</v>
      </c>
      <c r="AA5" s="685"/>
      <c r="AB5" s="643">
        <v>4.4000000000000004</v>
      </c>
      <c r="AC5" s="643">
        <v>1</v>
      </c>
    </row>
    <row r="6" spans="1:31" x14ac:dyDescent="0.2">
      <c r="A6" s="643" t="s">
        <v>1101</v>
      </c>
      <c r="B6" s="643">
        <v>0.15</v>
      </c>
      <c r="I6" s="643">
        <v>4</v>
      </c>
      <c r="J6" s="643" t="s">
        <v>963</v>
      </c>
      <c r="K6" s="643">
        <v>1440</v>
      </c>
      <c r="L6" s="643" t="s">
        <v>1691</v>
      </c>
      <c r="M6" s="643" t="s">
        <v>1691</v>
      </c>
      <c r="N6" s="685">
        <f t="shared" si="0"/>
        <v>1.217384E-2</v>
      </c>
      <c r="O6" s="685">
        <f t="shared" si="1"/>
        <v>1.9743570000000002E-2</v>
      </c>
      <c r="P6" s="685">
        <f t="shared" si="2"/>
        <v>2.1662999999999998E-2</v>
      </c>
      <c r="Q6" s="685">
        <f t="shared" si="3"/>
        <v>2.8798700000000001E-3</v>
      </c>
      <c r="R6" s="685">
        <f t="shared" si="4"/>
        <v>1.517583E-2</v>
      </c>
      <c r="S6" s="685">
        <f t="shared" si="5"/>
        <v>0.02</v>
      </c>
      <c r="T6" s="685">
        <f t="shared" si="6"/>
        <v>7.4999999999999997E-2</v>
      </c>
      <c r="U6" s="685">
        <f t="shared" si="7"/>
        <v>0.04</v>
      </c>
      <c r="V6" s="685">
        <f t="shared" si="8"/>
        <v>0.75</v>
      </c>
      <c r="W6" s="685">
        <f t="shared" si="9"/>
        <v>1.5513299999999999E-2</v>
      </c>
      <c r="X6" s="685">
        <f t="shared" si="10"/>
        <v>0.68</v>
      </c>
      <c r="Y6" s="685">
        <f t="shared" si="11"/>
        <v>2.1479999999999999E-4</v>
      </c>
      <c r="Z6" s="685" t="s">
        <v>1776</v>
      </c>
      <c r="AA6" s="685"/>
      <c r="AC6" s="643">
        <v>1.5</v>
      </c>
    </row>
    <row r="7" spans="1:31" x14ac:dyDescent="0.2">
      <c r="A7" s="643" t="s">
        <v>1103</v>
      </c>
      <c r="B7" s="643">
        <v>0.2</v>
      </c>
      <c r="I7" s="643">
        <v>5</v>
      </c>
      <c r="J7" s="643" t="s">
        <v>737</v>
      </c>
      <c r="K7" s="643">
        <v>24</v>
      </c>
      <c r="L7" s="643" t="s">
        <v>1095</v>
      </c>
      <c r="M7" s="643" t="s">
        <v>1095</v>
      </c>
      <c r="N7" s="685">
        <f t="shared" si="0"/>
        <v>7.3912600000000002E-3</v>
      </c>
      <c r="O7" s="685">
        <f t="shared" si="1"/>
        <v>1.7435880000000001E-2</v>
      </c>
      <c r="P7" s="685">
        <f t="shared" si="2"/>
        <v>1.4193000000000001E-2</v>
      </c>
      <c r="Q7" s="685">
        <f t="shared" si="3"/>
        <v>2.0981909999999997E-3</v>
      </c>
      <c r="R7" s="685">
        <f t="shared" si="4"/>
        <v>1.033248E-2</v>
      </c>
      <c r="S7" s="685">
        <f t="shared" si="5"/>
        <v>1.3000000000000001E-2</v>
      </c>
      <c r="T7" s="685">
        <f t="shared" si="6"/>
        <v>7.2999999999999995E-2</v>
      </c>
      <c r="U7" s="685">
        <f t="shared" si="7"/>
        <v>3.4000000000000002E-2</v>
      </c>
      <c r="V7" s="685">
        <f t="shared" si="8"/>
        <v>0.66</v>
      </c>
      <c r="W7" s="685">
        <f t="shared" si="9"/>
        <v>1.1846520000000001E-2</v>
      </c>
      <c r="X7" s="685">
        <f t="shared" si="10"/>
        <v>3.48</v>
      </c>
      <c r="Y7" s="685">
        <f t="shared" si="11"/>
        <v>6.981E-4</v>
      </c>
      <c r="Z7" s="685" t="s">
        <v>1776</v>
      </c>
      <c r="AA7" s="685"/>
      <c r="AC7" s="643">
        <v>2</v>
      </c>
    </row>
    <row r="8" spans="1:31" x14ac:dyDescent="0.2">
      <c r="A8" s="643" t="s">
        <v>1105</v>
      </c>
      <c r="B8" s="643">
        <v>0.25</v>
      </c>
      <c r="I8" s="643">
        <v>6</v>
      </c>
      <c r="J8" s="643" t="s">
        <v>893</v>
      </c>
      <c r="K8" s="643">
        <v>1.4400000000000001E-3</v>
      </c>
      <c r="L8" s="643" t="s">
        <v>1755</v>
      </c>
      <c r="M8" s="643" t="s">
        <v>1755</v>
      </c>
      <c r="N8" s="685">
        <f t="shared" si="0"/>
        <v>9.9999400000000006E-3</v>
      </c>
      <c r="O8" s="685">
        <f t="shared" si="1"/>
        <v>1.8974339999999999E-2</v>
      </c>
      <c r="P8" s="685">
        <f t="shared" si="2"/>
        <v>1.6184999999999998E-2</v>
      </c>
      <c r="Q8" s="685">
        <f t="shared" si="3"/>
        <v>1.974768E-3</v>
      </c>
      <c r="R8" s="685">
        <f t="shared" si="4"/>
        <v>1.162404E-2</v>
      </c>
      <c r="S8" s="685">
        <f t="shared" si="5"/>
        <v>1.3999999999999999E-2</v>
      </c>
      <c r="T8" s="685">
        <f t="shared" si="6"/>
        <v>8.5999999999999993E-2</v>
      </c>
      <c r="U8" s="685">
        <f t="shared" si="7"/>
        <v>0.03</v>
      </c>
      <c r="V8" s="685">
        <f t="shared" si="8"/>
        <v>0.68</v>
      </c>
      <c r="W8" s="685">
        <f t="shared" si="9"/>
        <v>1.3256820000000001E-2</v>
      </c>
      <c r="X8" s="685">
        <f t="shared" si="10"/>
        <v>0.56000000000000005</v>
      </c>
      <c r="Y8" s="685">
        <f t="shared" si="11"/>
        <v>1.253E-3</v>
      </c>
      <c r="Z8" s="685" t="s">
        <v>1776</v>
      </c>
      <c r="AA8" s="685"/>
      <c r="AC8" s="643">
        <v>2.5</v>
      </c>
    </row>
    <row r="9" spans="1:31" x14ac:dyDescent="0.2">
      <c r="A9" s="643" t="s">
        <v>1107</v>
      </c>
      <c r="B9" s="643">
        <v>0.3</v>
      </c>
      <c r="I9" s="643">
        <v>7</v>
      </c>
      <c r="J9" s="643" t="s">
        <v>1499</v>
      </c>
      <c r="K9" s="643">
        <v>2.4E-2</v>
      </c>
      <c r="L9" s="643" t="s">
        <v>1756</v>
      </c>
      <c r="M9" s="643" t="s">
        <v>1756</v>
      </c>
      <c r="N9" s="685">
        <f t="shared" si="0"/>
        <v>8.6956000000000012E-3</v>
      </c>
      <c r="O9" s="685">
        <f t="shared" si="1"/>
        <v>1.2820500000000002E-2</v>
      </c>
      <c r="P9" s="685">
        <f t="shared" si="2"/>
        <v>7.4700000000000001E-3</v>
      </c>
      <c r="Q9" s="685">
        <f t="shared" si="3"/>
        <v>1.23423E-3</v>
      </c>
      <c r="R9" s="685">
        <f t="shared" si="4"/>
        <v>4.8433499999999997E-3</v>
      </c>
      <c r="S9" s="685">
        <f t="shared" si="5"/>
        <v>0.01</v>
      </c>
      <c r="T9" s="685">
        <f t="shared" si="6"/>
        <v>7.0000000000000007E-2</v>
      </c>
      <c r="U9" s="685">
        <f t="shared" si="7"/>
        <v>0.04</v>
      </c>
      <c r="V9" s="685">
        <f t="shared" si="8"/>
        <v>0.68</v>
      </c>
      <c r="W9" s="685">
        <f t="shared" si="9"/>
        <v>1.212858E-2</v>
      </c>
      <c r="X9" s="685">
        <f t="shared" si="10"/>
        <v>0</v>
      </c>
      <c r="Y9" s="685">
        <f t="shared" si="11"/>
        <v>1.7899999999999998E-5</v>
      </c>
      <c r="Z9" s="685" t="s">
        <v>374</v>
      </c>
      <c r="AA9" s="685"/>
      <c r="AC9" s="643">
        <v>3</v>
      </c>
    </row>
    <row r="10" spans="1:31" x14ac:dyDescent="0.2">
      <c r="A10" s="643" t="s">
        <v>1109</v>
      </c>
      <c r="B10" s="643">
        <v>0.35</v>
      </c>
      <c r="I10" s="643">
        <v>8</v>
      </c>
      <c r="J10" s="643" t="s">
        <v>739</v>
      </c>
      <c r="K10" s="643">
        <v>1</v>
      </c>
      <c r="L10" s="643" t="s">
        <v>1757</v>
      </c>
      <c r="M10" s="643" t="s">
        <v>1757</v>
      </c>
      <c r="N10" s="685">
        <f t="shared" si="0"/>
        <v>8.6956000000000012E-3</v>
      </c>
      <c r="O10" s="685">
        <f t="shared" si="1"/>
        <v>1.2820500000000002E-2</v>
      </c>
      <c r="P10" s="685">
        <f t="shared" si="2"/>
        <v>7.4700000000000001E-3</v>
      </c>
      <c r="Q10" s="685">
        <f t="shared" si="3"/>
        <v>1.23423E-3</v>
      </c>
      <c r="R10" s="685">
        <f t="shared" si="4"/>
        <v>4.8433499999999997E-3</v>
      </c>
      <c r="S10" s="685">
        <f t="shared" si="5"/>
        <v>0.01</v>
      </c>
      <c r="T10" s="685">
        <f t="shared" si="6"/>
        <v>7.0000000000000007E-2</v>
      </c>
      <c r="U10" s="685">
        <f t="shared" si="7"/>
        <v>0.04</v>
      </c>
      <c r="V10" s="685">
        <f t="shared" si="8"/>
        <v>0.68</v>
      </c>
      <c r="W10" s="685">
        <f t="shared" si="9"/>
        <v>1.212858E-2</v>
      </c>
      <c r="X10" s="685">
        <f t="shared" si="10"/>
        <v>0</v>
      </c>
      <c r="Y10" s="685">
        <f t="shared" si="11"/>
        <v>1.7899999999999998E-5</v>
      </c>
      <c r="Z10" s="685" t="s">
        <v>374</v>
      </c>
      <c r="AA10" s="685"/>
      <c r="AC10" s="643">
        <v>3.5</v>
      </c>
    </row>
    <row r="11" spans="1:31" x14ac:dyDescent="0.2">
      <c r="A11" s="643" t="s">
        <v>1110</v>
      </c>
      <c r="B11" s="643">
        <v>0.4</v>
      </c>
      <c r="I11" s="643">
        <v>9</v>
      </c>
      <c r="J11" s="263" t="s">
        <v>129</v>
      </c>
      <c r="K11" s="643">
        <v>24</v>
      </c>
      <c r="L11" s="643" t="s">
        <v>1758</v>
      </c>
      <c r="M11" s="643" t="s">
        <v>1758</v>
      </c>
      <c r="N11" s="685">
        <f t="shared" si="0"/>
        <v>8.6956000000000012E-3</v>
      </c>
      <c r="O11" s="685">
        <f t="shared" si="1"/>
        <v>1.2820500000000002E-2</v>
      </c>
      <c r="P11" s="685">
        <f t="shared" si="2"/>
        <v>7.4700000000000001E-3</v>
      </c>
      <c r="Q11" s="685">
        <f t="shared" si="3"/>
        <v>1.23423E-3</v>
      </c>
      <c r="R11" s="685">
        <f t="shared" si="4"/>
        <v>4.8433499999999997E-3</v>
      </c>
      <c r="S11" s="685">
        <f t="shared" si="5"/>
        <v>0.01</v>
      </c>
      <c r="T11" s="685">
        <f t="shared" si="6"/>
        <v>7.0000000000000007E-2</v>
      </c>
      <c r="U11" s="685">
        <f t="shared" si="7"/>
        <v>0.04</v>
      </c>
      <c r="V11" s="685">
        <f t="shared" si="8"/>
        <v>0.68</v>
      </c>
      <c r="W11" s="685">
        <f t="shared" si="9"/>
        <v>1.212858E-2</v>
      </c>
      <c r="X11" s="685">
        <f t="shared" si="10"/>
        <v>0</v>
      </c>
      <c r="Y11" s="685">
        <f t="shared" si="11"/>
        <v>1.7899999999999998E-5</v>
      </c>
      <c r="Z11" s="685" t="s">
        <v>374</v>
      </c>
      <c r="AA11" s="685"/>
      <c r="AC11" s="643">
        <v>4</v>
      </c>
    </row>
    <row r="12" spans="1:31" x14ac:dyDescent="0.2">
      <c r="A12" s="643" t="s">
        <v>1111</v>
      </c>
      <c r="B12" s="643">
        <v>0.45</v>
      </c>
      <c r="L12" s="643" t="s">
        <v>1759</v>
      </c>
      <c r="M12" s="643" t="s">
        <v>1759</v>
      </c>
      <c r="N12" s="685">
        <f t="shared" si="0"/>
        <v>8.6956000000000012E-3</v>
      </c>
      <c r="O12" s="685">
        <f t="shared" si="1"/>
        <v>1.2820500000000002E-2</v>
      </c>
      <c r="P12" s="685">
        <f t="shared" si="2"/>
        <v>7.4700000000000001E-3</v>
      </c>
      <c r="Q12" s="685">
        <f t="shared" si="3"/>
        <v>1.23423E-3</v>
      </c>
      <c r="R12" s="685">
        <f t="shared" si="4"/>
        <v>4.8433499999999997E-3</v>
      </c>
      <c r="S12" s="685">
        <f t="shared" si="5"/>
        <v>0.01</v>
      </c>
      <c r="T12" s="685">
        <f t="shared" si="6"/>
        <v>7.0000000000000007E-2</v>
      </c>
      <c r="U12" s="685">
        <f t="shared" si="7"/>
        <v>0.04</v>
      </c>
      <c r="V12" s="685">
        <f t="shared" si="8"/>
        <v>0.68</v>
      </c>
      <c r="W12" s="685">
        <f t="shared" si="9"/>
        <v>1.212858E-2</v>
      </c>
      <c r="X12" s="685">
        <f t="shared" si="10"/>
        <v>0</v>
      </c>
      <c r="Y12" s="685">
        <f t="shared" si="11"/>
        <v>1.7899999999999998E-5</v>
      </c>
      <c r="Z12" s="685" t="s">
        <v>374</v>
      </c>
      <c r="AA12" s="685"/>
      <c r="AC12" s="643">
        <v>4.5</v>
      </c>
    </row>
    <row r="13" spans="1:31" x14ac:dyDescent="0.2">
      <c r="A13" s="643" t="s">
        <v>1112</v>
      </c>
      <c r="B13" s="643">
        <v>0.5</v>
      </c>
      <c r="L13" s="643" t="s">
        <v>1760</v>
      </c>
      <c r="M13" s="643" t="s">
        <v>1760</v>
      </c>
      <c r="N13" s="685">
        <f t="shared" si="0"/>
        <v>8.6956000000000012E-3</v>
      </c>
      <c r="O13" s="685">
        <f t="shared" si="1"/>
        <v>1.2820500000000002E-2</v>
      </c>
      <c r="P13" s="685">
        <f t="shared" si="2"/>
        <v>7.4700000000000001E-3</v>
      </c>
      <c r="Q13" s="685">
        <f t="shared" si="3"/>
        <v>1.23423E-3</v>
      </c>
      <c r="R13" s="685">
        <f t="shared" si="4"/>
        <v>4.8433499999999997E-3</v>
      </c>
      <c r="S13" s="685">
        <f t="shared" si="5"/>
        <v>0.01</v>
      </c>
      <c r="T13" s="685">
        <f t="shared" si="6"/>
        <v>7.0000000000000007E-2</v>
      </c>
      <c r="U13" s="685">
        <f t="shared" si="7"/>
        <v>0.04</v>
      </c>
      <c r="V13" s="685">
        <f t="shared" si="8"/>
        <v>0.68</v>
      </c>
      <c r="W13" s="685">
        <f t="shared" si="9"/>
        <v>1.212858E-2</v>
      </c>
      <c r="X13" s="685">
        <f t="shared" si="10"/>
        <v>0</v>
      </c>
      <c r="Y13" s="685">
        <f t="shared" si="11"/>
        <v>1.7899999999999998E-5</v>
      </c>
      <c r="Z13" s="685" t="s">
        <v>374</v>
      </c>
      <c r="AA13" s="685"/>
      <c r="AC13" s="643">
        <v>5</v>
      </c>
    </row>
    <row r="14" spans="1:31" x14ac:dyDescent="0.2">
      <c r="A14" s="643" t="s">
        <v>630</v>
      </c>
      <c r="C14" s="643">
        <v>0.155</v>
      </c>
      <c r="L14" s="643" t="s">
        <v>1761</v>
      </c>
      <c r="M14" s="643" t="s">
        <v>1761</v>
      </c>
      <c r="N14" s="685">
        <f t="shared" si="0"/>
        <v>8.6956000000000012E-3</v>
      </c>
      <c r="O14" s="685">
        <f t="shared" si="1"/>
        <v>1.2820500000000002E-2</v>
      </c>
      <c r="P14" s="685">
        <f t="shared" si="2"/>
        <v>7.4700000000000001E-3</v>
      </c>
      <c r="Q14" s="685">
        <f t="shared" si="3"/>
        <v>1.23423E-3</v>
      </c>
      <c r="R14" s="685">
        <f t="shared" si="4"/>
        <v>4.8433499999999997E-3</v>
      </c>
      <c r="S14" s="685">
        <f t="shared" si="5"/>
        <v>0.01</v>
      </c>
      <c r="T14" s="685">
        <f t="shared" si="6"/>
        <v>7.0000000000000007E-2</v>
      </c>
      <c r="U14" s="685">
        <f t="shared" si="7"/>
        <v>0.04</v>
      </c>
      <c r="V14" s="685">
        <f t="shared" si="8"/>
        <v>0.68</v>
      </c>
      <c r="W14" s="685">
        <f t="shared" si="9"/>
        <v>1.212858E-2</v>
      </c>
      <c r="X14" s="685">
        <f t="shared" si="10"/>
        <v>0</v>
      </c>
      <c r="Y14" s="685">
        <f t="shared" si="11"/>
        <v>1.7899999999999998E-5</v>
      </c>
      <c r="Z14" s="685" t="s">
        <v>374</v>
      </c>
      <c r="AA14" s="685"/>
    </row>
    <row r="15" spans="1:31" x14ac:dyDescent="0.2">
      <c r="A15" s="643" t="s">
        <v>1115</v>
      </c>
      <c r="C15" s="643">
        <v>0.5</v>
      </c>
      <c r="L15" s="643" t="s">
        <v>1692</v>
      </c>
      <c r="M15" s="643" t="s">
        <v>1692</v>
      </c>
      <c r="N15" s="685">
        <f t="shared" si="0"/>
        <v>1.0869500000000001E-2</v>
      </c>
      <c r="O15" s="685">
        <f t="shared" si="1"/>
        <v>1.8717930000000001E-2</v>
      </c>
      <c r="P15" s="685">
        <f t="shared" si="2"/>
        <v>1.1453999999999999E-2</v>
      </c>
      <c r="Q15" s="685">
        <f t="shared" si="3"/>
        <v>2.0981909999999997E-3</v>
      </c>
      <c r="R15" s="685">
        <f t="shared" si="4"/>
        <v>8.3951400000000006E-3</v>
      </c>
      <c r="S15" s="685">
        <f t="shared" si="5"/>
        <v>1.4999999999999999E-2</v>
      </c>
      <c r="T15" s="685">
        <f t="shared" si="6"/>
        <v>7.2000000000000008E-2</v>
      </c>
      <c r="U15" s="685">
        <f t="shared" si="7"/>
        <v>3.4000000000000002E-2</v>
      </c>
      <c r="V15" s="685">
        <f t="shared" si="8"/>
        <v>0.66</v>
      </c>
      <c r="W15" s="685">
        <f t="shared" si="9"/>
        <v>1.1564459999999999E-2</v>
      </c>
      <c r="X15" s="685">
        <f t="shared" si="10"/>
        <v>0.48</v>
      </c>
      <c r="Y15" s="685">
        <f t="shared" si="11"/>
        <v>9.4870000000000005E-5</v>
      </c>
      <c r="Z15" s="685" t="s">
        <v>1776</v>
      </c>
      <c r="AA15" s="685"/>
    </row>
    <row r="16" spans="1:31" x14ac:dyDescent="0.2">
      <c r="A16" s="643" t="s">
        <v>100</v>
      </c>
      <c r="C16" s="643">
        <v>1</v>
      </c>
      <c r="L16" s="643" t="s">
        <v>1769</v>
      </c>
      <c r="M16" s="643" t="s">
        <v>1769</v>
      </c>
      <c r="N16" s="685">
        <f t="shared" si="0"/>
        <v>8.826034E-3</v>
      </c>
      <c r="O16" s="685">
        <f t="shared" si="1"/>
        <v>1.7179470000000002E-2</v>
      </c>
      <c r="P16" s="685">
        <f t="shared" si="2"/>
        <v>1.3271699999999999E-2</v>
      </c>
      <c r="Q16" s="685">
        <f t="shared" si="3"/>
        <v>3.2912799999999994E-5</v>
      </c>
      <c r="R16" s="685">
        <f t="shared" si="4"/>
        <v>9.4283879999999994E-3</v>
      </c>
      <c r="S16" s="685">
        <f t="shared" si="5"/>
        <v>1.4999999999999999E-2</v>
      </c>
      <c r="T16" s="685">
        <f t="shared" si="6"/>
        <v>7.0000000000000007E-2</v>
      </c>
      <c r="U16" s="685">
        <f t="shared" si="7"/>
        <v>3.6000000000000004E-2</v>
      </c>
      <c r="V16" s="685">
        <f t="shared" si="8"/>
        <v>0.66299999999999992</v>
      </c>
      <c r="W16" s="685">
        <f t="shared" si="9"/>
        <v>1.12824E-2</v>
      </c>
      <c r="X16" s="685">
        <f t="shared" si="10"/>
        <v>0.76</v>
      </c>
      <c r="Y16" s="685">
        <f t="shared" si="11"/>
        <v>9.1290000000000002E-5</v>
      </c>
      <c r="Z16" s="685" t="s">
        <v>1776</v>
      </c>
      <c r="AA16" s="685"/>
    </row>
    <row r="17" spans="1:27" x14ac:dyDescent="0.2">
      <c r="A17" s="643" t="s">
        <v>689</v>
      </c>
      <c r="C17" s="643">
        <v>0.5</v>
      </c>
      <c r="L17" s="643" t="s">
        <v>1693</v>
      </c>
      <c r="M17" s="643" t="s">
        <v>1693</v>
      </c>
      <c r="N17" s="685">
        <f t="shared" si="0"/>
        <v>1.1347758000000001E-2</v>
      </c>
      <c r="O17" s="685">
        <f t="shared" si="1"/>
        <v>1.8589725000000001E-2</v>
      </c>
      <c r="P17" s="685">
        <f t="shared" si="2"/>
        <v>1.6334399999999999E-2</v>
      </c>
      <c r="Q17" s="685">
        <f t="shared" si="3"/>
        <v>2.8798700000000001E-3</v>
      </c>
      <c r="R17" s="685">
        <f t="shared" si="4"/>
        <v>1.5208118999999999E-2</v>
      </c>
      <c r="S17" s="685">
        <f t="shared" si="5"/>
        <v>1.8000000000000002E-2</v>
      </c>
      <c r="T17" s="685">
        <f t="shared" si="6"/>
        <v>7.2000000000000008E-2</v>
      </c>
      <c r="U17" s="685">
        <f t="shared" si="7"/>
        <v>3.4000000000000002E-2</v>
      </c>
      <c r="V17" s="685">
        <f t="shared" si="8"/>
        <v>0.67</v>
      </c>
      <c r="W17" s="685">
        <f t="shared" si="9"/>
        <v>1.5033797999999998E-2</v>
      </c>
      <c r="X17" s="685">
        <f t="shared" si="10"/>
        <v>0.48</v>
      </c>
      <c r="Y17" s="685">
        <f t="shared" si="11"/>
        <v>1.7899999999999999E-4</v>
      </c>
      <c r="Z17" s="685" t="s">
        <v>1776</v>
      </c>
      <c r="AA17" s="685"/>
    </row>
    <row r="18" spans="1:27" x14ac:dyDescent="0.2">
      <c r="A18" s="643" t="s">
        <v>1494</v>
      </c>
      <c r="L18" s="643" t="s">
        <v>1772</v>
      </c>
      <c r="M18" s="643" t="s">
        <v>1772</v>
      </c>
      <c r="N18" s="685">
        <f t="shared" si="0"/>
        <v>8.6956000000000012E-3</v>
      </c>
      <c r="O18" s="685">
        <f t="shared" si="1"/>
        <v>2.076921E-2</v>
      </c>
      <c r="P18" s="685">
        <f t="shared" si="2"/>
        <v>1.1702999999999998E-2</v>
      </c>
      <c r="Q18" s="685">
        <f t="shared" si="3"/>
        <v>2.1804729999999996E-3</v>
      </c>
      <c r="R18" s="685">
        <f t="shared" si="4"/>
        <v>8.3951400000000006E-3</v>
      </c>
      <c r="S18" s="685">
        <f t="shared" si="5"/>
        <v>1.6E-2</v>
      </c>
      <c r="T18" s="685">
        <f t="shared" si="6"/>
        <v>7.0000000000000007E-2</v>
      </c>
      <c r="U18" s="685">
        <f t="shared" si="7"/>
        <v>3.5000000000000003E-2</v>
      </c>
      <c r="V18" s="685">
        <f t="shared" si="8"/>
        <v>0.67</v>
      </c>
      <c r="W18" s="685">
        <f t="shared" si="9"/>
        <v>1.12824E-2</v>
      </c>
      <c r="X18" s="685">
        <f t="shared" si="10"/>
        <v>0.52</v>
      </c>
      <c r="Y18" s="685">
        <f t="shared" si="11"/>
        <v>9.4870000000000005E-5</v>
      </c>
      <c r="Z18" s="685" t="s">
        <v>1776</v>
      </c>
      <c r="AA18" s="685"/>
    </row>
    <row r="19" spans="1:27" x14ac:dyDescent="0.2">
      <c r="L19" s="643" t="s">
        <v>1695</v>
      </c>
      <c r="M19" s="643" t="s">
        <v>1695</v>
      </c>
      <c r="N19" s="685">
        <f t="shared" si="0"/>
        <v>8.6956000000000012E-3</v>
      </c>
      <c r="O19" s="685">
        <f t="shared" si="1"/>
        <v>1.6666650000000002E-2</v>
      </c>
      <c r="P19" s="685">
        <f t="shared" si="2"/>
        <v>1.2449999999999999E-2</v>
      </c>
      <c r="Q19" s="685">
        <f t="shared" si="3"/>
        <v>2.46846E-3</v>
      </c>
      <c r="R19" s="685">
        <f t="shared" si="4"/>
        <v>9.6866999999999995E-3</v>
      </c>
      <c r="S19" s="685">
        <f t="shared" si="5"/>
        <v>1.3999999999999999E-2</v>
      </c>
      <c r="T19" s="685">
        <f t="shared" si="6"/>
        <v>7.2000000000000008E-2</v>
      </c>
      <c r="U19" s="685">
        <f t="shared" si="7"/>
        <v>3.5000000000000003E-2</v>
      </c>
      <c r="V19" s="685">
        <f t="shared" si="8"/>
        <v>0.66</v>
      </c>
      <c r="W19" s="685">
        <f t="shared" si="9"/>
        <v>1.1846520000000001E-2</v>
      </c>
      <c r="X19" s="685">
        <f t="shared" si="10"/>
        <v>0.48</v>
      </c>
      <c r="Y19" s="685">
        <f t="shared" si="11"/>
        <v>1.3961999999999999E-4</v>
      </c>
      <c r="Z19" s="685" t="s">
        <v>1776</v>
      </c>
      <c r="AA19" s="685"/>
    </row>
    <row r="23" spans="1:27" x14ac:dyDescent="0.2">
      <c r="L23" s="910" t="s">
        <v>2265</v>
      </c>
      <c r="M23" s="910"/>
      <c r="N23" s="910"/>
      <c r="O23" s="910"/>
      <c r="P23" s="910"/>
      <c r="Q23" s="910"/>
      <c r="R23" s="910"/>
      <c r="S23" s="910"/>
      <c r="T23" s="910"/>
      <c r="U23" s="910"/>
      <c r="V23" s="910"/>
      <c r="W23" s="910"/>
      <c r="X23" s="910"/>
      <c r="Y23" s="910"/>
      <c r="Z23" s="910"/>
    </row>
    <row r="24" spans="1:27" x14ac:dyDescent="0.2">
      <c r="M24" s="654" t="s">
        <v>479</v>
      </c>
      <c r="N24" s="654" t="s">
        <v>473</v>
      </c>
      <c r="O24" s="654" t="s">
        <v>474</v>
      </c>
      <c r="P24" s="654" t="s">
        <v>475</v>
      </c>
      <c r="Q24" s="654" t="s">
        <v>476</v>
      </c>
      <c r="R24" s="654" t="s">
        <v>1036</v>
      </c>
      <c r="S24" s="654" t="s">
        <v>471</v>
      </c>
      <c r="T24" s="654" t="s">
        <v>1037</v>
      </c>
      <c r="U24" s="654" t="s">
        <v>1038</v>
      </c>
      <c r="V24" s="654" t="s">
        <v>1039</v>
      </c>
    </row>
    <row r="25" spans="1:27" x14ac:dyDescent="0.2">
      <c r="M25" s="643" t="s">
        <v>687</v>
      </c>
      <c r="N25" s="643">
        <f>0.25/35</f>
        <v>7.1428571428571426E-3</v>
      </c>
      <c r="O25" s="643">
        <f>0.6/35</f>
        <v>1.7142857142857144E-2</v>
      </c>
      <c r="P25" s="643">
        <f>0.9/35</f>
        <v>2.5714285714285714E-2</v>
      </c>
      <c r="Q25" s="643">
        <f>0.2/35</f>
        <v>5.7142857142857143E-3</v>
      </c>
      <c r="R25" s="643">
        <f>0.75/35</f>
        <v>2.1428571428571429E-2</v>
      </c>
      <c r="S25" s="643">
        <f>2.6/35</f>
        <v>7.4285714285714288E-2</v>
      </c>
      <c r="T25" s="643">
        <v>0</v>
      </c>
      <c r="U25" s="643">
        <v>0</v>
      </c>
      <c r="V25" s="643">
        <v>0.28999999999999998</v>
      </c>
    </row>
    <row r="26" spans="1:27" x14ac:dyDescent="0.2">
      <c r="M26" s="643" t="s">
        <v>1116</v>
      </c>
      <c r="N26" s="643">
        <f>1.9/35</f>
        <v>5.4285714285714284E-2</v>
      </c>
      <c r="O26" s="643">
        <f>2.5/35</f>
        <v>7.1428571428571425E-2</v>
      </c>
      <c r="P26" s="643">
        <f>0.225*4/35</f>
        <v>2.5714285714285714E-2</v>
      </c>
      <c r="Q26" s="643">
        <f>0.5*0.3/35</f>
        <v>4.2857142857142859E-3</v>
      </c>
      <c r="R26" s="643">
        <f>1.2/35</f>
        <v>3.4285714285714287E-2</v>
      </c>
      <c r="S26" s="643">
        <f>2.6/35</f>
        <v>7.4285714285714288E-2</v>
      </c>
      <c r="T26" s="643">
        <v>0</v>
      </c>
      <c r="U26" s="643">
        <v>0</v>
      </c>
      <c r="V26" s="643">
        <v>0.28999999999999998</v>
      </c>
    </row>
    <row r="29" spans="1:27" x14ac:dyDescent="0.2">
      <c r="N29" s="642"/>
      <c r="O29" s="642"/>
      <c r="P29" s="642"/>
      <c r="Q29" s="642"/>
      <c r="R29" s="642"/>
      <c r="S29" s="642"/>
      <c r="T29" s="642"/>
      <c r="U29" s="642"/>
      <c r="V29" s="642"/>
      <c r="W29" s="642"/>
      <c r="X29" s="642"/>
    </row>
    <row r="30" spans="1:27" x14ac:dyDescent="0.2">
      <c r="N30" s="642"/>
      <c r="O30" s="642"/>
      <c r="P30" s="642"/>
      <c r="Q30" s="642"/>
      <c r="R30" s="642"/>
      <c r="S30" s="642"/>
      <c r="T30" s="642"/>
      <c r="U30" s="642"/>
      <c r="V30" s="642"/>
      <c r="W30" s="642"/>
      <c r="X30" s="642"/>
    </row>
    <row r="31" spans="1:27" x14ac:dyDescent="0.2">
      <c r="L31" s="910" t="s">
        <v>2264</v>
      </c>
      <c r="M31" s="910"/>
      <c r="N31" s="910"/>
      <c r="O31" s="910"/>
      <c r="P31" s="910"/>
      <c r="Q31" s="910"/>
      <c r="R31" s="910"/>
      <c r="S31" s="910"/>
      <c r="T31" s="910"/>
      <c r="U31" s="910"/>
      <c r="V31" s="910"/>
      <c r="W31" s="910"/>
      <c r="X31" s="910"/>
      <c r="Y31" s="910"/>
      <c r="Z31" s="910"/>
    </row>
    <row r="32" spans="1:27" x14ac:dyDescent="0.2">
      <c r="M32" s="654" t="s">
        <v>1664</v>
      </c>
      <c r="N32" s="654" t="s">
        <v>473</v>
      </c>
      <c r="O32" s="654" t="s">
        <v>474</v>
      </c>
      <c r="P32" s="654" t="s">
        <v>475</v>
      </c>
      <c r="Q32" s="654" t="s">
        <v>476</v>
      </c>
      <c r="R32" s="654" t="s">
        <v>1036</v>
      </c>
      <c r="S32" s="654" t="s">
        <v>471</v>
      </c>
      <c r="T32" s="654" t="s">
        <v>1037</v>
      </c>
      <c r="U32" s="654" t="s">
        <v>1038</v>
      </c>
      <c r="V32" s="654" t="s">
        <v>1039</v>
      </c>
      <c r="W32" s="663" t="s">
        <v>1090</v>
      </c>
      <c r="X32" s="663" t="s">
        <v>1091</v>
      </c>
      <c r="Y32" s="654" t="s">
        <v>1685</v>
      </c>
    </row>
    <row r="34" spans="11:27" x14ac:dyDescent="0.2">
      <c r="L34" s="643" t="s">
        <v>1040</v>
      </c>
      <c r="M34" s="643" t="s">
        <v>1040</v>
      </c>
      <c r="N34" s="685">
        <f t="shared" ref="N34:N39" si="12">VLOOKUP(M34,tblVoedingPoeder,6,FALSE)*tblOmrekenNA/100</f>
        <v>8.6956000000000002E-4</v>
      </c>
      <c r="O34" s="685">
        <f t="shared" ref="O34:O39" si="13">VLOOKUP(M34,tblVoedingPoeder,7,FALSE)*tblOmrekenK/100</f>
        <v>0</v>
      </c>
      <c r="P34" s="685">
        <f t="shared" ref="P34:P39" si="14">VLOOKUP(M34,tblVoedingPoeder,8,FALSE)*tblOmrekenCa/100</f>
        <v>0</v>
      </c>
      <c r="Q34" s="685">
        <f t="shared" ref="Q34:Q39" si="15">VLOOKUP(M34,tblVoedingPoeder,10,FALSE)*tblOmrekenMg/100</f>
        <v>0</v>
      </c>
      <c r="R34" s="685">
        <f t="shared" ref="R34:R39" si="16">VLOOKUP(M34,tblVoedingPoeder,9,FALSE)*tblOmrekenP/100</f>
        <v>0</v>
      </c>
      <c r="S34" s="685">
        <f t="shared" ref="S34:S39" si="17">VLOOKUP(M34,tblVoedingPoeder,3,FALSE)/100</f>
        <v>0</v>
      </c>
      <c r="T34" s="685">
        <f t="shared" ref="T34:T39" si="18">VLOOKUP(M34,tblVoedingPoeder,4,FALSE)/100</f>
        <v>0.96</v>
      </c>
      <c r="U34" s="685">
        <f t="shared" ref="U34:U39" si="19">VLOOKUP(M34,tblVoedingPoeder,5,FALSE)/100</f>
        <v>0</v>
      </c>
      <c r="V34" s="685">
        <f t="shared" ref="V34:V39" si="20">VLOOKUP(M34,tblVoedingPoeder,2,FALSE)/100</f>
        <v>3.84</v>
      </c>
      <c r="W34" s="685">
        <f t="shared" ref="W34:W39" si="21">VLOOKUP(M34,tblVoedingPoeder,13,FALSE)*tblOmrekenCl/100</f>
        <v>0</v>
      </c>
      <c r="X34" s="685">
        <f t="shared" ref="X34:X39" si="22">VLOOKUP(M34,tblVoedingPoeder,12,FALSE)*tblOmrekenVitD/100</f>
        <v>0</v>
      </c>
      <c r="Y34" s="685">
        <f t="shared" ref="Y34:Y39" si="23">VLOOKUP(M34,tblVoedingPoeder,11,FALSE)*tblOmrekenFe/100</f>
        <v>0</v>
      </c>
    </row>
    <row r="35" spans="11:27" x14ac:dyDescent="0.2">
      <c r="L35" s="643" t="s">
        <v>1096</v>
      </c>
      <c r="M35" s="643" t="s">
        <v>1989</v>
      </c>
      <c r="N35" s="685">
        <f t="shared" si="12"/>
        <v>5.43475E-2</v>
      </c>
      <c r="O35" s="685">
        <f t="shared" si="13"/>
        <v>0.12846141</v>
      </c>
      <c r="P35" s="685">
        <f t="shared" si="14"/>
        <v>0.10408199999999999</v>
      </c>
      <c r="Q35" s="685">
        <f t="shared" si="15"/>
        <v>1.522217E-2</v>
      </c>
      <c r="R35" s="685">
        <f t="shared" si="16"/>
        <v>7.6524929999999991E-2</v>
      </c>
      <c r="S35" s="685">
        <f t="shared" si="17"/>
        <v>9.6999999999999989E-2</v>
      </c>
      <c r="T35" s="685">
        <f t="shared" si="18"/>
        <v>0.53799999999999992</v>
      </c>
      <c r="U35" s="685">
        <f t="shared" si="19"/>
        <v>0.247</v>
      </c>
      <c r="V35" s="685">
        <f t="shared" si="20"/>
        <v>4.84</v>
      </c>
      <c r="W35" s="685">
        <f t="shared" si="21"/>
        <v>8.5746240000000001E-2</v>
      </c>
      <c r="X35" s="685">
        <f t="shared" si="22"/>
        <v>3.48</v>
      </c>
      <c r="Y35" s="685">
        <f t="shared" si="23"/>
        <v>6.981E-4</v>
      </c>
    </row>
    <row r="36" spans="11:27" x14ac:dyDescent="0.2">
      <c r="L36" s="643" t="s">
        <v>1099</v>
      </c>
      <c r="M36" s="643" t="s">
        <v>1704</v>
      </c>
      <c r="N36" s="685">
        <f t="shared" si="12"/>
        <v>0.1804337</v>
      </c>
      <c r="O36" s="685">
        <f t="shared" si="13"/>
        <v>0.12153833999999999</v>
      </c>
      <c r="P36" s="685">
        <f t="shared" si="14"/>
        <v>0.14765699999999998</v>
      </c>
      <c r="Q36" s="685">
        <f t="shared" si="15"/>
        <v>1.9336269999999999E-2</v>
      </c>
      <c r="R36" s="685">
        <f t="shared" si="16"/>
        <v>0.10719947999999999</v>
      </c>
      <c r="S36" s="685">
        <f t="shared" si="17"/>
        <v>0.156</v>
      </c>
      <c r="T36" s="685">
        <f t="shared" si="18"/>
        <v>0.22899999999999998</v>
      </c>
      <c r="U36" s="685">
        <f t="shared" si="19"/>
        <v>0.498</v>
      </c>
      <c r="V36" s="685">
        <f t="shared" si="20"/>
        <v>4.74</v>
      </c>
      <c r="W36" s="685">
        <f t="shared" si="21"/>
        <v>0.14215823999999999</v>
      </c>
      <c r="X36" s="685">
        <f t="shared" si="22"/>
        <v>7.2</v>
      </c>
      <c r="Y36" s="685">
        <f t="shared" si="23"/>
        <v>1.7004999999999998E-3</v>
      </c>
    </row>
    <row r="37" spans="11:27" x14ac:dyDescent="0.2">
      <c r="L37" s="643" t="s">
        <v>1104</v>
      </c>
      <c r="M37" s="643" t="s">
        <v>1705</v>
      </c>
      <c r="N37" s="685">
        <f t="shared" si="12"/>
        <v>0.33738928000000001</v>
      </c>
      <c r="O37" s="685">
        <f t="shared" si="13"/>
        <v>0.31435866000000001</v>
      </c>
      <c r="P37" s="685">
        <f t="shared" si="14"/>
        <v>0.13047599999999998</v>
      </c>
      <c r="Q37" s="685">
        <f t="shared" si="15"/>
        <v>1.8924859999999998E-2</v>
      </c>
      <c r="R37" s="685">
        <f t="shared" si="16"/>
        <v>0.16661123999999997</v>
      </c>
      <c r="S37" s="685">
        <f t="shared" si="17"/>
        <v>0.82099999999999995</v>
      </c>
      <c r="T37" s="685">
        <f t="shared" si="18"/>
        <v>2.2000000000000002E-2</v>
      </c>
      <c r="U37" s="685">
        <f t="shared" si="19"/>
        <v>1E-3</v>
      </c>
      <c r="V37" s="685">
        <f t="shared" si="20"/>
        <v>3.38</v>
      </c>
      <c r="W37" s="685">
        <f t="shared" si="21"/>
        <v>1.8615959999999997E-2</v>
      </c>
      <c r="X37" s="685">
        <f t="shared" si="22"/>
        <v>0</v>
      </c>
      <c r="Y37" s="685">
        <f t="shared" si="23"/>
        <v>0</v>
      </c>
    </row>
    <row r="38" spans="11:27" x14ac:dyDescent="0.2">
      <c r="L38" s="643" t="s">
        <v>1106</v>
      </c>
      <c r="M38" s="643" t="s">
        <v>1706</v>
      </c>
      <c r="N38" s="685">
        <f t="shared" si="12"/>
        <v>3.04346E-3</v>
      </c>
      <c r="O38" s="685">
        <f t="shared" si="13"/>
        <v>0</v>
      </c>
      <c r="P38" s="685">
        <f t="shared" si="14"/>
        <v>0</v>
      </c>
      <c r="Q38" s="685">
        <f t="shared" si="15"/>
        <v>0</v>
      </c>
      <c r="R38" s="685">
        <f t="shared" si="16"/>
        <v>0</v>
      </c>
      <c r="S38" s="685">
        <f t="shared" si="17"/>
        <v>0</v>
      </c>
      <c r="T38" s="685">
        <f t="shared" si="18"/>
        <v>0</v>
      </c>
      <c r="U38" s="685">
        <f t="shared" si="19"/>
        <v>0.5</v>
      </c>
      <c r="V38" s="685">
        <f t="shared" si="20"/>
        <v>4.5</v>
      </c>
      <c r="W38" s="685">
        <f t="shared" si="21"/>
        <v>2.8206000000000001E-5</v>
      </c>
      <c r="X38" s="685">
        <f t="shared" si="22"/>
        <v>0</v>
      </c>
      <c r="Y38" s="685">
        <f t="shared" si="23"/>
        <v>0</v>
      </c>
    </row>
    <row r="39" spans="11:27" x14ac:dyDescent="0.2">
      <c r="L39" s="643" t="s">
        <v>1765</v>
      </c>
      <c r="M39" s="643" t="s">
        <v>1765</v>
      </c>
      <c r="N39" s="685">
        <f t="shared" si="12"/>
        <v>2.6086799999999999E-3</v>
      </c>
      <c r="O39" s="685">
        <f t="shared" si="13"/>
        <v>2.3333310000000003E-2</v>
      </c>
      <c r="P39" s="685">
        <f t="shared" si="14"/>
        <v>8.3415000000000003E-2</v>
      </c>
      <c r="Q39" s="685">
        <f t="shared" si="15"/>
        <v>3.7438309999999995E-3</v>
      </c>
      <c r="R39" s="685">
        <f t="shared" si="16"/>
        <v>3.8746799999999997E-3</v>
      </c>
      <c r="S39" s="685">
        <f t="shared" si="17"/>
        <v>0</v>
      </c>
      <c r="T39" s="685">
        <f t="shared" si="18"/>
        <v>0.66200000000000003</v>
      </c>
      <c r="U39" s="685">
        <f t="shared" si="19"/>
        <v>3.0000000000000001E-3</v>
      </c>
      <c r="V39" s="685">
        <f t="shared" si="20"/>
        <v>3.18</v>
      </c>
      <c r="W39" s="685">
        <f t="shared" si="21"/>
        <v>3.0744539999999997E-2</v>
      </c>
      <c r="X39" s="685">
        <f t="shared" si="22"/>
        <v>0</v>
      </c>
      <c r="Y39" s="685">
        <f t="shared" si="23"/>
        <v>1.5751999999999999E-3</v>
      </c>
    </row>
    <row r="40" spans="11:27" x14ac:dyDescent="0.2">
      <c r="Z40" s="687"/>
      <c r="AA40" s="687"/>
    </row>
    <row r="41" spans="11:27" x14ac:dyDescent="0.2">
      <c r="K41" s="687"/>
    </row>
    <row r="42" spans="11:27" x14ac:dyDescent="0.2">
      <c r="L42" s="910" t="s">
        <v>2263</v>
      </c>
      <c r="M42" s="910"/>
      <c r="N42" s="910"/>
      <c r="O42" s="910"/>
      <c r="P42" s="910"/>
      <c r="Q42" s="910"/>
      <c r="R42" s="910"/>
      <c r="S42" s="910"/>
      <c r="T42" s="910"/>
      <c r="U42" s="910"/>
      <c r="V42" s="910"/>
      <c r="W42" s="910"/>
      <c r="X42" s="910"/>
      <c r="Y42" s="910"/>
      <c r="Z42" s="910"/>
    </row>
    <row r="43" spans="11:27" x14ac:dyDescent="0.2">
      <c r="M43" s="654" t="s">
        <v>1665</v>
      </c>
      <c r="N43" s="654" t="s">
        <v>473</v>
      </c>
      <c r="O43" s="654" t="s">
        <v>474</v>
      </c>
      <c r="P43" s="654" t="s">
        <v>475</v>
      </c>
      <c r="Q43" s="654" t="s">
        <v>476</v>
      </c>
      <c r="R43" s="654" t="s">
        <v>1036</v>
      </c>
      <c r="S43" s="654" t="s">
        <v>471</v>
      </c>
      <c r="T43" s="654" t="s">
        <v>1037</v>
      </c>
      <c r="U43" s="654" t="s">
        <v>1038</v>
      </c>
      <c r="V43" s="654" t="s">
        <v>1039</v>
      </c>
      <c r="W43" s="663" t="s">
        <v>1090</v>
      </c>
      <c r="X43" s="663" t="s">
        <v>1091</v>
      </c>
      <c r="Y43" s="654" t="s">
        <v>1685</v>
      </c>
    </row>
    <row r="45" spans="11:27" x14ac:dyDescent="0.2">
      <c r="L45" s="643" t="s">
        <v>1666</v>
      </c>
      <c r="M45" s="643" t="s">
        <v>1706</v>
      </c>
      <c r="N45" s="685">
        <f>VLOOKUP(M45,tblVoedingPoeder,6,FALSE)*tblOmrekenNA/100</f>
        <v>3.04346E-3</v>
      </c>
      <c r="O45" s="685">
        <f>VLOOKUP(M45,tblVoedingPoeder,7,FALSE)*tblOmrekenK/100</f>
        <v>0</v>
      </c>
      <c r="P45" s="685">
        <f>VLOOKUP(M45,tblVoedingPoeder,8,FALSE)*tblOmrekenCa/100</f>
        <v>0</v>
      </c>
      <c r="Q45" s="685">
        <f>VLOOKUP(M45,tblVoedingPoeder,10,FALSE)*tblOmrekenMg/100</f>
        <v>0</v>
      </c>
      <c r="R45" s="685">
        <f>VLOOKUP(M45,tblVoedingPoeder,9,FALSE)*tblOmrekenP/100</f>
        <v>0</v>
      </c>
      <c r="S45" s="685">
        <f>VLOOKUP(M45,tblVoedingPoeder,3,FALSE)/100</f>
        <v>0</v>
      </c>
      <c r="T45" s="685">
        <f>VLOOKUP(M45,tblVoedingPoeder,4,FALSE)/100</f>
        <v>0</v>
      </c>
      <c r="U45" s="685">
        <f>VLOOKUP(M45,tblVoedingPoeder,5,FALSE)/100</f>
        <v>0.5</v>
      </c>
      <c r="V45" s="685">
        <f>VLOOKUP(M45,tblVoedingPoeder,2,FALSE)/100</f>
        <v>4.5</v>
      </c>
      <c r="W45" s="685">
        <f>VLOOKUP(M45,tblVoedingPoeder,13,FALSE)*tblOmrekenCl/100</f>
        <v>2.8206000000000001E-5</v>
      </c>
      <c r="X45" s="685">
        <f>VLOOKUP(M45,tblVoedingPoeder,12,FALSE)*tblOmrekenVitD/100</f>
        <v>0</v>
      </c>
      <c r="Y45" s="685">
        <f>VLOOKUP(M45,tblVoedingPoeder,11,FALSE)*tblOmrekenFe/100</f>
        <v>0</v>
      </c>
      <c r="Z45" s="644"/>
      <c r="AA45" s="644"/>
    </row>
    <row r="46" spans="11:27" x14ac:dyDescent="0.2">
      <c r="L46" s="643" t="s">
        <v>1667</v>
      </c>
      <c r="M46" s="643" t="s">
        <v>1040</v>
      </c>
      <c r="N46" s="685">
        <f>VLOOKUP(M46,tblVoedingPoeder,6,FALSE)*tblOmrekenNA/100</f>
        <v>8.6956000000000002E-4</v>
      </c>
      <c r="O46" s="685">
        <f>VLOOKUP(M46,tblVoedingPoeder,7,FALSE)*tblOmrekenK/100</f>
        <v>0</v>
      </c>
      <c r="P46" s="685">
        <f>VLOOKUP(M46,tblVoedingPoeder,8,FALSE)*tblOmrekenCa/100</f>
        <v>0</v>
      </c>
      <c r="Q46" s="685">
        <f>VLOOKUP(M46,tblVoedingPoeder,10,FALSE)*tblOmrekenMg/100</f>
        <v>0</v>
      </c>
      <c r="R46" s="685">
        <f>VLOOKUP(M46,tblVoedingPoeder,9,FALSE)*tblOmrekenP/100</f>
        <v>0</v>
      </c>
      <c r="S46" s="685">
        <f>VLOOKUP(M46,tblVoedingPoeder,3,FALSE)/100</f>
        <v>0</v>
      </c>
      <c r="T46" s="685">
        <f>VLOOKUP(M46,tblVoedingPoeder,4,FALSE)/100</f>
        <v>0.96</v>
      </c>
      <c r="U46" s="685">
        <f>VLOOKUP(M46,tblVoedingPoeder,5,FALSE)/100</f>
        <v>0</v>
      </c>
      <c r="V46" s="685">
        <f>VLOOKUP(M46,tblVoedingPoeder,2,FALSE)/100</f>
        <v>3.84</v>
      </c>
      <c r="W46" s="685">
        <f>VLOOKUP(M46,tblVoedingPoeder,13,FALSE)*tblOmrekenCl/100</f>
        <v>0</v>
      </c>
      <c r="X46" s="685">
        <f>VLOOKUP(M46,tblVoedingPoeder,12,FALSE)*tblOmrekenVitD/100</f>
        <v>0</v>
      </c>
      <c r="Y46" s="685">
        <f>VLOOKUP(M46,tblVoedingPoeder,11,FALSE)*tblOmrekenFe/100</f>
        <v>0</v>
      </c>
      <c r="Z46" s="644"/>
      <c r="AA46" s="644"/>
    </row>
    <row r="47" spans="11:27" x14ac:dyDescent="0.2">
      <c r="L47" s="643" t="s">
        <v>1668</v>
      </c>
      <c r="M47" s="643" t="s">
        <v>1704</v>
      </c>
      <c r="N47" s="685">
        <f>VLOOKUP(M47,tblVoedingPoeder,6,FALSE)*tblOmrekenNA/100</f>
        <v>0.1804337</v>
      </c>
      <c r="O47" s="685">
        <f>VLOOKUP(M47,tblVoedingPoeder,7,FALSE)*tblOmrekenK/100</f>
        <v>0.12153833999999999</v>
      </c>
      <c r="P47" s="685">
        <f>VLOOKUP(M47,tblVoedingPoeder,8,FALSE)*tblOmrekenCa/100</f>
        <v>0.14765699999999998</v>
      </c>
      <c r="Q47" s="685">
        <f>VLOOKUP(M47,tblVoedingPoeder,10,FALSE)*tblOmrekenMg/100</f>
        <v>1.9336269999999999E-2</v>
      </c>
      <c r="R47" s="685">
        <f>VLOOKUP(M47,tblVoedingPoeder,9,FALSE)*tblOmrekenP/100</f>
        <v>0.10719947999999999</v>
      </c>
      <c r="S47" s="685">
        <f>VLOOKUP(M47,tblVoedingPoeder,3,FALSE)/100</f>
        <v>0.156</v>
      </c>
      <c r="T47" s="685">
        <f>VLOOKUP(M47,tblVoedingPoeder,4,FALSE)/100</f>
        <v>0.22899999999999998</v>
      </c>
      <c r="U47" s="685">
        <f>VLOOKUP(M47,tblVoedingPoeder,5,FALSE)/100</f>
        <v>0.498</v>
      </c>
      <c r="V47" s="685">
        <f>VLOOKUP(M47,tblVoedingPoeder,2,FALSE)/100</f>
        <v>4.74</v>
      </c>
      <c r="W47" s="685">
        <f>VLOOKUP(M47,tblVoedingPoeder,13,FALSE)*tblOmrekenCl/100</f>
        <v>0.14215823999999999</v>
      </c>
      <c r="X47" s="685">
        <f>VLOOKUP(M47,tblVoedingPoeder,12,FALSE)*tblOmrekenVitD/100</f>
        <v>7.2</v>
      </c>
      <c r="Y47" s="685">
        <f>VLOOKUP(M47,tblVoedingPoeder,11,FALSE)*tblOmrekenFe/100</f>
        <v>1.7004999999999998E-3</v>
      </c>
      <c r="Z47" s="644"/>
      <c r="AA47" s="644"/>
    </row>
    <row r="48" spans="11:27" x14ac:dyDescent="0.2">
      <c r="L48" s="643" t="s">
        <v>1669</v>
      </c>
      <c r="M48" s="643" t="s">
        <v>1765</v>
      </c>
      <c r="N48" s="685">
        <f>VLOOKUP(M48,tblVoedingPoeder,6,FALSE)*tblOmrekenNA/100</f>
        <v>2.6086799999999999E-3</v>
      </c>
      <c r="O48" s="685">
        <f>VLOOKUP(M48,tblVoedingPoeder,7,FALSE)*tblOmrekenK/100</f>
        <v>2.3333310000000003E-2</v>
      </c>
      <c r="P48" s="685">
        <f>VLOOKUP(M48,tblVoedingPoeder,8,FALSE)*tblOmrekenCa/100</f>
        <v>8.3415000000000003E-2</v>
      </c>
      <c r="Q48" s="685">
        <f>VLOOKUP(M48,tblVoedingPoeder,10,FALSE)*tblOmrekenMg/100</f>
        <v>3.7438309999999995E-3</v>
      </c>
      <c r="R48" s="685">
        <f>VLOOKUP(M48,tblVoedingPoeder,9,FALSE)*tblOmrekenP/100</f>
        <v>3.8746799999999997E-3</v>
      </c>
      <c r="S48" s="685">
        <f>VLOOKUP(M48,tblVoedingPoeder,3,FALSE)/100</f>
        <v>0</v>
      </c>
      <c r="T48" s="685">
        <f>VLOOKUP(M48,tblVoedingPoeder,4,FALSE)/100</f>
        <v>0.66200000000000003</v>
      </c>
      <c r="U48" s="685">
        <f>VLOOKUP(M48,tblVoedingPoeder,5,FALSE)/100</f>
        <v>3.0000000000000001E-3</v>
      </c>
      <c r="V48" s="685">
        <f>VLOOKUP(M48,tblVoedingPoeder,2,FALSE)/100</f>
        <v>3.18</v>
      </c>
      <c r="W48" s="685">
        <f>VLOOKUP(M48,tblVoedingPoeder,13,FALSE)*tblOmrekenCl/100</f>
        <v>3.0744539999999997E-2</v>
      </c>
      <c r="X48" s="685">
        <f>VLOOKUP(M48,tblVoedingPoeder,12,FALSE)*tblOmrekenVitD/100</f>
        <v>0</v>
      </c>
      <c r="Y48" s="685">
        <f>VLOOKUP(M48,tblVoedingPoeder,11,FALSE)*tblOmrekenFe/100</f>
        <v>1.5751999999999999E-3</v>
      </c>
      <c r="Z48" s="644"/>
      <c r="AA48" s="644"/>
    </row>
    <row r="49" spans="1:27" x14ac:dyDescent="0.2">
      <c r="M49" s="687"/>
      <c r="P49" s="646"/>
      <c r="Q49" s="646"/>
      <c r="W49" s="646"/>
      <c r="Y49" s="644"/>
      <c r="Z49" s="644"/>
      <c r="AA49" s="644"/>
    </row>
    <row r="50" spans="1:27" x14ac:dyDescent="0.2">
      <c r="L50" s="910" t="s">
        <v>2266</v>
      </c>
      <c r="M50" s="910"/>
      <c r="N50" s="910"/>
      <c r="O50" s="910"/>
      <c r="P50" s="910"/>
      <c r="Q50" s="910"/>
      <c r="R50" s="910"/>
      <c r="S50" s="910"/>
      <c r="T50" s="910"/>
      <c r="U50" s="910"/>
      <c r="V50" s="910"/>
      <c r="W50" s="910"/>
      <c r="X50" s="910"/>
      <c r="Y50" s="910"/>
      <c r="Z50" s="910"/>
      <c r="AA50" s="644"/>
    </row>
    <row r="51" spans="1:27" x14ac:dyDescent="0.2">
      <c r="M51" s="654"/>
      <c r="N51" s="654" t="s">
        <v>473</v>
      </c>
      <c r="O51" s="654" t="s">
        <v>474</v>
      </c>
      <c r="P51" s="654" t="s">
        <v>475</v>
      </c>
      <c r="Q51" s="654" t="s">
        <v>476</v>
      </c>
      <c r="R51" s="654" t="s">
        <v>1036</v>
      </c>
      <c r="S51" s="654" t="s">
        <v>471</v>
      </c>
      <c r="T51" s="654" t="s">
        <v>1037</v>
      </c>
      <c r="U51" s="654" t="s">
        <v>1038</v>
      </c>
      <c r="V51" s="654" t="s">
        <v>1039</v>
      </c>
      <c r="W51" s="706" t="s">
        <v>1090</v>
      </c>
      <c r="X51" s="706" t="s">
        <v>1091</v>
      </c>
      <c r="Y51" s="654" t="s">
        <v>1685</v>
      </c>
      <c r="Z51" s="644"/>
      <c r="AA51" s="644"/>
    </row>
    <row r="52" spans="1:27" x14ac:dyDescent="0.2">
      <c r="L52" s="643" t="s">
        <v>1102</v>
      </c>
      <c r="M52" s="643" t="s">
        <v>1102</v>
      </c>
      <c r="N52" s="685">
        <f>VLOOKUP(M52,tblVoedingPoeder,6,FALSE)*tblOmrekenNA/100</f>
        <v>0.34912834000000004</v>
      </c>
      <c r="O52" s="685">
        <f>VLOOKUP(M52,tblVoedingPoeder,7,FALSE)*tblOmrekenK/100</f>
        <v>0.13538448</v>
      </c>
      <c r="P52" s="685">
        <f>VLOOKUP(M52,tblVoedingPoeder,8,FALSE)*tblOmrekenCa/100</f>
        <v>0.37125899999999995</v>
      </c>
      <c r="Q52" s="685">
        <f>VLOOKUP(M52,tblVoedingPoeder,10,FALSE)*tblOmrekenMg/100</f>
        <v>4.7312149999999997E-2</v>
      </c>
      <c r="R52" s="685">
        <f>VLOOKUP(M52,tblVoedingPoeder,9,FALSE)*tblOmrekenP/100</f>
        <v>0.28156007999999999</v>
      </c>
      <c r="S52" s="685">
        <f>VLOOKUP(M52,tblVoedingPoeder,3,FALSE)/100</f>
        <v>0.252</v>
      </c>
      <c r="T52" s="685">
        <f>VLOOKUP(M52,tblVoedingPoeder,4,FALSE)/100</f>
        <v>0.622</v>
      </c>
      <c r="U52" s="685">
        <f>VLOOKUP(M52,tblVoedingPoeder,5,FALSE)/100</f>
        <v>0</v>
      </c>
      <c r="V52" s="685">
        <f>VLOOKUP(M52,tblVoedingPoeder,2,FALSE)/100</f>
        <v>3.47</v>
      </c>
      <c r="W52" s="685">
        <f>VLOOKUP(M52,tblVoedingPoeder,13,FALSE)*tblOmrekenCl/100</f>
        <v>0.16162037999999998</v>
      </c>
      <c r="X52" s="685">
        <f>VLOOKUP(M52,tblVoedingPoeder,12,FALSE)*tblOmrekenVitD/100</f>
        <v>46</v>
      </c>
      <c r="Y52" s="685">
        <f>VLOOKUP(M52,tblVoedingPoeder,11,FALSE)*tblOmrekenFe/100</f>
        <v>0</v>
      </c>
      <c r="Z52" s="644"/>
      <c r="AA52" s="644"/>
    </row>
    <row r="53" spans="1:27" x14ac:dyDescent="0.2">
      <c r="M53" s="644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</row>
    <row r="54" spans="1:27" x14ac:dyDescent="0.2">
      <c r="A54" s="644"/>
      <c r="B54" s="644"/>
      <c r="C54" s="644"/>
      <c r="D54" s="644"/>
      <c r="E54" s="644"/>
      <c r="F54" s="644"/>
      <c r="G54" s="644"/>
      <c r="H54" s="644"/>
      <c r="M54" s="644"/>
      <c r="N54" s="631"/>
      <c r="O54" s="631"/>
      <c r="P54" s="631"/>
      <c r="Q54" s="631"/>
      <c r="R54" s="631"/>
      <c r="S54" s="631"/>
      <c r="T54" s="631"/>
      <c r="U54" s="631"/>
      <c r="V54" s="631"/>
      <c r="W54" s="631"/>
      <c r="X54" s="631"/>
      <c r="Y54" s="631"/>
      <c r="Z54" s="631"/>
      <c r="AA54" s="631"/>
    </row>
    <row r="55" spans="1:27" x14ac:dyDescent="0.2">
      <c r="A55" s="644"/>
      <c r="B55" s="644"/>
      <c r="C55" s="644"/>
      <c r="D55" s="644"/>
      <c r="E55" s="644"/>
      <c r="F55" s="644"/>
      <c r="G55" s="644"/>
      <c r="H55" s="644"/>
      <c r="L55" s="644"/>
      <c r="M55" s="644"/>
      <c r="N55" s="631"/>
      <c r="O55" s="631"/>
      <c r="P55" s="631"/>
      <c r="Q55" s="631"/>
      <c r="R55" s="631"/>
      <c r="S55" s="631"/>
      <c r="T55" s="631"/>
      <c r="U55" s="631"/>
      <c r="V55" s="631"/>
      <c r="W55" s="631"/>
      <c r="X55" s="631"/>
      <c r="Y55" s="631"/>
      <c r="Z55" s="631"/>
      <c r="AA55" s="631"/>
    </row>
    <row r="56" spans="1:27" x14ac:dyDescent="0.2">
      <c r="A56" s="644"/>
      <c r="B56" s="644"/>
      <c r="C56" s="644"/>
      <c r="D56" s="644"/>
      <c r="E56" s="644"/>
      <c r="F56" s="644"/>
      <c r="G56" s="644"/>
      <c r="H56" s="644"/>
      <c r="I56" s="644"/>
      <c r="J56" s="644"/>
      <c r="K56" s="644"/>
      <c r="L56" s="644"/>
      <c r="M56" s="644"/>
      <c r="N56" s="631"/>
      <c r="O56" s="631"/>
      <c r="P56" s="631"/>
      <c r="Q56" s="631"/>
      <c r="R56" s="631"/>
      <c r="S56" s="631"/>
      <c r="T56" s="631"/>
      <c r="U56" s="631"/>
      <c r="V56" s="631"/>
      <c r="W56" s="631"/>
      <c r="X56" s="631"/>
      <c r="Y56" s="631"/>
      <c r="Z56" s="631"/>
      <c r="AA56" s="631"/>
    </row>
    <row r="57" spans="1:27" x14ac:dyDescent="0.2">
      <c r="A57" s="644"/>
      <c r="B57" s="644"/>
      <c r="C57" s="644"/>
      <c r="D57" s="644"/>
      <c r="E57" s="644"/>
      <c r="F57" s="644"/>
      <c r="G57" s="644"/>
      <c r="H57" s="644"/>
      <c r="I57" s="644"/>
      <c r="J57" s="644"/>
      <c r="K57" s="644"/>
      <c r="L57" s="644"/>
      <c r="M57" s="644"/>
      <c r="N57" s="631"/>
      <c r="O57" s="631"/>
      <c r="P57" s="631"/>
      <c r="Q57" s="631"/>
      <c r="R57" s="631"/>
      <c r="S57" s="631"/>
      <c r="T57" s="631"/>
      <c r="U57" s="631"/>
      <c r="V57" s="631"/>
      <c r="W57" s="631"/>
      <c r="X57" s="631"/>
      <c r="Y57" s="631"/>
      <c r="Z57" s="631"/>
      <c r="AA57" s="631"/>
    </row>
    <row r="58" spans="1:27" x14ac:dyDescent="0.2">
      <c r="A58" s="644"/>
      <c r="B58" s="644"/>
      <c r="C58" s="644"/>
      <c r="D58" s="644"/>
      <c r="E58" s="644"/>
      <c r="F58" s="644"/>
      <c r="G58" s="644"/>
      <c r="H58" s="644"/>
      <c r="I58" s="644"/>
      <c r="J58" s="644"/>
      <c r="K58" s="644"/>
      <c r="L58" s="644"/>
      <c r="P58" s="646"/>
      <c r="Q58" s="646"/>
      <c r="W58" s="632"/>
      <c r="X58" s="645"/>
      <c r="Y58" s="644"/>
      <c r="Z58" s="631"/>
      <c r="AA58" s="631"/>
    </row>
    <row r="59" spans="1:27" x14ac:dyDescent="0.2">
      <c r="A59" s="644"/>
      <c r="B59" s="644"/>
      <c r="C59" s="644"/>
      <c r="D59" s="644"/>
      <c r="E59" s="644"/>
      <c r="F59" s="644"/>
      <c r="G59" s="644"/>
      <c r="H59" s="644"/>
      <c r="I59" s="644"/>
      <c r="J59" s="644"/>
      <c r="K59" s="644"/>
      <c r="L59" s="644"/>
      <c r="P59" s="646"/>
      <c r="Q59" s="646"/>
      <c r="W59" s="642"/>
      <c r="Y59" s="644"/>
      <c r="Z59" s="644"/>
      <c r="AA59" s="644"/>
    </row>
    <row r="60" spans="1:27" x14ac:dyDescent="0.2">
      <c r="A60" s="644"/>
      <c r="B60" s="644"/>
      <c r="C60" s="644"/>
      <c r="D60" s="644"/>
      <c r="E60" s="644"/>
      <c r="F60" s="644"/>
      <c r="G60" s="644"/>
      <c r="H60" s="644"/>
      <c r="I60" s="644"/>
      <c r="J60" s="644"/>
      <c r="K60" s="644"/>
      <c r="L60" s="644"/>
      <c r="P60" s="646"/>
      <c r="Q60" s="646"/>
      <c r="W60" s="642"/>
      <c r="Y60" s="644"/>
      <c r="Z60" s="644"/>
      <c r="AA60" s="644"/>
    </row>
    <row r="61" spans="1:27" x14ac:dyDescent="0.2">
      <c r="A61" s="644"/>
      <c r="B61" s="644"/>
      <c r="C61" s="644"/>
      <c r="D61" s="644"/>
      <c r="E61" s="644"/>
      <c r="F61" s="644"/>
      <c r="G61" s="644"/>
      <c r="H61" s="644"/>
      <c r="I61" s="644"/>
      <c r="J61" s="644"/>
      <c r="K61" s="644"/>
      <c r="L61" s="644"/>
      <c r="P61" s="646"/>
      <c r="Q61" s="646"/>
      <c r="W61" s="642"/>
      <c r="Y61" s="644"/>
      <c r="Z61" s="644"/>
      <c r="AA61" s="644"/>
    </row>
    <row r="62" spans="1:27" x14ac:dyDescent="0.2">
      <c r="A62" s="644"/>
      <c r="B62" s="644"/>
      <c r="C62" s="644"/>
      <c r="D62" s="644"/>
      <c r="E62" s="644"/>
      <c r="F62" s="644"/>
      <c r="G62" s="644"/>
      <c r="H62" s="644"/>
      <c r="I62" s="644"/>
      <c r="J62" s="644"/>
      <c r="K62" s="644"/>
      <c r="L62" s="644"/>
      <c r="M62" s="686"/>
      <c r="N62" s="686"/>
      <c r="Z62" s="644"/>
      <c r="AA62" s="644"/>
    </row>
    <row r="63" spans="1:27" x14ac:dyDescent="0.2">
      <c r="A63" s="644"/>
      <c r="B63" s="644"/>
      <c r="C63" s="644"/>
      <c r="D63" s="644"/>
      <c r="E63" s="644"/>
      <c r="F63" s="644"/>
      <c r="G63" s="644"/>
      <c r="H63" s="644"/>
      <c r="I63" s="644"/>
      <c r="J63" s="644"/>
      <c r="K63" s="644"/>
      <c r="L63" s="644"/>
      <c r="M63" s="596"/>
    </row>
    <row r="64" spans="1:27" x14ac:dyDescent="0.2">
      <c r="A64" s="644"/>
      <c r="B64" s="644"/>
      <c r="C64" s="644"/>
      <c r="D64" s="644"/>
      <c r="E64" s="644"/>
      <c r="F64" s="644"/>
      <c r="G64" s="644"/>
      <c r="H64" s="644"/>
      <c r="I64" s="644"/>
      <c r="J64" s="644"/>
      <c r="K64" s="644"/>
      <c r="L64" s="644"/>
    </row>
    <row r="65" spans="1:27" x14ac:dyDescent="0.2">
      <c r="A65" s="644"/>
      <c r="B65" s="644"/>
      <c r="C65" s="644"/>
      <c r="D65" s="644"/>
      <c r="E65" s="644"/>
      <c r="F65" s="644"/>
      <c r="G65" s="644"/>
      <c r="H65" s="644"/>
      <c r="I65" s="644"/>
      <c r="J65" s="644"/>
      <c r="K65" s="644"/>
      <c r="L65" s="644"/>
      <c r="N65" s="687"/>
      <c r="O65" s="687"/>
      <c r="P65" s="687"/>
      <c r="Q65" s="687"/>
      <c r="R65" s="687"/>
      <c r="S65" s="687"/>
      <c r="T65" s="687"/>
      <c r="U65" s="687"/>
      <c r="V65" s="687"/>
      <c r="W65" s="687"/>
      <c r="X65" s="687"/>
      <c r="Y65" s="687"/>
    </row>
    <row r="66" spans="1:27" x14ac:dyDescent="0.2">
      <c r="A66" s="644"/>
      <c r="B66" s="644"/>
      <c r="C66" s="644"/>
      <c r="D66" s="644"/>
      <c r="E66" s="644"/>
      <c r="F66" s="644"/>
      <c r="G66" s="644"/>
      <c r="H66" s="644"/>
      <c r="I66" s="644"/>
      <c r="J66" s="644"/>
      <c r="K66" s="644"/>
      <c r="L66" s="644"/>
      <c r="P66" s="646"/>
      <c r="Q66" s="646"/>
      <c r="W66" s="647"/>
      <c r="X66" s="644"/>
      <c r="Y66" s="644"/>
      <c r="Z66" s="687"/>
      <c r="AA66" s="687"/>
    </row>
    <row r="67" spans="1:27" x14ac:dyDescent="0.2">
      <c r="A67" s="644"/>
      <c r="B67" s="644"/>
      <c r="C67" s="644"/>
      <c r="D67" s="644"/>
      <c r="E67" s="644"/>
      <c r="F67" s="644"/>
      <c r="G67" s="644"/>
      <c r="H67" s="644"/>
      <c r="I67" s="644"/>
      <c r="J67" s="644"/>
      <c r="K67" s="644"/>
      <c r="L67" s="644"/>
      <c r="M67" s="644"/>
      <c r="N67" s="644"/>
      <c r="O67" s="644"/>
      <c r="P67" s="647"/>
      <c r="Q67" s="647"/>
      <c r="R67" s="644"/>
      <c r="S67" s="644"/>
      <c r="T67" s="644"/>
      <c r="U67" s="644"/>
      <c r="V67" s="644"/>
      <c r="W67" s="635"/>
      <c r="X67" s="631"/>
      <c r="Y67" s="631"/>
      <c r="Z67" s="644"/>
      <c r="AA67" s="644"/>
    </row>
    <row r="68" spans="1:27" x14ac:dyDescent="0.2">
      <c r="A68" s="644"/>
      <c r="B68" s="644"/>
      <c r="C68" s="644"/>
      <c r="D68" s="644"/>
      <c r="E68" s="644"/>
      <c r="F68" s="644"/>
      <c r="G68" s="644"/>
      <c r="H68" s="644"/>
      <c r="I68" s="644"/>
      <c r="J68" s="644"/>
      <c r="K68" s="644"/>
      <c r="L68" s="644"/>
      <c r="M68" s="644"/>
      <c r="N68" s="644"/>
      <c r="O68" s="644"/>
      <c r="P68" s="647"/>
      <c r="Q68" s="647"/>
      <c r="R68" s="644"/>
      <c r="S68" s="644"/>
      <c r="T68" s="644"/>
      <c r="U68" s="644"/>
      <c r="V68" s="644"/>
      <c r="W68" s="635"/>
      <c r="X68" s="631"/>
      <c r="Y68" s="631"/>
      <c r="Z68" s="631"/>
      <c r="AA68" s="631"/>
    </row>
    <row r="69" spans="1:27" x14ac:dyDescent="0.2">
      <c r="A69" s="644"/>
      <c r="B69" s="644"/>
      <c r="C69" s="644"/>
      <c r="D69" s="644"/>
      <c r="E69" s="644"/>
      <c r="F69" s="644"/>
      <c r="G69" s="644"/>
      <c r="H69" s="644"/>
      <c r="I69" s="644"/>
      <c r="J69" s="644"/>
      <c r="K69" s="644"/>
      <c r="L69" s="644"/>
      <c r="M69" s="644"/>
      <c r="N69" s="644"/>
      <c r="O69" s="644"/>
      <c r="P69" s="647"/>
      <c r="Q69" s="647"/>
      <c r="R69" s="644"/>
      <c r="S69" s="644"/>
      <c r="T69" s="644"/>
      <c r="U69" s="644"/>
      <c r="V69" s="639"/>
      <c r="W69" s="637"/>
      <c r="X69" s="636"/>
      <c r="Y69" s="636"/>
      <c r="Z69" s="631"/>
      <c r="AA69" s="631"/>
    </row>
    <row r="70" spans="1:27" x14ac:dyDescent="0.2">
      <c r="A70" s="644"/>
      <c r="B70" s="644"/>
      <c r="C70" s="644"/>
      <c r="D70" s="644"/>
      <c r="E70" s="644"/>
      <c r="F70" s="644"/>
      <c r="G70" s="644"/>
      <c r="H70" s="644"/>
      <c r="I70" s="644"/>
      <c r="J70" s="644"/>
      <c r="K70" s="644"/>
      <c r="L70" s="644"/>
      <c r="M70" s="644"/>
      <c r="N70" s="644"/>
      <c r="O70" s="644"/>
      <c r="P70" s="647"/>
      <c r="Q70" s="647"/>
      <c r="R70" s="644"/>
      <c r="S70" s="644"/>
      <c r="T70" s="644"/>
      <c r="U70" s="644"/>
      <c r="V70" s="639"/>
      <c r="W70" s="637"/>
      <c r="X70" s="636"/>
      <c r="Y70" s="636"/>
      <c r="Z70" s="636"/>
      <c r="AA70" s="636"/>
    </row>
    <row r="71" spans="1:27" x14ac:dyDescent="0.2">
      <c r="A71" s="644"/>
      <c r="B71" s="644"/>
      <c r="C71" s="644"/>
      <c r="D71" s="644"/>
      <c r="E71" s="644"/>
      <c r="F71" s="644"/>
      <c r="G71" s="644"/>
      <c r="H71" s="644"/>
      <c r="I71" s="644"/>
      <c r="J71" s="644"/>
      <c r="K71" s="644"/>
      <c r="L71" s="644"/>
      <c r="M71" s="644"/>
      <c r="N71" s="644"/>
      <c r="O71" s="644"/>
      <c r="P71" s="647"/>
      <c r="Q71" s="647"/>
      <c r="R71" s="644"/>
      <c r="S71" s="644"/>
      <c r="T71" s="644"/>
      <c r="U71" s="644"/>
      <c r="V71" s="644"/>
      <c r="W71" s="637"/>
      <c r="X71" s="636"/>
      <c r="Y71" s="636"/>
      <c r="Z71" s="636"/>
      <c r="AA71" s="636"/>
    </row>
    <row r="72" spans="1:27" x14ac:dyDescent="0.2">
      <c r="A72" s="644"/>
      <c r="B72" s="644"/>
      <c r="C72" s="644"/>
      <c r="D72" s="644"/>
      <c r="E72" s="644"/>
      <c r="F72" s="644"/>
      <c r="G72" s="644"/>
      <c r="H72" s="644"/>
      <c r="I72" s="644"/>
      <c r="J72" s="644"/>
      <c r="K72" s="644"/>
      <c r="L72" s="644"/>
      <c r="M72" s="644"/>
      <c r="N72" s="644"/>
      <c r="O72" s="644"/>
      <c r="P72" s="647"/>
      <c r="Q72" s="647"/>
      <c r="R72" s="644"/>
      <c r="S72" s="644"/>
      <c r="T72" s="644"/>
      <c r="U72" s="644"/>
      <c r="V72" s="644"/>
      <c r="W72" s="637"/>
      <c r="X72" s="636"/>
      <c r="Y72" s="636"/>
      <c r="Z72" s="636"/>
      <c r="AA72" s="636"/>
    </row>
    <row r="73" spans="1:27" x14ac:dyDescent="0.2">
      <c r="A73" s="644"/>
      <c r="B73" s="644"/>
      <c r="C73" s="644"/>
      <c r="D73" s="644"/>
      <c r="E73" s="644"/>
      <c r="F73" s="644"/>
      <c r="G73" s="644"/>
      <c r="H73" s="644"/>
      <c r="I73" s="644"/>
      <c r="J73" s="644"/>
      <c r="K73" s="644"/>
      <c r="L73" s="644"/>
      <c r="M73" s="644"/>
      <c r="P73" s="646"/>
      <c r="Q73" s="646"/>
      <c r="W73" s="632"/>
      <c r="X73" s="645"/>
      <c r="Y73" s="631"/>
      <c r="Z73" s="636"/>
      <c r="AA73" s="636"/>
    </row>
    <row r="74" spans="1:27" x14ac:dyDescent="0.2">
      <c r="A74" s="644"/>
      <c r="B74" s="644"/>
      <c r="C74" s="644"/>
      <c r="D74" s="644"/>
      <c r="E74" s="644"/>
      <c r="F74" s="644"/>
      <c r="G74" s="644"/>
      <c r="H74" s="644"/>
      <c r="I74" s="644"/>
      <c r="J74" s="644"/>
      <c r="K74" s="644"/>
      <c r="L74" s="644"/>
      <c r="M74" s="644"/>
      <c r="P74" s="646"/>
      <c r="Q74" s="646"/>
      <c r="W74" s="632"/>
      <c r="X74" s="645"/>
      <c r="Y74" s="631"/>
      <c r="Z74" s="631"/>
      <c r="AA74" s="631"/>
    </row>
    <row r="75" spans="1:27" x14ac:dyDescent="0.2">
      <c r="A75" s="688"/>
      <c r="B75" s="688"/>
      <c r="C75" s="550"/>
      <c r="D75" s="550"/>
      <c r="E75" s="550"/>
      <c r="F75" s="550"/>
      <c r="G75" s="550"/>
      <c r="H75" s="550"/>
      <c r="I75" s="644"/>
      <c r="J75" s="644"/>
      <c r="K75" s="644"/>
      <c r="L75" s="644"/>
      <c r="M75" s="644"/>
      <c r="P75" s="646"/>
      <c r="Q75" s="646"/>
      <c r="W75" s="632"/>
      <c r="X75" s="645"/>
      <c r="Y75" s="631"/>
      <c r="Z75" s="631"/>
      <c r="AA75" s="631"/>
    </row>
    <row r="76" spans="1:27" x14ac:dyDescent="0.2">
      <c r="A76" s="688"/>
      <c r="B76" s="688"/>
      <c r="C76" s="550"/>
      <c r="D76" s="550"/>
      <c r="E76" s="550"/>
      <c r="F76" s="550"/>
      <c r="G76" s="550"/>
      <c r="H76" s="550"/>
      <c r="I76" s="644"/>
      <c r="J76" s="644"/>
      <c r="K76" s="644"/>
      <c r="L76" s="263"/>
      <c r="M76" s="644"/>
      <c r="P76" s="646"/>
      <c r="Q76" s="646"/>
      <c r="W76" s="632"/>
      <c r="X76" s="645"/>
      <c r="Y76" s="631"/>
      <c r="Z76" s="631"/>
      <c r="AA76" s="631"/>
    </row>
    <row r="77" spans="1:27" x14ac:dyDescent="0.2">
      <c r="A77" s="550"/>
      <c r="B77" s="550"/>
      <c r="C77" s="550"/>
      <c r="D77" s="550"/>
      <c r="E77" s="550"/>
      <c r="F77" s="550"/>
      <c r="G77" s="550"/>
      <c r="H77" s="550"/>
      <c r="I77" s="550"/>
      <c r="J77" s="550"/>
      <c r="K77" s="263"/>
      <c r="L77" s="550"/>
      <c r="M77" s="644"/>
      <c r="N77" s="644"/>
      <c r="O77" s="644"/>
      <c r="P77" s="647"/>
      <c r="Q77" s="647"/>
      <c r="R77" s="644"/>
      <c r="S77" s="644"/>
      <c r="T77" s="644"/>
      <c r="U77" s="644"/>
      <c r="V77" s="645"/>
      <c r="W77" s="647"/>
      <c r="X77" s="644"/>
      <c r="Y77" s="644"/>
      <c r="Z77" s="631"/>
      <c r="AA77" s="631"/>
    </row>
    <row r="78" spans="1:27" x14ac:dyDescent="0.2">
      <c r="A78" s="688"/>
      <c r="B78" s="688"/>
      <c r="C78" s="550"/>
      <c r="D78" s="550"/>
      <c r="E78" s="550"/>
      <c r="F78" s="550"/>
      <c r="G78" s="550"/>
      <c r="H78" s="550"/>
      <c r="I78" s="550"/>
      <c r="J78" s="550"/>
      <c r="K78" s="550"/>
      <c r="L78" s="550"/>
      <c r="M78" s="644"/>
      <c r="N78" s="644"/>
      <c r="O78" s="644"/>
      <c r="P78" s="647"/>
      <c r="Q78" s="647"/>
      <c r="R78" s="644"/>
      <c r="S78" s="644"/>
      <c r="T78" s="644"/>
      <c r="U78" s="644"/>
      <c r="V78" s="645"/>
      <c r="W78" s="647"/>
      <c r="X78" s="644"/>
      <c r="Y78" s="644"/>
      <c r="Z78" s="644"/>
      <c r="AA78" s="644"/>
    </row>
    <row r="79" spans="1:27" x14ac:dyDescent="0.2">
      <c r="A79" s="688"/>
      <c r="B79" s="688"/>
      <c r="C79" s="550"/>
      <c r="D79" s="550"/>
      <c r="E79" s="550"/>
      <c r="F79" s="550"/>
      <c r="G79" s="550"/>
      <c r="H79" s="550"/>
      <c r="I79" s="550"/>
      <c r="J79" s="550"/>
      <c r="K79" s="550"/>
      <c r="L79" s="550"/>
      <c r="M79" s="645"/>
      <c r="P79" s="646"/>
      <c r="Q79" s="646"/>
      <c r="W79" s="647"/>
      <c r="X79" s="644"/>
      <c r="Y79" s="644"/>
      <c r="Z79" s="644"/>
      <c r="AA79" s="644"/>
    </row>
    <row r="80" spans="1:27" x14ac:dyDescent="0.2">
      <c r="A80" s="688"/>
      <c r="B80" s="688"/>
      <c r="C80" s="550"/>
      <c r="D80" s="550"/>
      <c r="E80" s="550"/>
      <c r="F80" s="550"/>
      <c r="G80" s="550"/>
      <c r="H80" s="550"/>
      <c r="I80" s="550"/>
      <c r="J80" s="550"/>
      <c r="K80" s="550"/>
      <c r="L80" s="550"/>
      <c r="M80" s="645"/>
      <c r="N80" s="645"/>
      <c r="O80" s="645"/>
      <c r="P80" s="632"/>
      <c r="Q80" s="632"/>
      <c r="R80" s="645"/>
      <c r="S80" s="645"/>
      <c r="T80" s="645"/>
      <c r="U80" s="645"/>
      <c r="V80" s="645"/>
      <c r="W80" s="632"/>
      <c r="X80" s="645"/>
      <c r="Y80" s="631"/>
      <c r="Z80" s="644"/>
      <c r="AA80" s="644"/>
    </row>
    <row r="81" spans="1:27" x14ac:dyDescent="0.2">
      <c r="A81" s="688"/>
      <c r="B81" s="688"/>
      <c r="C81" s="550"/>
      <c r="D81" s="550"/>
      <c r="E81" s="550"/>
      <c r="F81" s="550"/>
      <c r="G81" s="550"/>
      <c r="H81" s="550"/>
      <c r="I81" s="550"/>
      <c r="J81" s="550"/>
      <c r="K81" s="550"/>
      <c r="L81" s="550"/>
      <c r="M81" s="645"/>
      <c r="N81" s="645"/>
      <c r="O81" s="645"/>
      <c r="P81" s="632"/>
      <c r="Q81" s="632"/>
      <c r="R81" s="645"/>
      <c r="S81" s="645"/>
      <c r="T81" s="645"/>
      <c r="U81" s="645"/>
      <c r="V81" s="645"/>
      <c r="W81" s="632"/>
      <c r="X81" s="645"/>
      <c r="Y81" s="631"/>
      <c r="Z81" s="631"/>
      <c r="AA81" s="631"/>
    </row>
    <row r="82" spans="1:27" x14ac:dyDescent="0.2">
      <c r="A82" s="550"/>
      <c r="B82" s="688"/>
      <c r="C82" s="550"/>
      <c r="D82" s="550"/>
      <c r="E82" s="550"/>
      <c r="F82" s="550"/>
      <c r="G82" s="550"/>
      <c r="H82" s="550"/>
      <c r="I82" s="550"/>
      <c r="J82" s="550"/>
      <c r="K82" s="550"/>
      <c r="L82" s="550"/>
      <c r="M82" s="645"/>
      <c r="N82" s="645"/>
      <c r="O82" s="645"/>
      <c r="P82" s="632"/>
      <c r="Q82" s="632"/>
      <c r="R82" s="645"/>
      <c r="S82" s="645"/>
      <c r="T82" s="645"/>
      <c r="U82" s="645"/>
      <c r="V82" s="645"/>
      <c r="W82" s="632"/>
      <c r="X82" s="645"/>
      <c r="Y82" s="631"/>
      <c r="Z82" s="631"/>
      <c r="AA82" s="631"/>
    </row>
    <row r="83" spans="1:27" x14ac:dyDescent="0.2">
      <c r="A83" s="550"/>
      <c r="B83" s="688"/>
      <c r="C83" s="550"/>
      <c r="D83" s="550"/>
      <c r="E83" s="550"/>
      <c r="F83" s="550"/>
      <c r="G83" s="550"/>
      <c r="H83" s="550"/>
      <c r="I83" s="550"/>
      <c r="J83" s="550"/>
      <c r="K83" s="550"/>
      <c r="L83" s="550"/>
      <c r="M83" s="645"/>
      <c r="N83" s="645"/>
      <c r="O83" s="645"/>
      <c r="P83" s="632"/>
      <c r="Q83" s="638"/>
      <c r="R83" s="645"/>
      <c r="S83" s="645"/>
      <c r="T83" s="645"/>
      <c r="U83" s="645"/>
      <c r="V83" s="645"/>
      <c r="W83" s="632"/>
      <c r="X83" s="633"/>
      <c r="Y83" s="636"/>
      <c r="Z83" s="631"/>
      <c r="AA83" s="631"/>
    </row>
    <row r="84" spans="1:27" x14ac:dyDescent="0.2">
      <c r="A84" s="688"/>
      <c r="B84" s="688"/>
      <c r="C84" s="550"/>
      <c r="D84" s="550"/>
      <c r="E84" s="550"/>
      <c r="F84" s="550"/>
      <c r="G84" s="550"/>
      <c r="H84" s="550"/>
      <c r="I84" s="550"/>
      <c r="J84" s="550"/>
      <c r="K84" s="550"/>
      <c r="L84" s="550"/>
      <c r="M84" s="645"/>
      <c r="N84" s="645"/>
      <c r="O84" s="645"/>
      <c r="P84" s="632"/>
      <c r="Q84" s="632"/>
      <c r="R84" s="645"/>
      <c r="S84" s="645"/>
      <c r="T84" s="645"/>
      <c r="U84" s="645"/>
      <c r="V84" s="645"/>
      <c r="W84" s="632"/>
      <c r="X84" s="633"/>
      <c r="Y84" s="636"/>
      <c r="Z84" s="636"/>
      <c r="AA84" s="636"/>
    </row>
    <row r="85" spans="1:27" x14ac:dyDescent="0.2">
      <c r="A85" s="688"/>
      <c r="B85" s="688"/>
      <c r="C85" s="550"/>
      <c r="D85" s="550"/>
      <c r="E85" s="550"/>
      <c r="F85" s="550"/>
      <c r="G85" s="550"/>
      <c r="H85" s="550"/>
      <c r="I85" s="550"/>
      <c r="J85" s="550"/>
      <c r="K85" s="550"/>
      <c r="L85" s="550"/>
      <c r="M85" s="645"/>
      <c r="N85" s="645"/>
      <c r="O85" s="645"/>
      <c r="P85" s="632"/>
      <c r="Q85" s="632"/>
      <c r="R85" s="645"/>
      <c r="S85" s="645"/>
      <c r="T85" s="645"/>
      <c r="U85" s="645"/>
      <c r="V85" s="645"/>
      <c r="W85" s="632"/>
      <c r="X85" s="633"/>
      <c r="Y85" s="636"/>
      <c r="Z85" s="636"/>
      <c r="AA85" s="636"/>
    </row>
    <row r="86" spans="1:27" x14ac:dyDescent="0.2">
      <c r="A86" s="688"/>
      <c r="B86" s="688"/>
      <c r="C86" s="550"/>
      <c r="D86" s="550"/>
      <c r="E86" s="550"/>
      <c r="F86" s="550"/>
      <c r="G86" s="550"/>
      <c r="H86" s="550"/>
      <c r="I86" s="550"/>
      <c r="J86" s="550"/>
      <c r="K86" s="550"/>
      <c r="L86" s="550"/>
      <c r="M86" s="645"/>
      <c r="N86" s="645"/>
      <c r="O86" s="645"/>
      <c r="P86" s="632"/>
      <c r="Q86" s="632"/>
      <c r="R86" s="645"/>
      <c r="S86" s="645"/>
      <c r="T86" s="645"/>
      <c r="U86" s="645"/>
      <c r="V86" s="645"/>
      <c r="W86" s="632"/>
      <c r="X86" s="645"/>
      <c r="Y86" s="631"/>
      <c r="Z86" s="636"/>
      <c r="AA86" s="636"/>
    </row>
    <row r="87" spans="1:27" x14ac:dyDescent="0.2">
      <c r="A87" s="688"/>
      <c r="B87" s="688"/>
      <c r="C87" s="550"/>
      <c r="D87" s="550"/>
      <c r="E87" s="550"/>
      <c r="F87" s="550"/>
      <c r="G87" s="550"/>
      <c r="H87" s="550"/>
      <c r="I87" s="550"/>
      <c r="J87" s="550"/>
      <c r="K87" s="550"/>
      <c r="L87" s="550"/>
      <c r="M87" s="631"/>
      <c r="N87" s="634"/>
      <c r="O87" s="634"/>
      <c r="P87" s="634"/>
      <c r="Q87" s="634"/>
      <c r="R87" s="634"/>
      <c r="S87" s="634"/>
      <c r="T87" s="634"/>
      <c r="U87" s="634"/>
      <c r="V87" s="634"/>
      <c r="W87" s="634"/>
      <c r="X87" s="634"/>
      <c r="Y87" s="631"/>
      <c r="Z87" s="631"/>
      <c r="AA87" s="631"/>
    </row>
    <row r="88" spans="1:27" x14ac:dyDescent="0.2">
      <c r="A88" s="688"/>
      <c r="B88" s="688"/>
      <c r="C88" s="550"/>
      <c r="D88" s="550"/>
      <c r="E88" s="550"/>
      <c r="F88" s="550"/>
      <c r="G88" s="550"/>
      <c r="H88" s="550"/>
      <c r="I88" s="550"/>
      <c r="J88" s="550"/>
      <c r="K88" s="550"/>
      <c r="L88" s="550"/>
      <c r="M88" s="631"/>
      <c r="N88" s="634"/>
      <c r="O88" s="634"/>
      <c r="P88" s="634"/>
      <c r="Q88" s="634"/>
      <c r="R88" s="634"/>
      <c r="S88" s="634"/>
      <c r="T88" s="634"/>
      <c r="U88" s="634"/>
      <c r="V88" s="634"/>
      <c r="W88" s="634"/>
      <c r="X88" s="634"/>
      <c r="Y88" s="631"/>
      <c r="Z88" s="631"/>
      <c r="AA88" s="631"/>
    </row>
    <row r="89" spans="1:27" x14ac:dyDescent="0.2">
      <c r="A89" s="688"/>
      <c r="B89" s="688"/>
      <c r="C89" s="550"/>
      <c r="D89" s="550"/>
      <c r="E89" s="550"/>
      <c r="F89" s="550"/>
      <c r="G89" s="550"/>
      <c r="H89" s="550"/>
      <c r="I89" s="550"/>
      <c r="J89" s="550"/>
      <c r="K89" s="550"/>
      <c r="L89" s="550"/>
      <c r="M89" s="550"/>
      <c r="N89" s="644"/>
      <c r="O89" s="644"/>
      <c r="P89" s="644"/>
      <c r="Q89" s="644"/>
      <c r="R89" s="644"/>
      <c r="S89" s="644"/>
      <c r="Z89" s="631"/>
      <c r="AA89" s="631"/>
    </row>
    <row r="90" spans="1:27" x14ac:dyDescent="0.2">
      <c r="A90" s="688"/>
      <c r="B90" s="688"/>
      <c r="C90" s="550"/>
      <c r="D90" s="550"/>
      <c r="E90" s="550"/>
      <c r="F90" s="550"/>
      <c r="G90" s="550"/>
      <c r="H90" s="550"/>
      <c r="I90" s="550"/>
      <c r="J90" s="550"/>
      <c r="K90" s="550"/>
      <c r="L90" s="550"/>
      <c r="M90" s="550"/>
      <c r="N90" s="644"/>
      <c r="O90" s="644"/>
      <c r="P90" s="644"/>
      <c r="Q90" s="644"/>
      <c r="R90" s="644"/>
      <c r="S90" s="644"/>
    </row>
    <row r="91" spans="1:27" x14ac:dyDescent="0.2">
      <c r="A91" s="688"/>
      <c r="B91" s="688"/>
      <c r="C91" s="550"/>
      <c r="D91" s="550"/>
      <c r="E91" s="550"/>
      <c r="F91" s="550"/>
      <c r="G91" s="550"/>
      <c r="H91" s="550"/>
      <c r="I91" s="550"/>
      <c r="J91" s="550"/>
      <c r="K91" s="550"/>
      <c r="L91" s="550"/>
      <c r="M91" s="550"/>
      <c r="N91" s="644"/>
      <c r="O91" s="644"/>
      <c r="P91" s="644"/>
      <c r="Q91" s="644"/>
      <c r="R91" s="644"/>
      <c r="S91" s="644"/>
    </row>
    <row r="92" spans="1:27" x14ac:dyDescent="0.2">
      <c r="A92" s="688"/>
      <c r="B92" s="688"/>
      <c r="C92" s="550"/>
      <c r="D92" s="550"/>
      <c r="E92" s="550"/>
      <c r="F92" s="550"/>
      <c r="G92" s="550"/>
      <c r="H92" s="550"/>
      <c r="I92" s="550"/>
      <c r="J92" s="550"/>
      <c r="K92" s="550"/>
      <c r="L92" s="550"/>
      <c r="M92" s="550"/>
      <c r="N92" s="644"/>
      <c r="O92" s="644"/>
      <c r="P92" s="644"/>
      <c r="Q92" s="644"/>
      <c r="R92" s="644"/>
      <c r="S92" s="644"/>
    </row>
    <row r="93" spans="1:27" x14ac:dyDescent="0.2">
      <c r="A93" s="688"/>
      <c r="B93" s="688"/>
      <c r="C93" s="550"/>
      <c r="D93" s="550"/>
      <c r="E93" s="550"/>
      <c r="F93" s="550"/>
      <c r="G93" s="550"/>
      <c r="H93" s="550"/>
      <c r="I93" s="550"/>
      <c r="J93" s="550"/>
      <c r="K93" s="550"/>
      <c r="L93" s="550"/>
      <c r="M93" s="550"/>
      <c r="N93" s="644"/>
      <c r="O93" s="644"/>
      <c r="P93" s="644"/>
      <c r="Q93" s="644"/>
      <c r="R93" s="644"/>
      <c r="S93" s="644"/>
    </row>
    <row r="94" spans="1:27" x14ac:dyDescent="0.2">
      <c r="A94" s="688"/>
      <c r="B94" s="688"/>
      <c r="C94" s="550"/>
      <c r="D94" s="550"/>
      <c r="E94" s="550"/>
      <c r="F94" s="550"/>
      <c r="G94" s="550"/>
      <c r="H94" s="550"/>
      <c r="I94" s="550"/>
      <c r="J94" s="550"/>
      <c r="K94" s="550"/>
      <c r="L94" s="550"/>
      <c r="M94" s="550"/>
      <c r="N94" s="644"/>
      <c r="O94" s="644"/>
      <c r="P94" s="644"/>
      <c r="Q94" s="644"/>
      <c r="R94" s="644"/>
      <c r="S94" s="644"/>
    </row>
    <row r="95" spans="1:27" x14ac:dyDescent="0.2">
      <c r="A95" s="688"/>
      <c r="B95" s="688"/>
      <c r="C95" s="550"/>
      <c r="D95" s="550"/>
      <c r="E95" s="550"/>
      <c r="F95" s="550"/>
      <c r="G95" s="550"/>
      <c r="H95" s="550"/>
      <c r="I95" s="550"/>
      <c r="J95" s="550"/>
      <c r="K95" s="550"/>
      <c r="L95" s="550"/>
      <c r="M95" s="550"/>
      <c r="N95" s="644"/>
      <c r="O95" s="644"/>
      <c r="P95" s="644"/>
      <c r="Q95" s="644"/>
      <c r="R95" s="644"/>
      <c r="S95" s="644"/>
    </row>
    <row r="96" spans="1:27" x14ac:dyDescent="0.2">
      <c r="A96" s="688"/>
      <c r="B96" s="688"/>
      <c r="C96" s="550"/>
      <c r="D96" s="550"/>
      <c r="E96" s="550"/>
      <c r="F96" s="550"/>
      <c r="G96" s="550"/>
      <c r="H96" s="550"/>
      <c r="I96" s="550"/>
      <c r="J96" s="550"/>
      <c r="K96" s="550"/>
      <c r="L96" s="550"/>
      <c r="M96" s="550"/>
      <c r="N96" s="644"/>
      <c r="O96" s="644"/>
      <c r="P96" s="644"/>
      <c r="Q96" s="644"/>
      <c r="R96" s="644"/>
      <c r="S96" s="644"/>
    </row>
    <row r="97" spans="1:19" x14ac:dyDescent="0.2">
      <c r="A97" s="688"/>
      <c r="B97" s="688"/>
      <c r="C97" s="550"/>
      <c r="D97" s="550"/>
      <c r="E97" s="550"/>
      <c r="F97" s="550"/>
      <c r="G97" s="550"/>
      <c r="H97" s="550"/>
      <c r="I97" s="550"/>
      <c r="J97" s="550"/>
      <c r="K97" s="550"/>
      <c r="L97" s="550"/>
      <c r="M97" s="550"/>
      <c r="N97" s="644"/>
      <c r="O97" s="644"/>
      <c r="P97" s="644"/>
      <c r="Q97" s="644"/>
      <c r="R97" s="644"/>
      <c r="S97" s="644"/>
    </row>
    <row r="98" spans="1:19" x14ac:dyDescent="0.2">
      <c r="A98" s="688"/>
      <c r="B98" s="688"/>
      <c r="C98" s="550"/>
      <c r="D98" s="550"/>
      <c r="E98" s="550"/>
      <c r="F98" s="550"/>
      <c r="G98" s="550"/>
      <c r="H98" s="550"/>
      <c r="I98" s="550"/>
      <c r="J98" s="550"/>
      <c r="K98" s="550"/>
      <c r="L98" s="550"/>
      <c r="M98" s="550"/>
      <c r="N98" s="644"/>
      <c r="O98" s="644"/>
      <c r="P98" s="644"/>
      <c r="Q98" s="644"/>
      <c r="R98" s="644"/>
      <c r="S98" s="644"/>
    </row>
    <row r="99" spans="1:19" x14ac:dyDescent="0.2">
      <c r="A99" s="688"/>
      <c r="B99" s="688"/>
      <c r="C99" s="550"/>
      <c r="D99" s="550"/>
      <c r="E99" s="550"/>
      <c r="F99" s="550"/>
      <c r="G99" s="550"/>
      <c r="H99" s="550"/>
      <c r="I99" s="550"/>
      <c r="J99" s="550"/>
      <c r="K99" s="550"/>
      <c r="L99" s="550"/>
      <c r="M99" s="550"/>
      <c r="N99" s="644"/>
      <c r="O99" s="644"/>
      <c r="P99" s="644"/>
      <c r="Q99" s="644"/>
      <c r="R99" s="644"/>
      <c r="S99" s="644"/>
    </row>
    <row r="100" spans="1:19" x14ac:dyDescent="0.2">
      <c r="A100" s="688"/>
      <c r="B100" s="688"/>
      <c r="C100" s="550"/>
      <c r="D100" s="550"/>
      <c r="E100" s="550"/>
      <c r="F100" s="550"/>
      <c r="G100" s="550"/>
      <c r="H100" s="550"/>
      <c r="I100" s="550"/>
      <c r="J100" s="550"/>
      <c r="K100" s="550"/>
      <c r="L100" s="550"/>
      <c r="M100" s="550"/>
      <c r="N100" s="644"/>
      <c r="O100" s="644"/>
      <c r="P100" s="644"/>
      <c r="Q100" s="644"/>
      <c r="R100" s="644"/>
      <c r="S100" s="644"/>
    </row>
    <row r="101" spans="1:19" x14ac:dyDescent="0.2">
      <c r="A101" s="688"/>
      <c r="B101" s="688"/>
      <c r="C101" s="550"/>
      <c r="D101" s="550"/>
      <c r="E101" s="550"/>
      <c r="F101" s="550"/>
      <c r="G101" s="550"/>
      <c r="H101" s="550"/>
      <c r="I101" s="550"/>
      <c r="J101" s="550"/>
      <c r="K101" s="550"/>
      <c r="L101" s="550"/>
      <c r="M101" s="550"/>
      <c r="N101" s="644"/>
      <c r="O101" s="644"/>
      <c r="P101" s="644"/>
      <c r="Q101" s="644"/>
      <c r="R101" s="644"/>
      <c r="S101" s="644"/>
    </row>
    <row r="102" spans="1:19" x14ac:dyDescent="0.2">
      <c r="A102" s="688"/>
      <c r="B102" s="688"/>
      <c r="C102" s="550"/>
      <c r="D102" s="550"/>
      <c r="E102" s="550"/>
      <c r="F102" s="550"/>
      <c r="G102" s="550"/>
      <c r="H102" s="550"/>
      <c r="I102" s="550"/>
      <c r="J102" s="550"/>
      <c r="K102" s="550"/>
      <c r="L102" s="550"/>
      <c r="M102" s="550"/>
      <c r="N102" s="644"/>
      <c r="O102" s="644"/>
      <c r="P102" s="644"/>
      <c r="Q102" s="644"/>
      <c r="R102" s="644"/>
      <c r="S102" s="644"/>
    </row>
    <row r="103" spans="1:19" x14ac:dyDescent="0.2">
      <c r="A103" s="688"/>
      <c r="B103" s="688"/>
      <c r="C103" s="550"/>
      <c r="D103" s="550"/>
      <c r="E103" s="550"/>
      <c r="F103" s="550"/>
      <c r="G103" s="550"/>
      <c r="H103" s="550"/>
      <c r="I103" s="550"/>
      <c r="J103" s="550"/>
      <c r="K103" s="550"/>
      <c r="L103" s="550"/>
      <c r="M103" s="550"/>
      <c r="N103" s="644"/>
      <c r="O103" s="644"/>
      <c r="P103" s="644"/>
      <c r="Q103" s="644"/>
      <c r="R103" s="644"/>
      <c r="S103" s="644"/>
    </row>
    <row r="104" spans="1:19" x14ac:dyDescent="0.2">
      <c r="A104" s="688"/>
      <c r="B104" s="688"/>
      <c r="C104" s="550"/>
      <c r="D104" s="550"/>
      <c r="E104" s="550"/>
      <c r="F104" s="550"/>
      <c r="G104" s="550"/>
      <c r="H104" s="550"/>
      <c r="I104" s="550"/>
      <c r="J104" s="550"/>
      <c r="K104" s="550"/>
      <c r="L104" s="550"/>
      <c r="M104" s="550"/>
      <c r="N104" s="644"/>
      <c r="O104" s="644"/>
      <c r="P104" s="644"/>
      <c r="Q104" s="644"/>
      <c r="R104" s="644"/>
      <c r="S104" s="644"/>
    </row>
    <row r="105" spans="1:19" x14ac:dyDescent="0.2">
      <c r="A105" s="688"/>
      <c r="B105" s="688"/>
      <c r="C105" s="550"/>
      <c r="D105" s="550"/>
      <c r="E105" s="550"/>
      <c r="F105" s="550"/>
      <c r="G105" s="550"/>
      <c r="H105" s="550"/>
      <c r="I105" s="550"/>
      <c r="J105" s="550"/>
      <c r="K105" s="550"/>
      <c r="L105" s="550"/>
      <c r="M105" s="550"/>
      <c r="N105" s="644"/>
      <c r="O105" s="644"/>
      <c r="P105" s="644"/>
      <c r="Q105" s="644"/>
      <c r="R105" s="644"/>
      <c r="S105" s="644"/>
    </row>
    <row r="106" spans="1:19" x14ac:dyDescent="0.2">
      <c r="A106" s="644"/>
      <c r="B106" s="644"/>
      <c r="C106" s="644"/>
      <c r="D106" s="644"/>
      <c r="E106" s="644"/>
      <c r="F106" s="644"/>
      <c r="G106" s="644"/>
      <c r="H106" s="644"/>
      <c r="I106" s="550"/>
      <c r="J106" s="550"/>
      <c r="K106" s="550"/>
      <c r="L106" s="550"/>
      <c r="M106" s="550"/>
      <c r="N106" s="644"/>
      <c r="O106" s="644"/>
      <c r="P106" s="644"/>
      <c r="Q106" s="644"/>
      <c r="R106" s="644"/>
      <c r="S106" s="644"/>
    </row>
    <row r="107" spans="1:19" x14ac:dyDescent="0.2">
      <c r="A107" s="644"/>
      <c r="B107" s="644"/>
      <c r="C107" s="644"/>
      <c r="D107" s="644"/>
      <c r="E107" s="644"/>
      <c r="F107" s="644"/>
      <c r="G107" s="644"/>
      <c r="H107" s="644"/>
      <c r="I107" s="550"/>
      <c r="J107" s="550"/>
      <c r="K107" s="550"/>
      <c r="L107" s="644"/>
      <c r="M107" s="644"/>
      <c r="N107" s="644"/>
      <c r="O107" s="644"/>
      <c r="P107" s="644"/>
      <c r="Q107" s="644"/>
      <c r="R107" s="644"/>
      <c r="S107" s="644"/>
    </row>
    <row r="108" spans="1:19" x14ac:dyDescent="0.2">
      <c r="A108" s="644"/>
      <c r="B108" s="644"/>
      <c r="C108" s="644"/>
      <c r="D108" s="644"/>
      <c r="E108" s="644"/>
      <c r="F108" s="644"/>
      <c r="G108" s="644"/>
      <c r="H108" s="644"/>
      <c r="I108" s="644"/>
      <c r="J108" s="644"/>
      <c r="K108" s="644"/>
      <c r="L108" s="644"/>
      <c r="M108" s="644"/>
      <c r="N108" s="644"/>
      <c r="O108" s="644"/>
      <c r="P108" s="644"/>
      <c r="Q108" s="644"/>
      <c r="R108" s="644"/>
      <c r="S108" s="644"/>
    </row>
    <row r="109" spans="1:19" x14ac:dyDescent="0.2">
      <c r="A109" s="644"/>
      <c r="B109" s="644"/>
      <c r="C109" s="644"/>
      <c r="D109" s="644"/>
      <c r="E109" s="644"/>
      <c r="F109" s="644"/>
      <c r="G109" s="644"/>
      <c r="H109" s="644"/>
      <c r="I109" s="644"/>
      <c r="J109" s="644"/>
      <c r="K109" s="644"/>
      <c r="L109" s="644"/>
      <c r="M109" s="644"/>
      <c r="N109" s="644"/>
      <c r="O109" s="644"/>
      <c r="P109" s="644"/>
      <c r="Q109" s="644"/>
      <c r="R109" s="644"/>
      <c r="S109" s="644"/>
    </row>
    <row r="110" spans="1:19" x14ac:dyDescent="0.2">
      <c r="A110" s="644"/>
      <c r="B110" s="644"/>
      <c r="C110" s="644"/>
      <c r="D110" s="644"/>
      <c r="E110" s="644"/>
      <c r="F110" s="644"/>
      <c r="G110" s="644"/>
      <c r="H110" s="644"/>
      <c r="I110" s="644"/>
      <c r="J110" s="644"/>
      <c r="K110" s="644"/>
      <c r="L110" s="644"/>
      <c r="M110" s="644"/>
      <c r="N110" s="644"/>
      <c r="O110" s="644"/>
      <c r="P110" s="644"/>
      <c r="Q110" s="644"/>
      <c r="R110" s="644"/>
      <c r="S110" s="644"/>
    </row>
    <row r="111" spans="1:19" x14ac:dyDescent="0.2">
      <c r="A111" s="644"/>
      <c r="B111" s="644"/>
      <c r="C111" s="644"/>
      <c r="D111" s="644"/>
      <c r="E111" s="644"/>
      <c r="F111" s="644"/>
      <c r="G111" s="644"/>
      <c r="H111" s="644"/>
      <c r="I111" s="644"/>
      <c r="J111" s="644"/>
      <c r="K111" s="644"/>
      <c r="L111" s="644"/>
      <c r="M111" s="644"/>
      <c r="N111" s="644"/>
      <c r="O111" s="644"/>
      <c r="P111" s="644"/>
      <c r="Q111" s="644"/>
      <c r="R111" s="644"/>
      <c r="S111" s="644"/>
    </row>
    <row r="112" spans="1:19" x14ac:dyDescent="0.2">
      <c r="A112" s="644"/>
      <c r="B112" s="644"/>
      <c r="C112" s="644"/>
      <c r="D112" s="644"/>
      <c r="E112" s="644"/>
      <c r="F112" s="644"/>
      <c r="G112" s="644"/>
      <c r="H112" s="644"/>
      <c r="I112" s="644"/>
      <c r="J112" s="644"/>
      <c r="K112" s="644"/>
      <c r="L112" s="644"/>
      <c r="M112" s="644"/>
      <c r="N112" s="644"/>
      <c r="O112" s="644"/>
      <c r="P112" s="644"/>
      <c r="Q112" s="644"/>
      <c r="R112" s="644"/>
      <c r="S112" s="644"/>
    </row>
    <row r="113" spans="1:19" x14ac:dyDescent="0.2">
      <c r="A113" s="644"/>
      <c r="B113" s="644"/>
      <c r="C113" s="644"/>
      <c r="D113" s="644"/>
      <c r="E113" s="644"/>
      <c r="F113" s="644"/>
      <c r="G113" s="644"/>
      <c r="H113" s="644"/>
      <c r="I113" s="644"/>
      <c r="J113" s="644"/>
      <c r="K113" s="644"/>
      <c r="L113" s="644"/>
      <c r="M113" s="644"/>
      <c r="N113" s="644"/>
      <c r="O113" s="644"/>
      <c r="P113" s="644"/>
      <c r="Q113" s="644"/>
      <c r="R113" s="644"/>
      <c r="S113" s="644"/>
    </row>
    <row r="114" spans="1:19" x14ac:dyDescent="0.2">
      <c r="A114" s="644"/>
      <c r="B114" s="644"/>
      <c r="C114" s="644"/>
      <c r="D114" s="644"/>
      <c r="E114" s="644"/>
      <c r="F114" s="644"/>
      <c r="G114" s="644"/>
      <c r="H114" s="644"/>
      <c r="I114" s="644"/>
      <c r="J114" s="644"/>
      <c r="K114" s="644"/>
      <c r="L114" s="644"/>
      <c r="M114" s="644"/>
      <c r="N114" s="644"/>
      <c r="O114" s="644"/>
      <c r="P114" s="644"/>
      <c r="Q114" s="644"/>
      <c r="R114" s="644"/>
      <c r="S114" s="644"/>
    </row>
    <row r="115" spans="1:19" x14ac:dyDescent="0.2">
      <c r="A115" s="644"/>
      <c r="B115" s="644"/>
      <c r="C115" s="644"/>
      <c r="D115" s="644"/>
      <c r="E115" s="644"/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644"/>
      <c r="R115" s="644"/>
      <c r="S115" s="644"/>
    </row>
    <row r="116" spans="1:19" x14ac:dyDescent="0.2">
      <c r="A116" s="644"/>
      <c r="B116" s="644"/>
      <c r="C116" s="644"/>
      <c r="D116" s="644"/>
      <c r="E116" s="644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644"/>
      <c r="R116" s="644"/>
      <c r="S116" s="644"/>
    </row>
    <row r="117" spans="1:19" x14ac:dyDescent="0.2">
      <c r="A117" s="644"/>
      <c r="B117" s="644"/>
      <c r="C117" s="644"/>
      <c r="D117" s="644"/>
      <c r="E117" s="644"/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644"/>
      <c r="R117" s="644"/>
      <c r="S117" s="644"/>
    </row>
    <row r="118" spans="1:19" x14ac:dyDescent="0.2">
      <c r="A118" s="644"/>
      <c r="B118" s="644"/>
      <c r="C118" s="644"/>
      <c r="D118" s="644"/>
      <c r="E118" s="644"/>
      <c r="F118" s="644"/>
      <c r="G118" s="644"/>
      <c r="H118" s="644"/>
      <c r="I118" s="644"/>
      <c r="J118" s="644"/>
      <c r="K118" s="644"/>
      <c r="L118" s="644"/>
      <c r="M118" s="644"/>
      <c r="N118" s="644"/>
      <c r="O118" s="644"/>
      <c r="P118" s="644"/>
      <c r="Q118" s="644"/>
      <c r="R118" s="644"/>
      <c r="S118" s="644"/>
    </row>
    <row r="119" spans="1:19" x14ac:dyDescent="0.2">
      <c r="A119" s="644"/>
      <c r="B119" s="644"/>
      <c r="C119" s="644"/>
      <c r="D119" s="644"/>
      <c r="E119" s="644"/>
      <c r="F119" s="644"/>
      <c r="G119" s="644"/>
      <c r="H119" s="644"/>
      <c r="I119" s="644"/>
      <c r="J119" s="644"/>
      <c r="K119" s="644"/>
      <c r="L119" s="644"/>
      <c r="M119" s="644"/>
      <c r="N119" s="644"/>
      <c r="O119" s="644"/>
      <c r="P119" s="644"/>
      <c r="Q119" s="644"/>
      <c r="R119" s="644"/>
      <c r="S119" s="644"/>
    </row>
    <row r="120" spans="1:19" x14ac:dyDescent="0.2">
      <c r="A120" s="644"/>
      <c r="B120" s="644"/>
      <c r="C120" s="644"/>
      <c r="D120" s="644"/>
      <c r="E120" s="644"/>
      <c r="F120" s="644"/>
      <c r="G120" s="644"/>
      <c r="H120" s="644"/>
      <c r="I120" s="644"/>
      <c r="J120" s="644"/>
      <c r="K120" s="644"/>
      <c r="L120" s="644"/>
      <c r="M120" s="644"/>
      <c r="N120" s="644"/>
      <c r="O120" s="644"/>
      <c r="P120" s="644"/>
      <c r="Q120" s="644"/>
      <c r="R120" s="644"/>
      <c r="S120" s="644"/>
    </row>
    <row r="121" spans="1:19" x14ac:dyDescent="0.2">
      <c r="A121" s="644"/>
      <c r="B121" s="644"/>
      <c r="C121" s="644"/>
      <c r="D121" s="644"/>
      <c r="E121" s="644"/>
      <c r="F121" s="644"/>
      <c r="G121" s="644"/>
      <c r="H121" s="644"/>
      <c r="I121" s="644"/>
      <c r="J121" s="644"/>
      <c r="K121" s="644"/>
      <c r="L121" s="644"/>
      <c r="M121" s="644"/>
      <c r="N121" s="644"/>
      <c r="O121" s="644"/>
      <c r="P121" s="644"/>
      <c r="Q121" s="644"/>
      <c r="R121" s="644"/>
      <c r="S121" s="644"/>
    </row>
    <row r="122" spans="1:19" x14ac:dyDescent="0.2">
      <c r="A122" s="644"/>
      <c r="B122" s="644"/>
      <c r="C122" s="644"/>
      <c r="D122" s="644"/>
      <c r="E122" s="644"/>
      <c r="F122" s="644"/>
      <c r="G122" s="644"/>
      <c r="H122" s="644"/>
      <c r="I122" s="644"/>
      <c r="J122" s="644"/>
      <c r="K122" s="644"/>
      <c r="L122" s="644"/>
      <c r="M122" s="644"/>
      <c r="N122" s="644"/>
      <c r="O122" s="644"/>
      <c r="P122" s="644"/>
      <c r="Q122" s="644"/>
      <c r="R122" s="644"/>
      <c r="S122" s="644"/>
    </row>
    <row r="123" spans="1:19" x14ac:dyDescent="0.2">
      <c r="A123" s="644"/>
      <c r="B123" s="644"/>
      <c r="C123" s="644"/>
      <c r="D123" s="644"/>
      <c r="E123" s="644"/>
      <c r="F123" s="644"/>
      <c r="G123" s="644"/>
      <c r="H123" s="644"/>
      <c r="I123" s="644"/>
      <c r="J123" s="644"/>
      <c r="K123" s="644"/>
      <c r="L123" s="644"/>
      <c r="M123" s="644"/>
      <c r="N123" s="644"/>
      <c r="O123" s="644"/>
      <c r="P123" s="644"/>
      <c r="Q123" s="644"/>
      <c r="R123" s="644"/>
      <c r="S123" s="644"/>
    </row>
    <row r="124" spans="1:19" x14ac:dyDescent="0.2">
      <c r="A124" s="644"/>
      <c r="B124" s="644"/>
      <c r="C124" s="644"/>
      <c r="D124" s="644"/>
      <c r="E124" s="644"/>
      <c r="F124" s="644"/>
      <c r="G124" s="644"/>
      <c r="H124" s="644"/>
      <c r="I124" s="644"/>
      <c r="J124" s="644"/>
      <c r="K124" s="644"/>
      <c r="L124" s="644"/>
      <c r="M124" s="644"/>
      <c r="N124" s="644"/>
      <c r="O124" s="644"/>
      <c r="P124" s="644"/>
      <c r="Q124" s="644"/>
      <c r="R124" s="644"/>
      <c r="S124" s="644"/>
    </row>
    <row r="125" spans="1:19" x14ac:dyDescent="0.2">
      <c r="A125" s="644"/>
      <c r="B125" s="644"/>
      <c r="C125" s="644"/>
      <c r="D125" s="644"/>
      <c r="E125" s="644"/>
      <c r="F125" s="644"/>
      <c r="G125" s="644"/>
      <c r="H125" s="644"/>
      <c r="I125" s="644"/>
      <c r="J125" s="644"/>
      <c r="K125" s="644"/>
      <c r="L125" s="644"/>
      <c r="M125" s="644"/>
      <c r="N125" s="644"/>
      <c r="O125" s="644"/>
      <c r="P125" s="644"/>
      <c r="Q125" s="644"/>
      <c r="R125" s="644"/>
      <c r="S125" s="644"/>
    </row>
    <row r="126" spans="1:19" x14ac:dyDescent="0.2">
      <c r="A126" s="644"/>
      <c r="B126" s="644"/>
      <c r="C126" s="644"/>
      <c r="D126" s="644"/>
      <c r="E126" s="644"/>
      <c r="F126" s="644"/>
      <c r="G126" s="644"/>
      <c r="H126" s="644"/>
      <c r="I126" s="644"/>
      <c r="J126" s="644"/>
      <c r="K126" s="644"/>
      <c r="L126" s="644"/>
      <c r="M126" s="644"/>
      <c r="N126" s="644"/>
      <c r="O126" s="644"/>
      <c r="P126" s="644"/>
      <c r="Q126" s="644"/>
      <c r="R126" s="644"/>
      <c r="S126" s="644"/>
    </row>
    <row r="127" spans="1:19" x14ac:dyDescent="0.2">
      <c r="A127" s="644"/>
      <c r="B127" s="644"/>
      <c r="C127" s="644"/>
      <c r="D127" s="644"/>
      <c r="E127" s="644"/>
      <c r="F127" s="644"/>
      <c r="G127" s="644"/>
      <c r="H127" s="644"/>
      <c r="I127" s="644"/>
      <c r="J127" s="644"/>
      <c r="K127" s="644"/>
      <c r="L127" s="644"/>
      <c r="M127" s="644"/>
      <c r="N127" s="644"/>
      <c r="O127" s="644"/>
      <c r="P127" s="644"/>
      <c r="Q127" s="644"/>
      <c r="R127" s="644"/>
      <c r="S127" s="644"/>
    </row>
    <row r="128" spans="1:19" x14ac:dyDescent="0.2">
      <c r="A128" s="644"/>
      <c r="B128" s="644"/>
      <c r="C128" s="644"/>
      <c r="D128" s="644"/>
      <c r="E128" s="644"/>
      <c r="F128" s="644"/>
      <c r="G128" s="644"/>
      <c r="H128" s="644"/>
      <c r="I128" s="644"/>
      <c r="J128" s="644"/>
      <c r="K128" s="644"/>
      <c r="L128" s="644"/>
      <c r="M128" s="644"/>
      <c r="N128" s="644"/>
      <c r="O128" s="644"/>
      <c r="P128" s="644"/>
      <c r="Q128" s="644"/>
      <c r="R128" s="644"/>
      <c r="S128" s="644"/>
    </row>
    <row r="129" spans="1:19" x14ac:dyDescent="0.2">
      <c r="A129" s="644"/>
      <c r="B129" s="644"/>
      <c r="C129" s="644"/>
      <c r="D129" s="644"/>
      <c r="E129" s="644"/>
      <c r="F129" s="644"/>
      <c r="G129" s="644"/>
      <c r="H129" s="644"/>
      <c r="I129" s="644"/>
      <c r="J129" s="644"/>
      <c r="K129" s="644"/>
      <c r="L129" s="644"/>
      <c r="M129" s="644"/>
      <c r="N129" s="644"/>
      <c r="O129" s="644"/>
      <c r="P129" s="644"/>
      <c r="Q129" s="644"/>
      <c r="R129" s="644"/>
      <c r="S129" s="644"/>
    </row>
    <row r="130" spans="1:19" x14ac:dyDescent="0.2">
      <c r="A130" s="644"/>
      <c r="B130" s="644"/>
      <c r="C130" s="644"/>
      <c r="D130" s="644"/>
      <c r="E130" s="644"/>
      <c r="F130" s="644"/>
      <c r="G130" s="644"/>
      <c r="H130" s="644"/>
      <c r="I130" s="644"/>
      <c r="J130" s="644"/>
      <c r="K130" s="644"/>
      <c r="L130" s="644"/>
      <c r="M130" s="644"/>
      <c r="N130" s="644"/>
      <c r="O130" s="644"/>
      <c r="P130" s="644"/>
      <c r="Q130" s="644"/>
      <c r="R130" s="644"/>
      <c r="S130" s="644"/>
    </row>
    <row r="131" spans="1:19" x14ac:dyDescent="0.2">
      <c r="A131" s="644"/>
      <c r="B131" s="644"/>
      <c r="C131" s="644"/>
      <c r="D131" s="644"/>
      <c r="E131" s="644"/>
      <c r="F131" s="644"/>
      <c r="G131" s="644"/>
      <c r="H131" s="644"/>
      <c r="I131" s="644"/>
      <c r="J131" s="644"/>
      <c r="K131" s="644"/>
      <c r="L131" s="644"/>
      <c r="M131" s="644"/>
      <c r="N131" s="644"/>
      <c r="O131" s="644"/>
      <c r="P131" s="644"/>
      <c r="Q131" s="644"/>
      <c r="R131" s="644"/>
      <c r="S131" s="644"/>
    </row>
    <row r="132" spans="1:19" x14ac:dyDescent="0.2">
      <c r="A132" s="644"/>
      <c r="B132" s="644"/>
      <c r="C132" s="644"/>
      <c r="D132" s="644"/>
      <c r="E132" s="644"/>
      <c r="F132" s="644"/>
      <c r="G132" s="644"/>
      <c r="H132" s="644"/>
      <c r="I132" s="644"/>
      <c r="J132" s="644"/>
      <c r="K132" s="644"/>
      <c r="L132" s="644"/>
      <c r="M132" s="644"/>
      <c r="N132" s="644"/>
      <c r="O132" s="644"/>
      <c r="P132" s="644"/>
      <c r="Q132" s="644"/>
      <c r="R132" s="644"/>
      <c r="S132" s="644"/>
    </row>
    <row r="133" spans="1:19" x14ac:dyDescent="0.2">
      <c r="A133" s="644"/>
      <c r="B133" s="644"/>
      <c r="C133" s="644"/>
      <c r="D133" s="644"/>
      <c r="E133" s="644"/>
      <c r="F133" s="644"/>
      <c r="G133" s="644"/>
      <c r="H133" s="644"/>
      <c r="I133" s="644"/>
      <c r="J133" s="644"/>
      <c r="K133" s="644"/>
      <c r="L133" s="644"/>
      <c r="M133" s="644"/>
      <c r="N133" s="644"/>
      <c r="O133" s="644"/>
      <c r="P133" s="644"/>
      <c r="Q133" s="644"/>
      <c r="R133" s="644"/>
      <c r="S133" s="644"/>
    </row>
    <row r="134" spans="1:19" x14ac:dyDescent="0.2">
      <c r="A134" s="644"/>
      <c r="B134" s="644"/>
      <c r="C134" s="644"/>
      <c r="D134" s="644"/>
      <c r="E134" s="644"/>
      <c r="F134" s="644"/>
      <c r="G134" s="644"/>
      <c r="H134" s="644"/>
      <c r="I134" s="644"/>
      <c r="J134" s="644"/>
      <c r="K134" s="644"/>
      <c r="L134" s="644"/>
      <c r="M134" s="644"/>
      <c r="N134" s="644"/>
      <c r="O134" s="644"/>
      <c r="P134" s="644"/>
      <c r="Q134" s="644"/>
      <c r="R134" s="644"/>
      <c r="S134" s="644"/>
    </row>
    <row r="135" spans="1:19" x14ac:dyDescent="0.2">
      <c r="A135" s="644"/>
      <c r="B135" s="644"/>
      <c r="C135" s="644"/>
      <c r="D135" s="644"/>
      <c r="E135" s="644"/>
      <c r="F135" s="644"/>
      <c r="G135" s="644"/>
      <c r="H135" s="644"/>
      <c r="I135" s="644"/>
      <c r="J135" s="644"/>
      <c r="K135" s="644"/>
      <c r="L135" s="644"/>
      <c r="M135" s="644"/>
      <c r="N135" s="644"/>
      <c r="O135" s="644"/>
      <c r="P135" s="644"/>
      <c r="Q135" s="644"/>
      <c r="R135" s="644"/>
      <c r="S135" s="644"/>
    </row>
    <row r="136" spans="1:19" x14ac:dyDescent="0.2">
      <c r="A136" s="644"/>
      <c r="B136" s="644"/>
      <c r="C136" s="644"/>
      <c r="D136" s="644"/>
      <c r="E136" s="644"/>
      <c r="F136" s="644"/>
      <c r="G136" s="644"/>
      <c r="H136" s="644"/>
      <c r="I136" s="644"/>
      <c r="J136" s="644"/>
      <c r="K136" s="644"/>
      <c r="L136" s="644"/>
      <c r="M136" s="644"/>
      <c r="N136" s="644"/>
      <c r="O136" s="644"/>
      <c r="P136" s="644"/>
      <c r="Q136" s="644"/>
      <c r="R136" s="644"/>
      <c r="S136" s="644"/>
    </row>
    <row r="137" spans="1:19" x14ac:dyDescent="0.2">
      <c r="A137" s="644"/>
      <c r="B137" s="644"/>
      <c r="C137" s="644"/>
      <c r="D137" s="644"/>
      <c r="E137" s="644"/>
      <c r="F137" s="644"/>
      <c r="G137" s="644"/>
      <c r="H137" s="644"/>
      <c r="I137" s="644"/>
      <c r="J137" s="644"/>
      <c r="K137" s="644"/>
      <c r="L137" s="644"/>
      <c r="M137" s="644"/>
      <c r="N137" s="644"/>
      <c r="O137" s="644"/>
      <c r="P137" s="644"/>
      <c r="Q137" s="644"/>
      <c r="R137" s="644"/>
      <c r="S137" s="644"/>
    </row>
    <row r="138" spans="1:19" x14ac:dyDescent="0.2">
      <c r="A138" s="644"/>
      <c r="B138" s="644"/>
      <c r="C138" s="644"/>
      <c r="D138" s="644"/>
      <c r="E138" s="644"/>
      <c r="F138" s="644"/>
      <c r="G138" s="644"/>
      <c r="H138" s="644"/>
      <c r="I138" s="644"/>
      <c r="J138" s="644"/>
      <c r="K138" s="644"/>
      <c r="L138" s="644"/>
      <c r="M138" s="644"/>
      <c r="N138" s="644"/>
      <c r="O138" s="644"/>
      <c r="P138" s="644"/>
      <c r="Q138" s="644"/>
      <c r="R138" s="644"/>
      <c r="S138" s="644"/>
    </row>
    <row r="139" spans="1:19" x14ac:dyDescent="0.2">
      <c r="A139" s="644"/>
      <c r="B139" s="644"/>
      <c r="C139" s="644"/>
      <c r="D139" s="644"/>
      <c r="E139" s="644"/>
      <c r="F139" s="644"/>
      <c r="G139" s="644"/>
      <c r="H139" s="644"/>
      <c r="I139" s="644"/>
      <c r="J139" s="644"/>
      <c r="K139" s="644"/>
      <c r="L139" s="644"/>
      <c r="M139" s="644"/>
      <c r="N139" s="644"/>
      <c r="O139" s="644"/>
      <c r="P139" s="644"/>
      <c r="Q139" s="644"/>
      <c r="R139" s="644"/>
      <c r="S139" s="644"/>
    </row>
    <row r="140" spans="1:19" x14ac:dyDescent="0.2">
      <c r="A140" s="644"/>
      <c r="B140" s="644"/>
      <c r="C140" s="644"/>
      <c r="D140" s="644"/>
      <c r="E140" s="644"/>
      <c r="F140" s="644"/>
      <c r="G140" s="644"/>
      <c r="H140" s="644"/>
      <c r="I140" s="644"/>
      <c r="J140" s="644"/>
      <c r="K140" s="644"/>
      <c r="L140" s="644"/>
      <c r="M140" s="644"/>
      <c r="N140" s="644"/>
      <c r="O140" s="644"/>
      <c r="P140" s="644"/>
      <c r="Q140" s="644"/>
      <c r="R140" s="644"/>
      <c r="S140" s="644"/>
    </row>
    <row r="141" spans="1:19" x14ac:dyDescent="0.2">
      <c r="A141" s="644"/>
      <c r="B141" s="644"/>
      <c r="C141" s="644"/>
      <c r="D141" s="644"/>
      <c r="E141" s="644"/>
      <c r="F141" s="644"/>
      <c r="G141" s="644"/>
      <c r="H141" s="644"/>
      <c r="I141" s="644"/>
      <c r="J141" s="644"/>
      <c r="K141" s="644"/>
      <c r="L141" s="644"/>
      <c r="M141" s="644"/>
      <c r="N141" s="644"/>
      <c r="O141" s="644"/>
      <c r="P141" s="644"/>
      <c r="Q141" s="644"/>
      <c r="R141" s="644"/>
      <c r="S141" s="644"/>
    </row>
    <row r="142" spans="1:19" x14ac:dyDescent="0.2">
      <c r="A142" s="644"/>
      <c r="B142" s="644"/>
      <c r="C142" s="644"/>
      <c r="D142" s="644"/>
      <c r="E142" s="644"/>
      <c r="F142" s="644"/>
      <c r="G142" s="644"/>
      <c r="H142" s="644"/>
      <c r="I142" s="644"/>
      <c r="J142" s="644"/>
      <c r="K142" s="644"/>
      <c r="L142" s="644"/>
      <c r="M142" s="644"/>
      <c r="N142" s="644"/>
      <c r="O142" s="644"/>
      <c r="P142" s="644"/>
      <c r="Q142" s="644"/>
      <c r="R142" s="644"/>
      <c r="S142" s="644"/>
    </row>
    <row r="143" spans="1:19" x14ac:dyDescent="0.2">
      <c r="A143" s="644"/>
      <c r="B143" s="644"/>
      <c r="C143" s="644"/>
      <c r="D143" s="644"/>
      <c r="E143" s="644"/>
      <c r="F143" s="644"/>
      <c r="G143" s="644"/>
      <c r="H143" s="644"/>
      <c r="I143" s="644"/>
      <c r="J143" s="644"/>
      <c r="K143" s="644"/>
      <c r="L143" s="644"/>
      <c r="M143" s="644"/>
      <c r="N143" s="644"/>
      <c r="O143" s="644"/>
      <c r="P143" s="644"/>
      <c r="Q143" s="644"/>
      <c r="R143" s="644"/>
      <c r="S143" s="644"/>
    </row>
    <row r="144" spans="1:19" x14ac:dyDescent="0.2">
      <c r="A144" s="644"/>
      <c r="B144" s="644"/>
      <c r="C144" s="644"/>
      <c r="D144" s="644"/>
      <c r="E144" s="644"/>
      <c r="F144" s="644"/>
      <c r="G144" s="644"/>
      <c r="H144" s="644"/>
      <c r="I144" s="644"/>
      <c r="J144" s="644"/>
      <c r="K144" s="644"/>
      <c r="L144" s="644"/>
      <c r="M144" s="644"/>
      <c r="N144" s="644"/>
      <c r="O144" s="644"/>
      <c r="P144" s="644"/>
      <c r="Q144" s="644"/>
      <c r="R144" s="644"/>
      <c r="S144" s="644"/>
    </row>
    <row r="145" spans="1:19" x14ac:dyDescent="0.2">
      <c r="A145" s="644"/>
      <c r="B145" s="644"/>
      <c r="C145" s="644"/>
      <c r="D145" s="644"/>
      <c r="E145" s="644"/>
      <c r="F145" s="644"/>
      <c r="G145" s="644"/>
      <c r="H145" s="644"/>
      <c r="I145" s="644"/>
      <c r="J145" s="644"/>
      <c r="K145" s="644"/>
      <c r="L145" s="644"/>
      <c r="M145" s="644"/>
      <c r="N145" s="644"/>
      <c r="O145" s="644"/>
      <c r="P145" s="644"/>
      <c r="Q145" s="644"/>
      <c r="R145" s="644"/>
      <c r="S145" s="644"/>
    </row>
    <row r="146" spans="1:19" x14ac:dyDescent="0.2">
      <c r="A146" s="644"/>
      <c r="B146" s="644"/>
      <c r="C146" s="644"/>
      <c r="D146" s="644"/>
      <c r="E146" s="644"/>
      <c r="F146" s="644"/>
      <c r="G146" s="644"/>
      <c r="H146" s="644"/>
      <c r="I146" s="644"/>
      <c r="J146" s="644"/>
      <c r="K146" s="644"/>
      <c r="L146" s="644"/>
      <c r="M146" s="644"/>
      <c r="N146" s="644"/>
      <c r="O146" s="644"/>
      <c r="P146" s="644"/>
      <c r="Q146" s="644"/>
      <c r="R146" s="644"/>
      <c r="S146" s="644"/>
    </row>
    <row r="147" spans="1:19" x14ac:dyDescent="0.2">
      <c r="A147" s="644"/>
      <c r="B147" s="644"/>
      <c r="C147" s="644"/>
      <c r="D147" s="644"/>
      <c r="E147" s="644"/>
      <c r="F147" s="644"/>
      <c r="G147" s="644"/>
      <c r="H147" s="644"/>
      <c r="I147" s="644"/>
      <c r="J147" s="644"/>
      <c r="K147" s="644"/>
      <c r="L147" s="644"/>
      <c r="M147" s="644"/>
      <c r="N147" s="644"/>
      <c r="O147" s="644"/>
      <c r="P147" s="644"/>
      <c r="Q147" s="644"/>
      <c r="R147" s="644"/>
      <c r="S147" s="644"/>
    </row>
    <row r="148" spans="1:19" x14ac:dyDescent="0.2">
      <c r="A148" s="644"/>
      <c r="B148" s="644"/>
      <c r="C148" s="644"/>
      <c r="D148" s="644"/>
      <c r="E148" s="644"/>
      <c r="F148" s="644"/>
      <c r="G148" s="644"/>
      <c r="H148" s="644"/>
      <c r="I148" s="644"/>
      <c r="J148" s="644"/>
      <c r="K148" s="644"/>
      <c r="L148" s="644"/>
      <c r="M148" s="644"/>
      <c r="N148" s="644"/>
      <c r="O148" s="644"/>
      <c r="P148" s="644"/>
      <c r="Q148" s="644"/>
      <c r="R148" s="644"/>
      <c r="S148" s="644"/>
    </row>
    <row r="149" spans="1:19" x14ac:dyDescent="0.2">
      <c r="A149" s="644"/>
      <c r="B149" s="644"/>
      <c r="C149" s="644"/>
      <c r="D149" s="644"/>
      <c r="E149" s="644"/>
      <c r="F149" s="644"/>
      <c r="G149" s="644"/>
      <c r="H149" s="644"/>
      <c r="I149" s="644"/>
      <c r="J149" s="644"/>
      <c r="K149" s="644"/>
      <c r="L149" s="644"/>
      <c r="M149" s="644"/>
      <c r="N149" s="644"/>
      <c r="O149" s="644"/>
      <c r="P149" s="644"/>
      <c r="Q149" s="644"/>
      <c r="R149" s="644"/>
      <c r="S149" s="644"/>
    </row>
    <row r="150" spans="1:19" x14ac:dyDescent="0.2">
      <c r="A150" s="644"/>
      <c r="B150" s="644"/>
      <c r="C150" s="644"/>
      <c r="D150" s="644"/>
      <c r="E150" s="644"/>
      <c r="F150" s="644"/>
      <c r="G150" s="644"/>
      <c r="H150" s="644"/>
      <c r="I150" s="644"/>
      <c r="J150" s="644"/>
      <c r="K150" s="644"/>
      <c r="L150" s="644"/>
      <c r="M150" s="644"/>
      <c r="N150" s="644"/>
      <c r="O150" s="644"/>
      <c r="P150" s="644"/>
      <c r="Q150" s="644"/>
      <c r="R150" s="644"/>
      <c r="S150" s="644"/>
    </row>
    <row r="151" spans="1:19" x14ac:dyDescent="0.2">
      <c r="A151" s="644"/>
      <c r="B151" s="644"/>
      <c r="C151" s="644"/>
      <c r="D151" s="644"/>
      <c r="E151" s="644"/>
      <c r="F151" s="644"/>
      <c r="G151" s="644"/>
      <c r="H151" s="644"/>
      <c r="I151" s="644"/>
      <c r="J151" s="644"/>
      <c r="K151" s="644"/>
      <c r="L151" s="644"/>
      <c r="M151" s="644"/>
      <c r="N151" s="644"/>
      <c r="O151" s="644"/>
      <c r="P151" s="644"/>
      <c r="Q151" s="644"/>
      <c r="R151" s="644"/>
      <c r="S151" s="644"/>
    </row>
    <row r="152" spans="1:19" x14ac:dyDescent="0.2">
      <c r="A152" s="644"/>
      <c r="B152" s="644"/>
      <c r="C152" s="644"/>
      <c r="D152" s="644"/>
      <c r="E152" s="644"/>
      <c r="F152" s="644"/>
      <c r="G152" s="644"/>
      <c r="H152" s="644"/>
      <c r="I152" s="644"/>
      <c r="J152" s="644"/>
      <c r="K152" s="644"/>
      <c r="L152" s="644"/>
      <c r="M152" s="644"/>
      <c r="N152" s="644"/>
      <c r="O152" s="644"/>
      <c r="P152" s="644"/>
      <c r="Q152" s="644"/>
      <c r="R152" s="644"/>
      <c r="S152" s="644"/>
    </row>
    <row r="153" spans="1:19" x14ac:dyDescent="0.2">
      <c r="A153" s="644"/>
      <c r="B153" s="644"/>
      <c r="C153" s="644"/>
      <c r="D153" s="644"/>
      <c r="E153" s="644"/>
      <c r="F153" s="644"/>
      <c r="G153" s="644"/>
      <c r="H153" s="644"/>
      <c r="I153" s="644"/>
      <c r="J153" s="644"/>
      <c r="K153" s="644"/>
      <c r="L153" s="644"/>
      <c r="M153" s="644"/>
      <c r="N153" s="644"/>
      <c r="O153" s="644"/>
      <c r="P153" s="644"/>
      <c r="Q153" s="644"/>
      <c r="R153" s="644"/>
      <c r="S153" s="644"/>
    </row>
    <row r="154" spans="1:19" x14ac:dyDescent="0.2">
      <c r="A154" s="644"/>
      <c r="B154" s="644"/>
      <c r="C154" s="644"/>
      <c r="D154" s="644"/>
      <c r="E154" s="644"/>
      <c r="F154" s="644"/>
      <c r="G154" s="644"/>
      <c r="H154" s="644"/>
      <c r="I154" s="644"/>
      <c r="J154" s="644"/>
      <c r="K154" s="644"/>
      <c r="L154" s="644"/>
      <c r="M154" s="644"/>
      <c r="N154" s="644"/>
      <c r="O154" s="644"/>
      <c r="P154" s="644"/>
      <c r="Q154" s="644"/>
      <c r="R154" s="644"/>
      <c r="S154" s="644"/>
    </row>
    <row r="155" spans="1:19" x14ac:dyDescent="0.2">
      <c r="A155" s="644"/>
      <c r="B155" s="644"/>
      <c r="C155" s="644"/>
      <c r="D155" s="644"/>
      <c r="E155" s="644"/>
      <c r="F155" s="644"/>
      <c r="G155" s="644"/>
      <c r="H155" s="644"/>
      <c r="I155" s="644"/>
      <c r="J155" s="644"/>
      <c r="K155" s="644"/>
      <c r="L155" s="644"/>
      <c r="M155" s="644"/>
      <c r="N155" s="644"/>
      <c r="O155" s="644"/>
      <c r="P155" s="644"/>
      <c r="Q155" s="644"/>
      <c r="R155" s="644"/>
      <c r="S155" s="644"/>
    </row>
    <row r="156" spans="1:19" x14ac:dyDescent="0.2">
      <c r="A156" s="644"/>
      <c r="B156" s="644"/>
      <c r="C156" s="644"/>
      <c r="D156" s="644"/>
      <c r="E156" s="644"/>
      <c r="F156" s="644"/>
      <c r="G156" s="644"/>
      <c r="H156" s="644"/>
      <c r="I156" s="644"/>
      <c r="J156" s="644"/>
      <c r="K156" s="644"/>
      <c r="L156" s="644"/>
      <c r="M156" s="644"/>
      <c r="N156" s="644"/>
      <c r="O156" s="644"/>
      <c r="P156" s="644"/>
      <c r="Q156" s="644"/>
      <c r="R156" s="644"/>
      <c r="S156" s="644"/>
    </row>
    <row r="157" spans="1:19" x14ac:dyDescent="0.2">
      <c r="A157" s="644"/>
      <c r="B157" s="644"/>
      <c r="C157" s="644"/>
      <c r="D157" s="644"/>
      <c r="E157" s="644"/>
      <c r="F157" s="644"/>
      <c r="G157" s="644"/>
      <c r="H157" s="644"/>
      <c r="I157" s="644"/>
      <c r="J157" s="644"/>
      <c r="K157" s="644"/>
      <c r="L157" s="644"/>
      <c r="M157" s="644"/>
      <c r="N157" s="644"/>
      <c r="O157" s="644"/>
      <c r="P157" s="644"/>
      <c r="Q157" s="644"/>
      <c r="R157" s="644"/>
      <c r="S157" s="644"/>
    </row>
    <row r="158" spans="1:19" x14ac:dyDescent="0.2">
      <c r="A158" s="644"/>
      <c r="B158" s="644"/>
      <c r="C158" s="644"/>
      <c r="D158" s="644"/>
      <c r="E158" s="644"/>
      <c r="F158" s="644"/>
      <c r="G158" s="644"/>
      <c r="H158" s="644"/>
      <c r="I158" s="644"/>
      <c r="J158" s="644"/>
      <c r="K158" s="644"/>
      <c r="L158" s="644"/>
      <c r="M158" s="644"/>
      <c r="N158" s="644"/>
      <c r="O158" s="644"/>
      <c r="P158" s="644"/>
      <c r="Q158" s="644"/>
      <c r="R158" s="644"/>
      <c r="S158" s="644"/>
    </row>
    <row r="159" spans="1:19" x14ac:dyDescent="0.2">
      <c r="A159" s="644"/>
      <c r="B159" s="644"/>
      <c r="C159" s="644"/>
      <c r="D159" s="644"/>
      <c r="E159" s="644"/>
      <c r="F159" s="644"/>
      <c r="G159" s="644"/>
      <c r="H159" s="644"/>
      <c r="I159" s="644"/>
      <c r="J159" s="644"/>
      <c r="K159" s="644"/>
      <c r="L159" s="644"/>
      <c r="M159" s="644"/>
      <c r="N159" s="644"/>
      <c r="O159" s="644"/>
      <c r="P159" s="644"/>
      <c r="Q159" s="644"/>
      <c r="R159" s="644"/>
      <c r="S159" s="644"/>
    </row>
    <row r="160" spans="1:19" x14ac:dyDescent="0.2">
      <c r="A160" s="644"/>
      <c r="B160" s="644"/>
      <c r="C160" s="644"/>
      <c r="D160" s="644"/>
      <c r="E160" s="644"/>
      <c r="F160" s="644"/>
      <c r="G160" s="644"/>
      <c r="H160" s="644"/>
      <c r="I160" s="644"/>
      <c r="J160" s="644"/>
      <c r="K160" s="644"/>
      <c r="L160" s="644"/>
      <c r="M160" s="644"/>
      <c r="N160" s="644"/>
      <c r="O160" s="644"/>
      <c r="P160" s="644"/>
      <c r="Q160" s="644"/>
      <c r="R160" s="644"/>
      <c r="S160" s="644"/>
    </row>
    <row r="161" spans="1:19" x14ac:dyDescent="0.2">
      <c r="A161" s="644"/>
      <c r="B161" s="644"/>
      <c r="C161" s="644"/>
      <c r="D161" s="644"/>
      <c r="E161" s="644"/>
      <c r="F161" s="644"/>
      <c r="G161" s="644"/>
      <c r="H161" s="644"/>
      <c r="I161" s="644"/>
      <c r="J161" s="644"/>
      <c r="K161" s="644"/>
      <c r="L161" s="644"/>
      <c r="M161" s="644"/>
      <c r="N161" s="644"/>
      <c r="O161" s="644"/>
      <c r="P161" s="644"/>
      <c r="Q161" s="644"/>
      <c r="R161" s="644"/>
      <c r="S161" s="644"/>
    </row>
    <row r="162" spans="1:19" x14ac:dyDescent="0.2">
      <c r="A162" s="644"/>
      <c r="B162" s="644"/>
      <c r="C162" s="644"/>
      <c r="D162" s="644"/>
      <c r="E162" s="644"/>
      <c r="F162" s="644"/>
      <c r="G162" s="644"/>
      <c r="H162" s="644"/>
      <c r="I162" s="644"/>
      <c r="J162" s="644"/>
      <c r="K162" s="644"/>
      <c r="L162" s="644"/>
      <c r="M162" s="644"/>
      <c r="N162" s="644"/>
      <c r="O162" s="644"/>
      <c r="P162" s="644"/>
      <c r="Q162" s="644"/>
      <c r="R162" s="644"/>
      <c r="S162" s="644"/>
    </row>
    <row r="163" spans="1:19" x14ac:dyDescent="0.2">
      <c r="A163" s="644"/>
      <c r="B163" s="644"/>
      <c r="C163" s="644"/>
      <c r="D163" s="644"/>
      <c r="E163" s="644"/>
      <c r="F163" s="644"/>
      <c r="G163" s="644"/>
      <c r="H163" s="644"/>
      <c r="I163" s="644"/>
      <c r="J163" s="644"/>
      <c r="K163" s="644"/>
      <c r="L163" s="644"/>
      <c r="M163" s="644"/>
      <c r="N163" s="644"/>
      <c r="O163" s="644"/>
      <c r="P163" s="644"/>
      <c r="Q163" s="644"/>
      <c r="R163" s="644"/>
      <c r="S163" s="644"/>
    </row>
    <row r="164" spans="1:19" x14ac:dyDescent="0.2">
      <c r="A164" s="644"/>
      <c r="B164" s="644"/>
      <c r="C164" s="644"/>
      <c r="D164" s="644"/>
      <c r="E164" s="644"/>
      <c r="F164" s="644"/>
      <c r="G164" s="644"/>
      <c r="H164" s="644"/>
      <c r="I164" s="644"/>
      <c r="J164" s="644"/>
      <c r="K164" s="644"/>
      <c r="L164" s="644"/>
      <c r="M164" s="644"/>
      <c r="N164" s="644"/>
      <c r="O164" s="644"/>
      <c r="P164" s="644"/>
      <c r="Q164" s="644"/>
      <c r="R164" s="644"/>
      <c r="S164" s="644"/>
    </row>
    <row r="165" spans="1:19" x14ac:dyDescent="0.2">
      <c r="A165" s="644"/>
      <c r="B165" s="644"/>
      <c r="C165" s="644"/>
      <c r="D165" s="644"/>
      <c r="E165" s="644"/>
      <c r="F165" s="644"/>
      <c r="G165" s="644"/>
      <c r="H165" s="644"/>
      <c r="I165" s="644"/>
      <c r="J165" s="644"/>
      <c r="K165" s="644"/>
      <c r="L165" s="644"/>
      <c r="M165" s="644"/>
      <c r="N165" s="644"/>
      <c r="O165" s="644"/>
      <c r="P165" s="644"/>
      <c r="Q165" s="644"/>
      <c r="R165" s="644"/>
      <c r="S165" s="644"/>
    </row>
    <row r="166" spans="1:19" x14ac:dyDescent="0.2">
      <c r="A166" s="644"/>
      <c r="B166" s="644"/>
      <c r="C166" s="644"/>
      <c r="D166" s="644"/>
      <c r="E166" s="644"/>
      <c r="F166" s="644"/>
      <c r="G166" s="644"/>
      <c r="H166" s="644"/>
      <c r="I166" s="644"/>
      <c r="J166" s="644"/>
      <c r="K166" s="644"/>
      <c r="L166" s="644"/>
      <c r="M166" s="644"/>
      <c r="N166" s="644"/>
      <c r="O166" s="644"/>
      <c r="P166" s="644"/>
      <c r="Q166" s="644"/>
      <c r="R166" s="644"/>
      <c r="S166" s="644"/>
    </row>
    <row r="167" spans="1:19" x14ac:dyDescent="0.2">
      <c r="A167" s="644"/>
      <c r="B167" s="644"/>
      <c r="C167" s="644"/>
      <c r="D167" s="644"/>
      <c r="E167" s="644"/>
      <c r="F167" s="644"/>
      <c r="G167" s="644"/>
      <c r="H167" s="644"/>
      <c r="I167" s="644"/>
      <c r="J167" s="644"/>
      <c r="K167" s="644"/>
      <c r="L167" s="644"/>
      <c r="M167" s="644"/>
      <c r="N167" s="644"/>
      <c r="O167" s="644"/>
      <c r="P167" s="644"/>
      <c r="Q167" s="644"/>
      <c r="R167" s="644"/>
      <c r="S167" s="644"/>
    </row>
    <row r="168" spans="1:19" x14ac:dyDescent="0.2">
      <c r="A168" s="644"/>
      <c r="B168" s="644"/>
      <c r="C168" s="644"/>
      <c r="D168" s="644"/>
      <c r="E168" s="644"/>
      <c r="F168" s="644"/>
      <c r="G168" s="644"/>
      <c r="H168" s="644"/>
      <c r="I168" s="644"/>
      <c r="J168" s="644"/>
      <c r="K168" s="644"/>
      <c r="L168" s="644"/>
      <c r="M168" s="644"/>
      <c r="N168" s="644"/>
      <c r="O168" s="644"/>
      <c r="P168" s="644"/>
      <c r="Q168" s="644"/>
      <c r="R168" s="644"/>
      <c r="S168" s="644"/>
    </row>
    <row r="169" spans="1:19" x14ac:dyDescent="0.2">
      <c r="A169" s="644"/>
      <c r="B169" s="644"/>
      <c r="C169" s="644"/>
      <c r="D169" s="644"/>
      <c r="E169" s="644"/>
      <c r="F169" s="644"/>
      <c r="G169" s="644"/>
      <c r="H169" s="644"/>
      <c r="I169" s="644"/>
      <c r="J169" s="644"/>
      <c r="K169" s="644"/>
      <c r="L169" s="644"/>
      <c r="M169" s="644"/>
      <c r="N169" s="644"/>
      <c r="O169" s="644"/>
      <c r="P169" s="644"/>
      <c r="Q169" s="644"/>
      <c r="R169" s="644"/>
      <c r="S169" s="644"/>
    </row>
    <row r="170" spans="1:19" x14ac:dyDescent="0.2">
      <c r="A170" s="644"/>
      <c r="B170" s="644"/>
      <c r="C170" s="644"/>
      <c r="D170" s="644"/>
      <c r="E170" s="644"/>
      <c r="F170" s="644"/>
      <c r="G170" s="644"/>
      <c r="H170" s="644"/>
      <c r="I170" s="644"/>
      <c r="J170" s="644"/>
      <c r="K170" s="644"/>
      <c r="L170" s="644"/>
      <c r="M170" s="644"/>
      <c r="N170" s="644"/>
      <c r="O170" s="644"/>
      <c r="P170" s="644"/>
      <c r="Q170" s="644"/>
      <c r="R170" s="644"/>
      <c r="S170" s="644"/>
    </row>
    <row r="171" spans="1:19" x14ac:dyDescent="0.2">
      <c r="A171" s="644"/>
      <c r="B171" s="644"/>
      <c r="C171" s="644"/>
      <c r="D171" s="644"/>
      <c r="E171" s="644"/>
      <c r="F171" s="644"/>
      <c r="G171" s="644"/>
      <c r="H171" s="644"/>
      <c r="I171" s="644"/>
      <c r="J171" s="644"/>
      <c r="K171" s="644"/>
      <c r="L171" s="644"/>
      <c r="M171" s="644"/>
      <c r="N171" s="644"/>
      <c r="O171" s="644"/>
      <c r="P171" s="644"/>
      <c r="Q171" s="644"/>
      <c r="R171" s="644"/>
      <c r="S171" s="644"/>
    </row>
    <row r="172" spans="1:19" x14ac:dyDescent="0.2">
      <c r="A172" s="644"/>
      <c r="B172" s="644"/>
      <c r="C172" s="644"/>
      <c r="D172" s="644"/>
      <c r="E172" s="644"/>
      <c r="F172" s="644"/>
      <c r="G172" s="644"/>
      <c r="H172" s="644"/>
      <c r="I172" s="644"/>
      <c r="J172" s="644"/>
      <c r="K172" s="644"/>
      <c r="L172" s="644"/>
      <c r="M172" s="644"/>
      <c r="N172" s="644"/>
      <c r="O172" s="644"/>
      <c r="P172" s="644"/>
      <c r="Q172" s="644"/>
      <c r="R172" s="644"/>
      <c r="S172" s="644"/>
    </row>
    <row r="173" spans="1:19" x14ac:dyDescent="0.2">
      <c r="A173" s="644"/>
      <c r="B173" s="644"/>
      <c r="C173" s="644"/>
      <c r="D173" s="644"/>
      <c r="E173" s="644"/>
      <c r="F173" s="644"/>
      <c r="G173" s="644"/>
      <c r="H173" s="644"/>
      <c r="I173" s="644"/>
      <c r="J173" s="644"/>
      <c r="K173" s="644"/>
      <c r="L173" s="644"/>
      <c r="M173" s="644"/>
      <c r="N173" s="644"/>
      <c r="O173" s="644"/>
      <c r="P173" s="644"/>
      <c r="Q173" s="644"/>
      <c r="R173" s="644"/>
      <c r="S173" s="644"/>
    </row>
    <row r="174" spans="1:19" x14ac:dyDescent="0.2">
      <c r="A174" s="644"/>
      <c r="B174" s="644"/>
      <c r="C174" s="644"/>
      <c r="D174" s="644"/>
      <c r="E174" s="644"/>
      <c r="F174" s="644"/>
      <c r="G174" s="644"/>
      <c r="H174" s="644"/>
      <c r="I174" s="644"/>
      <c r="J174" s="644"/>
      <c r="K174" s="644"/>
      <c r="L174" s="644"/>
      <c r="M174" s="644"/>
      <c r="N174" s="644"/>
      <c r="O174" s="644"/>
      <c r="P174" s="644"/>
      <c r="Q174" s="644"/>
      <c r="R174" s="644"/>
      <c r="S174" s="644"/>
    </row>
    <row r="175" spans="1:19" x14ac:dyDescent="0.2">
      <c r="A175" s="644"/>
      <c r="B175" s="644"/>
      <c r="C175" s="644"/>
      <c r="D175" s="644"/>
      <c r="E175" s="644"/>
      <c r="F175" s="644"/>
      <c r="G175" s="644"/>
      <c r="H175" s="644"/>
      <c r="I175" s="644"/>
      <c r="J175" s="644"/>
      <c r="K175" s="644"/>
      <c r="L175" s="644"/>
      <c r="M175" s="644"/>
      <c r="N175" s="644"/>
      <c r="O175" s="644"/>
      <c r="P175" s="644"/>
      <c r="Q175" s="644"/>
      <c r="R175" s="644"/>
      <c r="S175" s="644"/>
    </row>
    <row r="176" spans="1:19" x14ac:dyDescent="0.2">
      <c r="A176" s="644"/>
      <c r="B176" s="644"/>
      <c r="C176" s="644"/>
      <c r="D176" s="644"/>
      <c r="E176" s="644"/>
      <c r="F176" s="644"/>
      <c r="G176" s="644"/>
      <c r="H176" s="644"/>
      <c r="I176" s="644"/>
      <c r="J176" s="644"/>
      <c r="K176" s="644"/>
      <c r="L176" s="644"/>
      <c r="M176" s="644"/>
      <c r="N176" s="644"/>
      <c r="O176" s="644"/>
      <c r="P176" s="644"/>
      <c r="Q176" s="644"/>
      <c r="R176" s="644"/>
      <c r="S176" s="644"/>
    </row>
    <row r="177" spans="1:19" x14ac:dyDescent="0.2">
      <c r="A177" s="644"/>
      <c r="B177" s="644"/>
      <c r="C177" s="644"/>
      <c r="D177" s="644"/>
      <c r="E177" s="644"/>
      <c r="F177" s="644"/>
      <c r="G177" s="644"/>
      <c r="H177" s="644"/>
      <c r="I177" s="644"/>
      <c r="J177" s="644"/>
      <c r="K177" s="644"/>
      <c r="L177" s="644"/>
      <c r="M177" s="644"/>
      <c r="N177" s="644"/>
      <c r="O177" s="644"/>
      <c r="P177" s="644"/>
      <c r="Q177" s="644"/>
      <c r="R177" s="644"/>
      <c r="S177" s="644"/>
    </row>
    <row r="178" spans="1:19" x14ac:dyDescent="0.2">
      <c r="A178" s="644"/>
      <c r="B178" s="644"/>
      <c r="C178" s="644"/>
      <c r="D178" s="644"/>
      <c r="E178" s="644"/>
      <c r="F178" s="644"/>
      <c r="G178" s="644"/>
      <c r="H178" s="644"/>
      <c r="I178" s="644"/>
      <c r="J178" s="644"/>
      <c r="K178" s="644"/>
      <c r="L178" s="644"/>
      <c r="M178" s="644"/>
      <c r="N178" s="644"/>
      <c r="O178" s="644"/>
      <c r="P178" s="644"/>
      <c r="Q178" s="644"/>
      <c r="R178" s="644"/>
      <c r="S178" s="644"/>
    </row>
    <row r="179" spans="1:19" x14ac:dyDescent="0.2">
      <c r="A179" s="644"/>
      <c r="B179" s="644"/>
      <c r="C179" s="644"/>
      <c r="D179" s="644"/>
      <c r="E179" s="644"/>
      <c r="F179" s="644"/>
      <c r="G179" s="644"/>
      <c r="H179" s="644"/>
      <c r="I179" s="644"/>
      <c r="J179" s="644"/>
      <c r="K179" s="644"/>
      <c r="L179" s="644"/>
      <c r="M179" s="644"/>
      <c r="N179" s="644"/>
      <c r="O179" s="644"/>
      <c r="P179" s="644"/>
      <c r="Q179" s="644"/>
      <c r="R179" s="644"/>
      <c r="S179" s="644"/>
    </row>
    <row r="180" spans="1:19" x14ac:dyDescent="0.2">
      <c r="A180" s="644"/>
      <c r="B180" s="644"/>
      <c r="C180" s="644"/>
      <c r="D180" s="644"/>
      <c r="E180" s="644"/>
      <c r="F180" s="644"/>
      <c r="G180" s="644"/>
      <c r="H180" s="644"/>
      <c r="I180" s="644"/>
      <c r="J180" s="644"/>
      <c r="K180" s="644"/>
      <c r="L180" s="644"/>
      <c r="M180" s="644"/>
      <c r="N180" s="644"/>
      <c r="O180" s="644"/>
      <c r="P180" s="644"/>
      <c r="Q180" s="644"/>
      <c r="R180" s="644"/>
      <c r="S180" s="644"/>
    </row>
    <row r="181" spans="1:19" x14ac:dyDescent="0.2">
      <c r="A181" s="644"/>
      <c r="B181" s="644"/>
      <c r="C181" s="644"/>
      <c r="D181" s="644"/>
      <c r="E181" s="644"/>
      <c r="F181" s="644"/>
      <c r="G181" s="644"/>
      <c r="H181" s="644"/>
      <c r="I181" s="644"/>
      <c r="J181" s="644"/>
      <c r="K181" s="644"/>
      <c r="L181" s="644"/>
      <c r="M181" s="644"/>
      <c r="N181" s="644"/>
      <c r="O181" s="644"/>
      <c r="P181" s="644"/>
      <c r="Q181" s="644"/>
      <c r="R181" s="644"/>
      <c r="S181" s="644"/>
    </row>
    <row r="182" spans="1:19" x14ac:dyDescent="0.2">
      <c r="A182" s="644"/>
      <c r="B182" s="644"/>
      <c r="C182" s="644"/>
      <c r="D182" s="644"/>
      <c r="E182" s="644"/>
      <c r="F182" s="644"/>
      <c r="G182" s="644"/>
      <c r="H182" s="644"/>
      <c r="I182" s="644"/>
      <c r="J182" s="644"/>
      <c r="K182" s="644"/>
      <c r="L182" s="644"/>
      <c r="M182" s="644"/>
      <c r="N182" s="644"/>
      <c r="O182" s="644"/>
      <c r="P182" s="644"/>
      <c r="Q182" s="644"/>
      <c r="R182" s="644"/>
      <c r="S182" s="644"/>
    </row>
    <row r="183" spans="1:19" x14ac:dyDescent="0.2">
      <c r="A183" s="644"/>
      <c r="B183" s="644"/>
      <c r="C183" s="644"/>
      <c r="D183" s="644"/>
      <c r="E183" s="644"/>
      <c r="F183" s="644"/>
      <c r="G183" s="644"/>
      <c r="H183" s="644"/>
      <c r="I183" s="644"/>
      <c r="J183" s="644"/>
      <c r="K183" s="644"/>
      <c r="L183" s="644"/>
      <c r="M183" s="644"/>
      <c r="N183" s="644"/>
      <c r="O183" s="644"/>
      <c r="P183" s="644"/>
      <c r="Q183" s="644"/>
      <c r="R183" s="644"/>
      <c r="S183" s="644"/>
    </row>
    <row r="184" spans="1:19" x14ac:dyDescent="0.2">
      <c r="A184" s="644"/>
      <c r="B184" s="644"/>
      <c r="C184" s="644"/>
      <c r="D184" s="644"/>
      <c r="E184" s="644"/>
      <c r="F184" s="644"/>
      <c r="G184" s="644"/>
      <c r="H184" s="644"/>
      <c r="I184" s="644"/>
      <c r="J184" s="644"/>
      <c r="K184" s="644"/>
      <c r="L184" s="644"/>
      <c r="M184" s="644"/>
      <c r="N184" s="644"/>
      <c r="O184" s="644"/>
      <c r="P184" s="644"/>
      <c r="Q184" s="644"/>
      <c r="R184" s="644"/>
      <c r="S184" s="644"/>
    </row>
    <row r="185" spans="1:19" x14ac:dyDescent="0.2">
      <c r="A185" s="644"/>
      <c r="B185" s="644"/>
      <c r="C185" s="644"/>
      <c r="D185" s="644"/>
      <c r="E185" s="644"/>
      <c r="F185" s="644"/>
      <c r="G185" s="644"/>
      <c r="H185" s="644"/>
      <c r="I185" s="644"/>
      <c r="J185" s="644"/>
      <c r="K185" s="644"/>
      <c r="L185" s="644"/>
      <c r="M185" s="644"/>
      <c r="N185" s="644"/>
      <c r="O185" s="644"/>
      <c r="P185" s="644"/>
      <c r="Q185" s="644"/>
      <c r="R185" s="644"/>
      <c r="S185" s="644"/>
    </row>
    <row r="186" spans="1:19" x14ac:dyDescent="0.2">
      <c r="A186" s="644"/>
      <c r="B186" s="644"/>
      <c r="C186" s="644"/>
      <c r="D186" s="644"/>
      <c r="E186" s="644"/>
      <c r="F186" s="644"/>
      <c r="G186" s="644"/>
      <c r="H186" s="644"/>
      <c r="I186" s="644"/>
      <c r="J186" s="644"/>
      <c r="K186" s="644"/>
      <c r="L186" s="644"/>
      <c r="M186" s="644"/>
      <c r="N186" s="644"/>
      <c r="O186" s="644"/>
      <c r="P186" s="644"/>
      <c r="Q186" s="644"/>
      <c r="R186" s="644"/>
      <c r="S186" s="644"/>
    </row>
    <row r="187" spans="1:19" x14ac:dyDescent="0.2">
      <c r="A187" s="644"/>
      <c r="B187" s="644"/>
      <c r="C187" s="644"/>
      <c r="D187" s="644"/>
      <c r="E187" s="644"/>
      <c r="F187" s="644"/>
      <c r="G187" s="644"/>
      <c r="H187" s="644"/>
      <c r="I187" s="644"/>
      <c r="J187" s="644"/>
      <c r="K187" s="644"/>
      <c r="L187" s="644"/>
      <c r="M187" s="644"/>
      <c r="N187" s="644"/>
      <c r="O187" s="644"/>
      <c r="P187" s="644"/>
      <c r="Q187" s="644"/>
      <c r="R187" s="644"/>
      <c r="S187" s="644"/>
    </row>
    <row r="188" spans="1:19" x14ac:dyDescent="0.2">
      <c r="A188" s="644"/>
      <c r="B188" s="644"/>
      <c r="C188" s="644"/>
      <c r="D188" s="644"/>
      <c r="E188" s="644"/>
      <c r="F188" s="644"/>
      <c r="G188" s="644"/>
      <c r="H188" s="644"/>
      <c r="I188" s="644"/>
      <c r="J188" s="644"/>
      <c r="K188" s="644"/>
      <c r="L188" s="644"/>
      <c r="M188" s="644"/>
      <c r="N188" s="644"/>
      <c r="O188" s="644"/>
      <c r="P188" s="644"/>
      <c r="Q188" s="644"/>
      <c r="R188" s="644"/>
      <c r="S188" s="644"/>
    </row>
    <row r="189" spans="1:19" x14ac:dyDescent="0.2">
      <c r="A189" s="644"/>
      <c r="B189" s="644"/>
      <c r="C189" s="644"/>
      <c r="D189" s="644"/>
      <c r="E189" s="644"/>
      <c r="F189" s="644"/>
      <c r="G189" s="644"/>
      <c r="H189" s="644"/>
      <c r="I189" s="644"/>
      <c r="J189" s="644"/>
      <c r="K189" s="644"/>
      <c r="L189" s="644"/>
      <c r="M189" s="644"/>
      <c r="N189" s="644"/>
      <c r="O189" s="644"/>
      <c r="P189" s="644"/>
      <c r="Q189" s="644"/>
      <c r="R189" s="644"/>
      <c r="S189" s="644"/>
    </row>
    <row r="190" spans="1:19" x14ac:dyDescent="0.2">
      <c r="A190" s="644"/>
      <c r="B190" s="644"/>
      <c r="C190" s="644"/>
      <c r="D190" s="644"/>
      <c r="E190" s="644"/>
      <c r="F190" s="644"/>
      <c r="G190" s="644"/>
      <c r="H190" s="644"/>
      <c r="I190" s="644"/>
      <c r="J190" s="644"/>
      <c r="K190" s="644"/>
      <c r="L190" s="644"/>
      <c r="M190" s="644"/>
      <c r="N190" s="644"/>
      <c r="O190" s="644"/>
      <c r="P190" s="644"/>
      <c r="Q190" s="644"/>
      <c r="R190" s="644"/>
      <c r="S190" s="644"/>
    </row>
    <row r="191" spans="1:19" x14ac:dyDescent="0.2">
      <c r="A191" s="644"/>
      <c r="B191" s="644"/>
      <c r="C191" s="644"/>
      <c r="D191" s="644"/>
      <c r="E191" s="644"/>
      <c r="F191" s="644"/>
      <c r="G191" s="644"/>
      <c r="H191" s="644"/>
      <c r="I191" s="644"/>
      <c r="J191" s="644"/>
      <c r="K191" s="644"/>
      <c r="L191" s="644"/>
      <c r="M191" s="644"/>
      <c r="N191" s="644"/>
      <c r="O191" s="644"/>
      <c r="P191" s="644"/>
      <c r="Q191" s="644"/>
      <c r="R191" s="644"/>
      <c r="S191" s="644"/>
    </row>
    <row r="192" spans="1:19" x14ac:dyDescent="0.2">
      <c r="A192" s="644"/>
      <c r="B192" s="644"/>
      <c r="C192" s="644"/>
      <c r="D192" s="644"/>
      <c r="E192" s="644"/>
      <c r="F192" s="644"/>
      <c r="G192" s="644"/>
      <c r="H192" s="644"/>
      <c r="I192" s="644"/>
      <c r="J192" s="644"/>
      <c r="K192" s="644"/>
      <c r="L192" s="644"/>
      <c r="M192" s="644"/>
      <c r="N192" s="644"/>
      <c r="O192" s="644"/>
      <c r="P192" s="644"/>
      <c r="Q192" s="644"/>
      <c r="R192" s="644"/>
      <c r="S192" s="644"/>
    </row>
    <row r="193" spans="1:19" x14ac:dyDescent="0.2">
      <c r="A193" s="644"/>
      <c r="B193" s="644"/>
      <c r="C193" s="644"/>
      <c r="D193" s="644"/>
      <c r="E193" s="644"/>
      <c r="F193" s="644"/>
      <c r="G193" s="644"/>
      <c r="H193" s="644"/>
      <c r="I193" s="644"/>
      <c r="J193" s="644"/>
      <c r="K193" s="644"/>
      <c r="L193" s="644"/>
      <c r="M193" s="644"/>
      <c r="N193" s="644"/>
      <c r="O193" s="644"/>
      <c r="P193" s="644"/>
      <c r="Q193" s="644"/>
      <c r="R193" s="644"/>
      <c r="S193" s="644"/>
    </row>
    <row r="194" spans="1:19" x14ac:dyDescent="0.2">
      <c r="A194" s="644"/>
      <c r="B194" s="644"/>
      <c r="C194" s="644"/>
      <c r="D194" s="644"/>
      <c r="E194" s="644"/>
      <c r="F194" s="644"/>
      <c r="G194" s="644"/>
      <c r="H194" s="644"/>
      <c r="I194" s="644"/>
      <c r="J194" s="644"/>
      <c r="K194" s="644"/>
      <c r="L194" s="644"/>
      <c r="M194" s="644"/>
      <c r="N194" s="644"/>
      <c r="O194" s="644"/>
      <c r="P194" s="644"/>
      <c r="Q194" s="644"/>
      <c r="R194" s="644"/>
      <c r="S194" s="644"/>
    </row>
    <row r="195" spans="1:19" x14ac:dyDescent="0.2">
      <c r="A195" s="644"/>
      <c r="B195" s="644"/>
      <c r="C195" s="644"/>
      <c r="D195" s="644"/>
      <c r="E195" s="644"/>
      <c r="F195" s="644"/>
      <c r="G195" s="644"/>
      <c r="H195" s="644"/>
      <c r="I195" s="644"/>
      <c r="J195" s="644"/>
      <c r="K195" s="644"/>
      <c r="L195" s="644"/>
      <c r="M195" s="644"/>
      <c r="N195" s="644"/>
      <c r="O195" s="644"/>
      <c r="P195" s="644"/>
      <c r="Q195" s="644"/>
      <c r="R195" s="644"/>
      <c r="S195" s="644"/>
    </row>
    <row r="196" spans="1:19" x14ac:dyDescent="0.2">
      <c r="A196" s="644"/>
      <c r="B196" s="644"/>
      <c r="C196" s="644"/>
      <c r="D196" s="644"/>
      <c r="E196" s="644"/>
      <c r="F196" s="644"/>
      <c r="G196" s="644"/>
      <c r="H196" s="644"/>
      <c r="I196" s="644"/>
      <c r="J196" s="644"/>
      <c r="K196" s="644"/>
      <c r="L196" s="644"/>
      <c r="M196" s="644"/>
      <c r="N196" s="644"/>
      <c r="O196" s="644"/>
      <c r="P196" s="644"/>
      <c r="Q196" s="644"/>
      <c r="R196" s="644"/>
      <c r="S196" s="644"/>
    </row>
    <row r="197" spans="1:19" x14ac:dyDescent="0.2">
      <c r="A197" s="644"/>
      <c r="B197" s="644"/>
      <c r="C197" s="644"/>
      <c r="D197" s="644"/>
      <c r="E197" s="644"/>
      <c r="F197" s="644"/>
      <c r="G197" s="644"/>
      <c r="H197" s="644"/>
      <c r="I197" s="644"/>
      <c r="J197" s="644"/>
      <c r="K197" s="644"/>
      <c r="L197" s="644"/>
      <c r="M197" s="644"/>
      <c r="N197" s="644"/>
      <c r="O197" s="644"/>
      <c r="P197" s="644"/>
      <c r="Q197" s="644"/>
      <c r="R197" s="644"/>
      <c r="S197" s="644"/>
    </row>
    <row r="198" spans="1:19" x14ac:dyDescent="0.2">
      <c r="A198" s="644"/>
      <c r="B198" s="644"/>
      <c r="C198" s="644"/>
      <c r="D198" s="644"/>
      <c r="E198" s="644"/>
      <c r="F198" s="644"/>
      <c r="G198" s="644"/>
      <c r="H198" s="644"/>
      <c r="I198" s="644"/>
      <c r="J198" s="644"/>
      <c r="K198" s="644"/>
      <c r="L198" s="644"/>
      <c r="M198" s="644"/>
      <c r="N198" s="644"/>
      <c r="O198" s="644"/>
      <c r="P198" s="644"/>
      <c r="Q198" s="644"/>
      <c r="R198" s="644"/>
      <c r="S198" s="644"/>
    </row>
    <row r="199" spans="1:19" x14ac:dyDescent="0.2">
      <c r="A199" s="644"/>
      <c r="B199" s="644"/>
      <c r="C199" s="644"/>
      <c r="D199" s="644"/>
      <c r="E199" s="644"/>
      <c r="F199" s="644"/>
      <c r="G199" s="644"/>
      <c r="H199" s="644"/>
      <c r="I199" s="644"/>
      <c r="J199" s="644"/>
      <c r="K199" s="644"/>
      <c r="L199" s="644"/>
      <c r="M199" s="644"/>
      <c r="N199" s="644"/>
      <c r="O199" s="644"/>
      <c r="P199" s="644"/>
      <c r="Q199" s="644"/>
      <c r="R199" s="644"/>
      <c r="S199" s="644"/>
    </row>
    <row r="200" spans="1:19" x14ac:dyDescent="0.2">
      <c r="A200" s="644"/>
      <c r="B200" s="644"/>
      <c r="C200" s="644"/>
      <c r="D200" s="644"/>
      <c r="E200" s="644"/>
      <c r="F200" s="644"/>
      <c r="G200" s="644"/>
      <c r="H200" s="644"/>
      <c r="I200" s="644"/>
      <c r="J200" s="644"/>
      <c r="K200" s="644"/>
      <c r="L200" s="644"/>
      <c r="M200" s="644"/>
      <c r="N200" s="644"/>
      <c r="O200" s="644"/>
      <c r="P200" s="644"/>
      <c r="Q200" s="644"/>
      <c r="R200" s="644"/>
      <c r="S200" s="644"/>
    </row>
    <row r="201" spans="1:19" x14ac:dyDescent="0.2">
      <c r="A201" s="644"/>
      <c r="B201" s="644"/>
      <c r="C201" s="644"/>
      <c r="D201" s="644"/>
      <c r="E201" s="644"/>
      <c r="F201" s="644"/>
      <c r="G201" s="644"/>
      <c r="H201" s="644"/>
      <c r="I201" s="644"/>
      <c r="J201" s="644"/>
      <c r="K201" s="644"/>
      <c r="L201" s="644"/>
      <c r="M201" s="644"/>
      <c r="N201" s="644"/>
      <c r="O201" s="644"/>
      <c r="P201" s="644"/>
      <c r="Q201" s="644"/>
      <c r="R201" s="644"/>
      <c r="S201" s="644"/>
    </row>
    <row r="202" spans="1:19" x14ac:dyDescent="0.2">
      <c r="A202" s="644"/>
      <c r="B202" s="644"/>
      <c r="C202" s="644"/>
      <c r="D202" s="644"/>
      <c r="E202" s="644"/>
      <c r="F202" s="644"/>
      <c r="G202" s="644"/>
      <c r="H202" s="644"/>
      <c r="I202" s="644"/>
      <c r="J202" s="644"/>
      <c r="K202" s="644"/>
      <c r="L202" s="644"/>
      <c r="M202" s="644"/>
      <c r="N202" s="644"/>
      <c r="O202" s="644"/>
      <c r="P202" s="644"/>
      <c r="Q202" s="644"/>
      <c r="R202" s="644"/>
      <c r="S202" s="644"/>
    </row>
    <row r="203" spans="1:19" x14ac:dyDescent="0.2">
      <c r="A203" s="644"/>
      <c r="B203" s="644"/>
      <c r="C203" s="644"/>
      <c r="D203" s="644"/>
      <c r="E203" s="644"/>
      <c r="F203" s="644"/>
      <c r="G203" s="644"/>
      <c r="H203" s="644"/>
      <c r="I203" s="644"/>
      <c r="J203" s="644"/>
      <c r="K203" s="644"/>
      <c r="L203" s="644"/>
      <c r="M203" s="644"/>
      <c r="N203" s="644"/>
      <c r="O203" s="644"/>
      <c r="P203" s="644"/>
      <c r="Q203" s="644"/>
      <c r="R203" s="644"/>
      <c r="S203" s="644"/>
    </row>
    <row r="204" spans="1:19" x14ac:dyDescent="0.2">
      <c r="A204" s="644"/>
      <c r="B204" s="644"/>
      <c r="C204" s="644"/>
      <c r="D204" s="644"/>
      <c r="E204" s="644"/>
      <c r="F204" s="644"/>
      <c r="G204" s="644"/>
      <c r="H204" s="644"/>
      <c r="I204" s="644"/>
      <c r="J204" s="644"/>
      <c r="K204" s="644"/>
      <c r="L204" s="644"/>
      <c r="M204" s="644"/>
      <c r="N204" s="644"/>
      <c r="O204" s="644"/>
      <c r="P204" s="644"/>
      <c r="Q204" s="644"/>
      <c r="R204" s="644"/>
      <c r="S204" s="644"/>
    </row>
    <row r="205" spans="1:19" x14ac:dyDescent="0.2">
      <c r="A205" s="644"/>
      <c r="B205" s="644"/>
      <c r="C205" s="644"/>
      <c r="D205" s="644"/>
      <c r="E205" s="644"/>
      <c r="F205" s="644"/>
      <c r="G205" s="644"/>
      <c r="H205" s="644"/>
      <c r="I205" s="644"/>
      <c r="J205" s="644"/>
      <c r="K205" s="644"/>
      <c r="L205" s="644"/>
      <c r="M205" s="644"/>
      <c r="N205" s="644"/>
      <c r="O205" s="644"/>
      <c r="P205" s="644"/>
      <c r="Q205" s="644"/>
      <c r="R205" s="644"/>
      <c r="S205" s="644"/>
    </row>
    <row r="206" spans="1:19" x14ac:dyDescent="0.2">
      <c r="A206" s="644"/>
      <c r="B206" s="644"/>
      <c r="C206" s="644"/>
      <c r="D206" s="644"/>
      <c r="E206" s="644"/>
      <c r="F206" s="644"/>
      <c r="G206" s="644"/>
      <c r="H206" s="644"/>
      <c r="I206" s="644"/>
      <c r="J206" s="644"/>
      <c r="K206" s="644"/>
      <c r="L206" s="644"/>
      <c r="M206" s="644"/>
      <c r="N206" s="644"/>
      <c r="O206" s="644"/>
      <c r="P206" s="644"/>
      <c r="Q206" s="644"/>
      <c r="R206" s="644"/>
      <c r="S206" s="644"/>
    </row>
    <row r="207" spans="1:19" x14ac:dyDescent="0.2">
      <c r="A207" s="644"/>
      <c r="B207" s="644"/>
      <c r="C207" s="644"/>
      <c r="D207" s="644"/>
      <c r="E207" s="644"/>
      <c r="F207" s="644"/>
      <c r="G207" s="644"/>
      <c r="H207" s="644"/>
      <c r="I207" s="644"/>
      <c r="J207" s="644"/>
      <c r="K207" s="644"/>
      <c r="L207" s="644"/>
      <c r="M207" s="644"/>
      <c r="N207" s="644"/>
      <c r="O207" s="644"/>
      <c r="P207" s="644"/>
      <c r="Q207" s="644"/>
      <c r="R207" s="644"/>
      <c r="S207" s="644"/>
    </row>
    <row r="208" spans="1:19" x14ac:dyDescent="0.2">
      <c r="A208" s="644"/>
      <c r="B208" s="644"/>
      <c r="C208" s="644"/>
      <c r="D208" s="644"/>
      <c r="E208" s="644"/>
      <c r="F208" s="644"/>
      <c r="G208" s="644"/>
      <c r="H208" s="644"/>
      <c r="I208" s="644"/>
      <c r="J208" s="644"/>
      <c r="K208" s="644"/>
      <c r="L208" s="644"/>
      <c r="M208" s="644"/>
      <c r="N208" s="644"/>
      <c r="O208" s="644"/>
      <c r="P208" s="644"/>
      <c r="Q208" s="644"/>
      <c r="R208" s="644"/>
      <c r="S208" s="644"/>
    </row>
    <row r="209" spans="1:19" x14ac:dyDescent="0.2">
      <c r="A209" s="644"/>
      <c r="B209" s="644"/>
      <c r="C209" s="644"/>
      <c r="D209" s="644"/>
      <c r="E209" s="644"/>
      <c r="F209" s="644"/>
      <c r="G209" s="644"/>
      <c r="H209" s="644"/>
      <c r="I209" s="644"/>
      <c r="J209" s="644"/>
      <c r="K209" s="644"/>
      <c r="L209" s="644"/>
      <c r="M209" s="644"/>
      <c r="N209" s="644"/>
      <c r="O209" s="644"/>
      <c r="P209" s="644"/>
      <c r="Q209" s="644"/>
      <c r="R209" s="644"/>
      <c r="S209" s="644"/>
    </row>
    <row r="210" spans="1:19" x14ac:dyDescent="0.2">
      <c r="A210" s="644"/>
      <c r="B210" s="644"/>
      <c r="C210" s="644"/>
      <c r="D210" s="644"/>
      <c r="E210" s="644"/>
      <c r="F210" s="644"/>
      <c r="G210" s="644"/>
      <c r="H210" s="644"/>
      <c r="I210" s="644"/>
      <c r="J210" s="644"/>
      <c r="K210" s="644"/>
      <c r="L210" s="644"/>
      <c r="M210" s="644"/>
      <c r="N210" s="644"/>
      <c r="O210" s="644"/>
      <c r="P210" s="644"/>
      <c r="Q210" s="644"/>
      <c r="R210" s="644"/>
      <c r="S210" s="644"/>
    </row>
    <row r="211" spans="1:19" x14ac:dyDescent="0.2">
      <c r="A211" s="644"/>
      <c r="B211" s="644"/>
      <c r="C211" s="644"/>
      <c r="D211" s="644"/>
      <c r="E211" s="644"/>
      <c r="F211" s="644"/>
      <c r="G211" s="644"/>
      <c r="H211" s="644"/>
      <c r="I211" s="644"/>
      <c r="J211" s="644"/>
      <c r="K211" s="644"/>
      <c r="L211" s="644"/>
      <c r="M211" s="644"/>
      <c r="N211" s="644"/>
      <c r="O211" s="644"/>
      <c r="P211" s="644"/>
      <c r="Q211" s="644"/>
      <c r="R211" s="644"/>
      <c r="S211" s="644"/>
    </row>
    <row r="212" spans="1:19" x14ac:dyDescent="0.2">
      <c r="A212" s="644"/>
      <c r="B212" s="644"/>
      <c r="C212" s="644"/>
      <c r="D212" s="644"/>
      <c r="E212" s="644"/>
      <c r="F212" s="644"/>
      <c r="G212" s="644"/>
      <c r="H212" s="644"/>
      <c r="I212" s="644"/>
      <c r="J212" s="644"/>
      <c r="K212" s="644"/>
      <c r="L212" s="644"/>
      <c r="M212" s="644"/>
      <c r="N212" s="644"/>
      <c r="O212" s="644"/>
      <c r="P212" s="644"/>
      <c r="Q212" s="644"/>
      <c r="R212" s="644"/>
      <c r="S212" s="644"/>
    </row>
    <row r="213" spans="1:19" x14ac:dyDescent="0.2">
      <c r="A213" s="644"/>
      <c r="B213" s="644"/>
      <c r="C213" s="644"/>
      <c r="D213" s="644"/>
      <c r="E213" s="644"/>
      <c r="F213" s="644"/>
      <c r="G213" s="644"/>
      <c r="H213" s="644"/>
      <c r="I213" s="644"/>
      <c r="J213" s="644"/>
      <c r="K213" s="644"/>
      <c r="L213" s="644"/>
      <c r="M213" s="644"/>
      <c r="N213" s="644"/>
      <c r="O213" s="644"/>
      <c r="P213" s="644"/>
      <c r="Q213" s="644"/>
      <c r="R213" s="644"/>
      <c r="S213" s="644"/>
    </row>
    <row r="214" spans="1:19" x14ac:dyDescent="0.2">
      <c r="A214" s="644"/>
      <c r="B214" s="644"/>
      <c r="C214" s="644"/>
      <c r="D214" s="644"/>
      <c r="E214" s="644"/>
      <c r="F214" s="644"/>
      <c r="G214" s="644"/>
      <c r="H214" s="644"/>
      <c r="I214" s="644"/>
      <c r="J214" s="644"/>
      <c r="K214" s="644"/>
      <c r="L214" s="644"/>
      <c r="M214" s="644"/>
      <c r="N214" s="644"/>
      <c r="O214" s="644"/>
      <c r="P214" s="644"/>
      <c r="Q214" s="644"/>
      <c r="R214" s="644"/>
      <c r="S214" s="644"/>
    </row>
    <row r="215" spans="1:19" x14ac:dyDescent="0.2">
      <c r="A215" s="644"/>
      <c r="B215" s="644"/>
      <c r="C215" s="644"/>
      <c r="D215" s="644"/>
      <c r="E215" s="644"/>
      <c r="F215" s="644"/>
      <c r="G215" s="644"/>
      <c r="H215" s="644"/>
      <c r="I215" s="644"/>
      <c r="J215" s="644"/>
      <c r="K215" s="644"/>
      <c r="L215" s="644"/>
      <c r="M215" s="644"/>
      <c r="N215" s="644"/>
      <c r="O215" s="644"/>
      <c r="P215" s="644"/>
      <c r="Q215" s="644"/>
      <c r="R215" s="644"/>
      <c r="S215" s="644"/>
    </row>
    <row r="216" spans="1:19" x14ac:dyDescent="0.2">
      <c r="A216" s="644"/>
      <c r="B216" s="644"/>
      <c r="C216" s="644"/>
      <c r="D216" s="644"/>
      <c r="E216" s="644"/>
      <c r="F216" s="644"/>
      <c r="G216" s="644"/>
      <c r="H216" s="644"/>
      <c r="I216" s="644"/>
      <c r="J216" s="644"/>
      <c r="K216" s="644"/>
      <c r="L216" s="644"/>
      <c r="M216" s="644"/>
      <c r="N216" s="644"/>
      <c r="O216" s="644"/>
      <c r="P216" s="644"/>
      <c r="Q216" s="644"/>
      <c r="R216" s="644"/>
      <c r="S216" s="644"/>
    </row>
    <row r="217" spans="1:19" x14ac:dyDescent="0.2">
      <c r="A217" s="644"/>
      <c r="B217" s="644"/>
      <c r="C217" s="644"/>
      <c r="D217" s="644"/>
      <c r="E217" s="644"/>
      <c r="F217" s="644"/>
      <c r="G217" s="644"/>
      <c r="H217" s="644"/>
      <c r="I217" s="644"/>
      <c r="J217" s="644"/>
      <c r="K217" s="644"/>
      <c r="L217" s="644"/>
      <c r="M217" s="644"/>
      <c r="N217" s="644"/>
      <c r="O217" s="644"/>
      <c r="P217" s="644"/>
      <c r="Q217" s="644"/>
      <c r="R217" s="644"/>
      <c r="S217" s="644"/>
    </row>
    <row r="218" spans="1:19" x14ac:dyDescent="0.2">
      <c r="A218" s="644"/>
      <c r="B218" s="644"/>
      <c r="C218" s="644"/>
      <c r="D218" s="644"/>
      <c r="E218" s="644"/>
      <c r="F218" s="644"/>
      <c r="G218" s="644"/>
      <c r="H218" s="644"/>
      <c r="I218" s="644"/>
      <c r="J218" s="644"/>
      <c r="K218" s="644"/>
      <c r="L218" s="644"/>
      <c r="M218" s="644"/>
      <c r="N218" s="644"/>
      <c r="O218" s="644"/>
      <c r="P218" s="644"/>
      <c r="Q218" s="644"/>
      <c r="R218" s="644"/>
      <c r="S218" s="644"/>
    </row>
    <row r="219" spans="1:19" x14ac:dyDescent="0.2">
      <c r="A219" s="644"/>
      <c r="B219" s="644"/>
      <c r="C219" s="644"/>
      <c r="D219" s="644"/>
      <c r="E219" s="644"/>
      <c r="F219" s="644"/>
      <c r="G219" s="644"/>
      <c r="H219" s="644"/>
      <c r="I219" s="644"/>
      <c r="J219" s="644"/>
      <c r="K219" s="644"/>
      <c r="L219" s="644"/>
      <c r="M219" s="644"/>
      <c r="N219" s="644"/>
      <c r="O219" s="644"/>
      <c r="P219" s="644"/>
      <c r="Q219" s="644"/>
      <c r="R219" s="644"/>
      <c r="S219" s="644"/>
    </row>
    <row r="220" spans="1:19" x14ac:dyDescent="0.2">
      <c r="A220" s="644"/>
      <c r="B220" s="644"/>
      <c r="C220" s="644"/>
      <c r="D220" s="644"/>
      <c r="E220" s="644"/>
      <c r="F220" s="644"/>
      <c r="G220" s="644"/>
      <c r="H220" s="644"/>
      <c r="I220" s="644"/>
      <c r="J220" s="644"/>
      <c r="K220" s="644"/>
      <c r="L220" s="644"/>
      <c r="M220" s="644"/>
      <c r="N220" s="644"/>
      <c r="O220" s="644"/>
      <c r="P220" s="644"/>
      <c r="Q220" s="644"/>
      <c r="R220" s="644"/>
      <c r="S220" s="644"/>
    </row>
    <row r="221" spans="1:19" x14ac:dyDescent="0.2">
      <c r="A221" s="644"/>
      <c r="B221" s="644"/>
      <c r="C221" s="644"/>
      <c r="D221" s="644"/>
      <c r="E221" s="644"/>
      <c r="F221" s="644"/>
      <c r="G221" s="644"/>
      <c r="H221" s="644"/>
      <c r="I221" s="644"/>
      <c r="J221" s="644"/>
      <c r="K221" s="644"/>
      <c r="L221" s="644"/>
      <c r="M221" s="644"/>
      <c r="N221" s="644"/>
      <c r="O221" s="644"/>
      <c r="P221" s="644"/>
      <c r="Q221" s="644"/>
      <c r="R221" s="644"/>
      <c r="S221" s="644"/>
    </row>
    <row r="222" spans="1:19" x14ac:dyDescent="0.2">
      <c r="A222" s="644"/>
      <c r="B222" s="644"/>
      <c r="C222" s="644"/>
      <c r="D222" s="644"/>
      <c r="E222" s="644"/>
      <c r="F222" s="644"/>
      <c r="G222" s="644"/>
      <c r="H222" s="644"/>
      <c r="I222" s="644"/>
      <c r="J222" s="644"/>
      <c r="K222" s="644"/>
      <c r="L222" s="644"/>
      <c r="M222" s="644"/>
      <c r="N222" s="644"/>
      <c r="O222" s="644"/>
      <c r="P222" s="644"/>
      <c r="Q222" s="644"/>
      <c r="R222" s="644"/>
      <c r="S222" s="644"/>
    </row>
    <row r="223" spans="1:19" x14ac:dyDescent="0.2">
      <c r="A223" s="644"/>
      <c r="B223" s="644"/>
      <c r="C223" s="644"/>
      <c r="D223" s="644"/>
      <c r="E223" s="644"/>
      <c r="F223" s="644"/>
      <c r="G223" s="644"/>
      <c r="H223" s="644"/>
      <c r="I223" s="644"/>
      <c r="J223" s="644"/>
      <c r="K223" s="644"/>
      <c r="L223" s="644"/>
      <c r="M223" s="644"/>
      <c r="N223" s="644"/>
      <c r="O223" s="644"/>
      <c r="P223" s="644"/>
      <c r="Q223" s="644"/>
      <c r="R223" s="644"/>
      <c r="S223" s="644"/>
    </row>
    <row r="224" spans="1:19" x14ac:dyDescent="0.2">
      <c r="A224" s="644"/>
      <c r="B224" s="644"/>
      <c r="C224" s="644"/>
      <c r="D224" s="644"/>
      <c r="E224" s="644"/>
      <c r="F224" s="644"/>
      <c r="G224" s="644"/>
      <c r="H224" s="644"/>
      <c r="I224" s="644"/>
      <c r="J224" s="644"/>
      <c r="K224" s="644"/>
      <c r="L224" s="644"/>
      <c r="M224" s="644"/>
      <c r="N224" s="644"/>
      <c r="O224" s="644"/>
      <c r="P224" s="644"/>
      <c r="Q224" s="644"/>
      <c r="R224" s="644"/>
      <c r="S224" s="644"/>
    </row>
    <row r="225" spans="1:19" x14ac:dyDescent="0.2">
      <c r="A225" s="644"/>
      <c r="B225" s="644"/>
      <c r="C225" s="644"/>
      <c r="D225" s="644"/>
      <c r="E225" s="644"/>
      <c r="F225" s="644"/>
      <c r="G225" s="644"/>
      <c r="H225" s="644"/>
      <c r="I225" s="644"/>
      <c r="J225" s="644"/>
      <c r="K225" s="644"/>
      <c r="L225" s="644"/>
      <c r="M225" s="644"/>
      <c r="N225" s="644"/>
      <c r="O225" s="644"/>
      <c r="P225" s="644"/>
      <c r="Q225" s="644"/>
      <c r="R225" s="644"/>
      <c r="S225" s="644"/>
    </row>
    <row r="226" spans="1:19" x14ac:dyDescent="0.2">
      <c r="A226" s="644"/>
      <c r="B226" s="644"/>
      <c r="C226" s="644"/>
      <c r="D226" s="644"/>
      <c r="E226" s="644"/>
      <c r="F226" s="644"/>
      <c r="G226" s="644"/>
      <c r="H226" s="644"/>
      <c r="I226" s="644"/>
      <c r="J226" s="644"/>
      <c r="K226" s="644"/>
      <c r="L226" s="644"/>
      <c r="M226" s="644"/>
      <c r="N226" s="644"/>
      <c r="O226" s="644"/>
      <c r="P226" s="644"/>
      <c r="Q226" s="644"/>
      <c r="R226" s="644"/>
      <c r="S226" s="644"/>
    </row>
    <row r="227" spans="1:19" x14ac:dyDescent="0.2">
      <c r="A227" s="644"/>
      <c r="B227" s="644"/>
      <c r="C227" s="644"/>
      <c r="D227" s="644"/>
      <c r="E227" s="644"/>
      <c r="F227" s="644"/>
      <c r="G227" s="644"/>
      <c r="H227" s="644"/>
      <c r="I227" s="644"/>
      <c r="J227" s="644"/>
      <c r="K227" s="644"/>
      <c r="L227" s="644"/>
      <c r="M227" s="644"/>
      <c r="N227" s="644"/>
      <c r="O227" s="644"/>
      <c r="P227" s="644"/>
      <c r="Q227" s="644"/>
      <c r="R227" s="644"/>
      <c r="S227" s="644"/>
    </row>
    <row r="228" spans="1:19" x14ac:dyDescent="0.2">
      <c r="A228" s="644"/>
      <c r="B228" s="644"/>
      <c r="C228" s="644"/>
      <c r="D228" s="644"/>
      <c r="E228" s="644"/>
      <c r="F228" s="644"/>
      <c r="G228" s="644"/>
      <c r="H228" s="644"/>
      <c r="I228" s="644"/>
      <c r="J228" s="644"/>
      <c r="K228" s="644"/>
      <c r="L228" s="644"/>
      <c r="M228" s="644"/>
      <c r="N228" s="644"/>
      <c r="O228" s="644"/>
      <c r="P228" s="644"/>
      <c r="Q228" s="644"/>
      <c r="R228" s="644"/>
      <c r="S228" s="644"/>
    </row>
    <row r="229" spans="1:19" x14ac:dyDescent="0.2">
      <c r="A229" s="644"/>
      <c r="B229" s="644"/>
      <c r="C229" s="644"/>
      <c r="D229" s="644"/>
      <c r="E229" s="644"/>
      <c r="F229" s="644"/>
      <c r="G229" s="644"/>
      <c r="H229" s="644"/>
      <c r="I229" s="644"/>
      <c r="J229" s="644"/>
      <c r="K229" s="644"/>
      <c r="L229" s="644"/>
      <c r="M229" s="644"/>
      <c r="N229" s="644"/>
      <c r="O229" s="644"/>
      <c r="P229" s="644"/>
      <c r="Q229" s="644"/>
      <c r="R229" s="644"/>
      <c r="S229" s="644"/>
    </row>
    <row r="230" spans="1:19" x14ac:dyDescent="0.2">
      <c r="A230" s="644"/>
      <c r="B230" s="644"/>
      <c r="C230" s="644"/>
      <c r="D230" s="644"/>
      <c r="E230" s="644"/>
      <c r="F230" s="644"/>
      <c r="G230" s="644"/>
      <c r="H230" s="644"/>
      <c r="I230" s="644"/>
      <c r="J230" s="644"/>
      <c r="K230" s="644"/>
      <c r="L230" s="644"/>
      <c r="M230" s="644"/>
      <c r="N230" s="644"/>
      <c r="O230" s="644"/>
      <c r="P230" s="644"/>
      <c r="Q230" s="644"/>
      <c r="R230" s="644"/>
      <c r="S230" s="644"/>
    </row>
    <row r="231" spans="1:19" x14ac:dyDescent="0.2">
      <c r="A231" s="644"/>
      <c r="B231" s="644"/>
      <c r="C231" s="644"/>
      <c r="D231" s="644"/>
      <c r="E231" s="644"/>
      <c r="F231" s="644"/>
      <c r="G231" s="644"/>
      <c r="H231" s="644"/>
      <c r="I231" s="644"/>
      <c r="J231" s="644"/>
      <c r="K231" s="644"/>
      <c r="L231" s="644"/>
      <c r="M231" s="644"/>
      <c r="N231" s="644"/>
      <c r="O231" s="644"/>
      <c r="P231" s="644"/>
      <c r="Q231" s="644"/>
      <c r="R231" s="644"/>
      <c r="S231" s="644"/>
    </row>
    <row r="232" spans="1:19" x14ac:dyDescent="0.2">
      <c r="A232" s="644"/>
      <c r="B232" s="644"/>
      <c r="C232" s="644"/>
      <c r="D232" s="644"/>
      <c r="E232" s="644"/>
      <c r="F232" s="644"/>
      <c r="G232" s="644"/>
      <c r="H232" s="644"/>
      <c r="I232" s="644"/>
      <c r="J232" s="644"/>
      <c r="K232" s="644"/>
      <c r="L232" s="644"/>
      <c r="M232" s="644"/>
      <c r="N232" s="644"/>
      <c r="O232" s="644"/>
      <c r="P232" s="644"/>
      <c r="Q232" s="644"/>
      <c r="R232" s="644"/>
      <c r="S232" s="644"/>
    </row>
    <row r="233" spans="1:19" x14ac:dyDescent="0.2">
      <c r="A233" s="644"/>
      <c r="B233" s="644"/>
      <c r="C233" s="644"/>
      <c r="D233" s="644"/>
      <c r="E233" s="644"/>
      <c r="F233" s="644"/>
      <c r="G233" s="644"/>
      <c r="H233" s="644"/>
      <c r="I233" s="644"/>
      <c r="J233" s="644"/>
      <c r="K233" s="644"/>
      <c r="L233" s="644"/>
      <c r="M233" s="644"/>
      <c r="N233" s="644"/>
      <c r="O233" s="644"/>
      <c r="P233" s="644"/>
      <c r="Q233" s="644"/>
      <c r="R233" s="644"/>
      <c r="S233" s="644"/>
    </row>
    <row r="234" spans="1:19" x14ac:dyDescent="0.2">
      <c r="A234" s="644"/>
      <c r="B234" s="644"/>
      <c r="C234" s="644"/>
      <c r="D234" s="644"/>
      <c r="E234" s="644"/>
      <c r="F234" s="644"/>
      <c r="G234" s="644"/>
      <c r="H234" s="644"/>
      <c r="I234" s="644"/>
      <c r="J234" s="644"/>
      <c r="K234" s="644"/>
      <c r="L234" s="644"/>
      <c r="M234" s="644"/>
      <c r="N234" s="644"/>
      <c r="O234" s="644"/>
      <c r="P234" s="644"/>
      <c r="Q234" s="644"/>
      <c r="R234" s="644"/>
      <c r="S234" s="644"/>
    </row>
    <row r="235" spans="1:19" x14ac:dyDescent="0.2">
      <c r="A235" s="644"/>
      <c r="B235" s="644"/>
      <c r="C235" s="644"/>
      <c r="D235" s="644"/>
      <c r="E235" s="644"/>
      <c r="F235" s="644"/>
      <c r="G235" s="644"/>
      <c r="H235" s="644"/>
      <c r="I235" s="644"/>
      <c r="J235" s="644"/>
      <c r="K235" s="644"/>
      <c r="L235" s="644"/>
      <c r="M235" s="644"/>
      <c r="N235" s="644"/>
      <c r="O235" s="644"/>
      <c r="P235" s="644"/>
      <c r="Q235" s="644"/>
      <c r="R235" s="644"/>
      <c r="S235" s="644"/>
    </row>
    <row r="236" spans="1:19" x14ac:dyDescent="0.2">
      <c r="A236" s="644"/>
      <c r="B236" s="644"/>
      <c r="C236" s="644"/>
      <c r="D236" s="644"/>
      <c r="E236" s="644"/>
      <c r="F236" s="644"/>
      <c r="G236" s="644"/>
      <c r="H236" s="644"/>
      <c r="I236" s="644"/>
      <c r="J236" s="644"/>
      <c r="K236" s="644"/>
      <c r="L236" s="644"/>
      <c r="M236" s="644"/>
      <c r="N236" s="644"/>
      <c r="O236" s="644"/>
      <c r="P236" s="644"/>
      <c r="Q236" s="644"/>
      <c r="R236" s="644"/>
      <c r="S236" s="644"/>
    </row>
    <row r="237" spans="1:19" x14ac:dyDescent="0.2">
      <c r="A237" s="644"/>
      <c r="B237" s="644"/>
      <c r="C237" s="644"/>
      <c r="D237" s="644"/>
      <c r="E237" s="644"/>
      <c r="F237" s="644"/>
      <c r="G237" s="644"/>
      <c r="H237" s="644"/>
      <c r="I237" s="644"/>
      <c r="J237" s="644"/>
      <c r="K237" s="644"/>
      <c r="L237" s="644"/>
      <c r="M237" s="644"/>
      <c r="N237" s="644"/>
      <c r="O237" s="644"/>
      <c r="P237" s="644"/>
      <c r="Q237" s="644"/>
      <c r="R237" s="644"/>
      <c r="S237" s="644"/>
    </row>
    <row r="238" spans="1:19" x14ac:dyDescent="0.2">
      <c r="A238" s="644"/>
      <c r="B238" s="644"/>
      <c r="C238" s="644"/>
      <c r="D238" s="644"/>
      <c r="E238" s="644"/>
      <c r="F238" s="644"/>
      <c r="G238" s="644"/>
      <c r="H238" s="644"/>
      <c r="I238" s="644"/>
      <c r="J238" s="644"/>
      <c r="K238" s="644"/>
      <c r="L238" s="644"/>
      <c r="M238" s="644"/>
      <c r="N238" s="644"/>
      <c r="O238" s="644"/>
      <c r="P238" s="644"/>
      <c r="Q238" s="644"/>
      <c r="R238" s="644"/>
      <c r="S238" s="644"/>
    </row>
    <row r="239" spans="1:19" x14ac:dyDescent="0.2">
      <c r="A239" s="644"/>
      <c r="B239" s="644"/>
      <c r="C239" s="644"/>
      <c r="D239" s="644"/>
      <c r="E239" s="644"/>
      <c r="F239" s="644"/>
      <c r="G239" s="644"/>
      <c r="H239" s="644"/>
      <c r="I239" s="644"/>
      <c r="J239" s="644"/>
      <c r="K239" s="644"/>
      <c r="L239" s="644"/>
      <c r="M239" s="644"/>
      <c r="N239" s="644"/>
      <c r="O239" s="644"/>
      <c r="P239" s="644"/>
      <c r="Q239" s="644"/>
      <c r="R239" s="644"/>
      <c r="S239" s="644"/>
    </row>
    <row r="240" spans="1:19" x14ac:dyDescent="0.2">
      <c r="A240" s="644"/>
      <c r="B240" s="644"/>
      <c r="C240" s="644"/>
      <c r="D240" s="644"/>
      <c r="E240" s="644"/>
      <c r="F240" s="644"/>
      <c r="G240" s="644"/>
      <c r="H240" s="644"/>
      <c r="I240" s="644"/>
      <c r="J240" s="644"/>
      <c r="K240" s="644"/>
      <c r="L240" s="644"/>
      <c r="M240" s="644"/>
      <c r="N240" s="644"/>
      <c r="O240" s="644"/>
      <c r="P240" s="644"/>
      <c r="Q240" s="644"/>
      <c r="R240" s="644"/>
      <c r="S240" s="644"/>
    </row>
    <row r="241" spans="1:19" x14ac:dyDescent="0.2">
      <c r="A241" s="644"/>
      <c r="B241" s="644"/>
      <c r="C241" s="644"/>
      <c r="D241" s="644"/>
      <c r="E241" s="644"/>
      <c r="F241" s="644"/>
      <c r="G241" s="644"/>
      <c r="H241" s="644"/>
      <c r="I241" s="644"/>
      <c r="J241" s="644"/>
      <c r="K241" s="644"/>
      <c r="L241" s="644"/>
      <c r="M241" s="644"/>
      <c r="N241" s="644"/>
      <c r="O241" s="644"/>
      <c r="P241" s="644"/>
      <c r="Q241" s="644"/>
      <c r="R241" s="644"/>
      <c r="S241" s="644"/>
    </row>
    <row r="242" spans="1:19" x14ac:dyDescent="0.2">
      <c r="A242" s="644"/>
      <c r="B242" s="644"/>
      <c r="C242" s="644"/>
      <c r="D242" s="644"/>
      <c r="E242" s="644"/>
      <c r="F242" s="644"/>
      <c r="G242" s="644"/>
      <c r="H242" s="644"/>
      <c r="I242" s="644"/>
      <c r="J242" s="644"/>
      <c r="K242" s="644"/>
      <c r="L242" s="644"/>
      <c r="M242" s="644"/>
      <c r="N242" s="644"/>
      <c r="O242" s="644"/>
      <c r="P242" s="644"/>
      <c r="Q242" s="644"/>
      <c r="R242" s="644"/>
      <c r="S242" s="644"/>
    </row>
    <row r="243" spans="1:19" x14ac:dyDescent="0.2">
      <c r="A243" s="644"/>
      <c r="B243" s="644"/>
      <c r="C243" s="644"/>
      <c r="D243" s="644"/>
      <c r="E243" s="644"/>
      <c r="F243" s="644"/>
      <c r="G243" s="644"/>
      <c r="H243" s="644"/>
      <c r="I243" s="644"/>
      <c r="J243" s="644"/>
      <c r="K243" s="644"/>
      <c r="L243" s="644"/>
      <c r="M243" s="644"/>
      <c r="N243" s="644"/>
      <c r="O243" s="644"/>
      <c r="P243" s="644"/>
      <c r="Q243" s="644"/>
      <c r="R243" s="644"/>
      <c r="S243" s="644"/>
    </row>
    <row r="244" spans="1:19" x14ac:dyDescent="0.2">
      <c r="A244" s="644"/>
      <c r="B244" s="644"/>
      <c r="C244" s="644"/>
      <c r="D244" s="644"/>
      <c r="E244" s="644"/>
      <c r="F244" s="644"/>
      <c r="G244" s="644"/>
      <c r="H244" s="644"/>
      <c r="I244" s="644"/>
      <c r="J244" s="644"/>
      <c r="K244" s="644"/>
      <c r="L244" s="644"/>
      <c r="M244" s="644"/>
      <c r="N244" s="644"/>
      <c r="O244" s="644"/>
      <c r="P244" s="644"/>
      <c r="Q244" s="644"/>
      <c r="R244" s="644"/>
      <c r="S244" s="644"/>
    </row>
    <row r="245" spans="1:19" x14ac:dyDescent="0.2">
      <c r="A245" s="644"/>
      <c r="B245" s="644"/>
      <c r="C245" s="644"/>
      <c r="D245" s="644"/>
      <c r="E245" s="644"/>
      <c r="F245" s="644"/>
      <c r="G245" s="644"/>
      <c r="H245" s="644"/>
      <c r="I245" s="644"/>
      <c r="J245" s="644"/>
      <c r="K245" s="644"/>
      <c r="L245" s="644"/>
      <c r="M245" s="644"/>
      <c r="N245" s="644"/>
      <c r="O245" s="644"/>
      <c r="P245" s="644"/>
      <c r="Q245" s="644"/>
      <c r="R245" s="644"/>
      <c r="S245" s="644"/>
    </row>
    <row r="246" spans="1:19" x14ac:dyDescent="0.2">
      <c r="A246" s="644"/>
      <c r="B246" s="644"/>
      <c r="C246" s="644"/>
      <c r="D246" s="644"/>
      <c r="E246" s="644"/>
      <c r="F246" s="644"/>
      <c r="G246" s="644"/>
      <c r="H246" s="644"/>
      <c r="I246" s="644"/>
      <c r="J246" s="644"/>
      <c r="K246" s="644"/>
      <c r="L246" s="644"/>
      <c r="M246" s="644"/>
      <c r="N246" s="644"/>
      <c r="O246" s="644"/>
      <c r="P246" s="644"/>
      <c r="Q246" s="644"/>
      <c r="R246" s="644"/>
      <c r="S246" s="644"/>
    </row>
    <row r="247" spans="1:19" x14ac:dyDescent="0.2">
      <c r="A247" s="644"/>
      <c r="B247" s="644"/>
      <c r="C247" s="644"/>
      <c r="D247" s="644"/>
      <c r="E247" s="644"/>
      <c r="F247" s="644"/>
      <c r="G247" s="644"/>
      <c r="H247" s="644"/>
      <c r="I247" s="644"/>
      <c r="J247" s="644"/>
      <c r="K247" s="644"/>
      <c r="L247" s="644"/>
      <c r="M247" s="644"/>
      <c r="N247" s="644"/>
      <c r="O247" s="644"/>
      <c r="P247" s="644"/>
      <c r="Q247" s="644"/>
      <c r="R247" s="644"/>
      <c r="S247" s="644"/>
    </row>
    <row r="248" spans="1:19" x14ac:dyDescent="0.2">
      <c r="A248" s="644"/>
      <c r="B248" s="644"/>
      <c r="C248" s="644"/>
      <c r="D248" s="644"/>
      <c r="E248" s="644"/>
      <c r="F248" s="644"/>
      <c r="G248" s="644"/>
      <c r="H248" s="644"/>
      <c r="I248" s="644"/>
      <c r="J248" s="644"/>
      <c r="K248" s="644"/>
      <c r="L248" s="644"/>
      <c r="M248" s="644"/>
      <c r="N248" s="644"/>
      <c r="O248" s="644"/>
      <c r="P248" s="644"/>
      <c r="Q248" s="644"/>
      <c r="R248" s="644"/>
      <c r="S248" s="644"/>
    </row>
    <row r="249" spans="1:19" x14ac:dyDescent="0.2">
      <c r="A249" s="644"/>
      <c r="B249" s="644"/>
      <c r="C249" s="644"/>
      <c r="D249" s="644"/>
      <c r="E249" s="644"/>
      <c r="F249" s="644"/>
      <c r="G249" s="644"/>
      <c r="H249" s="644"/>
      <c r="I249" s="644"/>
      <c r="J249" s="644"/>
      <c r="K249" s="644"/>
      <c r="L249" s="644"/>
      <c r="M249" s="644"/>
      <c r="N249" s="644"/>
      <c r="O249" s="644"/>
      <c r="P249" s="644"/>
      <c r="Q249" s="644"/>
      <c r="R249" s="644"/>
      <c r="S249" s="644"/>
    </row>
    <row r="250" spans="1:19" x14ac:dyDescent="0.2">
      <c r="A250" s="644"/>
      <c r="B250" s="644"/>
      <c r="C250" s="644"/>
      <c r="D250" s="644"/>
      <c r="E250" s="644"/>
      <c r="F250" s="644"/>
      <c r="G250" s="644"/>
      <c r="H250" s="644"/>
      <c r="I250" s="644"/>
      <c r="J250" s="644"/>
      <c r="K250" s="644"/>
      <c r="L250" s="644"/>
      <c r="M250" s="644"/>
      <c r="N250" s="644"/>
      <c r="O250" s="644"/>
      <c r="P250" s="644"/>
      <c r="Q250" s="644"/>
      <c r="R250" s="644"/>
      <c r="S250" s="644"/>
    </row>
    <row r="251" spans="1:19" x14ac:dyDescent="0.2">
      <c r="A251" s="644"/>
      <c r="B251" s="644"/>
      <c r="C251" s="644"/>
      <c r="D251" s="644"/>
      <c r="E251" s="644"/>
      <c r="F251" s="644"/>
      <c r="G251" s="644"/>
      <c r="H251" s="644"/>
      <c r="I251" s="644"/>
      <c r="J251" s="644"/>
      <c r="K251" s="644"/>
      <c r="L251" s="644"/>
      <c r="M251" s="644"/>
      <c r="N251" s="644"/>
      <c r="O251" s="644"/>
      <c r="P251" s="644"/>
      <c r="Q251" s="644"/>
      <c r="R251" s="644"/>
      <c r="S251" s="644"/>
    </row>
    <row r="252" spans="1:19" x14ac:dyDescent="0.2">
      <c r="A252" s="644"/>
      <c r="B252" s="644"/>
      <c r="C252" s="644"/>
      <c r="D252" s="644"/>
      <c r="E252" s="644"/>
      <c r="F252" s="644"/>
      <c r="G252" s="644"/>
      <c r="H252" s="644"/>
      <c r="I252" s="644"/>
      <c r="J252" s="644"/>
      <c r="K252" s="644"/>
      <c r="L252" s="644"/>
      <c r="M252" s="644"/>
      <c r="N252" s="644"/>
      <c r="O252" s="644"/>
      <c r="P252" s="644"/>
      <c r="Q252" s="644"/>
      <c r="R252" s="644"/>
      <c r="S252" s="644"/>
    </row>
    <row r="253" spans="1:19" x14ac:dyDescent="0.2">
      <c r="A253" s="644"/>
      <c r="B253" s="644"/>
      <c r="C253" s="644"/>
      <c r="D253" s="644"/>
      <c r="E253" s="644"/>
      <c r="F253" s="644"/>
      <c r="G253" s="644"/>
      <c r="H253" s="644"/>
      <c r="I253" s="644"/>
      <c r="J253" s="644"/>
      <c r="K253" s="644"/>
      <c r="L253" s="644"/>
      <c r="M253" s="644"/>
      <c r="N253" s="644"/>
      <c r="O253" s="644"/>
      <c r="P253" s="644"/>
      <c r="Q253" s="644"/>
      <c r="R253" s="644"/>
      <c r="S253" s="644"/>
    </row>
    <row r="254" spans="1:19" x14ac:dyDescent="0.2">
      <c r="A254" s="644"/>
      <c r="B254" s="644"/>
      <c r="C254" s="644"/>
      <c r="D254" s="644"/>
      <c r="E254" s="644"/>
      <c r="F254" s="644"/>
      <c r="G254" s="644"/>
      <c r="H254" s="644"/>
      <c r="I254" s="644"/>
      <c r="J254" s="644"/>
      <c r="K254" s="644"/>
      <c r="L254" s="644"/>
      <c r="M254" s="644"/>
      <c r="N254" s="644"/>
      <c r="O254" s="644"/>
      <c r="P254" s="644"/>
      <c r="Q254" s="644"/>
      <c r="R254" s="644"/>
      <c r="S254" s="644"/>
    </row>
    <row r="255" spans="1:19" x14ac:dyDescent="0.2">
      <c r="A255" s="644"/>
      <c r="B255" s="644"/>
      <c r="C255" s="644"/>
      <c r="D255" s="644"/>
      <c r="E255" s="644"/>
      <c r="F255" s="644"/>
      <c r="G255" s="644"/>
      <c r="H255" s="644"/>
      <c r="I255" s="644"/>
      <c r="J255" s="644"/>
      <c r="K255" s="644"/>
      <c r="L255" s="644"/>
      <c r="M255" s="644"/>
      <c r="N255" s="644"/>
      <c r="O255" s="644"/>
      <c r="P255" s="644"/>
      <c r="Q255" s="644"/>
      <c r="R255" s="644"/>
      <c r="S255" s="644"/>
    </row>
    <row r="256" spans="1:19" x14ac:dyDescent="0.2">
      <c r="A256" s="644"/>
      <c r="B256" s="644"/>
      <c r="C256" s="644"/>
      <c r="D256" s="644"/>
      <c r="E256" s="644"/>
      <c r="F256" s="644"/>
      <c r="G256" s="644"/>
      <c r="H256" s="644"/>
      <c r="I256" s="644"/>
      <c r="J256" s="644"/>
      <c r="K256" s="644"/>
      <c r="L256" s="644"/>
      <c r="M256" s="644"/>
      <c r="N256" s="644"/>
      <c r="O256" s="644"/>
      <c r="P256" s="644"/>
      <c r="Q256" s="644"/>
      <c r="R256" s="644"/>
      <c r="S256" s="644"/>
    </row>
    <row r="257" spans="1:19" x14ac:dyDescent="0.2">
      <c r="A257" s="644"/>
      <c r="B257" s="644"/>
      <c r="C257" s="644"/>
      <c r="D257" s="644"/>
      <c r="E257" s="644"/>
      <c r="F257" s="644"/>
      <c r="G257" s="644"/>
      <c r="H257" s="644"/>
      <c r="I257" s="644"/>
      <c r="J257" s="644"/>
      <c r="K257" s="644"/>
      <c r="L257" s="644"/>
      <c r="M257" s="644"/>
      <c r="N257" s="644"/>
      <c r="O257" s="644"/>
      <c r="P257" s="644"/>
      <c r="Q257" s="644"/>
      <c r="R257" s="644"/>
      <c r="S257" s="644"/>
    </row>
    <row r="258" spans="1:19" x14ac:dyDescent="0.2">
      <c r="A258" s="644"/>
      <c r="B258" s="644"/>
      <c r="C258" s="644"/>
      <c r="D258" s="644"/>
      <c r="E258" s="644"/>
      <c r="F258" s="644"/>
      <c r="G258" s="644"/>
      <c r="H258" s="644"/>
      <c r="I258" s="644"/>
      <c r="J258" s="644"/>
      <c r="K258" s="644"/>
      <c r="L258" s="644"/>
      <c r="M258" s="644"/>
      <c r="N258" s="644"/>
      <c r="O258" s="644"/>
      <c r="P258" s="644"/>
      <c r="Q258" s="644"/>
      <c r="R258" s="644"/>
      <c r="S258" s="644"/>
    </row>
    <row r="259" spans="1:19" x14ac:dyDescent="0.2">
      <c r="A259" s="644"/>
      <c r="B259" s="644"/>
      <c r="C259" s="644"/>
      <c r="D259" s="644"/>
      <c r="E259" s="644"/>
      <c r="F259" s="644"/>
      <c r="G259" s="644"/>
      <c r="H259" s="644"/>
      <c r="I259" s="644"/>
      <c r="J259" s="644"/>
      <c r="K259" s="644"/>
      <c r="L259" s="644"/>
      <c r="M259" s="644"/>
      <c r="N259" s="644"/>
      <c r="O259" s="644"/>
      <c r="P259" s="644"/>
      <c r="Q259" s="644"/>
      <c r="R259" s="644"/>
      <c r="S259" s="644"/>
    </row>
    <row r="260" spans="1:19" x14ac:dyDescent="0.2">
      <c r="A260" s="644"/>
      <c r="B260" s="644"/>
      <c r="C260" s="644"/>
      <c r="D260" s="644"/>
      <c r="E260" s="644"/>
      <c r="F260" s="644"/>
      <c r="G260" s="644"/>
      <c r="H260" s="644"/>
      <c r="I260" s="644"/>
      <c r="J260" s="644"/>
      <c r="K260" s="644"/>
      <c r="L260" s="644"/>
      <c r="M260" s="644"/>
      <c r="N260" s="644"/>
      <c r="O260" s="644"/>
      <c r="P260" s="644"/>
      <c r="Q260" s="644"/>
      <c r="R260" s="644"/>
      <c r="S260" s="644"/>
    </row>
    <row r="261" spans="1:19" x14ac:dyDescent="0.2">
      <c r="A261" s="644"/>
      <c r="B261" s="644"/>
      <c r="C261" s="644"/>
      <c r="D261" s="644"/>
      <c r="E261" s="644"/>
      <c r="F261" s="644"/>
      <c r="G261" s="644"/>
      <c r="H261" s="644"/>
      <c r="I261" s="644"/>
      <c r="J261" s="644"/>
      <c r="K261" s="644"/>
      <c r="L261" s="644"/>
      <c r="M261" s="644"/>
      <c r="N261" s="644"/>
      <c r="O261" s="644"/>
      <c r="P261" s="644"/>
      <c r="Q261" s="644"/>
      <c r="R261" s="644"/>
      <c r="S261" s="644"/>
    </row>
    <row r="262" spans="1:19" x14ac:dyDescent="0.2">
      <c r="A262" s="644"/>
      <c r="B262" s="644"/>
      <c r="C262" s="644"/>
      <c r="D262" s="644"/>
      <c r="E262" s="644"/>
      <c r="F262" s="644"/>
      <c r="G262" s="644"/>
      <c r="H262" s="644"/>
      <c r="I262" s="644"/>
      <c r="J262" s="644"/>
      <c r="K262" s="644"/>
      <c r="L262" s="644"/>
      <c r="M262" s="644"/>
      <c r="N262" s="644"/>
      <c r="O262" s="644"/>
      <c r="P262" s="644"/>
      <c r="Q262" s="644"/>
      <c r="R262" s="644"/>
      <c r="S262" s="644"/>
    </row>
    <row r="263" spans="1:19" x14ac:dyDescent="0.2">
      <c r="A263" s="644"/>
      <c r="B263" s="644"/>
      <c r="C263" s="644"/>
      <c r="D263" s="644"/>
      <c r="E263" s="644"/>
      <c r="F263" s="644"/>
      <c r="G263" s="644"/>
      <c r="H263" s="644"/>
      <c r="I263" s="644"/>
      <c r="J263" s="644"/>
      <c r="K263" s="644"/>
      <c r="L263" s="644"/>
      <c r="M263" s="644"/>
      <c r="N263" s="644"/>
      <c r="O263" s="644"/>
      <c r="P263" s="644"/>
      <c r="Q263" s="644"/>
      <c r="R263" s="644"/>
      <c r="S263" s="644"/>
    </row>
    <row r="264" spans="1:19" x14ac:dyDescent="0.2">
      <c r="A264" s="644"/>
      <c r="B264" s="644"/>
      <c r="C264" s="644"/>
      <c r="D264" s="644"/>
      <c r="E264" s="644"/>
      <c r="F264" s="644"/>
      <c r="G264" s="644"/>
      <c r="H264" s="644"/>
      <c r="I264" s="644"/>
      <c r="J264" s="644"/>
      <c r="K264" s="644"/>
      <c r="L264" s="644"/>
      <c r="M264" s="644"/>
      <c r="N264" s="644"/>
      <c r="O264" s="644"/>
      <c r="P264" s="644"/>
      <c r="Q264" s="644"/>
      <c r="R264" s="644"/>
      <c r="S264" s="644"/>
    </row>
    <row r="265" spans="1:19" x14ac:dyDescent="0.2">
      <c r="A265" s="644"/>
      <c r="B265" s="644"/>
      <c r="C265" s="644"/>
      <c r="D265" s="644"/>
      <c r="E265" s="644"/>
      <c r="F265" s="644"/>
      <c r="G265" s="644"/>
      <c r="H265" s="644"/>
      <c r="I265" s="644"/>
      <c r="J265" s="644"/>
      <c r="K265" s="644"/>
      <c r="L265" s="644"/>
      <c r="M265" s="644"/>
      <c r="N265" s="644"/>
      <c r="O265" s="644"/>
      <c r="P265" s="644"/>
      <c r="Q265" s="644"/>
      <c r="R265" s="644"/>
      <c r="S265" s="644"/>
    </row>
    <row r="266" spans="1:19" x14ac:dyDescent="0.2">
      <c r="A266" s="644"/>
      <c r="B266" s="644"/>
      <c r="C266" s="644"/>
      <c r="D266" s="644"/>
      <c r="E266" s="644"/>
      <c r="F266" s="644"/>
      <c r="G266" s="644"/>
      <c r="H266" s="644"/>
      <c r="I266" s="644"/>
      <c r="J266" s="644"/>
      <c r="K266" s="644"/>
      <c r="L266" s="644"/>
      <c r="M266" s="644"/>
      <c r="N266" s="644"/>
      <c r="O266" s="644"/>
      <c r="P266" s="644"/>
      <c r="Q266" s="644"/>
      <c r="R266" s="644"/>
      <c r="S266" s="644"/>
    </row>
    <row r="267" spans="1:19" x14ac:dyDescent="0.2">
      <c r="A267" s="644"/>
      <c r="B267" s="644"/>
      <c r="C267" s="644"/>
      <c r="D267" s="644"/>
      <c r="E267" s="644"/>
      <c r="F267" s="644"/>
      <c r="G267" s="644"/>
      <c r="H267" s="644"/>
      <c r="I267" s="644"/>
      <c r="J267" s="644"/>
      <c r="K267" s="644"/>
      <c r="L267" s="644"/>
      <c r="M267" s="644"/>
      <c r="N267" s="644"/>
      <c r="O267" s="644"/>
      <c r="P267" s="644"/>
      <c r="Q267" s="644"/>
      <c r="R267" s="644"/>
      <c r="S267" s="644"/>
    </row>
    <row r="268" spans="1:19" x14ac:dyDescent="0.2">
      <c r="A268" s="644"/>
      <c r="B268" s="644"/>
      <c r="C268" s="644"/>
      <c r="D268" s="644"/>
      <c r="E268" s="644"/>
      <c r="F268" s="644"/>
      <c r="G268" s="644"/>
      <c r="H268" s="644"/>
      <c r="I268" s="644"/>
      <c r="J268" s="644"/>
      <c r="K268" s="644"/>
      <c r="L268" s="644"/>
      <c r="M268" s="644"/>
      <c r="N268" s="644"/>
      <c r="O268" s="644"/>
      <c r="P268" s="644"/>
      <c r="Q268" s="644"/>
      <c r="R268" s="644"/>
      <c r="S268" s="644"/>
    </row>
    <row r="269" spans="1:19" x14ac:dyDescent="0.2">
      <c r="A269" s="644"/>
      <c r="B269" s="644"/>
      <c r="C269" s="644"/>
      <c r="D269" s="644"/>
      <c r="E269" s="644"/>
      <c r="F269" s="644"/>
      <c r="G269" s="644"/>
      <c r="H269" s="644"/>
      <c r="I269" s="644"/>
      <c r="J269" s="644"/>
      <c r="K269" s="644"/>
      <c r="L269" s="644"/>
      <c r="M269" s="644"/>
      <c r="N269" s="644"/>
      <c r="O269" s="644"/>
      <c r="P269" s="644"/>
      <c r="Q269" s="644"/>
      <c r="R269" s="644"/>
      <c r="S269" s="644"/>
    </row>
    <row r="270" spans="1:19" x14ac:dyDescent="0.2">
      <c r="A270" s="644"/>
      <c r="B270" s="644"/>
      <c r="C270" s="644"/>
      <c r="D270" s="644"/>
      <c r="E270" s="644"/>
      <c r="F270" s="644"/>
      <c r="G270" s="644"/>
      <c r="H270" s="644"/>
      <c r="I270" s="644"/>
      <c r="J270" s="644"/>
      <c r="K270" s="644"/>
      <c r="L270" s="644"/>
      <c r="M270" s="644"/>
      <c r="N270" s="644"/>
      <c r="O270" s="644"/>
      <c r="P270" s="644"/>
      <c r="Q270" s="644"/>
      <c r="R270" s="644"/>
      <c r="S270" s="644"/>
    </row>
    <row r="271" spans="1:19" x14ac:dyDescent="0.2">
      <c r="A271" s="644"/>
      <c r="B271" s="644"/>
      <c r="C271" s="644"/>
      <c r="D271" s="644"/>
      <c r="E271" s="644"/>
      <c r="F271" s="644"/>
      <c r="G271" s="644"/>
      <c r="H271" s="644"/>
      <c r="I271" s="644"/>
      <c r="J271" s="644"/>
      <c r="K271" s="644"/>
      <c r="L271" s="644"/>
      <c r="M271" s="644"/>
      <c r="N271" s="644"/>
      <c r="O271" s="644"/>
      <c r="P271" s="644"/>
      <c r="Q271" s="644"/>
      <c r="R271" s="644"/>
      <c r="S271" s="644"/>
    </row>
    <row r="272" spans="1:19" x14ac:dyDescent="0.2">
      <c r="A272" s="644"/>
      <c r="B272" s="644"/>
      <c r="C272" s="644"/>
      <c r="D272" s="644"/>
      <c r="E272" s="644"/>
      <c r="F272" s="644"/>
      <c r="G272" s="644"/>
      <c r="H272" s="644"/>
      <c r="I272" s="644"/>
      <c r="J272" s="644"/>
      <c r="K272" s="644"/>
      <c r="L272" s="644"/>
      <c r="M272" s="644"/>
      <c r="N272" s="644"/>
      <c r="O272" s="644"/>
      <c r="P272" s="644"/>
      <c r="Q272" s="644"/>
      <c r="R272" s="644"/>
      <c r="S272" s="644"/>
    </row>
    <row r="273" spans="1:19" x14ac:dyDescent="0.2">
      <c r="A273" s="644"/>
      <c r="B273" s="644"/>
      <c r="C273" s="644"/>
      <c r="D273" s="644"/>
      <c r="E273" s="644"/>
      <c r="F273" s="644"/>
      <c r="G273" s="644"/>
      <c r="H273" s="644"/>
      <c r="I273" s="644"/>
      <c r="J273" s="644"/>
      <c r="K273" s="644"/>
      <c r="L273" s="644"/>
      <c r="M273" s="644"/>
      <c r="N273" s="644"/>
      <c r="O273" s="644"/>
      <c r="P273" s="644"/>
      <c r="Q273" s="644"/>
      <c r="R273" s="644"/>
      <c r="S273" s="644"/>
    </row>
    <row r="274" spans="1:19" x14ac:dyDescent="0.2">
      <c r="A274" s="644"/>
      <c r="B274" s="644"/>
      <c r="C274" s="644"/>
      <c r="D274" s="644"/>
      <c r="E274" s="644"/>
      <c r="F274" s="644"/>
      <c r="G274" s="644"/>
      <c r="H274" s="644"/>
      <c r="I274" s="644"/>
      <c r="J274" s="644"/>
      <c r="K274" s="644"/>
      <c r="L274" s="644"/>
      <c r="M274" s="644"/>
      <c r="N274" s="644"/>
      <c r="O274" s="644"/>
      <c r="P274" s="644"/>
      <c r="Q274" s="644"/>
      <c r="R274" s="644"/>
      <c r="S274" s="644"/>
    </row>
    <row r="275" spans="1:19" x14ac:dyDescent="0.2">
      <c r="A275" s="644"/>
      <c r="B275" s="644"/>
      <c r="C275" s="644"/>
      <c r="D275" s="644"/>
      <c r="E275" s="644"/>
      <c r="F275" s="644"/>
      <c r="G275" s="644"/>
      <c r="H275" s="644"/>
      <c r="I275" s="644"/>
      <c r="J275" s="644"/>
      <c r="K275" s="644"/>
      <c r="L275" s="644"/>
      <c r="M275" s="644"/>
      <c r="N275" s="644"/>
      <c r="O275" s="644"/>
      <c r="P275" s="644"/>
      <c r="Q275" s="644"/>
      <c r="R275" s="644"/>
      <c r="S275" s="644"/>
    </row>
    <row r="276" spans="1:19" x14ac:dyDescent="0.2">
      <c r="A276" s="644"/>
      <c r="B276" s="644"/>
      <c r="C276" s="644"/>
      <c r="D276" s="644"/>
      <c r="E276" s="644"/>
      <c r="F276" s="644"/>
      <c r="G276" s="644"/>
      <c r="H276" s="644"/>
      <c r="I276" s="644"/>
      <c r="J276" s="644"/>
      <c r="K276" s="644"/>
      <c r="L276" s="644"/>
      <c r="M276" s="644"/>
      <c r="N276" s="644"/>
      <c r="O276" s="644"/>
      <c r="P276" s="644"/>
      <c r="Q276" s="644"/>
      <c r="R276" s="644"/>
      <c r="S276" s="644"/>
    </row>
    <row r="277" spans="1:19" x14ac:dyDescent="0.2">
      <c r="A277" s="644"/>
      <c r="B277" s="644"/>
      <c r="C277" s="644"/>
      <c r="D277" s="644"/>
      <c r="E277" s="644"/>
      <c r="F277" s="644"/>
      <c r="G277" s="644"/>
      <c r="H277" s="644"/>
      <c r="I277" s="644"/>
      <c r="J277" s="644"/>
      <c r="K277" s="644"/>
      <c r="L277" s="644"/>
      <c r="M277" s="644"/>
      <c r="N277" s="644"/>
      <c r="O277" s="644"/>
      <c r="P277" s="644"/>
      <c r="Q277" s="644"/>
      <c r="R277" s="644"/>
      <c r="S277" s="644"/>
    </row>
    <row r="278" spans="1:19" x14ac:dyDescent="0.2">
      <c r="A278" s="644"/>
      <c r="B278" s="644"/>
      <c r="C278" s="644"/>
      <c r="D278" s="644"/>
      <c r="E278" s="644"/>
      <c r="F278" s="644"/>
      <c r="G278" s="644"/>
      <c r="H278" s="644"/>
      <c r="I278" s="644"/>
      <c r="J278" s="644"/>
      <c r="K278" s="644"/>
      <c r="L278" s="644"/>
      <c r="M278" s="644"/>
      <c r="N278" s="644"/>
      <c r="O278" s="644"/>
      <c r="P278" s="644"/>
      <c r="Q278" s="644"/>
      <c r="R278" s="644"/>
      <c r="S278" s="644"/>
    </row>
    <row r="279" spans="1:19" x14ac:dyDescent="0.2">
      <c r="A279" s="644"/>
      <c r="B279" s="644"/>
      <c r="C279" s="644"/>
      <c r="D279" s="644"/>
      <c r="E279" s="644"/>
      <c r="F279" s="644"/>
      <c r="G279" s="644"/>
      <c r="H279" s="644"/>
      <c r="I279" s="644"/>
      <c r="J279" s="644"/>
      <c r="K279" s="644"/>
      <c r="L279" s="644"/>
      <c r="M279" s="644"/>
      <c r="N279" s="644"/>
      <c r="O279" s="644"/>
      <c r="P279" s="644"/>
      <c r="Q279" s="644"/>
      <c r="R279" s="644"/>
      <c r="S279" s="644"/>
    </row>
    <row r="280" spans="1:19" x14ac:dyDescent="0.2">
      <c r="A280" s="644"/>
      <c r="B280" s="644"/>
      <c r="C280" s="644"/>
      <c r="D280" s="644"/>
      <c r="E280" s="644"/>
      <c r="F280" s="644"/>
      <c r="G280" s="644"/>
      <c r="H280" s="644"/>
      <c r="I280" s="644"/>
      <c r="J280" s="644"/>
      <c r="K280" s="644"/>
      <c r="L280" s="644"/>
      <c r="M280" s="644"/>
      <c r="N280" s="644"/>
      <c r="O280" s="644"/>
      <c r="P280" s="644"/>
      <c r="Q280" s="644"/>
      <c r="R280" s="644"/>
      <c r="S280" s="644"/>
    </row>
    <row r="281" spans="1:19" x14ac:dyDescent="0.2">
      <c r="A281" s="644"/>
      <c r="B281" s="644"/>
      <c r="C281" s="644"/>
      <c r="D281" s="644"/>
      <c r="E281" s="644"/>
      <c r="F281" s="644"/>
      <c r="G281" s="644"/>
      <c r="H281" s="644"/>
      <c r="I281" s="644"/>
      <c r="J281" s="644"/>
      <c r="K281" s="644"/>
      <c r="L281" s="644"/>
      <c r="M281" s="644"/>
      <c r="N281" s="644"/>
      <c r="O281" s="644"/>
      <c r="P281" s="644"/>
      <c r="Q281" s="644"/>
      <c r="R281" s="644"/>
      <c r="S281" s="644"/>
    </row>
    <row r="282" spans="1:19" x14ac:dyDescent="0.2">
      <c r="A282" s="644"/>
      <c r="B282" s="644"/>
      <c r="C282" s="644"/>
      <c r="D282" s="644"/>
      <c r="E282" s="644"/>
      <c r="F282" s="644"/>
      <c r="G282" s="644"/>
      <c r="H282" s="644"/>
      <c r="I282" s="644"/>
      <c r="J282" s="644"/>
      <c r="K282" s="644"/>
      <c r="L282" s="644"/>
      <c r="M282" s="644"/>
      <c r="N282" s="644"/>
      <c r="O282" s="644"/>
      <c r="P282" s="644"/>
      <c r="Q282" s="644"/>
      <c r="R282" s="644"/>
      <c r="S282" s="644"/>
    </row>
    <row r="283" spans="1:19" x14ac:dyDescent="0.2">
      <c r="A283" s="644"/>
      <c r="B283" s="644"/>
      <c r="C283" s="644"/>
      <c r="D283" s="644"/>
      <c r="E283" s="644"/>
      <c r="F283" s="644"/>
      <c r="G283" s="644"/>
      <c r="H283" s="644"/>
      <c r="I283" s="644"/>
      <c r="J283" s="644"/>
      <c r="K283" s="644"/>
      <c r="L283" s="644"/>
      <c r="M283" s="644"/>
      <c r="N283" s="644"/>
      <c r="O283" s="644"/>
      <c r="P283" s="644"/>
      <c r="Q283" s="644"/>
      <c r="R283" s="644"/>
      <c r="S283" s="644"/>
    </row>
    <row r="284" spans="1:19" x14ac:dyDescent="0.2">
      <c r="A284" s="644"/>
      <c r="B284" s="644"/>
      <c r="C284" s="644"/>
      <c r="D284" s="644"/>
      <c r="E284" s="644"/>
      <c r="F284" s="644"/>
      <c r="G284" s="644"/>
      <c r="H284" s="644"/>
      <c r="I284" s="644"/>
      <c r="J284" s="644"/>
      <c r="K284" s="644"/>
      <c r="L284" s="644"/>
      <c r="M284" s="644"/>
      <c r="N284" s="644"/>
      <c r="O284" s="644"/>
      <c r="P284" s="644"/>
      <c r="Q284" s="644"/>
      <c r="R284" s="644"/>
      <c r="S284" s="644"/>
    </row>
    <row r="285" spans="1:19" x14ac:dyDescent="0.2">
      <c r="A285" s="644"/>
      <c r="B285" s="644"/>
      <c r="C285" s="644"/>
      <c r="D285" s="644"/>
      <c r="E285" s="644"/>
      <c r="F285" s="644"/>
      <c r="G285" s="644"/>
      <c r="H285" s="644"/>
      <c r="I285" s="644"/>
      <c r="J285" s="644"/>
      <c r="K285" s="644"/>
      <c r="L285" s="644"/>
      <c r="M285" s="644"/>
      <c r="N285" s="644"/>
      <c r="O285" s="644"/>
      <c r="P285" s="644"/>
      <c r="Q285" s="644"/>
      <c r="R285" s="644"/>
      <c r="S285" s="644"/>
    </row>
    <row r="286" spans="1:19" x14ac:dyDescent="0.2">
      <c r="A286" s="644"/>
      <c r="B286" s="644"/>
      <c r="C286" s="644"/>
      <c r="D286" s="644"/>
      <c r="E286" s="644"/>
      <c r="F286" s="644"/>
      <c r="G286" s="644"/>
      <c r="H286" s="644"/>
      <c r="I286" s="644"/>
      <c r="J286" s="644"/>
      <c r="K286" s="644"/>
      <c r="L286" s="644"/>
      <c r="M286" s="644"/>
      <c r="N286" s="644"/>
      <c r="O286" s="644"/>
      <c r="P286" s="644"/>
      <c r="Q286" s="644"/>
      <c r="R286" s="644"/>
      <c r="S286" s="644"/>
    </row>
    <row r="287" spans="1:19" x14ac:dyDescent="0.2">
      <c r="A287" s="644"/>
      <c r="B287" s="644"/>
      <c r="C287" s="644"/>
      <c r="D287" s="644"/>
      <c r="E287" s="644"/>
      <c r="F287" s="644"/>
      <c r="G287" s="644"/>
      <c r="H287" s="644"/>
      <c r="I287" s="644"/>
      <c r="J287" s="644"/>
      <c r="K287" s="644"/>
      <c r="L287" s="644"/>
      <c r="M287" s="644"/>
      <c r="N287" s="644"/>
      <c r="O287" s="644"/>
      <c r="P287" s="644"/>
      <c r="Q287" s="644"/>
      <c r="R287" s="644"/>
      <c r="S287" s="644"/>
    </row>
    <row r="288" spans="1:19" x14ac:dyDescent="0.2">
      <c r="A288" s="644"/>
      <c r="B288" s="644"/>
      <c r="C288" s="644"/>
      <c r="D288" s="644"/>
      <c r="E288" s="644"/>
      <c r="F288" s="644"/>
      <c r="G288" s="644"/>
      <c r="H288" s="644"/>
      <c r="I288" s="644"/>
      <c r="J288" s="644"/>
      <c r="K288" s="644"/>
      <c r="L288" s="644"/>
      <c r="M288" s="644"/>
      <c r="N288" s="644"/>
      <c r="O288" s="644"/>
      <c r="P288" s="644"/>
      <c r="Q288" s="644"/>
      <c r="R288" s="644"/>
      <c r="S288" s="644"/>
    </row>
    <row r="289" spans="1:19" x14ac:dyDescent="0.2">
      <c r="A289" s="644"/>
      <c r="B289" s="644"/>
      <c r="C289" s="644"/>
      <c r="D289" s="644"/>
      <c r="E289" s="644"/>
      <c r="F289" s="644"/>
      <c r="G289" s="644"/>
      <c r="H289" s="644"/>
      <c r="I289" s="644"/>
      <c r="J289" s="644"/>
      <c r="K289" s="644"/>
      <c r="L289" s="644"/>
      <c r="M289" s="644"/>
      <c r="N289" s="644"/>
      <c r="O289" s="644"/>
      <c r="P289" s="644"/>
      <c r="Q289" s="644"/>
      <c r="R289" s="644"/>
      <c r="S289" s="644"/>
    </row>
    <row r="290" spans="1:19" x14ac:dyDescent="0.2">
      <c r="A290" s="644"/>
      <c r="B290" s="644"/>
      <c r="C290" s="644"/>
      <c r="D290" s="644"/>
      <c r="E290" s="644"/>
      <c r="F290" s="644"/>
      <c r="G290" s="644"/>
      <c r="H290" s="644"/>
      <c r="I290" s="644"/>
      <c r="J290" s="644"/>
      <c r="K290" s="644"/>
      <c r="L290" s="644"/>
      <c r="M290" s="644"/>
      <c r="N290" s="644"/>
      <c r="O290" s="644"/>
      <c r="P290" s="644"/>
      <c r="Q290" s="644"/>
      <c r="R290" s="644"/>
      <c r="S290" s="644"/>
    </row>
    <row r="291" spans="1:19" x14ac:dyDescent="0.2">
      <c r="I291" s="644"/>
      <c r="J291" s="644"/>
      <c r="K291" s="644"/>
      <c r="L291" s="644"/>
      <c r="M291" s="644"/>
      <c r="N291" s="644"/>
      <c r="O291" s="644"/>
      <c r="P291" s="644"/>
      <c r="Q291" s="644"/>
      <c r="R291" s="644"/>
      <c r="S291" s="644"/>
    </row>
    <row r="292" spans="1:19" x14ac:dyDescent="0.2">
      <c r="I292" s="644"/>
      <c r="J292" s="644"/>
      <c r="K292" s="644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Voeding">
    <tabColor rgb="FFFFC000"/>
  </sheetPr>
  <dimension ref="A1:R76"/>
  <sheetViews>
    <sheetView topLeftCell="A4" workbookViewId="0"/>
  </sheetViews>
  <sheetFormatPr defaultRowHeight="15" x14ac:dyDescent="0.25"/>
  <cols>
    <col min="1" max="1" width="10.85546875" style="664" bestFit="1" customWidth="1"/>
    <col min="2" max="2" width="32.28515625" style="664" bestFit="1" customWidth="1"/>
    <col min="3" max="14" width="8.28515625" style="664" customWidth="1"/>
    <col min="15" max="15" width="6.7109375" style="664" customWidth="1"/>
    <col min="16" max="16384" width="9.140625" style="664"/>
  </cols>
  <sheetData>
    <row r="1" spans="1:18" x14ac:dyDescent="0.25">
      <c r="B1" s="690"/>
      <c r="C1" s="691" t="s">
        <v>1991</v>
      </c>
      <c r="D1" s="692"/>
      <c r="E1" s="692"/>
      <c r="F1" s="692"/>
      <c r="G1" s="692"/>
      <c r="H1" s="692"/>
      <c r="I1" s="692"/>
      <c r="J1" s="693"/>
    </row>
    <row r="2" spans="1:18" x14ac:dyDescent="0.25">
      <c r="C2" s="694" t="s">
        <v>106</v>
      </c>
      <c r="D2" s="695" t="s">
        <v>331</v>
      </c>
      <c r="E2" s="695" t="s">
        <v>331</v>
      </c>
      <c r="F2" s="695" t="s">
        <v>331</v>
      </c>
      <c r="G2" s="696" t="s">
        <v>331</v>
      </c>
      <c r="H2" s="696" t="s">
        <v>331</v>
      </c>
      <c r="I2" s="696" t="s">
        <v>1992</v>
      </c>
      <c r="J2" s="697" t="s">
        <v>1993</v>
      </c>
    </row>
    <row r="3" spans="1:18" x14ac:dyDescent="0.25">
      <c r="C3" s="698" t="s">
        <v>473</v>
      </c>
      <c r="D3" s="699" t="s">
        <v>474</v>
      </c>
      <c r="E3" s="699" t="s">
        <v>475</v>
      </c>
      <c r="F3" s="699" t="s">
        <v>482</v>
      </c>
      <c r="G3" s="699" t="s">
        <v>476</v>
      </c>
      <c r="H3" s="699" t="s">
        <v>1685</v>
      </c>
      <c r="I3" s="699" t="s">
        <v>1686</v>
      </c>
      <c r="J3" s="700" t="s">
        <v>1090</v>
      </c>
    </row>
    <row r="4" spans="1:18" ht="15.75" thickBot="1" x14ac:dyDescent="0.3">
      <c r="C4" s="701">
        <v>4.3478000000000003E-2</v>
      </c>
      <c r="D4" s="702">
        <v>2.5641000000000001E-2</v>
      </c>
      <c r="E4" s="702">
        <v>2.4899999999999999E-2</v>
      </c>
      <c r="F4" s="702">
        <v>3.2288999999999998E-2</v>
      </c>
      <c r="G4" s="702">
        <v>4.1140999999999997E-2</v>
      </c>
      <c r="H4" s="703">
        <v>1.7899999999999999E-2</v>
      </c>
      <c r="I4" s="704">
        <v>40</v>
      </c>
      <c r="J4" s="705">
        <v>2.8205999999999998E-2</v>
      </c>
    </row>
    <row r="7" spans="1:18" x14ac:dyDescent="0.25">
      <c r="A7" s="754" t="s">
        <v>1766</v>
      </c>
      <c r="B7" s="665" t="s">
        <v>981</v>
      </c>
    </row>
    <row r="8" spans="1:18" x14ac:dyDescent="0.25">
      <c r="C8" s="665"/>
      <c r="D8" s="655" t="s">
        <v>62</v>
      </c>
      <c r="E8" s="655" t="s">
        <v>62</v>
      </c>
      <c r="F8" s="655" t="s">
        <v>62</v>
      </c>
      <c r="G8" s="655" t="s">
        <v>365</v>
      </c>
      <c r="H8" s="655" t="s">
        <v>365</v>
      </c>
      <c r="I8" s="655" t="s">
        <v>365</v>
      </c>
      <c r="J8" s="655" t="s">
        <v>365</v>
      </c>
      <c r="K8" s="655" t="s">
        <v>365</v>
      </c>
      <c r="L8" s="655" t="s">
        <v>365</v>
      </c>
      <c r="M8" s="655" t="s">
        <v>1687</v>
      </c>
      <c r="N8" s="655" t="s">
        <v>365</v>
      </c>
      <c r="O8" s="655"/>
    </row>
    <row r="9" spans="1:18" x14ac:dyDescent="0.25">
      <c r="A9" s="649" t="s">
        <v>1767</v>
      </c>
      <c r="B9" s="655"/>
      <c r="C9" s="655" t="s">
        <v>480</v>
      </c>
      <c r="D9" s="655" t="s">
        <v>471</v>
      </c>
      <c r="E9" s="655" t="s">
        <v>1037</v>
      </c>
      <c r="F9" s="655" t="s">
        <v>1038</v>
      </c>
      <c r="G9" s="655" t="s">
        <v>473</v>
      </c>
      <c r="H9" s="655" t="s">
        <v>474</v>
      </c>
      <c r="I9" s="655" t="s">
        <v>475</v>
      </c>
      <c r="J9" s="655" t="s">
        <v>1036</v>
      </c>
      <c r="K9" s="655" t="s">
        <v>476</v>
      </c>
      <c r="L9" s="655" t="s">
        <v>1685</v>
      </c>
      <c r="M9" s="655" t="s">
        <v>1686</v>
      </c>
      <c r="N9" s="655" t="s">
        <v>1090</v>
      </c>
      <c r="O9" s="655"/>
    </row>
    <row r="10" spans="1:18" x14ac:dyDescent="0.25">
      <c r="A10" s="655" t="s">
        <v>1768</v>
      </c>
      <c r="B10" s="655"/>
      <c r="C10" s="655" t="s">
        <v>480</v>
      </c>
      <c r="D10" s="655" t="s">
        <v>431</v>
      </c>
      <c r="E10" s="655" t="s">
        <v>481</v>
      </c>
      <c r="F10" s="655" t="s">
        <v>432</v>
      </c>
      <c r="G10" s="655" t="s">
        <v>473</v>
      </c>
      <c r="H10" s="655" t="s">
        <v>474</v>
      </c>
      <c r="I10" s="655" t="s">
        <v>475</v>
      </c>
      <c r="J10" s="655" t="s">
        <v>482</v>
      </c>
      <c r="K10" s="655" t="s">
        <v>476</v>
      </c>
      <c r="L10" s="655" t="s">
        <v>1685</v>
      </c>
      <c r="M10" s="655" t="s">
        <v>1686</v>
      </c>
      <c r="N10" s="655" t="s">
        <v>1090</v>
      </c>
      <c r="O10" s="655"/>
    </row>
    <row r="11" spans="1:18" x14ac:dyDescent="0.25">
      <c r="A11" s="655"/>
      <c r="B11" s="655"/>
      <c r="C11" s="655">
        <v>2</v>
      </c>
      <c r="D11" s="655">
        <v>3</v>
      </c>
      <c r="E11" s="655">
        <v>4</v>
      </c>
      <c r="F11" s="655">
        <v>5</v>
      </c>
      <c r="G11" s="655">
        <v>6</v>
      </c>
      <c r="H11" s="655">
        <v>7</v>
      </c>
      <c r="I11" s="655">
        <v>8</v>
      </c>
      <c r="J11" s="655">
        <v>9</v>
      </c>
      <c r="K11" s="655">
        <v>10</v>
      </c>
      <c r="L11" s="655">
        <v>11</v>
      </c>
      <c r="M11" s="655">
        <v>12</v>
      </c>
      <c r="N11" s="655">
        <v>13</v>
      </c>
      <c r="O11" s="655"/>
    </row>
    <row r="12" spans="1:18" x14ac:dyDescent="0.25">
      <c r="A12" s="655"/>
      <c r="B12" s="655" t="s">
        <v>374</v>
      </c>
      <c r="C12" s="655">
        <v>68</v>
      </c>
      <c r="D12" s="655">
        <v>1</v>
      </c>
      <c r="E12" s="651">
        <v>7.0000000000000009</v>
      </c>
      <c r="F12" s="651">
        <v>4</v>
      </c>
      <c r="G12" s="655">
        <v>20</v>
      </c>
      <c r="H12" s="655">
        <v>50.000000000000007</v>
      </c>
      <c r="I12" s="655">
        <v>30</v>
      </c>
      <c r="J12" s="655">
        <v>15</v>
      </c>
      <c r="K12" s="655">
        <v>3.0000000000000004</v>
      </c>
      <c r="L12" s="651">
        <v>0.1</v>
      </c>
      <c r="M12" s="655">
        <v>0</v>
      </c>
      <c r="N12" s="656">
        <v>43</v>
      </c>
      <c r="O12" s="666"/>
    </row>
    <row r="13" spans="1:18" x14ac:dyDescent="0.25">
      <c r="A13" s="655"/>
      <c r="B13" s="655" t="s">
        <v>1690</v>
      </c>
      <c r="C13" s="655">
        <v>80</v>
      </c>
      <c r="D13" s="655">
        <v>2.6</v>
      </c>
      <c r="E13" s="651">
        <v>8.4</v>
      </c>
      <c r="F13" s="651">
        <v>3.9</v>
      </c>
      <c r="G13" s="655">
        <v>70</v>
      </c>
      <c r="H13" s="655">
        <v>80</v>
      </c>
      <c r="I13" s="655">
        <v>100</v>
      </c>
      <c r="J13" s="655">
        <v>56</v>
      </c>
      <c r="K13" s="655">
        <v>8</v>
      </c>
      <c r="L13" s="648">
        <v>1.6</v>
      </c>
      <c r="M13" s="656">
        <v>3</v>
      </c>
      <c r="N13" s="656">
        <v>85</v>
      </c>
      <c r="O13" s="666"/>
      <c r="R13" s="655"/>
    </row>
    <row r="14" spans="1:18" x14ac:dyDescent="0.25">
      <c r="A14" s="655"/>
      <c r="B14" s="655" t="s">
        <v>1691</v>
      </c>
      <c r="C14" s="655">
        <v>75</v>
      </c>
      <c r="D14" s="655">
        <v>2</v>
      </c>
      <c r="E14" s="651">
        <v>7.5</v>
      </c>
      <c r="F14" s="651">
        <v>4</v>
      </c>
      <c r="G14" s="655">
        <v>28</v>
      </c>
      <c r="H14" s="655">
        <v>77</v>
      </c>
      <c r="I14" s="655">
        <v>87</v>
      </c>
      <c r="J14" s="655">
        <v>47</v>
      </c>
      <c r="K14" s="655">
        <v>7</v>
      </c>
      <c r="L14" s="648">
        <v>1.2</v>
      </c>
      <c r="M14" s="656">
        <v>1.7</v>
      </c>
      <c r="N14" s="656">
        <v>55</v>
      </c>
      <c r="O14" s="666"/>
      <c r="R14" s="656"/>
    </row>
    <row r="15" spans="1:18" x14ac:dyDescent="0.25">
      <c r="A15" s="655"/>
      <c r="B15" s="655" t="s">
        <v>1692</v>
      </c>
      <c r="C15" s="668">
        <v>66</v>
      </c>
      <c r="D15" s="668">
        <v>1.5</v>
      </c>
      <c r="E15" s="669">
        <v>7.2</v>
      </c>
      <c r="F15" s="669">
        <v>3.4</v>
      </c>
      <c r="G15" s="668">
        <v>25</v>
      </c>
      <c r="H15" s="668">
        <v>73</v>
      </c>
      <c r="I15" s="668">
        <v>46</v>
      </c>
      <c r="J15" s="668">
        <v>26</v>
      </c>
      <c r="K15" s="668">
        <v>5.0999999999999996</v>
      </c>
      <c r="L15" s="652">
        <v>0.53</v>
      </c>
      <c r="M15" s="668">
        <v>1.2</v>
      </c>
      <c r="N15" s="656">
        <v>41</v>
      </c>
      <c r="O15" s="670"/>
      <c r="R15" s="656"/>
    </row>
    <row r="16" spans="1:18" x14ac:dyDescent="0.25">
      <c r="A16" s="655"/>
      <c r="B16" s="655" t="s">
        <v>1095</v>
      </c>
      <c r="C16" s="655">
        <v>66</v>
      </c>
      <c r="D16" s="655">
        <v>1.3</v>
      </c>
      <c r="E16" s="651">
        <v>7.3</v>
      </c>
      <c r="F16" s="651">
        <v>3.4</v>
      </c>
      <c r="G16" s="655">
        <v>17</v>
      </c>
      <c r="H16" s="655">
        <v>68</v>
      </c>
      <c r="I16" s="655">
        <v>57</v>
      </c>
      <c r="J16" s="655">
        <v>32</v>
      </c>
      <c r="K16" s="655">
        <v>5.0999999999999996</v>
      </c>
      <c r="L16" s="651">
        <v>3.9</v>
      </c>
      <c r="M16" s="655">
        <v>8.6999999999999993</v>
      </c>
      <c r="N16" s="656">
        <v>42</v>
      </c>
      <c r="O16" s="666"/>
      <c r="R16" s="656"/>
    </row>
    <row r="17" spans="1:18" x14ac:dyDescent="0.25">
      <c r="A17" s="649"/>
      <c r="B17" s="655" t="s">
        <v>1755</v>
      </c>
      <c r="C17" s="655">
        <v>68</v>
      </c>
      <c r="D17" s="655">
        <v>1.4</v>
      </c>
      <c r="E17" s="651">
        <v>8.6</v>
      </c>
      <c r="F17" s="651">
        <v>3</v>
      </c>
      <c r="G17" s="655">
        <v>23</v>
      </c>
      <c r="H17" s="655">
        <v>74</v>
      </c>
      <c r="I17" s="655">
        <v>65</v>
      </c>
      <c r="J17" s="655">
        <v>36</v>
      </c>
      <c r="K17" s="655">
        <v>4.8</v>
      </c>
      <c r="L17" s="651">
        <v>7</v>
      </c>
      <c r="M17" s="655">
        <v>1.4</v>
      </c>
      <c r="N17" s="656">
        <v>47</v>
      </c>
      <c r="O17" s="666"/>
      <c r="R17" s="656"/>
    </row>
    <row r="18" spans="1:18" x14ac:dyDescent="0.25">
      <c r="A18" s="655"/>
      <c r="B18" s="655" t="s">
        <v>24</v>
      </c>
      <c r="C18" s="655">
        <v>100</v>
      </c>
      <c r="D18" s="655">
        <v>2.6</v>
      </c>
      <c r="E18" s="651">
        <v>10.3</v>
      </c>
      <c r="F18" s="651">
        <v>5.4</v>
      </c>
      <c r="G18" s="655">
        <v>37</v>
      </c>
      <c r="H18" s="655">
        <v>95</v>
      </c>
      <c r="I18" s="655">
        <v>100</v>
      </c>
      <c r="J18" s="655">
        <v>50</v>
      </c>
      <c r="K18" s="655">
        <v>9</v>
      </c>
      <c r="L18" s="651">
        <v>1.2</v>
      </c>
      <c r="M18" s="655">
        <v>1.9</v>
      </c>
      <c r="N18" s="656">
        <v>62</v>
      </c>
      <c r="O18" s="666"/>
      <c r="R18" s="656"/>
    </row>
    <row r="19" spans="1:18" x14ac:dyDescent="0.25">
      <c r="A19" s="655"/>
      <c r="B19" s="655" t="s">
        <v>1950</v>
      </c>
      <c r="C19" s="655">
        <v>100</v>
      </c>
      <c r="D19" s="655">
        <v>2.6</v>
      </c>
      <c r="E19" s="651">
        <v>10.3</v>
      </c>
      <c r="F19" s="651">
        <v>5.4</v>
      </c>
      <c r="G19" s="655">
        <v>32</v>
      </c>
      <c r="H19" s="655">
        <v>108</v>
      </c>
      <c r="I19" s="655">
        <v>80</v>
      </c>
      <c r="J19" s="655">
        <v>40</v>
      </c>
      <c r="K19" s="655">
        <v>8</v>
      </c>
      <c r="L19" s="651">
        <v>1</v>
      </c>
      <c r="M19" s="655">
        <v>1.7</v>
      </c>
      <c r="N19" s="656">
        <v>64</v>
      </c>
      <c r="O19" s="666"/>
      <c r="R19" s="656"/>
    </row>
    <row r="20" spans="1:18" x14ac:dyDescent="0.25">
      <c r="A20" s="655"/>
      <c r="B20" s="655" t="s">
        <v>1772</v>
      </c>
      <c r="C20" s="655">
        <v>67</v>
      </c>
      <c r="D20" s="655">
        <v>1.6</v>
      </c>
      <c r="E20" s="651">
        <v>7</v>
      </c>
      <c r="F20" s="651">
        <v>3.5</v>
      </c>
      <c r="G20" s="655">
        <v>20</v>
      </c>
      <c r="H20" s="655">
        <v>81</v>
      </c>
      <c r="I20" s="655">
        <v>47</v>
      </c>
      <c r="J20" s="655">
        <v>26</v>
      </c>
      <c r="K20" s="655">
        <v>5.3</v>
      </c>
      <c r="L20" s="652">
        <v>0.53</v>
      </c>
      <c r="M20" s="655">
        <v>1.3</v>
      </c>
      <c r="N20" s="656">
        <v>40</v>
      </c>
      <c r="O20" s="666"/>
      <c r="R20" s="655"/>
    </row>
    <row r="21" spans="1:18" x14ac:dyDescent="0.25">
      <c r="A21" s="655"/>
      <c r="B21" s="655" t="s">
        <v>983</v>
      </c>
      <c r="C21" s="655">
        <v>101</v>
      </c>
      <c r="D21" s="655">
        <v>2.7</v>
      </c>
      <c r="E21" s="651">
        <v>12.3</v>
      </c>
      <c r="F21" s="651">
        <v>4.4000000000000004</v>
      </c>
      <c r="G21" s="655">
        <v>60</v>
      </c>
      <c r="H21" s="655">
        <v>110</v>
      </c>
      <c r="I21" s="655">
        <v>60</v>
      </c>
      <c r="J21" s="655">
        <v>50</v>
      </c>
      <c r="K21" s="655">
        <v>11</v>
      </c>
      <c r="L21" s="671">
        <v>1</v>
      </c>
      <c r="M21" s="655">
        <v>1</v>
      </c>
      <c r="N21" s="656">
        <v>95</v>
      </c>
      <c r="O21" s="666"/>
      <c r="R21" s="655"/>
    </row>
    <row r="22" spans="1:18" x14ac:dyDescent="0.25">
      <c r="A22" s="655"/>
      <c r="B22" s="655" t="s">
        <v>984</v>
      </c>
      <c r="C22" s="655">
        <v>151</v>
      </c>
      <c r="D22" s="655">
        <v>4</v>
      </c>
      <c r="E22" s="651">
        <v>18.5</v>
      </c>
      <c r="F22" s="651">
        <v>6.7</v>
      </c>
      <c r="G22" s="655">
        <v>90</v>
      </c>
      <c r="H22" s="655">
        <v>165</v>
      </c>
      <c r="I22" s="655">
        <v>90</v>
      </c>
      <c r="J22" s="655">
        <v>75</v>
      </c>
      <c r="K22" s="655">
        <v>17</v>
      </c>
      <c r="L22" s="651">
        <v>1.5</v>
      </c>
      <c r="M22" s="655">
        <v>1.5</v>
      </c>
      <c r="N22" s="656">
        <v>143</v>
      </c>
      <c r="O22" s="666"/>
    </row>
    <row r="23" spans="1:18" x14ac:dyDescent="0.25">
      <c r="A23" s="655"/>
      <c r="B23" s="655" t="s">
        <v>1951</v>
      </c>
      <c r="C23" s="655">
        <v>100</v>
      </c>
      <c r="D23" s="655">
        <v>2.8</v>
      </c>
      <c r="E23" s="651">
        <v>13.7</v>
      </c>
      <c r="F23" s="651">
        <v>3.9</v>
      </c>
      <c r="G23" s="655">
        <v>60</v>
      </c>
      <c r="H23" s="655">
        <v>110</v>
      </c>
      <c r="I23" s="655">
        <v>60</v>
      </c>
      <c r="J23" s="655">
        <v>50</v>
      </c>
      <c r="K23" s="655">
        <v>11</v>
      </c>
      <c r="L23" s="671">
        <v>1</v>
      </c>
      <c r="M23" s="671">
        <v>1</v>
      </c>
      <c r="N23" s="656">
        <v>95</v>
      </c>
      <c r="O23" s="672"/>
    </row>
    <row r="24" spans="1:18" x14ac:dyDescent="0.25">
      <c r="A24" s="655"/>
      <c r="B24" s="655" t="s">
        <v>1988</v>
      </c>
      <c r="C24" s="655">
        <v>68</v>
      </c>
      <c r="D24" s="655">
        <v>1.6</v>
      </c>
      <c r="E24" s="651">
        <v>8.1</v>
      </c>
      <c r="F24" s="651">
        <v>3.1</v>
      </c>
      <c r="G24" s="655">
        <v>25</v>
      </c>
      <c r="H24" s="655">
        <v>78</v>
      </c>
      <c r="I24" s="655">
        <v>63</v>
      </c>
      <c r="J24" s="655">
        <v>37</v>
      </c>
      <c r="K24" s="655">
        <v>5.5</v>
      </c>
      <c r="L24" s="651">
        <v>1</v>
      </c>
      <c r="M24" s="655">
        <v>1.4</v>
      </c>
      <c r="N24" s="656">
        <v>42</v>
      </c>
      <c r="O24" s="666"/>
    </row>
    <row r="25" spans="1:18" x14ac:dyDescent="0.25">
      <c r="A25" s="655"/>
      <c r="B25" s="655" t="s">
        <v>986</v>
      </c>
      <c r="C25" s="655">
        <v>102</v>
      </c>
      <c r="D25" s="655">
        <v>3.3</v>
      </c>
      <c r="E25" s="651">
        <v>12.3</v>
      </c>
      <c r="F25" s="651">
        <v>4.2</v>
      </c>
      <c r="G25" s="655">
        <v>80</v>
      </c>
      <c r="H25" s="655">
        <v>138</v>
      </c>
      <c r="I25" s="655">
        <v>70</v>
      </c>
      <c r="J25" s="655">
        <v>60</v>
      </c>
      <c r="K25" s="655">
        <v>17</v>
      </c>
      <c r="L25" s="651">
        <v>1.3</v>
      </c>
      <c r="M25" s="655">
        <v>0.7</v>
      </c>
      <c r="N25" s="656">
        <v>125</v>
      </c>
      <c r="O25" s="666"/>
    </row>
    <row r="26" spans="1:18" x14ac:dyDescent="0.25">
      <c r="A26" s="655"/>
      <c r="B26" s="655" t="s">
        <v>987</v>
      </c>
      <c r="C26" s="655">
        <v>152</v>
      </c>
      <c r="D26" s="655">
        <v>4.8</v>
      </c>
      <c r="E26" s="651">
        <v>18.5</v>
      </c>
      <c r="F26" s="651">
        <v>6.3</v>
      </c>
      <c r="G26" s="655">
        <v>107</v>
      </c>
      <c r="H26" s="655">
        <v>186</v>
      </c>
      <c r="I26" s="655">
        <v>95</v>
      </c>
      <c r="J26" s="655">
        <v>90</v>
      </c>
      <c r="K26" s="655">
        <v>26</v>
      </c>
      <c r="L26" s="651">
        <v>2</v>
      </c>
      <c r="M26" s="655">
        <v>1.1000000000000001</v>
      </c>
      <c r="N26" s="656">
        <v>147</v>
      </c>
      <c r="O26" s="666"/>
    </row>
    <row r="27" spans="1:18" x14ac:dyDescent="0.25">
      <c r="A27" s="655"/>
      <c r="B27" s="655" t="s">
        <v>989</v>
      </c>
      <c r="C27" s="655">
        <v>103</v>
      </c>
      <c r="D27" s="655">
        <v>4</v>
      </c>
      <c r="E27" s="651">
        <v>12.3</v>
      </c>
      <c r="F27" s="651">
        <v>3.9</v>
      </c>
      <c r="G27" s="655">
        <v>100</v>
      </c>
      <c r="H27" s="655">
        <v>150</v>
      </c>
      <c r="I27" s="655">
        <v>80</v>
      </c>
      <c r="J27" s="655">
        <v>72</v>
      </c>
      <c r="K27" s="655">
        <v>23</v>
      </c>
      <c r="L27" s="669">
        <v>1.6</v>
      </c>
      <c r="M27" s="668">
        <v>1</v>
      </c>
      <c r="N27" s="656">
        <v>125</v>
      </c>
      <c r="O27" s="670"/>
    </row>
    <row r="28" spans="1:18" x14ac:dyDescent="0.25">
      <c r="A28" s="655"/>
      <c r="B28" s="655" t="s">
        <v>990</v>
      </c>
      <c r="C28" s="655">
        <v>153</v>
      </c>
      <c r="D28" s="655">
        <v>6</v>
      </c>
      <c r="E28" s="651">
        <v>18.399999999999999</v>
      </c>
      <c r="F28" s="651">
        <v>5.8</v>
      </c>
      <c r="G28" s="655">
        <v>134</v>
      </c>
      <c r="H28" s="655">
        <v>201</v>
      </c>
      <c r="I28" s="655">
        <v>84</v>
      </c>
      <c r="J28" s="655">
        <v>84</v>
      </c>
      <c r="K28" s="655">
        <v>30</v>
      </c>
      <c r="L28" s="669">
        <v>2.4</v>
      </c>
      <c r="M28" s="668">
        <v>1.5</v>
      </c>
      <c r="N28" s="656">
        <v>100</v>
      </c>
      <c r="O28" s="670"/>
    </row>
    <row r="29" spans="1:18" x14ac:dyDescent="0.25">
      <c r="A29" s="655"/>
      <c r="B29" s="655" t="s">
        <v>1952</v>
      </c>
      <c r="C29" s="655">
        <v>100</v>
      </c>
      <c r="D29" s="655">
        <v>4</v>
      </c>
      <c r="E29" s="651">
        <v>17.600000000000001</v>
      </c>
      <c r="F29" s="651">
        <v>1.7</v>
      </c>
      <c r="G29" s="655">
        <v>100</v>
      </c>
      <c r="H29" s="655">
        <v>150</v>
      </c>
      <c r="I29" s="655">
        <v>80</v>
      </c>
      <c r="J29" s="655">
        <v>72</v>
      </c>
      <c r="K29" s="655">
        <v>23</v>
      </c>
      <c r="L29" s="669">
        <v>1.6</v>
      </c>
      <c r="M29" s="668">
        <v>0.7</v>
      </c>
      <c r="N29" s="656">
        <v>125</v>
      </c>
      <c r="O29" s="670"/>
      <c r="R29" s="667"/>
    </row>
    <row r="30" spans="1:18" x14ac:dyDescent="0.25">
      <c r="A30" s="655"/>
      <c r="B30" s="655" t="s">
        <v>1693</v>
      </c>
      <c r="C30" s="655">
        <v>67</v>
      </c>
      <c r="D30" s="655">
        <v>1.8</v>
      </c>
      <c r="E30" s="651">
        <v>7.2</v>
      </c>
      <c r="F30" s="651">
        <v>3.4</v>
      </c>
      <c r="G30" s="655">
        <v>26.1</v>
      </c>
      <c r="H30" s="655">
        <v>72.5</v>
      </c>
      <c r="I30" s="655">
        <v>65.599999999999994</v>
      </c>
      <c r="J30" s="655">
        <v>47.1</v>
      </c>
      <c r="K30" s="655">
        <v>7</v>
      </c>
      <c r="L30" s="669">
        <v>1</v>
      </c>
      <c r="M30" s="668">
        <v>1.2</v>
      </c>
      <c r="N30" s="656">
        <v>53.3</v>
      </c>
      <c r="O30" s="670"/>
      <c r="R30" s="655"/>
    </row>
    <row r="31" spans="1:18" x14ac:dyDescent="0.25">
      <c r="A31" s="655"/>
      <c r="B31" s="655" t="s">
        <v>1694</v>
      </c>
      <c r="C31" s="655">
        <v>66</v>
      </c>
      <c r="D31" s="655">
        <v>1.8</v>
      </c>
      <c r="E31" s="651">
        <v>6.8</v>
      </c>
      <c r="F31" s="651">
        <v>3.5</v>
      </c>
      <c r="G31" s="655">
        <v>18</v>
      </c>
      <c r="H31" s="655">
        <v>65</v>
      </c>
      <c r="I31" s="655">
        <v>50</v>
      </c>
      <c r="J31" s="655">
        <v>28</v>
      </c>
      <c r="K31" s="655">
        <v>5.0999999999999996</v>
      </c>
      <c r="L31" s="669">
        <v>0.77</v>
      </c>
      <c r="M31" s="668">
        <v>1.3</v>
      </c>
      <c r="N31" s="656">
        <v>40</v>
      </c>
      <c r="O31" s="670"/>
      <c r="R31" s="655"/>
    </row>
    <row r="32" spans="1:18" x14ac:dyDescent="0.25">
      <c r="B32" s="664" t="s">
        <v>1756</v>
      </c>
      <c r="C32" s="655">
        <v>68</v>
      </c>
      <c r="D32" s="655">
        <v>1</v>
      </c>
      <c r="E32" s="651">
        <v>7.0000000000000009</v>
      </c>
      <c r="F32" s="651">
        <v>4</v>
      </c>
      <c r="G32" s="655">
        <v>20</v>
      </c>
      <c r="H32" s="655">
        <v>50.000000000000007</v>
      </c>
      <c r="I32" s="655">
        <v>30</v>
      </c>
      <c r="J32" s="655">
        <v>15</v>
      </c>
      <c r="K32" s="655">
        <v>3.0000000000000004</v>
      </c>
      <c r="L32" s="651">
        <v>0.1</v>
      </c>
      <c r="M32" s="655">
        <v>0</v>
      </c>
      <c r="N32" s="656">
        <v>43</v>
      </c>
      <c r="O32" s="666"/>
      <c r="R32" s="655"/>
    </row>
    <row r="33" spans="1:18" x14ac:dyDescent="0.25">
      <c r="B33" s="664" t="s">
        <v>1757</v>
      </c>
      <c r="C33" s="655">
        <v>68</v>
      </c>
      <c r="D33" s="655">
        <v>1</v>
      </c>
      <c r="E33" s="651">
        <v>7.0000000000000009</v>
      </c>
      <c r="F33" s="651">
        <v>4</v>
      </c>
      <c r="G33" s="655">
        <v>20</v>
      </c>
      <c r="H33" s="655">
        <v>50.000000000000007</v>
      </c>
      <c r="I33" s="655">
        <v>30</v>
      </c>
      <c r="J33" s="655">
        <v>15</v>
      </c>
      <c r="K33" s="655">
        <v>3.0000000000000004</v>
      </c>
      <c r="L33" s="651">
        <v>0.1</v>
      </c>
      <c r="M33" s="655">
        <v>0</v>
      </c>
      <c r="N33" s="656">
        <v>43</v>
      </c>
      <c r="O33" s="666"/>
      <c r="R33" s="655"/>
    </row>
    <row r="34" spans="1:18" x14ac:dyDescent="0.25">
      <c r="B34" s="664" t="s">
        <v>1758</v>
      </c>
      <c r="C34" s="655">
        <v>68</v>
      </c>
      <c r="D34" s="655">
        <v>1</v>
      </c>
      <c r="E34" s="651">
        <v>7.0000000000000009</v>
      </c>
      <c r="F34" s="651">
        <v>4</v>
      </c>
      <c r="G34" s="655">
        <v>20</v>
      </c>
      <c r="H34" s="655">
        <v>50.000000000000007</v>
      </c>
      <c r="I34" s="655">
        <v>30</v>
      </c>
      <c r="J34" s="655">
        <v>15</v>
      </c>
      <c r="K34" s="655">
        <v>3.0000000000000004</v>
      </c>
      <c r="L34" s="651">
        <v>0.1</v>
      </c>
      <c r="M34" s="655">
        <v>0</v>
      </c>
      <c r="N34" s="656">
        <v>43</v>
      </c>
      <c r="O34" s="666"/>
      <c r="R34" s="655"/>
    </row>
    <row r="35" spans="1:18" x14ac:dyDescent="0.25">
      <c r="B35" s="664" t="s">
        <v>1759</v>
      </c>
      <c r="C35" s="655">
        <v>68</v>
      </c>
      <c r="D35" s="655">
        <v>1</v>
      </c>
      <c r="E35" s="651">
        <v>7.0000000000000009</v>
      </c>
      <c r="F35" s="651">
        <v>4</v>
      </c>
      <c r="G35" s="655">
        <v>20</v>
      </c>
      <c r="H35" s="655">
        <v>50.000000000000007</v>
      </c>
      <c r="I35" s="655">
        <v>30</v>
      </c>
      <c r="J35" s="655">
        <v>15</v>
      </c>
      <c r="K35" s="655">
        <v>3.0000000000000004</v>
      </c>
      <c r="L35" s="651">
        <v>0.1</v>
      </c>
      <c r="M35" s="655">
        <v>0</v>
      </c>
      <c r="N35" s="656">
        <v>43</v>
      </c>
      <c r="O35" s="666"/>
      <c r="R35" s="655"/>
    </row>
    <row r="36" spans="1:18" x14ac:dyDescent="0.25">
      <c r="B36" s="664" t="s">
        <v>1760</v>
      </c>
      <c r="C36" s="655">
        <v>68</v>
      </c>
      <c r="D36" s="655">
        <v>1</v>
      </c>
      <c r="E36" s="651">
        <v>7.0000000000000009</v>
      </c>
      <c r="F36" s="651">
        <v>4</v>
      </c>
      <c r="G36" s="655">
        <v>20</v>
      </c>
      <c r="H36" s="655">
        <v>50.000000000000007</v>
      </c>
      <c r="I36" s="655">
        <v>30</v>
      </c>
      <c r="J36" s="655">
        <v>15</v>
      </c>
      <c r="K36" s="655">
        <v>3.0000000000000004</v>
      </c>
      <c r="L36" s="651">
        <v>0.1</v>
      </c>
      <c r="M36" s="655">
        <v>0</v>
      </c>
      <c r="N36" s="656">
        <v>43</v>
      </c>
      <c r="O36" s="666"/>
      <c r="R36" s="655"/>
    </row>
    <row r="37" spans="1:18" x14ac:dyDescent="0.25">
      <c r="B37" s="664" t="s">
        <v>1761</v>
      </c>
      <c r="C37" s="655">
        <v>68</v>
      </c>
      <c r="D37" s="655">
        <v>1</v>
      </c>
      <c r="E37" s="651">
        <v>7.0000000000000009</v>
      </c>
      <c r="F37" s="651">
        <v>4</v>
      </c>
      <c r="G37" s="655">
        <v>20</v>
      </c>
      <c r="H37" s="655">
        <v>50.000000000000007</v>
      </c>
      <c r="I37" s="655">
        <v>30</v>
      </c>
      <c r="J37" s="655">
        <v>15</v>
      </c>
      <c r="K37" s="655">
        <v>3.0000000000000004</v>
      </c>
      <c r="L37" s="651">
        <v>0.1</v>
      </c>
      <c r="M37" s="655">
        <v>0</v>
      </c>
      <c r="N37" s="656">
        <v>43</v>
      </c>
      <c r="O37" s="666"/>
      <c r="R37" s="655"/>
    </row>
    <row r="38" spans="1:18" x14ac:dyDescent="0.25">
      <c r="B38" s="664" t="s">
        <v>1769</v>
      </c>
      <c r="C38" s="674">
        <v>66.3</v>
      </c>
      <c r="D38" s="674">
        <v>1.5</v>
      </c>
      <c r="E38" s="674">
        <v>7</v>
      </c>
      <c r="F38" s="674">
        <v>3.6</v>
      </c>
      <c r="G38" s="674">
        <v>20.3</v>
      </c>
      <c r="H38" s="674">
        <v>67</v>
      </c>
      <c r="I38" s="674">
        <v>53.3</v>
      </c>
      <c r="J38" s="674">
        <v>29.2</v>
      </c>
      <c r="K38" s="674">
        <v>0.08</v>
      </c>
      <c r="L38" s="674">
        <v>0.51</v>
      </c>
      <c r="M38" s="674">
        <v>1.9</v>
      </c>
      <c r="N38" s="656">
        <v>40</v>
      </c>
      <c r="O38" s="675"/>
      <c r="R38" s="655"/>
    </row>
    <row r="39" spans="1:18" x14ac:dyDescent="0.25">
      <c r="B39" s="656" t="s">
        <v>1695</v>
      </c>
      <c r="C39" s="674">
        <v>66</v>
      </c>
      <c r="D39" s="674">
        <v>1.4</v>
      </c>
      <c r="E39" s="674">
        <v>7.2</v>
      </c>
      <c r="F39" s="674">
        <v>3.5</v>
      </c>
      <c r="G39" s="674">
        <v>20</v>
      </c>
      <c r="H39" s="674">
        <v>65</v>
      </c>
      <c r="I39" s="674">
        <v>50</v>
      </c>
      <c r="J39" s="674">
        <v>30</v>
      </c>
      <c r="K39" s="674">
        <v>6</v>
      </c>
      <c r="L39" s="674">
        <v>0.78</v>
      </c>
      <c r="M39" s="674">
        <v>1.2</v>
      </c>
      <c r="N39" s="674">
        <v>42</v>
      </c>
      <c r="O39" s="674"/>
      <c r="R39" s="655"/>
    </row>
    <row r="40" spans="1:18" x14ac:dyDescent="0.25">
      <c r="B40" s="656" t="s">
        <v>1696</v>
      </c>
      <c r="C40" s="674">
        <v>70</v>
      </c>
      <c r="D40" s="674">
        <v>1.6</v>
      </c>
      <c r="E40" s="674">
        <v>9.1999999999999993</v>
      </c>
      <c r="F40" s="674">
        <v>2.9</v>
      </c>
      <c r="G40" s="674">
        <v>24</v>
      </c>
      <c r="H40" s="674">
        <v>83</v>
      </c>
      <c r="I40" s="674">
        <v>72</v>
      </c>
      <c r="J40" s="674">
        <v>53</v>
      </c>
      <c r="K40" s="674">
        <v>7.8</v>
      </c>
      <c r="L40" s="674">
        <v>1.1000000000000001</v>
      </c>
      <c r="M40" s="674">
        <v>1.3</v>
      </c>
      <c r="N40" s="674">
        <v>45</v>
      </c>
      <c r="O40" s="674"/>
      <c r="R40" s="655"/>
    </row>
    <row r="41" spans="1:18" x14ac:dyDescent="0.25">
      <c r="B41" s="656" t="s">
        <v>1697</v>
      </c>
      <c r="C41" s="674">
        <v>65</v>
      </c>
      <c r="D41" s="674">
        <v>1.4</v>
      </c>
      <c r="E41" s="674">
        <v>6.8</v>
      </c>
      <c r="F41" s="674">
        <v>3.5</v>
      </c>
      <c r="G41" s="674">
        <v>16</v>
      </c>
      <c r="H41" s="674">
        <v>60.1</v>
      </c>
      <c r="I41" s="674">
        <v>43.9</v>
      </c>
      <c r="J41" s="674">
        <v>26</v>
      </c>
      <c r="K41" s="674">
        <v>4</v>
      </c>
      <c r="L41" s="674">
        <v>0.4</v>
      </c>
      <c r="M41" s="674">
        <v>1.2</v>
      </c>
      <c r="N41" s="674">
        <v>40</v>
      </c>
      <c r="O41" s="674"/>
      <c r="R41" s="655"/>
    </row>
    <row r="42" spans="1:18" x14ac:dyDescent="0.25">
      <c r="B42" s="656" t="s">
        <v>1698</v>
      </c>
      <c r="C42" s="674">
        <v>62</v>
      </c>
      <c r="D42" s="674">
        <v>1.3</v>
      </c>
      <c r="E42" s="674">
        <v>6.4</v>
      </c>
      <c r="F42" s="674">
        <v>3.3</v>
      </c>
      <c r="G42" s="674">
        <v>15</v>
      </c>
      <c r="H42" s="674">
        <v>56.8</v>
      </c>
      <c r="I42" s="674">
        <v>41.6</v>
      </c>
      <c r="J42" s="674">
        <v>25</v>
      </c>
      <c r="K42" s="674">
        <v>3.79</v>
      </c>
      <c r="L42" s="674">
        <v>1</v>
      </c>
      <c r="M42" s="674">
        <v>1.1000000000000001</v>
      </c>
      <c r="N42" s="674">
        <v>37.9</v>
      </c>
      <c r="O42" s="674"/>
      <c r="R42" s="655"/>
    </row>
    <row r="43" spans="1:18" x14ac:dyDescent="0.25">
      <c r="A43" s="655"/>
      <c r="B43" s="656" t="s">
        <v>1770</v>
      </c>
      <c r="C43" s="674">
        <v>66</v>
      </c>
      <c r="D43" s="674">
        <v>2</v>
      </c>
      <c r="E43" s="674">
        <v>6.6</v>
      </c>
      <c r="F43" s="674">
        <v>3.5</v>
      </c>
      <c r="G43" s="674">
        <v>22</v>
      </c>
      <c r="H43" s="674">
        <v>69.3</v>
      </c>
      <c r="I43" s="674">
        <v>66.3</v>
      </c>
      <c r="J43" s="674">
        <v>39</v>
      </c>
      <c r="K43" s="674">
        <v>6.58</v>
      </c>
      <c r="L43" s="674">
        <v>0.87</v>
      </c>
      <c r="M43" s="674">
        <v>1.3</v>
      </c>
      <c r="N43" s="674">
        <v>45.2</v>
      </c>
      <c r="O43" s="674"/>
      <c r="R43" s="655"/>
    </row>
    <row r="44" spans="1:18" x14ac:dyDescent="0.25">
      <c r="B44" s="656" t="s">
        <v>1771</v>
      </c>
      <c r="C44" s="674">
        <v>79</v>
      </c>
      <c r="D44" s="674">
        <v>2.6</v>
      </c>
      <c r="E44" s="674">
        <v>8.3000000000000007</v>
      </c>
      <c r="F44" s="674">
        <v>4</v>
      </c>
      <c r="G44" s="674">
        <v>51</v>
      </c>
      <c r="H44" s="674">
        <v>88</v>
      </c>
      <c r="I44" s="674">
        <v>96</v>
      </c>
      <c r="J44" s="674">
        <v>54.4</v>
      </c>
      <c r="K44" s="674">
        <v>8.9</v>
      </c>
      <c r="L44" s="674">
        <v>1.8</v>
      </c>
      <c r="M44" s="674">
        <v>1.9</v>
      </c>
      <c r="N44" s="674">
        <v>76.8</v>
      </c>
      <c r="O44" s="674"/>
      <c r="R44" s="655"/>
    </row>
    <row r="45" spans="1:18" x14ac:dyDescent="0.25">
      <c r="B45" s="656"/>
      <c r="C45" s="674"/>
      <c r="D45" s="674"/>
      <c r="E45" s="674"/>
      <c r="F45" s="674"/>
      <c r="G45" s="674"/>
      <c r="H45" s="674"/>
      <c r="I45" s="674"/>
      <c r="J45" s="674"/>
      <c r="K45" s="674"/>
      <c r="L45" s="674"/>
      <c r="M45" s="674"/>
      <c r="N45" s="674"/>
      <c r="O45" s="674"/>
      <c r="R45" s="655"/>
    </row>
    <row r="46" spans="1:18" x14ac:dyDescent="0.25">
      <c r="B46" s="656"/>
      <c r="C46" s="674"/>
      <c r="D46" s="674"/>
      <c r="E46" s="674"/>
      <c r="F46" s="674"/>
      <c r="G46" s="674"/>
      <c r="H46" s="674"/>
      <c r="I46" s="674"/>
      <c r="J46" s="674"/>
      <c r="K46" s="674"/>
      <c r="L46" s="674"/>
      <c r="M46" s="674"/>
      <c r="N46" s="674"/>
      <c r="O46" s="674"/>
    </row>
    <row r="47" spans="1:18" x14ac:dyDescent="0.25">
      <c r="B47" s="656"/>
      <c r="C47" s="674"/>
      <c r="D47" s="674"/>
      <c r="E47" s="674"/>
      <c r="F47" s="674"/>
      <c r="G47" s="674"/>
      <c r="H47" s="674"/>
      <c r="I47" s="674"/>
      <c r="J47" s="674"/>
      <c r="K47" s="674"/>
      <c r="L47" s="674"/>
      <c r="M47" s="674"/>
      <c r="N47" s="674"/>
      <c r="O47" s="674"/>
    </row>
    <row r="48" spans="1:18" x14ac:dyDescent="0.25">
      <c r="A48" s="665" t="s">
        <v>1953</v>
      </c>
      <c r="B48" s="665" t="s">
        <v>1762</v>
      </c>
    </row>
    <row r="49" spans="1:15" x14ac:dyDescent="0.25">
      <c r="C49" s="665"/>
      <c r="D49" s="655" t="s">
        <v>62</v>
      </c>
      <c r="E49" s="655" t="s">
        <v>62</v>
      </c>
      <c r="F49" s="655" t="s">
        <v>62</v>
      </c>
      <c r="G49" s="655" t="s">
        <v>365</v>
      </c>
      <c r="H49" s="655" t="s">
        <v>365</v>
      </c>
      <c r="I49" s="655" t="s">
        <v>365</v>
      </c>
      <c r="J49" s="655" t="s">
        <v>365</v>
      </c>
      <c r="K49" s="655" t="s">
        <v>365</v>
      </c>
      <c r="L49" s="655" t="s">
        <v>365</v>
      </c>
      <c r="M49" s="655" t="s">
        <v>1687</v>
      </c>
      <c r="N49" s="655" t="s">
        <v>365</v>
      </c>
    </row>
    <row r="50" spans="1:15" x14ac:dyDescent="0.25">
      <c r="A50" s="649" t="s">
        <v>1767</v>
      </c>
      <c r="B50" s="655"/>
      <c r="C50" s="655" t="s">
        <v>480</v>
      </c>
      <c r="D50" s="655" t="s">
        <v>471</v>
      </c>
      <c r="E50" s="655" t="s">
        <v>1037</v>
      </c>
      <c r="F50" s="655" t="s">
        <v>1038</v>
      </c>
      <c r="G50" s="655" t="s">
        <v>473</v>
      </c>
      <c r="H50" s="655" t="s">
        <v>474</v>
      </c>
      <c r="I50" s="655" t="s">
        <v>475</v>
      </c>
      <c r="J50" s="655" t="s">
        <v>1036</v>
      </c>
      <c r="K50" s="655" t="s">
        <v>476</v>
      </c>
      <c r="L50" s="655" t="s">
        <v>1685</v>
      </c>
      <c r="M50" s="655" t="s">
        <v>1686</v>
      </c>
      <c r="N50" s="655" t="s">
        <v>1090</v>
      </c>
    </row>
    <row r="51" spans="1:15" x14ac:dyDescent="0.25">
      <c r="A51" s="655" t="s">
        <v>1768</v>
      </c>
      <c r="B51" s="655"/>
      <c r="C51" s="655" t="s">
        <v>480</v>
      </c>
      <c r="D51" s="655" t="s">
        <v>431</v>
      </c>
      <c r="E51" s="655" t="s">
        <v>481</v>
      </c>
      <c r="F51" s="655" t="s">
        <v>432</v>
      </c>
      <c r="G51" s="655" t="s">
        <v>473</v>
      </c>
      <c r="H51" s="655" t="s">
        <v>474</v>
      </c>
      <c r="I51" s="655" t="s">
        <v>475</v>
      </c>
      <c r="J51" s="655" t="s">
        <v>482</v>
      </c>
      <c r="K51" s="655" t="s">
        <v>476</v>
      </c>
      <c r="L51" s="655" t="s">
        <v>1685</v>
      </c>
      <c r="M51" s="655" t="s">
        <v>1686</v>
      </c>
      <c r="N51" s="655" t="s">
        <v>1090</v>
      </c>
    </row>
    <row r="52" spans="1:15" x14ac:dyDescent="0.25">
      <c r="A52" s="655"/>
      <c r="B52" s="655"/>
    </row>
    <row r="53" spans="1:15" x14ac:dyDescent="0.25">
      <c r="A53" s="655"/>
      <c r="B53" s="655" t="s">
        <v>1102</v>
      </c>
      <c r="C53" s="655">
        <v>347</v>
      </c>
      <c r="D53" s="655">
        <v>25.2</v>
      </c>
      <c r="E53" s="651">
        <v>62.2</v>
      </c>
      <c r="F53" s="651">
        <v>0</v>
      </c>
      <c r="G53" s="655">
        <v>803</v>
      </c>
      <c r="H53" s="655">
        <v>528</v>
      </c>
      <c r="I53" s="655">
        <v>1491</v>
      </c>
      <c r="J53" s="655">
        <v>872</v>
      </c>
      <c r="K53" s="655">
        <v>115</v>
      </c>
      <c r="L53" s="648">
        <v>0</v>
      </c>
      <c r="M53" s="656">
        <v>115</v>
      </c>
      <c r="N53" s="656">
        <v>573</v>
      </c>
      <c r="O53" s="666"/>
    </row>
    <row r="54" spans="1:15" x14ac:dyDescent="0.25">
      <c r="A54" s="655"/>
      <c r="B54" s="656" t="s">
        <v>1695</v>
      </c>
      <c r="C54" s="656">
        <v>509</v>
      </c>
      <c r="D54" s="656">
        <v>10</v>
      </c>
      <c r="E54" s="648">
        <v>56</v>
      </c>
      <c r="F54" s="648">
        <v>27</v>
      </c>
      <c r="G54" s="656">
        <v>120</v>
      </c>
      <c r="H54" s="656">
        <v>462</v>
      </c>
      <c r="I54" s="656">
        <v>338</v>
      </c>
      <c r="J54" s="656">
        <v>200</v>
      </c>
      <c r="K54" s="656">
        <v>30.8</v>
      </c>
      <c r="L54" s="676">
        <v>3.1</v>
      </c>
      <c r="M54" s="673">
        <v>9.1999999999999993</v>
      </c>
      <c r="N54" s="673">
        <v>308</v>
      </c>
      <c r="O54" s="670"/>
    </row>
    <row r="55" spans="1:15" x14ac:dyDescent="0.25">
      <c r="A55" s="655"/>
      <c r="B55" s="656" t="s">
        <v>1696</v>
      </c>
      <c r="C55" s="656">
        <v>470</v>
      </c>
      <c r="D55" s="656">
        <v>9.5</v>
      </c>
      <c r="E55" s="648">
        <v>64</v>
      </c>
      <c r="F55" s="648">
        <v>19</v>
      </c>
      <c r="G55" s="656">
        <v>160</v>
      </c>
      <c r="H55" s="656">
        <v>554</v>
      </c>
      <c r="I55" s="656">
        <v>405</v>
      </c>
      <c r="J55" s="656">
        <v>243</v>
      </c>
      <c r="K55" s="656">
        <v>52</v>
      </c>
      <c r="L55" s="676">
        <v>8.1999999999999993</v>
      </c>
      <c r="M55" s="673">
        <v>8.6</v>
      </c>
      <c r="N55" s="673">
        <v>297</v>
      </c>
      <c r="O55" s="670"/>
    </row>
    <row r="56" spans="1:15" x14ac:dyDescent="0.25">
      <c r="B56" s="656" t="s">
        <v>1697</v>
      </c>
      <c r="C56" s="656">
        <v>503</v>
      </c>
      <c r="D56" s="656">
        <v>11</v>
      </c>
      <c r="E56" s="648">
        <v>52</v>
      </c>
      <c r="F56" s="648">
        <v>27</v>
      </c>
      <c r="G56" s="656">
        <v>120</v>
      </c>
      <c r="H56" s="656">
        <v>462</v>
      </c>
      <c r="I56" s="656">
        <v>338</v>
      </c>
      <c r="J56" s="656">
        <v>200</v>
      </c>
      <c r="K56" s="650">
        <v>30.8</v>
      </c>
      <c r="L56" s="677">
        <v>3.1</v>
      </c>
      <c r="M56" s="678">
        <v>9.1999999999999993</v>
      </c>
      <c r="N56" s="678">
        <v>308</v>
      </c>
      <c r="O56" s="679"/>
    </row>
    <row r="57" spans="1:15" x14ac:dyDescent="0.25">
      <c r="B57" s="656" t="s">
        <v>1698</v>
      </c>
      <c r="C57" s="656">
        <v>503</v>
      </c>
      <c r="D57" s="656">
        <v>11</v>
      </c>
      <c r="E57" s="648">
        <v>52</v>
      </c>
      <c r="F57" s="648">
        <v>27</v>
      </c>
      <c r="G57" s="656">
        <v>120</v>
      </c>
      <c r="H57" s="656">
        <v>462</v>
      </c>
      <c r="I57" s="656">
        <v>338</v>
      </c>
      <c r="J57" s="656">
        <v>200</v>
      </c>
      <c r="K57" s="650">
        <v>30.8</v>
      </c>
      <c r="L57" s="677">
        <v>8.5</v>
      </c>
      <c r="M57" s="678">
        <v>9.1999999999999993</v>
      </c>
      <c r="N57" s="678">
        <v>308</v>
      </c>
      <c r="O57" s="679"/>
    </row>
    <row r="58" spans="1:15" x14ac:dyDescent="0.25">
      <c r="B58" s="656" t="s">
        <v>1699</v>
      </c>
      <c r="C58" s="656">
        <v>493</v>
      </c>
      <c r="D58" s="656">
        <v>13</v>
      </c>
      <c r="E58" s="648">
        <v>53</v>
      </c>
      <c r="F58" s="648">
        <v>26</v>
      </c>
      <c r="G58" s="656">
        <v>204</v>
      </c>
      <c r="H58" s="656">
        <v>550</v>
      </c>
      <c r="I58" s="656">
        <v>400</v>
      </c>
      <c r="J58" s="656">
        <v>230</v>
      </c>
      <c r="K58" s="656">
        <v>50</v>
      </c>
      <c r="L58" s="677">
        <v>3.5</v>
      </c>
      <c r="M58" s="678">
        <v>7.8</v>
      </c>
      <c r="N58" s="678">
        <v>315</v>
      </c>
      <c r="O58" s="679"/>
    </row>
    <row r="59" spans="1:15" x14ac:dyDescent="0.25">
      <c r="B59" s="656" t="s">
        <v>1700</v>
      </c>
      <c r="C59" s="656">
        <v>493</v>
      </c>
      <c r="D59" s="656">
        <v>13</v>
      </c>
      <c r="E59" s="648">
        <v>53</v>
      </c>
      <c r="F59" s="648">
        <v>26</v>
      </c>
      <c r="G59" s="656">
        <v>204</v>
      </c>
      <c r="H59" s="656">
        <v>550</v>
      </c>
      <c r="I59" s="656">
        <v>400</v>
      </c>
      <c r="J59" s="656">
        <v>230</v>
      </c>
      <c r="K59" s="656">
        <v>50</v>
      </c>
      <c r="L59" s="677">
        <v>7.1</v>
      </c>
      <c r="M59" s="678">
        <v>7.8</v>
      </c>
      <c r="N59" s="678">
        <v>315</v>
      </c>
      <c r="O59" s="679"/>
    </row>
    <row r="60" spans="1:15" x14ac:dyDescent="0.25">
      <c r="B60" s="656" t="s">
        <v>1701</v>
      </c>
      <c r="C60" s="655">
        <v>500</v>
      </c>
      <c r="D60" s="655">
        <v>14</v>
      </c>
      <c r="E60" s="651">
        <v>55</v>
      </c>
      <c r="F60" s="651">
        <v>25</v>
      </c>
      <c r="G60" s="655">
        <v>240</v>
      </c>
      <c r="H60" s="655">
        <v>610</v>
      </c>
      <c r="I60" s="655">
        <v>565</v>
      </c>
      <c r="J60" s="655">
        <v>390</v>
      </c>
      <c r="K60" s="655">
        <v>50</v>
      </c>
      <c r="L60" s="669">
        <v>9</v>
      </c>
      <c r="M60" s="668">
        <v>7.5</v>
      </c>
      <c r="N60" s="673">
        <v>480</v>
      </c>
      <c r="O60" s="680"/>
    </row>
    <row r="61" spans="1:15" x14ac:dyDescent="0.25">
      <c r="B61" s="656" t="s">
        <v>82</v>
      </c>
      <c r="C61" s="655">
        <v>466</v>
      </c>
      <c r="D61" s="655">
        <v>11.6</v>
      </c>
      <c r="E61" s="651">
        <v>59</v>
      </c>
      <c r="F61" s="651">
        <v>20</v>
      </c>
      <c r="G61" s="655">
        <v>172</v>
      </c>
      <c r="H61" s="655">
        <v>568</v>
      </c>
      <c r="I61" s="655">
        <v>638</v>
      </c>
      <c r="J61" s="655">
        <v>336</v>
      </c>
      <c r="K61" s="655">
        <v>47</v>
      </c>
      <c r="L61" s="669">
        <v>8.1999999999999993</v>
      </c>
      <c r="M61" s="668">
        <v>7.3</v>
      </c>
      <c r="N61" s="673">
        <v>373</v>
      </c>
      <c r="O61" s="680"/>
    </row>
    <row r="62" spans="1:15" x14ac:dyDescent="0.25">
      <c r="B62" s="656" t="s">
        <v>1702</v>
      </c>
      <c r="C62" s="655">
        <v>402</v>
      </c>
      <c r="D62" s="655">
        <v>14.7</v>
      </c>
      <c r="E62" s="651">
        <v>71</v>
      </c>
      <c r="F62" s="651">
        <v>6.7</v>
      </c>
      <c r="G62" s="655">
        <v>402</v>
      </c>
      <c r="H62" s="655">
        <v>603</v>
      </c>
      <c r="I62" s="655">
        <v>322</v>
      </c>
      <c r="J62" s="655">
        <v>267</v>
      </c>
      <c r="K62" s="655">
        <v>84</v>
      </c>
      <c r="L62" s="669">
        <v>6.4</v>
      </c>
      <c r="M62" s="668">
        <v>2.8</v>
      </c>
      <c r="N62" s="673">
        <v>503</v>
      </c>
      <c r="O62" s="680"/>
    </row>
    <row r="63" spans="1:15" x14ac:dyDescent="0.25">
      <c r="B63" s="656" t="s">
        <v>1703</v>
      </c>
      <c r="C63" s="655">
        <v>515</v>
      </c>
      <c r="D63" s="655">
        <v>14</v>
      </c>
      <c r="E63" s="651">
        <v>53.4</v>
      </c>
      <c r="F63" s="651">
        <v>27.3</v>
      </c>
      <c r="G63" s="655">
        <v>140</v>
      </c>
      <c r="H63" s="655">
        <v>507</v>
      </c>
      <c r="I63" s="655">
        <v>390</v>
      </c>
      <c r="J63" s="655">
        <v>218</v>
      </c>
      <c r="K63" s="655">
        <v>40</v>
      </c>
      <c r="L63" s="669">
        <v>6</v>
      </c>
      <c r="M63" s="668">
        <v>9.8000000000000007</v>
      </c>
      <c r="N63" s="673">
        <v>310</v>
      </c>
      <c r="O63" s="680"/>
    </row>
    <row r="64" spans="1:15" x14ac:dyDescent="0.25">
      <c r="B64" s="656" t="s">
        <v>1704</v>
      </c>
      <c r="C64" s="656">
        <v>474</v>
      </c>
      <c r="D64" s="656">
        <v>15.6</v>
      </c>
      <c r="E64" s="648">
        <v>22.9</v>
      </c>
      <c r="F64" s="648">
        <v>49.8</v>
      </c>
      <c r="G64" s="656">
        <v>415</v>
      </c>
      <c r="H64" s="656">
        <v>474</v>
      </c>
      <c r="I64" s="656">
        <v>593</v>
      </c>
      <c r="J64" s="656">
        <v>332</v>
      </c>
      <c r="K64" s="668">
        <v>47</v>
      </c>
      <c r="L64" s="648">
        <v>9.5</v>
      </c>
      <c r="M64" s="656">
        <v>18</v>
      </c>
      <c r="N64" s="656">
        <v>504</v>
      </c>
      <c r="O64" s="666"/>
    </row>
    <row r="65" spans="2:15" x14ac:dyDescent="0.25">
      <c r="B65" s="656" t="s">
        <v>1691</v>
      </c>
      <c r="C65" s="656">
        <v>491</v>
      </c>
      <c r="D65" s="656">
        <v>13.4</v>
      </c>
      <c r="E65" s="648">
        <v>49.1</v>
      </c>
      <c r="F65" s="648">
        <v>26</v>
      </c>
      <c r="G65" s="656">
        <v>183</v>
      </c>
      <c r="H65" s="656">
        <v>504</v>
      </c>
      <c r="I65" s="656">
        <v>569</v>
      </c>
      <c r="J65" s="656">
        <v>308</v>
      </c>
      <c r="K65" s="668">
        <v>46</v>
      </c>
      <c r="L65" s="648">
        <v>7.9</v>
      </c>
      <c r="M65" s="656">
        <v>11</v>
      </c>
      <c r="N65" s="656">
        <v>360</v>
      </c>
      <c r="O65" s="666"/>
    </row>
    <row r="66" spans="2:15" x14ac:dyDescent="0.25">
      <c r="B66" s="668" t="s">
        <v>1705</v>
      </c>
      <c r="C66" s="655">
        <v>338</v>
      </c>
      <c r="D66" s="655">
        <v>82.1</v>
      </c>
      <c r="E66" s="651">
        <v>2.2000000000000002</v>
      </c>
      <c r="F66" s="651">
        <v>0.1</v>
      </c>
      <c r="G66" s="655">
        <v>776</v>
      </c>
      <c r="H66" s="655">
        <v>1226</v>
      </c>
      <c r="I66" s="655">
        <v>524</v>
      </c>
      <c r="J66" s="655">
        <v>516</v>
      </c>
      <c r="K66" s="655">
        <v>46</v>
      </c>
      <c r="L66" s="648">
        <v>0</v>
      </c>
      <c r="M66" s="656">
        <v>0</v>
      </c>
      <c r="N66" s="656">
        <v>66</v>
      </c>
      <c r="O66" s="666"/>
    </row>
    <row r="67" spans="2:15" x14ac:dyDescent="0.25">
      <c r="B67" s="668" t="s">
        <v>1706</v>
      </c>
      <c r="C67" s="668">
        <v>450</v>
      </c>
      <c r="D67" s="668">
        <v>0</v>
      </c>
      <c r="E67" s="669">
        <v>0</v>
      </c>
      <c r="F67" s="669">
        <v>50</v>
      </c>
      <c r="G67" s="668">
        <v>7</v>
      </c>
      <c r="H67" s="668">
        <v>0</v>
      </c>
      <c r="I67" s="668">
        <v>0</v>
      </c>
      <c r="J67" s="668">
        <v>0</v>
      </c>
      <c r="K67" s="668">
        <v>0</v>
      </c>
      <c r="L67" s="669">
        <v>0</v>
      </c>
      <c r="M67" s="668">
        <v>0</v>
      </c>
      <c r="N67" s="673">
        <v>0.1</v>
      </c>
      <c r="O67" s="680"/>
    </row>
    <row r="68" spans="2:15" x14ac:dyDescent="0.25">
      <c r="B68" s="668" t="s">
        <v>1707</v>
      </c>
      <c r="C68" s="668">
        <v>450</v>
      </c>
      <c r="D68" s="668">
        <v>0</v>
      </c>
      <c r="E68" s="669">
        <v>0</v>
      </c>
      <c r="F68" s="669">
        <v>50</v>
      </c>
      <c r="G68" s="668">
        <v>5</v>
      </c>
      <c r="H68" s="668">
        <v>0.1</v>
      </c>
      <c r="I68" s="668">
        <v>0.3</v>
      </c>
      <c r="J68" s="668">
        <v>0</v>
      </c>
      <c r="K68" s="668">
        <v>0</v>
      </c>
      <c r="L68" s="669">
        <v>0</v>
      </c>
      <c r="M68" s="668">
        <v>0</v>
      </c>
      <c r="N68" s="673">
        <v>0.01</v>
      </c>
      <c r="O68" s="680"/>
    </row>
    <row r="69" spans="2:15" x14ac:dyDescent="0.25">
      <c r="B69" s="668" t="s">
        <v>1040</v>
      </c>
      <c r="C69" s="668">
        <v>384</v>
      </c>
      <c r="D69" s="668">
        <v>0</v>
      </c>
      <c r="E69" s="669">
        <v>96</v>
      </c>
      <c r="F69" s="669">
        <v>0</v>
      </c>
      <c r="G69" s="668">
        <v>2</v>
      </c>
      <c r="H69" s="668">
        <v>0</v>
      </c>
      <c r="I69" s="668">
        <v>0</v>
      </c>
      <c r="J69" s="668">
        <v>0</v>
      </c>
      <c r="K69" s="668">
        <v>0</v>
      </c>
      <c r="L69" s="669">
        <v>0</v>
      </c>
      <c r="M69" s="668">
        <v>0</v>
      </c>
      <c r="N69" s="673">
        <v>0</v>
      </c>
      <c r="O69" s="680"/>
    </row>
    <row r="70" spans="2:15" x14ac:dyDescent="0.25">
      <c r="B70" s="668" t="s">
        <v>1708</v>
      </c>
      <c r="C70" s="668">
        <v>493</v>
      </c>
      <c r="D70" s="668">
        <v>11.6</v>
      </c>
      <c r="E70" s="669">
        <v>51.8</v>
      </c>
      <c r="F70" s="681">
        <v>25.7</v>
      </c>
      <c r="G70" s="668">
        <v>150</v>
      </c>
      <c r="H70" s="668">
        <v>598</v>
      </c>
      <c r="I70" s="668">
        <v>346</v>
      </c>
      <c r="J70" s="668">
        <v>191</v>
      </c>
      <c r="K70" s="668">
        <v>39</v>
      </c>
      <c r="L70" s="669">
        <v>3.9</v>
      </c>
      <c r="M70" s="682">
        <v>9.4</v>
      </c>
      <c r="N70" s="678">
        <v>290</v>
      </c>
      <c r="O70" s="683"/>
    </row>
    <row r="71" spans="2:15" x14ac:dyDescent="0.25">
      <c r="B71" s="668" t="s">
        <v>1709</v>
      </c>
      <c r="C71" s="668">
        <v>483</v>
      </c>
      <c r="D71" s="668">
        <v>11</v>
      </c>
      <c r="E71" s="669">
        <v>52.5</v>
      </c>
      <c r="F71" s="669">
        <v>24.6</v>
      </c>
      <c r="G71" s="668">
        <v>181</v>
      </c>
      <c r="H71" s="668">
        <v>530</v>
      </c>
      <c r="I71" s="668">
        <v>339</v>
      </c>
      <c r="J71" s="668">
        <v>190</v>
      </c>
      <c r="K71" s="668">
        <v>37</v>
      </c>
      <c r="L71" s="669">
        <v>3.9</v>
      </c>
      <c r="M71" s="682">
        <v>8.8000000000000007</v>
      </c>
      <c r="N71" s="678">
        <v>302</v>
      </c>
      <c r="O71" s="683"/>
    </row>
    <row r="72" spans="2:15" x14ac:dyDescent="0.25">
      <c r="B72" s="668" t="s">
        <v>1710</v>
      </c>
      <c r="C72" s="668">
        <v>483</v>
      </c>
      <c r="D72" s="668">
        <v>13</v>
      </c>
      <c r="E72" s="669">
        <v>52.5</v>
      </c>
      <c r="F72" s="669">
        <v>24.5</v>
      </c>
      <c r="G72" s="668">
        <v>189</v>
      </c>
      <c r="H72" s="668">
        <v>525</v>
      </c>
      <c r="I72" s="668">
        <v>475</v>
      </c>
      <c r="J72" s="668">
        <v>341</v>
      </c>
      <c r="K72" s="668">
        <v>51</v>
      </c>
      <c r="L72" s="669">
        <v>7.25</v>
      </c>
      <c r="M72" s="682">
        <v>8.8000000000000007</v>
      </c>
      <c r="N72" s="678">
        <v>386</v>
      </c>
      <c r="O72" s="683"/>
    </row>
    <row r="73" spans="2:15" x14ac:dyDescent="0.25">
      <c r="B73" s="668" t="s">
        <v>1711</v>
      </c>
      <c r="C73" s="668">
        <v>475</v>
      </c>
      <c r="D73" s="668">
        <v>13.3</v>
      </c>
      <c r="E73" s="669">
        <v>56</v>
      </c>
      <c r="F73" s="669">
        <v>22</v>
      </c>
      <c r="G73" s="668">
        <v>285</v>
      </c>
      <c r="H73" s="668">
        <v>546</v>
      </c>
      <c r="I73" s="668">
        <v>428</v>
      </c>
      <c r="J73" s="668">
        <v>309</v>
      </c>
      <c r="K73" s="668">
        <v>66.5</v>
      </c>
      <c r="L73" s="669">
        <v>5.7</v>
      </c>
      <c r="M73" s="668">
        <v>6.2</v>
      </c>
      <c r="N73" s="673">
        <v>437</v>
      </c>
      <c r="O73" s="680"/>
    </row>
    <row r="74" spans="2:15" x14ac:dyDescent="0.25">
      <c r="B74" s="673" t="s">
        <v>1989</v>
      </c>
      <c r="C74" s="684">
        <v>484</v>
      </c>
      <c r="D74" s="684">
        <v>9.6999999999999993</v>
      </c>
      <c r="E74" s="684">
        <v>53.8</v>
      </c>
      <c r="F74" s="684">
        <v>24.7</v>
      </c>
      <c r="G74" s="684">
        <v>125</v>
      </c>
      <c r="H74" s="684">
        <v>501</v>
      </c>
      <c r="I74" s="684">
        <v>418</v>
      </c>
      <c r="J74" s="684">
        <v>237</v>
      </c>
      <c r="K74" s="684">
        <v>37</v>
      </c>
      <c r="L74" s="684">
        <v>3.9</v>
      </c>
      <c r="M74" s="684">
        <v>8.6999999999999993</v>
      </c>
      <c r="N74" s="674">
        <v>304</v>
      </c>
    </row>
    <row r="75" spans="2:15" x14ac:dyDescent="0.25">
      <c r="B75" s="673" t="s">
        <v>1765</v>
      </c>
      <c r="C75" s="684">
        <v>318</v>
      </c>
      <c r="D75" s="684">
        <v>0</v>
      </c>
      <c r="E75" s="684">
        <v>66.2</v>
      </c>
      <c r="F75" s="684">
        <v>0.3</v>
      </c>
      <c r="G75" s="684">
        <v>6</v>
      </c>
      <c r="H75" s="684">
        <v>91</v>
      </c>
      <c r="I75" s="684">
        <v>335</v>
      </c>
      <c r="J75" s="684">
        <v>12</v>
      </c>
      <c r="K75" s="684">
        <v>9.1</v>
      </c>
      <c r="L75" s="684">
        <v>8.8000000000000007</v>
      </c>
      <c r="M75" s="684">
        <v>0</v>
      </c>
      <c r="N75" s="674">
        <v>109</v>
      </c>
    </row>
    <row r="76" spans="2:15" x14ac:dyDescent="0.25">
      <c r="B76" s="673"/>
      <c r="C76" s="684"/>
      <c r="D76" s="684"/>
      <c r="E76" s="684"/>
      <c r="F76" s="684"/>
      <c r="G76" s="684"/>
      <c r="H76" s="684"/>
      <c r="I76" s="684"/>
      <c r="J76" s="684"/>
      <c r="K76" s="684"/>
      <c r="L76" s="684"/>
      <c r="M76" s="684"/>
      <c r="N76" s="674"/>
    </row>
  </sheetData>
  <sortState ref="C14:C46">
    <sortCondition ref="C1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Neo">
    <tabColor rgb="FF7030A0"/>
  </sheetPr>
  <dimension ref="A1:AG22"/>
  <sheetViews>
    <sheetView showGridLines="0" zoomScaleNormal="100" workbookViewId="0"/>
  </sheetViews>
  <sheetFormatPr defaultRowHeight="12.75" x14ac:dyDescent="0.2"/>
  <cols>
    <col min="1" max="1" width="7.140625" style="517" customWidth="1"/>
    <col min="2" max="2" width="6" style="517" customWidth="1"/>
    <col min="3" max="3" width="26.42578125" style="517" customWidth="1"/>
    <col min="4" max="4" width="4.5703125" style="517" customWidth="1"/>
    <col min="5" max="5" width="9.140625" style="517"/>
    <col min="6" max="6" width="4.28515625" style="517" customWidth="1"/>
    <col min="7" max="7" width="11.7109375" style="517" customWidth="1"/>
    <col min="8" max="23" width="2.7109375" style="16" customWidth="1"/>
    <col min="24" max="33" width="2.7109375" style="517" customWidth="1"/>
    <col min="34" max="16384" width="9.140625" style="517"/>
  </cols>
  <sheetData>
    <row r="1" spans="1:33" ht="19.5" customHeight="1" thickBot="1" x14ac:dyDescent="0.25">
      <c r="A1" s="579"/>
      <c r="B1" s="517" t="str">
        <f>"Naam: "&amp;_AchterNaam&amp;", "&amp;_VoorNaam</f>
        <v>Naam: Test, Test</v>
      </c>
      <c r="D1" s="517" t="str">
        <f>"Geboortedatum: "</f>
        <v xml:space="preserve">Geboortedatum: </v>
      </c>
      <c r="F1" s="862">
        <f>GebDatum</f>
        <v>42280</v>
      </c>
      <c r="G1" s="862"/>
      <c r="I1" s="9" t="str">
        <f>"Gewicht: "&amp;ROUND(Gewicht/10,1)&amp;"kg"</f>
        <v>Gewicht: 10kg</v>
      </c>
      <c r="P1" s="9" t="s">
        <v>398</v>
      </c>
      <c r="R1" s="860"/>
      <c r="S1" s="860"/>
      <c r="T1" s="860"/>
      <c r="U1" s="860"/>
      <c r="V1" s="860"/>
      <c r="W1" s="860"/>
      <c r="Y1" s="517" t="s">
        <v>624</v>
      </c>
      <c r="AB1" s="861">
        <f ca="1">TODAY()</f>
        <v>42703</v>
      </c>
      <c r="AC1" s="861"/>
      <c r="AD1" s="861"/>
      <c r="AE1" s="861"/>
      <c r="AF1" s="861"/>
    </row>
    <row r="2" spans="1:33" ht="26.1" customHeight="1" x14ac:dyDescent="0.2">
      <c r="B2" s="99"/>
      <c r="C2" s="100" t="s">
        <v>685</v>
      </c>
      <c r="D2" s="101" t="s">
        <v>686</v>
      </c>
      <c r="E2" s="101"/>
      <c r="F2" s="101"/>
      <c r="G2" s="102" t="s">
        <v>632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2">
      <c r="B3" s="107"/>
      <c r="C3" s="231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32" t="str">
        <f>IF(Med_disc!H6&lt;&gt;"",Med_disc!H6,"")</f>
        <v/>
      </c>
      <c r="E3" s="233" t="str">
        <f>IF(AND(D3&lt;&gt;"",D3&lt;&gt;"STOP"),ber_Med_disc!H2&amp;" "&amp;ber_Med_disc!F2,"")</f>
        <v/>
      </c>
      <c r="F3" s="233" t="str">
        <f>IF(AND(D3&lt;&gt;"",D3&lt;&gt;"STOP"),ber_Med_disc!L2," ")</f>
        <v xml:space="preserve"> </v>
      </c>
      <c r="G3" s="233" t="str">
        <f>IF(Med_disc!L6&lt;&gt;"",Med_disc!L6&amp;" "&amp;Med_disc!M6&amp;" "&amp;INDEX(ber_Med_disc!$B$27:$B$30,ber_Med_disc!O2,1)&amp;" in "&amp;Med_disc!$O$6,"")</f>
        <v/>
      </c>
      <c r="H3" s="106" t="str">
        <f>IF(OR($D3="1 dd",$D3="2 dd",$D3="3 dd",$D3="4 dd",$D3="5 dd",$D3="6 dd",$D3="8 dd",$D3="12 dd",$D3="24 dd",$D3="an",$D3="zn"),VLOOKUP($D3,ber_tijden_Neo!$A$17:$Y$27,ber_tijden_Neo!B$15,FALSE),"")</f>
        <v/>
      </c>
      <c r="I3" s="613" t="str">
        <f>IF(OR($D3="1 dd",$D3="2 dd",$D3="3 dd",$D3="4 dd",$D3="5 dd",$D3="6 dd",$D3="8 dd",$D3="12 dd",$D3="24 dd",$D3="an",$D3="zn"),VLOOKUP($D3,ber_tijden_Neo!$A$17:$Y$27,ber_tijden_Neo!C$15,FALSE),"")</f>
        <v/>
      </c>
      <c r="J3" s="106" t="str">
        <f>IF(OR($D3="1 dd",$D3="2 dd",$D3="3 dd",$D3="4 dd",$D3="5 dd",$D3="6 dd",$D3="8 dd",$D3="12 dd",$D3="24 dd",$D3="an",$D3="zn"),VLOOKUP($D3,ber_tijden_Neo!$A$17:$Y$27,ber_tijden_Neo!D$15,FALSE),"")</f>
        <v/>
      </c>
      <c r="K3" s="613" t="str">
        <f>IF(OR($D3="1 dd",$D3="2 dd",$D3="3 dd",$D3="4 dd",$D3="5 dd",$D3="6 dd",$D3="8 dd",$D3="12 dd",$D3="24 dd",$D3="an",$D3="zn"),VLOOKUP($D3,ber_tijden_Neo!$A$17:$Y$27,ber_tijden_Neo!E$15,FALSE),"")</f>
        <v/>
      </c>
      <c r="L3" s="106" t="str">
        <f>IF(OR($D3="1 dd",$D3="2 dd",$D3="3 dd",$D3="4 dd",$D3="5 dd",$D3="6 dd",$D3="8 dd",$D3="12 dd",$D3="24 dd",$D3="an",$D3="zn"),VLOOKUP($D3,ber_tijden_Neo!$A$17:$Y$27,ber_tijden_Neo!F$15,FALSE),"")</f>
        <v/>
      </c>
      <c r="M3" s="613" t="str">
        <f>IF(OR($D3="1 dd",$D3="2 dd",$D3="3 dd",$D3="4 dd",$D3="5 dd",$D3="6 dd",$D3="8 dd",$D3="12 dd",$D3="24 dd",$D3="an",$D3="zn"),VLOOKUP($D3,ber_tijden_Neo!$A$17:$Y$27,ber_tijden_Neo!G$15,FALSE),"")</f>
        <v/>
      </c>
      <c r="N3" s="106" t="str">
        <f>IF(OR($D3="1 dd",$D3="2 dd",$D3="3 dd",$D3="4 dd",$D3="5 dd",$D3="6 dd",$D3="8 dd",$D3="12 dd",$D3="24 dd",$D3="an",$D3="zn"),VLOOKUP($D3,ber_tijden_Neo!$A$17:$Y$27,ber_tijden_Neo!H$15,FALSE),"")</f>
        <v/>
      </c>
      <c r="O3" s="613" t="str">
        <f>IF(OR($D3="1 dd",$D3="2 dd",$D3="3 dd",$D3="4 dd",$D3="5 dd",$D3="6 dd",$D3="8 dd",$D3="12 dd",$D3="24 dd",$D3="an",$D3="zn"),VLOOKUP($D3,ber_tijden_Neo!$A$17:$Y$27,ber_tijden_Neo!I$15,FALSE),"")</f>
        <v/>
      </c>
      <c r="P3" s="106" t="str">
        <f>IF(OR($D3="1 dd",$D3="2 dd",$D3="3 dd",$D3="4 dd",$D3="5 dd",$D3="6 dd",$D3="8 dd",$D3="12 dd",$D3="24 dd",$D3="an",$D3="zn"),VLOOKUP($D3,ber_tijden_Neo!$A$17:$Y$27,ber_tijden_Neo!J$15,FALSE),"")</f>
        <v/>
      </c>
      <c r="Q3" s="613" t="str">
        <f>IF(OR($D3="1 dd",$D3="2 dd",$D3="3 dd",$D3="4 dd",$D3="5 dd",$D3="6 dd",$D3="8 dd",$D3="12 dd",$D3="24 dd",$D3="an",$D3="zn"),VLOOKUP($D3,ber_tijden_Neo!$A$17:$Y$27,ber_tijden_Neo!K$15,FALSE),"")</f>
        <v/>
      </c>
      <c r="R3" s="106" t="str">
        <f>IF(OR($D3="1 dd",$D3="2 dd",$D3="3 dd",$D3="4 dd",$D3="5 dd",$D3="6 dd",$D3="8 dd",$D3="12 dd",$D3="24 dd",$D3="an",$D3="zn"),VLOOKUP($D3,ber_tijden_Neo!$A$17:$Y$27,ber_tijden_Neo!L$15,FALSE),"")</f>
        <v/>
      </c>
      <c r="S3" s="613" t="str">
        <f>IF(OR($D3="1 dd",$D3="2 dd",$D3="3 dd",$D3="4 dd",$D3="5 dd",$D3="6 dd",$D3="8 dd",$D3="12 dd",$D3="24 dd",$D3="an",$D3="zn"),VLOOKUP($D3,ber_tijden_Neo!$A$17:$Y$27,ber_tijden_Neo!M$15,FALSE),"")</f>
        <v/>
      </c>
      <c r="T3" s="106" t="str">
        <f>IF(OR($D3="1 dd",$D3="2 dd",$D3="3 dd",$D3="4 dd",$D3="5 dd",$D3="6 dd",$D3="8 dd",$D3="12 dd",$D3="24 dd",$D3="an",$D3="zn"),VLOOKUP($D3,ber_tijden_Neo!$A$17:$Y$27,ber_tijden_Neo!N$15,FALSE),"")</f>
        <v/>
      </c>
      <c r="U3" s="613" t="str">
        <f>IF(OR($D3="1 dd",$D3="2 dd",$D3="3 dd",$D3="4 dd",$D3="5 dd",$D3="6 dd",$D3="8 dd",$D3="12 dd",$D3="24 dd",$D3="an",$D3="zn"),VLOOKUP($D3,ber_tijden_Neo!$A$17:$Y$27,ber_tijden_Neo!O$15,FALSE),"")</f>
        <v/>
      </c>
      <c r="V3" s="106" t="str">
        <f>IF(OR($D3="1 dd",$D3="2 dd",$D3="3 dd",$D3="4 dd",$D3="5 dd",$D3="6 dd",$D3="8 dd",$D3="12 dd",$D3="24 dd",$D3="an",$D3="zn"),VLOOKUP($D3,ber_tijden_Neo!$A$17:$Y$27,ber_tijden_Neo!P$15,FALSE),"")</f>
        <v/>
      </c>
      <c r="W3" s="613" t="str">
        <f>IF(OR($D3="1 dd",$D3="2 dd",$D3="3 dd",$D3="4 dd",$D3="5 dd",$D3="6 dd",$D3="8 dd",$D3="12 dd",$D3="24 dd",$D3="an",$D3="zn"),VLOOKUP($D3,ber_tijden_Neo!$A$17:$Y$27,ber_tijden_Neo!Q$15,FALSE),"")</f>
        <v/>
      </c>
      <c r="X3" s="106" t="str">
        <f>IF(OR($D3="1 dd",$D3="2 dd",$D3="3 dd",$D3="4 dd",$D3="5 dd",$D3="6 dd",$D3="8 dd",$D3="12 dd",$D3="24 dd",$D3="an",$D3="zn"),VLOOKUP($D3,ber_tijden_Neo!$A$17:$Y$27,ber_tijden_Neo!R$15,FALSE),"")</f>
        <v/>
      </c>
      <c r="Y3" s="613" t="str">
        <f>IF(OR($D3="1 dd",$D3="2 dd",$D3="3 dd",$D3="4 dd",$D3="5 dd",$D3="6 dd",$D3="8 dd",$D3="12 dd",$D3="24 dd",$D3="an",$D3="zn"),VLOOKUP($D3,ber_tijden_Neo!$A$17:$Y$27,ber_tijden_Neo!S$15,FALSE),"")</f>
        <v/>
      </c>
      <c r="Z3" s="106" t="str">
        <f>IF(OR($D3="1 dd",$D3="2 dd",$D3="3 dd",$D3="4 dd",$D3="5 dd",$D3="6 dd",$D3="8 dd",$D3="12 dd",$D3="24 dd",$D3="an",$D3="zn"),VLOOKUP($D3,ber_tijden_Neo!$A$17:$Y$27,ber_tijden_Neo!T$15,FALSE),"")</f>
        <v/>
      </c>
      <c r="AA3" s="613" t="str">
        <f>IF(OR($D3="1 dd",$D3="2 dd",$D3="3 dd",$D3="4 dd",$D3="5 dd",$D3="6 dd",$D3="8 dd",$D3="12 dd",$D3="24 dd",$D3="an",$D3="zn"),VLOOKUP($D3,ber_tijden_Neo!$A$17:$Y$27,ber_tijden_Neo!U$15,FALSE),"")</f>
        <v/>
      </c>
      <c r="AB3" s="106" t="str">
        <f>IF(OR($D3="1 dd",$D3="2 dd",$D3="3 dd",$D3="4 dd",$D3="5 dd",$D3="6 dd",$D3="8 dd",$D3="12 dd",$D3="24 dd",$D3="an",$D3="zn"),VLOOKUP($D3,ber_tijden_Neo!$A$17:$Y$27,ber_tijden_Neo!V$15,FALSE),"")</f>
        <v/>
      </c>
      <c r="AC3" s="613" t="str">
        <f>IF(OR($D3="1 dd",$D3="2 dd",$D3="3 dd",$D3="4 dd",$D3="5 dd",$D3="6 dd",$D3="8 dd",$D3="12 dd",$D3="24 dd",$D3="an",$D3="zn"),VLOOKUP($D3,ber_tijden_Neo!$A$17:$Y$27,ber_tijden_Neo!W$15,FALSE),"")</f>
        <v/>
      </c>
      <c r="AD3" s="106" t="str">
        <f>IF(OR($D3="1 dd",$D3="2 dd",$D3="3 dd",$D3="4 dd",$D3="5 dd",$D3="6 dd",$D3="8 dd",$D3="12 dd",$D3="24 dd",$D3="an",$D3="zn"),VLOOKUP($D3,ber_tijden_Neo!$A$17:$Y$27,ber_tijden_Neo!X$15,FALSE),"")</f>
        <v/>
      </c>
      <c r="AE3" s="613" t="str">
        <f>IF(OR($D3="1 dd",$D3="2 dd",$D3="3 dd",$D3="4 dd",$D3="5 dd",$D3="6 dd",$D3="8 dd",$D3="12 dd",$D3="24 dd",$D3="an",$D3="zn"),VLOOKUP($D3,ber_tijden_Neo!$A$17:$Y$27,ber_tijden_Neo!Y$15,FALSE),"")</f>
        <v/>
      </c>
      <c r="AF3" s="105"/>
      <c r="AG3" s="17"/>
    </row>
    <row r="4" spans="1:33" ht="26.1" customHeight="1" x14ac:dyDescent="0.2">
      <c r="B4" s="107"/>
      <c r="C4" s="231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32" t="str">
        <f>IF(Med_disc!H8&lt;&gt;"",Med_disc!H8,"")</f>
        <v/>
      </c>
      <c r="E4" s="233" t="str">
        <f>IF(AND(D4&lt;&gt;"",D4&lt;&gt;"STOP"),ber_Med_disc!H3&amp;" "&amp;ber_Med_disc!F3,"")</f>
        <v/>
      </c>
      <c r="F4" s="233" t="str">
        <f>IF(AND(D4&lt;&gt;"",D4&lt;&gt;"STOP"),ber_Med_disc!L3," ")</f>
        <v xml:space="preserve"> </v>
      </c>
      <c r="G4" s="233" t="str">
        <f>IF(Med_disc!L8&lt;&gt;"",Med_disc!L8&amp;" "&amp;Med_disc!M8&amp;" "&amp;INDEX(ber_Med_disc!$B$27:$B$30,ber_Med_disc!O3,1)&amp;" in "&amp;Med_disc!$O$8,"")</f>
        <v/>
      </c>
      <c r="H4" s="106" t="str">
        <f>IF(OR($D4="1 dd",$D4="2 dd",$D4="3 dd",$D4="4 dd",$D4="5 dd",$D4="6 dd",$D4="8 dd",$D4="12 dd",$D4="24 dd",$D4="an",$D4="zn"),VLOOKUP($D4,ber_tijden_Neo!$A$17:$Y$27,ber_tijden_Neo!B$15,FALSE),"")</f>
        <v/>
      </c>
      <c r="I4" s="613" t="str">
        <f>IF(OR($D4="1 dd",$D4="2 dd",$D4="3 dd",$D4="4 dd",$D4="5 dd",$D4="6 dd",$D4="8 dd",$D4="12 dd",$D4="24 dd",$D4="an",$D4="zn"),VLOOKUP($D4,ber_tijden_Neo!$A$17:$Y$27,ber_tijden_Neo!C$15,FALSE),"")</f>
        <v/>
      </c>
      <c r="J4" s="106" t="str">
        <f>IF(OR($D4="1 dd",$D4="2 dd",$D4="3 dd",$D4="4 dd",$D4="5 dd",$D4="6 dd",$D4="8 dd",$D4="12 dd",$D4="24 dd",$D4="an",$D4="zn"),VLOOKUP($D4,ber_tijden_Neo!$A$17:$Y$27,ber_tijden_Neo!D$15,FALSE),"")</f>
        <v/>
      </c>
      <c r="K4" s="613" t="str">
        <f>IF(OR($D4="1 dd",$D4="2 dd",$D4="3 dd",$D4="4 dd",$D4="5 dd",$D4="6 dd",$D4="8 dd",$D4="12 dd",$D4="24 dd",$D4="an",$D4="zn"),VLOOKUP($D4,ber_tijden_Neo!$A$17:$Y$27,ber_tijden_Neo!E$15,FALSE),"")</f>
        <v/>
      </c>
      <c r="L4" s="106" t="str">
        <f>IF(OR($D4="1 dd",$D4="2 dd",$D4="3 dd",$D4="4 dd",$D4="5 dd",$D4="6 dd",$D4="8 dd",$D4="12 dd",$D4="24 dd",$D4="an",$D4="zn"),VLOOKUP($D4,ber_tijden_Neo!$A$17:$Y$27,ber_tijden_Neo!F$15,FALSE),"")</f>
        <v/>
      </c>
      <c r="M4" s="613" t="str">
        <f>IF(OR($D4="1 dd",$D4="2 dd",$D4="3 dd",$D4="4 dd",$D4="5 dd",$D4="6 dd",$D4="8 dd",$D4="12 dd",$D4="24 dd",$D4="an",$D4="zn"),VLOOKUP($D4,ber_tijden_Neo!$A$17:$Y$27,ber_tijden_Neo!G$15,FALSE),"")</f>
        <v/>
      </c>
      <c r="N4" s="106" t="str">
        <f>IF(OR($D4="1 dd",$D4="2 dd",$D4="3 dd",$D4="4 dd",$D4="5 dd",$D4="6 dd",$D4="8 dd",$D4="12 dd",$D4="24 dd",$D4="an",$D4="zn"),VLOOKUP($D4,ber_tijden_Neo!$A$17:$Y$27,ber_tijden_Neo!H$15,FALSE),"")</f>
        <v/>
      </c>
      <c r="O4" s="613" t="str">
        <f>IF(OR($D4="1 dd",$D4="2 dd",$D4="3 dd",$D4="4 dd",$D4="5 dd",$D4="6 dd",$D4="8 dd",$D4="12 dd",$D4="24 dd",$D4="an",$D4="zn"),VLOOKUP($D4,ber_tijden_Neo!$A$17:$Y$27,ber_tijden_Neo!I$15,FALSE),"")</f>
        <v/>
      </c>
      <c r="P4" s="106" t="str">
        <f>IF(OR($D4="1 dd",$D4="2 dd",$D4="3 dd",$D4="4 dd",$D4="5 dd",$D4="6 dd",$D4="8 dd",$D4="12 dd",$D4="24 dd",$D4="an",$D4="zn"),VLOOKUP($D4,ber_tijden_Neo!$A$17:$Y$27,ber_tijden_Neo!J$15,FALSE),"")</f>
        <v/>
      </c>
      <c r="Q4" s="613" t="str">
        <f>IF(OR($D4="1 dd",$D4="2 dd",$D4="3 dd",$D4="4 dd",$D4="5 dd",$D4="6 dd",$D4="8 dd",$D4="12 dd",$D4="24 dd",$D4="an",$D4="zn"),VLOOKUP($D4,ber_tijden_Neo!$A$17:$Y$27,ber_tijden_Neo!K$15,FALSE),"")</f>
        <v/>
      </c>
      <c r="R4" s="106" t="str">
        <f>IF(OR($D4="1 dd",$D4="2 dd",$D4="3 dd",$D4="4 dd",$D4="5 dd",$D4="6 dd",$D4="8 dd",$D4="12 dd",$D4="24 dd",$D4="an",$D4="zn"),VLOOKUP($D4,ber_tijden_Neo!$A$17:$Y$27,ber_tijden_Neo!L$15,FALSE),"")</f>
        <v/>
      </c>
      <c r="S4" s="613" t="str">
        <f>IF(OR($D4="1 dd",$D4="2 dd",$D4="3 dd",$D4="4 dd",$D4="5 dd",$D4="6 dd",$D4="8 dd",$D4="12 dd",$D4="24 dd",$D4="an",$D4="zn"),VLOOKUP($D4,ber_tijden_Neo!$A$17:$Y$27,ber_tijden_Neo!M$15,FALSE),"")</f>
        <v/>
      </c>
      <c r="T4" s="106" t="str">
        <f>IF(OR($D4="1 dd",$D4="2 dd",$D4="3 dd",$D4="4 dd",$D4="5 dd",$D4="6 dd",$D4="8 dd",$D4="12 dd",$D4="24 dd",$D4="an",$D4="zn"),VLOOKUP($D4,ber_tijden_Neo!$A$17:$Y$27,ber_tijden_Neo!N$15,FALSE),"")</f>
        <v/>
      </c>
      <c r="U4" s="613" t="str">
        <f>IF(OR($D4="1 dd",$D4="2 dd",$D4="3 dd",$D4="4 dd",$D4="5 dd",$D4="6 dd",$D4="8 dd",$D4="12 dd",$D4="24 dd",$D4="an",$D4="zn"),VLOOKUP($D4,ber_tijden_Neo!$A$17:$Y$27,ber_tijden_Neo!O$15,FALSE),"")</f>
        <v/>
      </c>
      <c r="V4" s="106" t="str">
        <f>IF(OR($D4="1 dd",$D4="2 dd",$D4="3 dd",$D4="4 dd",$D4="5 dd",$D4="6 dd",$D4="8 dd",$D4="12 dd",$D4="24 dd",$D4="an",$D4="zn"),VLOOKUP($D4,ber_tijden_Neo!$A$17:$Y$27,ber_tijden_Neo!P$15,FALSE),"")</f>
        <v/>
      </c>
      <c r="W4" s="613" t="str">
        <f>IF(OR($D4="1 dd",$D4="2 dd",$D4="3 dd",$D4="4 dd",$D4="5 dd",$D4="6 dd",$D4="8 dd",$D4="12 dd",$D4="24 dd",$D4="an",$D4="zn"),VLOOKUP($D4,ber_tijden_Neo!$A$17:$Y$27,ber_tijden_Neo!Q$15,FALSE),"")</f>
        <v/>
      </c>
      <c r="X4" s="106" t="str">
        <f>IF(OR($D4="1 dd",$D4="2 dd",$D4="3 dd",$D4="4 dd",$D4="5 dd",$D4="6 dd",$D4="8 dd",$D4="12 dd",$D4="24 dd",$D4="an",$D4="zn"),VLOOKUP($D4,ber_tijden_Neo!$A$17:$Y$27,ber_tijden_Neo!R$15,FALSE),"")</f>
        <v/>
      </c>
      <c r="Y4" s="613" t="str">
        <f>IF(OR($D4="1 dd",$D4="2 dd",$D4="3 dd",$D4="4 dd",$D4="5 dd",$D4="6 dd",$D4="8 dd",$D4="12 dd",$D4="24 dd",$D4="an",$D4="zn"),VLOOKUP($D4,ber_tijden_Neo!$A$17:$Y$27,ber_tijden_Neo!S$15,FALSE),"")</f>
        <v/>
      </c>
      <c r="Z4" s="106" t="str">
        <f>IF(OR($D4="1 dd",$D4="2 dd",$D4="3 dd",$D4="4 dd",$D4="5 dd",$D4="6 dd",$D4="8 dd",$D4="12 dd",$D4="24 dd",$D4="an",$D4="zn"),VLOOKUP($D4,ber_tijden_Neo!$A$17:$Y$27,ber_tijden_Neo!T$15,FALSE),"")</f>
        <v/>
      </c>
      <c r="AA4" s="613" t="str">
        <f>IF(OR($D4="1 dd",$D4="2 dd",$D4="3 dd",$D4="4 dd",$D4="5 dd",$D4="6 dd",$D4="8 dd",$D4="12 dd",$D4="24 dd",$D4="an",$D4="zn"),VLOOKUP($D4,ber_tijden_Neo!$A$17:$Y$27,ber_tijden_Neo!U$15,FALSE),"")</f>
        <v/>
      </c>
      <c r="AB4" s="106" t="str">
        <f>IF(OR($D4="1 dd",$D4="2 dd",$D4="3 dd",$D4="4 dd",$D4="5 dd",$D4="6 dd",$D4="8 dd",$D4="12 dd",$D4="24 dd",$D4="an",$D4="zn"),VLOOKUP($D4,ber_tijden_Neo!$A$17:$Y$27,ber_tijden_Neo!V$15,FALSE),"")</f>
        <v/>
      </c>
      <c r="AC4" s="613" t="str">
        <f>IF(OR($D4="1 dd",$D4="2 dd",$D4="3 dd",$D4="4 dd",$D4="5 dd",$D4="6 dd",$D4="8 dd",$D4="12 dd",$D4="24 dd",$D4="an",$D4="zn"),VLOOKUP($D4,ber_tijden_Neo!$A$17:$Y$27,ber_tijden_Neo!W$15,FALSE),"")</f>
        <v/>
      </c>
      <c r="AD4" s="106" t="str">
        <f>IF(OR($D4="1 dd",$D4="2 dd",$D4="3 dd",$D4="4 dd",$D4="5 dd",$D4="6 dd",$D4="8 dd",$D4="12 dd",$D4="24 dd",$D4="an",$D4="zn"),VLOOKUP($D4,ber_tijden_Neo!$A$17:$Y$27,ber_tijden_Neo!X$15,FALSE),"")</f>
        <v/>
      </c>
      <c r="AE4" s="613" t="str">
        <f>IF(OR($D4="1 dd",$D4="2 dd",$D4="3 dd",$D4="4 dd",$D4="5 dd",$D4="6 dd",$D4="8 dd",$D4="12 dd",$D4="24 dd",$D4="an",$D4="zn"),VLOOKUP($D4,ber_tijden_Neo!$A$17:$Y$27,ber_tijden_Neo!Y$15,FALSE),"")</f>
        <v/>
      </c>
      <c r="AF4" s="105"/>
      <c r="AG4" s="17"/>
    </row>
    <row r="5" spans="1:33" ht="26.1" customHeight="1" x14ac:dyDescent="0.2">
      <c r="B5" s="107"/>
      <c r="C5" s="231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32" t="str">
        <f>IF(Med_disc!H10&lt;&gt;"",Med_disc!H10,"")</f>
        <v/>
      </c>
      <c r="E5" s="233" t="str">
        <f>IF(AND(D5&lt;&gt;"",D5&lt;&gt;"STOP"),ber_Med_disc!H4&amp;" "&amp;ber_Med_disc!F4,"")</f>
        <v/>
      </c>
      <c r="F5" s="233" t="str">
        <f>IF(AND(D5&lt;&gt;"",D5&lt;&gt;"STOP"),ber_Med_disc!L4," ")</f>
        <v xml:space="preserve"> </v>
      </c>
      <c r="G5" s="233" t="str">
        <f>IF(Med_disc!L10&lt;&gt;"",Med_disc!L10&amp;" "&amp;Med_disc!M10&amp;" "&amp;INDEX(ber_Med_disc!$B$27:$B$30,ber_Med_disc!O4,1)&amp;" in "&amp;Med_disc!$O$10,"")</f>
        <v/>
      </c>
      <c r="H5" s="106" t="str">
        <f>IF(OR($D5="1 dd",$D5="2 dd",$D5="3 dd",$D5="4 dd",$D5="5 dd",$D5="6 dd",$D5="8 dd",$D5="12 dd",$D5="24 dd",$D5="an",$D5="zn"),VLOOKUP($D5,ber_tijden_Neo!$A$17:$Y$27,ber_tijden_Neo!B$15,FALSE),"")</f>
        <v/>
      </c>
      <c r="I5" s="613" t="str">
        <f>IF(OR($D5="1 dd",$D5="2 dd",$D5="3 dd",$D5="4 dd",$D5="5 dd",$D5="6 dd",$D5="8 dd",$D5="12 dd",$D5="24 dd",$D5="an",$D5="zn"),VLOOKUP($D5,ber_tijden_Neo!$A$17:$Y$27,ber_tijden_Neo!C$15,FALSE),"")</f>
        <v/>
      </c>
      <c r="J5" s="106" t="str">
        <f>IF(OR($D5="1 dd",$D5="2 dd",$D5="3 dd",$D5="4 dd",$D5="5 dd",$D5="6 dd",$D5="8 dd",$D5="12 dd",$D5="24 dd",$D5="an",$D5="zn"),VLOOKUP($D5,ber_tijden_Neo!$A$17:$Y$27,ber_tijden_Neo!D$15,FALSE),"")</f>
        <v/>
      </c>
      <c r="K5" s="613" t="str">
        <f>IF(OR($D5="1 dd",$D5="2 dd",$D5="3 dd",$D5="4 dd",$D5="5 dd",$D5="6 dd",$D5="8 dd",$D5="12 dd",$D5="24 dd",$D5="an",$D5="zn"),VLOOKUP($D5,ber_tijden_Neo!$A$17:$Y$27,ber_tijden_Neo!E$15,FALSE),"")</f>
        <v/>
      </c>
      <c r="L5" s="106" t="str">
        <f>IF(OR($D5="1 dd",$D5="2 dd",$D5="3 dd",$D5="4 dd",$D5="5 dd",$D5="6 dd",$D5="8 dd",$D5="12 dd",$D5="24 dd",$D5="an",$D5="zn"),VLOOKUP($D5,ber_tijden_Neo!$A$17:$Y$27,ber_tijden_Neo!F$15,FALSE),"")</f>
        <v/>
      </c>
      <c r="M5" s="613" t="str">
        <f>IF(OR($D5="1 dd",$D5="2 dd",$D5="3 dd",$D5="4 dd",$D5="5 dd",$D5="6 dd",$D5="8 dd",$D5="12 dd",$D5="24 dd",$D5="an",$D5="zn"),VLOOKUP($D5,ber_tijden_Neo!$A$17:$Y$27,ber_tijden_Neo!G$15,FALSE),"")</f>
        <v/>
      </c>
      <c r="N5" s="106" t="str">
        <f>IF(OR($D5="1 dd",$D5="2 dd",$D5="3 dd",$D5="4 dd",$D5="5 dd",$D5="6 dd",$D5="8 dd",$D5="12 dd",$D5="24 dd",$D5="an",$D5="zn"),VLOOKUP($D5,ber_tijden_Neo!$A$17:$Y$27,ber_tijden_Neo!H$15,FALSE),"")</f>
        <v/>
      </c>
      <c r="O5" s="613" t="str">
        <f>IF(OR($D5="1 dd",$D5="2 dd",$D5="3 dd",$D5="4 dd",$D5="5 dd",$D5="6 dd",$D5="8 dd",$D5="12 dd",$D5="24 dd",$D5="an",$D5="zn"),VLOOKUP($D5,ber_tijden_Neo!$A$17:$Y$27,ber_tijden_Neo!I$15,FALSE),"")</f>
        <v/>
      </c>
      <c r="P5" s="106" t="str">
        <f>IF(OR($D5="1 dd",$D5="2 dd",$D5="3 dd",$D5="4 dd",$D5="5 dd",$D5="6 dd",$D5="8 dd",$D5="12 dd",$D5="24 dd",$D5="an",$D5="zn"),VLOOKUP($D5,ber_tijden_Neo!$A$17:$Y$27,ber_tijden_Neo!J$15,FALSE),"")</f>
        <v/>
      </c>
      <c r="Q5" s="613" t="str">
        <f>IF(OR($D5="1 dd",$D5="2 dd",$D5="3 dd",$D5="4 dd",$D5="5 dd",$D5="6 dd",$D5="8 dd",$D5="12 dd",$D5="24 dd",$D5="an",$D5="zn"),VLOOKUP($D5,ber_tijden_Neo!$A$17:$Y$27,ber_tijden_Neo!K$15,FALSE),"")</f>
        <v/>
      </c>
      <c r="R5" s="106" t="str">
        <f>IF(OR($D5="1 dd",$D5="2 dd",$D5="3 dd",$D5="4 dd",$D5="5 dd",$D5="6 dd",$D5="8 dd",$D5="12 dd",$D5="24 dd",$D5="an",$D5="zn"),VLOOKUP($D5,ber_tijden_Neo!$A$17:$Y$27,ber_tijden_Neo!L$15,FALSE),"")</f>
        <v/>
      </c>
      <c r="S5" s="613" t="str">
        <f>IF(OR($D5="1 dd",$D5="2 dd",$D5="3 dd",$D5="4 dd",$D5="5 dd",$D5="6 dd",$D5="8 dd",$D5="12 dd",$D5="24 dd",$D5="an",$D5="zn"),VLOOKUP($D5,ber_tijden_Neo!$A$17:$Y$27,ber_tijden_Neo!M$15,FALSE),"")</f>
        <v/>
      </c>
      <c r="T5" s="106" t="str">
        <f>IF(OR($D5="1 dd",$D5="2 dd",$D5="3 dd",$D5="4 dd",$D5="5 dd",$D5="6 dd",$D5="8 dd",$D5="12 dd",$D5="24 dd",$D5="an",$D5="zn"),VLOOKUP($D5,ber_tijden_Neo!$A$17:$Y$27,ber_tijden_Neo!N$15,FALSE),"")</f>
        <v/>
      </c>
      <c r="U5" s="613" t="str">
        <f>IF(OR($D5="1 dd",$D5="2 dd",$D5="3 dd",$D5="4 dd",$D5="5 dd",$D5="6 dd",$D5="8 dd",$D5="12 dd",$D5="24 dd",$D5="an",$D5="zn"),VLOOKUP($D5,ber_tijden_Neo!$A$17:$Y$27,ber_tijden_Neo!O$15,FALSE),"")</f>
        <v/>
      </c>
      <c r="V5" s="106" t="str">
        <f>IF(OR($D5="1 dd",$D5="2 dd",$D5="3 dd",$D5="4 dd",$D5="5 dd",$D5="6 dd",$D5="8 dd",$D5="12 dd",$D5="24 dd",$D5="an",$D5="zn"),VLOOKUP($D5,ber_tijden_Neo!$A$17:$Y$27,ber_tijden_Neo!P$15,FALSE),"")</f>
        <v/>
      </c>
      <c r="W5" s="613" t="str">
        <f>IF(OR($D5="1 dd",$D5="2 dd",$D5="3 dd",$D5="4 dd",$D5="5 dd",$D5="6 dd",$D5="8 dd",$D5="12 dd",$D5="24 dd",$D5="an",$D5="zn"),VLOOKUP($D5,ber_tijden_Neo!$A$17:$Y$27,ber_tijden_Neo!Q$15,FALSE),"")</f>
        <v/>
      </c>
      <c r="X5" s="106" t="str">
        <f>IF(OR($D5="1 dd",$D5="2 dd",$D5="3 dd",$D5="4 dd",$D5="5 dd",$D5="6 dd",$D5="8 dd",$D5="12 dd",$D5="24 dd",$D5="an",$D5="zn"),VLOOKUP($D5,ber_tijden_Neo!$A$17:$Y$27,ber_tijden_Neo!R$15,FALSE),"")</f>
        <v/>
      </c>
      <c r="Y5" s="613" t="str">
        <f>IF(OR($D5="1 dd",$D5="2 dd",$D5="3 dd",$D5="4 dd",$D5="5 dd",$D5="6 dd",$D5="8 dd",$D5="12 dd",$D5="24 dd",$D5="an",$D5="zn"),VLOOKUP($D5,ber_tijden_Neo!$A$17:$Y$27,ber_tijden_Neo!S$15,FALSE),"")</f>
        <v/>
      </c>
      <c r="Z5" s="106" t="str">
        <f>IF(OR($D5="1 dd",$D5="2 dd",$D5="3 dd",$D5="4 dd",$D5="5 dd",$D5="6 dd",$D5="8 dd",$D5="12 dd",$D5="24 dd",$D5="an",$D5="zn"),VLOOKUP($D5,ber_tijden_Neo!$A$17:$Y$27,ber_tijden_Neo!T$15,FALSE),"")</f>
        <v/>
      </c>
      <c r="AA5" s="613" t="str">
        <f>IF(OR($D5="1 dd",$D5="2 dd",$D5="3 dd",$D5="4 dd",$D5="5 dd",$D5="6 dd",$D5="8 dd",$D5="12 dd",$D5="24 dd",$D5="an",$D5="zn"),VLOOKUP($D5,ber_tijden_Neo!$A$17:$Y$27,ber_tijden_Neo!U$15,FALSE),"")</f>
        <v/>
      </c>
      <c r="AB5" s="106" t="str">
        <f>IF(OR($D5="1 dd",$D5="2 dd",$D5="3 dd",$D5="4 dd",$D5="5 dd",$D5="6 dd",$D5="8 dd",$D5="12 dd",$D5="24 dd",$D5="an",$D5="zn"),VLOOKUP($D5,ber_tijden_Neo!$A$17:$Y$27,ber_tijden_Neo!V$15,FALSE),"")</f>
        <v/>
      </c>
      <c r="AC5" s="613" t="str">
        <f>IF(OR($D5="1 dd",$D5="2 dd",$D5="3 dd",$D5="4 dd",$D5="5 dd",$D5="6 dd",$D5="8 dd",$D5="12 dd",$D5="24 dd",$D5="an",$D5="zn"),VLOOKUP($D5,ber_tijden_Neo!$A$17:$Y$27,ber_tijden_Neo!W$15,FALSE),"")</f>
        <v/>
      </c>
      <c r="AD5" s="106" t="str">
        <f>IF(OR($D5="1 dd",$D5="2 dd",$D5="3 dd",$D5="4 dd",$D5="5 dd",$D5="6 dd",$D5="8 dd",$D5="12 dd",$D5="24 dd",$D5="an",$D5="zn"),VLOOKUP($D5,ber_tijden_Neo!$A$17:$Y$27,ber_tijden_Neo!X$15,FALSE),"")</f>
        <v/>
      </c>
      <c r="AE5" s="613" t="str">
        <f>IF(OR($D5="1 dd",$D5="2 dd",$D5="3 dd",$D5="4 dd",$D5="5 dd",$D5="6 dd",$D5="8 dd",$D5="12 dd",$D5="24 dd",$D5="an",$D5="zn"),VLOOKUP($D5,ber_tijden_Neo!$A$17:$Y$27,ber_tijden_Neo!Y$15,FALSE),"")</f>
        <v/>
      </c>
      <c r="AF5" s="105"/>
      <c r="AG5" s="17"/>
    </row>
    <row r="6" spans="1:33" ht="26.1" customHeight="1" x14ac:dyDescent="0.2">
      <c r="A6" s="579"/>
      <c r="B6" s="107"/>
      <c r="C6" s="231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32" t="str">
        <f>IF(Med_disc!H12&lt;&gt;"",Med_disc!H12,"")</f>
        <v/>
      </c>
      <c r="E6" s="233" t="str">
        <f>IF(AND(D6&lt;&gt;"",D6&lt;&gt;"STOP"),ber_Med_disc!H5&amp;" "&amp;ber_Med_disc!F5,"")</f>
        <v/>
      </c>
      <c r="F6" s="233" t="str">
        <f>IF(AND(D6&lt;&gt;"",D6&lt;&gt;"STOP"),ber_Med_disc!L5," ")</f>
        <v xml:space="preserve"> </v>
      </c>
      <c r="G6" s="233" t="str">
        <f>IF(Med_disc!L12&lt;&gt;"",Med_disc!L12&amp;" "&amp;Med_disc!M12&amp;" "&amp;INDEX(ber_Med_disc!$B$27:$B$30,ber_Med_disc!O5,1)&amp;" in "&amp;Med_disc!$O$12,"")</f>
        <v/>
      </c>
      <c r="H6" s="106" t="str">
        <f>IF(OR($D6="1 dd",$D6="2 dd",$D6="3 dd",$D6="4 dd",$D6="5 dd",$D6="6 dd",$D6="8 dd",$D6="12 dd",$D6="24 dd",$D6="an",$D6="zn"),VLOOKUP($D6,ber_tijden_Neo!$A$17:$Y$27,ber_tijden_Neo!B$15,FALSE),"")</f>
        <v/>
      </c>
      <c r="I6" s="613" t="str">
        <f>IF(OR($D6="1 dd",$D6="2 dd",$D6="3 dd",$D6="4 dd",$D6="5 dd",$D6="6 dd",$D6="8 dd",$D6="12 dd",$D6="24 dd",$D6="an",$D6="zn"),VLOOKUP($D6,ber_tijden_Neo!$A$17:$Y$27,ber_tijden_Neo!C$15,FALSE),"")</f>
        <v/>
      </c>
      <c r="J6" s="106" t="str">
        <f>IF(OR($D6="1 dd",$D6="2 dd",$D6="3 dd",$D6="4 dd",$D6="5 dd",$D6="6 dd",$D6="8 dd",$D6="12 dd",$D6="24 dd",$D6="an",$D6="zn"),VLOOKUP($D6,ber_tijden_Neo!$A$17:$Y$27,ber_tijden_Neo!D$15,FALSE),"")</f>
        <v/>
      </c>
      <c r="K6" s="613" t="str">
        <f>IF(OR($D6="1 dd",$D6="2 dd",$D6="3 dd",$D6="4 dd",$D6="5 dd",$D6="6 dd",$D6="8 dd",$D6="12 dd",$D6="24 dd",$D6="an",$D6="zn"),VLOOKUP($D6,ber_tijden_Neo!$A$17:$Y$27,ber_tijden_Neo!E$15,FALSE),"")</f>
        <v/>
      </c>
      <c r="L6" s="106" t="str">
        <f>IF(OR($D6="1 dd",$D6="2 dd",$D6="3 dd",$D6="4 dd",$D6="5 dd",$D6="6 dd",$D6="8 dd",$D6="12 dd",$D6="24 dd",$D6="an",$D6="zn"),VLOOKUP($D6,ber_tijden_Neo!$A$17:$Y$27,ber_tijden_Neo!F$15,FALSE),"")</f>
        <v/>
      </c>
      <c r="M6" s="613" t="str">
        <f>IF(OR($D6="1 dd",$D6="2 dd",$D6="3 dd",$D6="4 dd",$D6="5 dd",$D6="6 dd",$D6="8 dd",$D6="12 dd",$D6="24 dd",$D6="an",$D6="zn"),VLOOKUP($D6,ber_tijden_Neo!$A$17:$Y$27,ber_tijden_Neo!G$15,FALSE),"")</f>
        <v/>
      </c>
      <c r="N6" s="106" t="str">
        <f>IF(OR($D6="1 dd",$D6="2 dd",$D6="3 dd",$D6="4 dd",$D6="5 dd",$D6="6 dd",$D6="8 dd",$D6="12 dd",$D6="24 dd",$D6="an",$D6="zn"),VLOOKUP($D6,ber_tijden_Neo!$A$17:$Y$27,ber_tijden_Neo!H$15,FALSE),"")</f>
        <v/>
      </c>
      <c r="O6" s="613" t="str">
        <f>IF(OR($D6="1 dd",$D6="2 dd",$D6="3 dd",$D6="4 dd",$D6="5 dd",$D6="6 dd",$D6="8 dd",$D6="12 dd",$D6="24 dd",$D6="an",$D6="zn"),VLOOKUP($D6,ber_tijden_Neo!$A$17:$Y$27,ber_tijden_Neo!I$15,FALSE),"")</f>
        <v/>
      </c>
      <c r="P6" s="106" t="str">
        <f>IF(OR($D6="1 dd",$D6="2 dd",$D6="3 dd",$D6="4 dd",$D6="5 dd",$D6="6 dd",$D6="8 dd",$D6="12 dd",$D6="24 dd",$D6="an",$D6="zn"),VLOOKUP($D6,ber_tijden_Neo!$A$17:$Y$27,ber_tijden_Neo!J$15,FALSE),"")</f>
        <v/>
      </c>
      <c r="Q6" s="613" t="str">
        <f>IF(OR($D6="1 dd",$D6="2 dd",$D6="3 dd",$D6="4 dd",$D6="5 dd",$D6="6 dd",$D6="8 dd",$D6="12 dd",$D6="24 dd",$D6="an",$D6="zn"),VLOOKUP($D6,ber_tijden_Neo!$A$17:$Y$27,ber_tijden_Neo!K$15,FALSE),"")</f>
        <v/>
      </c>
      <c r="R6" s="106" t="str">
        <f>IF(OR($D6="1 dd",$D6="2 dd",$D6="3 dd",$D6="4 dd",$D6="5 dd",$D6="6 dd",$D6="8 dd",$D6="12 dd",$D6="24 dd",$D6="an",$D6="zn"),VLOOKUP($D6,ber_tijden_Neo!$A$17:$Y$27,ber_tijden_Neo!L$15,FALSE),"")</f>
        <v/>
      </c>
      <c r="S6" s="613" t="str">
        <f>IF(OR($D6="1 dd",$D6="2 dd",$D6="3 dd",$D6="4 dd",$D6="5 dd",$D6="6 dd",$D6="8 dd",$D6="12 dd",$D6="24 dd",$D6="an",$D6="zn"),VLOOKUP($D6,ber_tijden_Neo!$A$17:$Y$27,ber_tijden_Neo!M$15,FALSE),"")</f>
        <v/>
      </c>
      <c r="T6" s="106" t="str">
        <f>IF(OR($D6="1 dd",$D6="2 dd",$D6="3 dd",$D6="4 dd",$D6="5 dd",$D6="6 dd",$D6="8 dd",$D6="12 dd",$D6="24 dd",$D6="an",$D6="zn"),VLOOKUP($D6,ber_tijden_Neo!$A$17:$Y$27,ber_tijden_Neo!N$15,FALSE),"")</f>
        <v/>
      </c>
      <c r="U6" s="613" t="str">
        <f>IF(OR($D6="1 dd",$D6="2 dd",$D6="3 dd",$D6="4 dd",$D6="5 dd",$D6="6 dd",$D6="8 dd",$D6="12 dd",$D6="24 dd",$D6="an",$D6="zn"),VLOOKUP($D6,ber_tijden_Neo!$A$17:$Y$27,ber_tijden_Neo!O$15,FALSE),"")</f>
        <v/>
      </c>
      <c r="V6" s="106" t="str">
        <f>IF(OR($D6="1 dd",$D6="2 dd",$D6="3 dd",$D6="4 dd",$D6="5 dd",$D6="6 dd",$D6="8 dd",$D6="12 dd",$D6="24 dd",$D6="an",$D6="zn"),VLOOKUP($D6,ber_tijden_Neo!$A$17:$Y$27,ber_tijden_Neo!P$15,FALSE),"")</f>
        <v/>
      </c>
      <c r="W6" s="613" t="str">
        <f>IF(OR($D6="1 dd",$D6="2 dd",$D6="3 dd",$D6="4 dd",$D6="5 dd",$D6="6 dd",$D6="8 dd",$D6="12 dd",$D6="24 dd",$D6="an",$D6="zn"),VLOOKUP($D6,ber_tijden_Neo!$A$17:$Y$27,ber_tijden_Neo!Q$15,FALSE),"")</f>
        <v/>
      </c>
      <c r="X6" s="106" t="str">
        <f>IF(OR($D6="1 dd",$D6="2 dd",$D6="3 dd",$D6="4 dd",$D6="5 dd",$D6="6 dd",$D6="8 dd",$D6="12 dd",$D6="24 dd",$D6="an",$D6="zn"),VLOOKUP($D6,ber_tijden_Neo!$A$17:$Y$27,ber_tijden_Neo!R$15,FALSE),"")</f>
        <v/>
      </c>
      <c r="Y6" s="613" t="str">
        <f>IF(OR($D6="1 dd",$D6="2 dd",$D6="3 dd",$D6="4 dd",$D6="5 dd",$D6="6 dd",$D6="8 dd",$D6="12 dd",$D6="24 dd",$D6="an",$D6="zn"),VLOOKUP($D6,ber_tijden_Neo!$A$17:$Y$27,ber_tijden_Neo!S$15,FALSE),"")</f>
        <v/>
      </c>
      <c r="Z6" s="106" t="str">
        <f>IF(OR($D6="1 dd",$D6="2 dd",$D6="3 dd",$D6="4 dd",$D6="5 dd",$D6="6 dd",$D6="8 dd",$D6="12 dd",$D6="24 dd",$D6="an",$D6="zn"),VLOOKUP($D6,ber_tijden_Neo!$A$17:$Y$27,ber_tijden_Neo!T$15,FALSE),"")</f>
        <v/>
      </c>
      <c r="AA6" s="613" t="str">
        <f>IF(OR($D6="1 dd",$D6="2 dd",$D6="3 dd",$D6="4 dd",$D6="5 dd",$D6="6 dd",$D6="8 dd",$D6="12 dd",$D6="24 dd",$D6="an",$D6="zn"),VLOOKUP($D6,ber_tijden_Neo!$A$17:$Y$27,ber_tijden_Neo!U$15,FALSE),"")</f>
        <v/>
      </c>
      <c r="AB6" s="106" t="str">
        <f>IF(OR($D6="1 dd",$D6="2 dd",$D6="3 dd",$D6="4 dd",$D6="5 dd",$D6="6 dd",$D6="8 dd",$D6="12 dd",$D6="24 dd",$D6="an",$D6="zn"),VLOOKUP($D6,ber_tijden_Neo!$A$17:$Y$27,ber_tijden_Neo!V$15,FALSE),"")</f>
        <v/>
      </c>
      <c r="AC6" s="613" t="str">
        <f>IF(OR($D6="1 dd",$D6="2 dd",$D6="3 dd",$D6="4 dd",$D6="5 dd",$D6="6 dd",$D6="8 dd",$D6="12 dd",$D6="24 dd",$D6="an",$D6="zn"),VLOOKUP($D6,ber_tijden_Neo!$A$17:$Y$27,ber_tijden_Neo!W$15,FALSE),"")</f>
        <v/>
      </c>
      <c r="AD6" s="106" t="str">
        <f>IF(OR($D6="1 dd",$D6="2 dd",$D6="3 dd",$D6="4 dd",$D6="5 dd",$D6="6 dd",$D6="8 dd",$D6="12 dd",$D6="24 dd",$D6="an",$D6="zn"),VLOOKUP($D6,ber_tijden_Neo!$A$17:$Y$27,ber_tijden_Neo!X$15,FALSE),"")</f>
        <v/>
      </c>
      <c r="AE6" s="613" t="str">
        <f>IF(OR($D6="1 dd",$D6="2 dd",$D6="3 dd",$D6="4 dd",$D6="5 dd",$D6="6 dd",$D6="8 dd",$D6="12 dd",$D6="24 dd",$D6="an",$D6="zn"),VLOOKUP($D6,ber_tijden_Neo!$A$17:$Y$27,ber_tijden_Neo!Y$15,FALSE),"")</f>
        <v/>
      </c>
      <c r="AF6" s="105"/>
      <c r="AG6" s="17"/>
    </row>
    <row r="7" spans="1:33" ht="26.1" customHeight="1" x14ac:dyDescent="0.2">
      <c r="B7" s="107"/>
      <c r="C7" s="231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32" t="str">
        <f>IF(Med_disc!H14&lt;&gt;"",Med_disc!H14,"")</f>
        <v/>
      </c>
      <c r="E7" s="233" t="str">
        <f>IF(AND(D7&lt;&gt;"",D7&lt;&gt;"STOP"),ber_Med_disc!H6&amp;" "&amp;ber_Med_disc!F6,"")</f>
        <v/>
      </c>
      <c r="F7" s="233" t="str">
        <f>IF(AND(D7&lt;&gt;"",D7&lt;&gt;"STOP"),ber_Med_disc!L6," ")</f>
        <v xml:space="preserve"> </v>
      </c>
      <c r="G7" s="233" t="str">
        <f>IF(Med_disc!L14&lt;&gt;"",Med_disc!L14&amp;" "&amp;Med_disc!M14&amp;" "&amp;INDEX(ber_Med_disc!$B$27:$B$30,ber_Med_disc!O6,1)&amp;" in "&amp;Med_disc!$O$14,"")</f>
        <v/>
      </c>
      <c r="H7" s="106" t="str">
        <f>IF(OR($D7="1 dd",$D7="2 dd",$D7="3 dd",$D7="4 dd",$D7="5 dd",$D7="6 dd",$D7="8 dd",$D7="12 dd",$D7="24 dd",$D7="an",$D7="zn"),VLOOKUP($D7,ber_tijden_Neo!$A$17:$Y$27,ber_tijden_Neo!B$15,FALSE),"")</f>
        <v/>
      </c>
      <c r="I7" s="613" t="str">
        <f>IF(OR($D7="1 dd",$D7="2 dd",$D7="3 dd",$D7="4 dd",$D7="5 dd",$D7="6 dd",$D7="8 dd",$D7="12 dd",$D7="24 dd",$D7="an",$D7="zn"),VLOOKUP($D7,ber_tijden_Neo!$A$17:$Y$27,ber_tijden_Neo!C$15,FALSE),"")</f>
        <v/>
      </c>
      <c r="J7" s="106" t="str">
        <f>IF(OR($D7="1 dd",$D7="2 dd",$D7="3 dd",$D7="4 dd",$D7="5 dd",$D7="6 dd",$D7="8 dd",$D7="12 dd",$D7="24 dd",$D7="an",$D7="zn"),VLOOKUP($D7,ber_tijden_Neo!$A$17:$Y$27,ber_tijden_Neo!D$15,FALSE),"")</f>
        <v/>
      </c>
      <c r="K7" s="613" t="str">
        <f>IF(OR($D7="1 dd",$D7="2 dd",$D7="3 dd",$D7="4 dd",$D7="5 dd",$D7="6 dd",$D7="8 dd",$D7="12 dd",$D7="24 dd",$D7="an",$D7="zn"),VLOOKUP($D7,ber_tijden_Neo!$A$17:$Y$27,ber_tijden_Neo!E$15,FALSE),"")</f>
        <v/>
      </c>
      <c r="L7" s="106" t="str">
        <f>IF(OR($D7="1 dd",$D7="2 dd",$D7="3 dd",$D7="4 dd",$D7="5 dd",$D7="6 dd",$D7="8 dd",$D7="12 dd",$D7="24 dd",$D7="an",$D7="zn"),VLOOKUP($D7,ber_tijden_Neo!$A$17:$Y$27,ber_tijden_Neo!F$15,FALSE),"")</f>
        <v/>
      </c>
      <c r="M7" s="613" t="str">
        <f>IF(OR($D7="1 dd",$D7="2 dd",$D7="3 dd",$D7="4 dd",$D7="5 dd",$D7="6 dd",$D7="8 dd",$D7="12 dd",$D7="24 dd",$D7="an",$D7="zn"),VLOOKUP($D7,ber_tijden_Neo!$A$17:$Y$27,ber_tijden_Neo!G$15,FALSE),"")</f>
        <v/>
      </c>
      <c r="N7" s="106" t="str">
        <f>IF(OR($D7="1 dd",$D7="2 dd",$D7="3 dd",$D7="4 dd",$D7="5 dd",$D7="6 dd",$D7="8 dd",$D7="12 dd",$D7="24 dd",$D7="an",$D7="zn"),VLOOKUP($D7,ber_tijden_Neo!$A$17:$Y$27,ber_tijden_Neo!H$15,FALSE),"")</f>
        <v/>
      </c>
      <c r="O7" s="613" t="str">
        <f>IF(OR($D7="1 dd",$D7="2 dd",$D7="3 dd",$D7="4 dd",$D7="5 dd",$D7="6 dd",$D7="8 dd",$D7="12 dd",$D7="24 dd",$D7="an",$D7="zn"),VLOOKUP($D7,ber_tijden_Neo!$A$17:$Y$27,ber_tijden_Neo!I$15,FALSE),"")</f>
        <v/>
      </c>
      <c r="P7" s="106" t="str">
        <f>IF(OR($D7="1 dd",$D7="2 dd",$D7="3 dd",$D7="4 dd",$D7="5 dd",$D7="6 dd",$D7="8 dd",$D7="12 dd",$D7="24 dd",$D7="an",$D7="zn"),VLOOKUP($D7,ber_tijden_Neo!$A$17:$Y$27,ber_tijden_Neo!J$15,FALSE),"")</f>
        <v/>
      </c>
      <c r="Q7" s="613" t="str">
        <f>IF(OR($D7="1 dd",$D7="2 dd",$D7="3 dd",$D7="4 dd",$D7="5 dd",$D7="6 dd",$D7="8 dd",$D7="12 dd",$D7="24 dd",$D7="an",$D7="zn"),VLOOKUP($D7,ber_tijden_Neo!$A$17:$Y$27,ber_tijden_Neo!K$15,FALSE),"")</f>
        <v/>
      </c>
      <c r="R7" s="106" t="str">
        <f>IF(OR($D7="1 dd",$D7="2 dd",$D7="3 dd",$D7="4 dd",$D7="5 dd",$D7="6 dd",$D7="8 dd",$D7="12 dd",$D7="24 dd",$D7="an",$D7="zn"),VLOOKUP($D7,ber_tijden_Neo!$A$17:$Y$27,ber_tijden_Neo!L$15,FALSE),"")</f>
        <v/>
      </c>
      <c r="S7" s="613" t="str">
        <f>IF(OR($D7="1 dd",$D7="2 dd",$D7="3 dd",$D7="4 dd",$D7="5 dd",$D7="6 dd",$D7="8 dd",$D7="12 dd",$D7="24 dd",$D7="an",$D7="zn"),VLOOKUP($D7,ber_tijden_Neo!$A$17:$Y$27,ber_tijden_Neo!M$15,FALSE),"")</f>
        <v/>
      </c>
      <c r="T7" s="106" t="str">
        <f>IF(OR($D7="1 dd",$D7="2 dd",$D7="3 dd",$D7="4 dd",$D7="5 dd",$D7="6 dd",$D7="8 dd",$D7="12 dd",$D7="24 dd",$D7="an",$D7="zn"),VLOOKUP($D7,ber_tijden_Neo!$A$17:$Y$27,ber_tijden_Neo!N$15,FALSE),"")</f>
        <v/>
      </c>
      <c r="U7" s="613" t="str">
        <f>IF(OR($D7="1 dd",$D7="2 dd",$D7="3 dd",$D7="4 dd",$D7="5 dd",$D7="6 dd",$D7="8 dd",$D7="12 dd",$D7="24 dd",$D7="an",$D7="zn"),VLOOKUP($D7,ber_tijden_Neo!$A$17:$Y$27,ber_tijden_Neo!O$15,FALSE),"")</f>
        <v/>
      </c>
      <c r="V7" s="106" t="str">
        <f>IF(OR($D7="1 dd",$D7="2 dd",$D7="3 dd",$D7="4 dd",$D7="5 dd",$D7="6 dd",$D7="8 dd",$D7="12 dd",$D7="24 dd",$D7="an",$D7="zn"),VLOOKUP($D7,ber_tijden_Neo!$A$17:$Y$27,ber_tijden_Neo!P$15,FALSE),"")</f>
        <v/>
      </c>
      <c r="W7" s="613" t="str">
        <f>IF(OR($D7="1 dd",$D7="2 dd",$D7="3 dd",$D7="4 dd",$D7="5 dd",$D7="6 dd",$D7="8 dd",$D7="12 dd",$D7="24 dd",$D7="an",$D7="zn"),VLOOKUP($D7,ber_tijden_Neo!$A$17:$Y$27,ber_tijden_Neo!Q$15,FALSE),"")</f>
        <v/>
      </c>
      <c r="X7" s="106" t="str">
        <f>IF(OR($D7="1 dd",$D7="2 dd",$D7="3 dd",$D7="4 dd",$D7="5 dd",$D7="6 dd",$D7="8 dd",$D7="12 dd",$D7="24 dd",$D7="an",$D7="zn"),VLOOKUP($D7,ber_tijden_Neo!$A$17:$Y$27,ber_tijden_Neo!R$15,FALSE),"")</f>
        <v/>
      </c>
      <c r="Y7" s="613" t="str">
        <f>IF(OR($D7="1 dd",$D7="2 dd",$D7="3 dd",$D7="4 dd",$D7="5 dd",$D7="6 dd",$D7="8 dd",$D7="12 dd",$D7="24 dd",$D7="an",$D7="zn"),VLOOKUP($D7,ber_tijden_Neo!$A$17:$Y$27,ber_tijden_Neo!S$15,FALSE),"")</f>
        <v/>
      </c>
      <c r="Z7" s="106" t="str">
        <f>IF(OR($D7="1 dd",$D7="2 dd",$D7="3 dd",$D7="4 dd",$D7="5 dd",$D7="6 dd",$D7="8 dd",$D7="12 dd",$D7="24 dd",$D7="an",$D7="zn"),VLOOKUP($D7,ber_tijden_Neo!$A$17:$Y$27,ber_tijden_Neo!T$15,FALSE),"")</f>
        <v/>
      </c>
      <c r="AA7" s="613" t="str">
        <f>IF(OR($D7="1 dd",$D7="2 dd",$D7="3 dd",$D7="4 dd",$D7="5 dd",$D7="6 dd",$D7="8 dd",$D7="12 dd",$D7="24 dd",$D7="an",$D7="zn"),VLOOKUP($D7,ber_tijden_Neo!$A$17:$Y$27,ber_tijden_Neo!U$15,FALSE),"")</f>
        <v/>
      </c>
      <c r="AB7" s="106" t="str">
        <f>IF(OR($D7="1 dd",$D7="2 dd",$D7="3 dd",$D7="4 dd",$D7="5 dd",$D7="6 dd",$D7="8 dd",$D7="12 dd",$D7="24 dd",$D7="an",$D7="zn"),VLOOKUP($D7,ber_tijden_Neo!$A$17:$Y$27,ber_tijden_Neo!V$15,FALSE),"")</f>
        <v/>
      </c>
      <c r="AC7" s="613" t="str">
        <f>IF(OR($D7="1 dd",$D7="2 dd",$D7="3 dd",$D7="4 dd",$D7="5 dd",$D7="6 dd",$D7="8 dd",$D7="12 dd",$D7="24 dd",$D7="an",$D7="zn"),VLOOKUP($D7,ber_tijden_Neo!$A$17:$Y$27,ber_tijden_Neo!W$15,FALSE),"")</f>
        <v/>
      </c>
      <c r="AD7" s="106" t="str">
        <f>IF(OR($D7="1 dd",$D7="2 dd",$D7="3 dd",$D7="4 dd",$D7="5 dd",$D7="6 dd",$D7="8 dd",$D7="12 dd",$D7="24 dd",$D7="an",$D7="zn"),VLOOKUP($D7,ber_tijden_Neo!$A$17:$Y$27,ber_tijden_Neo!X$15,FALSE),"")</f>
        <v/>
      </c>
      <c r="AE7" s="613" t="str">
        <f>IF(OR($D7="1 dd",$D7="2 dd",$D7="3 dd",$D7="4 dd",$D7="5 dd",$D7="6 dd",$D7="8 dd",$D7="12 dd",$D7="24 dd",$D7="an",$D7="zn"),VLOOKUP($D7,ber_tijden_Neo!$A$17:$Y$27,ber_tijden_Neo!Y$15,FALSE),"")</f>
        <v/>
      </c>
      <c r="AF7" s="105"/>
      <c r="AG7" s="17"/>
    </row>
    <row r="8" spans="1:33" ht="26.1" customHeight="1" x14ac:dyDescent="0.2">
      <c r="B8" s="107"/>
      <c r="C8" s="231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32" t="str">
        <f>IF(Med_disc!H16&lt;&gt;"",Med_disc!H16,"")</f>
        <v/>
      </c>
      <c r="E8" s="233" t="str">
        <f>IF(AND(D8&lt;&gt;"",D8&lt;&gt;"STOP"),ber_Med_disc!H7&amp;" "&amp;ber_Med_disc!F7,"")</f>
        <v/>
      </c>
      <c r="F8" s="233" t="str">
        <f>IF(AND(D8&lt;&gt;"",D8&lt;&gt;"STOP"),ber_Med_disc!L7," ")</f>
        <v xml:space="preserve"> </v>
      </c>
      <c r="G8" s="233" t="str">
        <f>IF(Med_disc!L16&lt;&gt;"",Med_disc!L16&amp;" "&amp;Med_disc!M16&amp;" "&amp;INDEX(ber_Med_disc!$B$27:$B$30,ber_Med_disc!O7,1)&amp;" in "&amp;Med_disc!$O$16,"")</f>
        <v/>
      </c>
      <c r="H8" s="106" t="str">
        <f>IF(OR($D8="1 dd",$D8="2 dd",$D8="3 dd",$D8="4 dd",$D8="5 dd",$D8="6 dd",$D8="8 dd",$D8="12 dd",$D8="24 dd",$D8="an",$D8="zn"),VLOOKUP($D8,ber_tijden_Neo!$A$17:$Y$27,ber_tijden_Neo!B$15,FALSE),"")</f>
        <v/>
      </c>
      <c r="I8" s="613" t="str">
        <f>IF(OR($D8="1 dd",$D8="2 dd",$D8="3 dd",$D8="4 dd",$D8="5 dd",$D8="6 dd",$D8="8 dd",$D8="12 dd",$D8="24 dd",$D8="an",$D8="zn"),VLOOKUP($D8,ber_tijden_Neo!$A$17:$Y$27,ber_tijden_Neo!C$15,FALSE),"")</f>
        <v/>
      </c>
      <c r="J8" s="106" t="str">
        <f>IF(OR($D8="1 dd",$D8="2 dd",$D8="3 dd",$D8="4 dd",$D8="5 dd",$D8="6 dd",$D8="8 dd",$D8="12 dd",$D8="24 dd",$D8="an",$D8="zn"),VLOOKUP($D8,ber_tijden_Neo!$A$17:$Y$27,ber_tijden_Neo!D$15,FALSE),"")</f>
        <v/>
      </c>
      <c r="K8" s="613" t="str">
        <f>IF(OR($D8="1 dd",$D8="2 dd",$D8="3 dd",$D8="4 dd",$D8="5 dd",$D8="6 dd",$D8="8 dd",$D8="12 dd",$D8="24 dd",$D8="an",$D8="zn"),VLOOKUP($D8,ber_tijden_Neo!$A$17:$Y$27,ber_tijden_Neo!E$15,FALSE),"")</f>
        <v/>
      </c>
      <c r="L8" s="106" t="str">
        <f>IF(OR($D8="1 dd",$D8="2 dd",$D8="3 dd",$D8="4 dd",$D8="5 dd",$D8="6 dd",$D8="8 dd",$D8="12 dd",$D8="24 dd",$D8="an",$D8="zn"),VLOOKUP($D8,ber_tijden_Neo!$A$17:$Y$27,ber_tijden_Neo!F$15,FALSE),"")</f>
        <v/>
      </c>
      <c r="M8" s="613" t="str">
        <f>IF(OR($D8="1 dd",$D8="2 dd",$D8="3 dd",$D8="4 dd",$D8="5 dd",$D8="6 dd",$D8="8 dd",$D8="12 dd",$D8="24 dd",$D8="an",$D8="zn"),VLOOKUP($D8,ber_tijden_Neo!$A$17:$Y$27,ber_tijden_Neo!G$15,FALSE),"")</f>
        <v/>
      </c>
      <c r="N8" s="106" t="str">
        <f>IF(OR($D8="1 dd",$D8="2 dd",$D8="3 dd",$D8="4 dd",$D8="5 dd",$D8="6 dd",$D8="8 dd",$D8="12 dd",$D8="24 dd",$D8="an",$D8="zn"),VLOOKUP($D8,ber_tijden_Neo!$A$17:$Y$27,ber_tijden_Neo!H$15,FALSE),"")</f>
        <v/>
      </c>
      <c r="O8" s="613" t="str">
        <f>IF(OR($D8="1 dd",$D8="2 dd",$D8="3 dd",$D8="4 dd",$D8="5 dd",$D8="6 dd",$D8="8 dd",$D8="12 dd",$D8="24 dd",$D8="an",$D8="zn"),VLOOKUP($D8,ber_tijden_Neo!$A$17:$Y$27,ber_tijden_Neo!I$15,FALSE),"")</f>
        <v/>
      </c>
      <c r="P8" s="106" t="str">
        <f>IF(OR($D8="1 dd",$D8="2 dd",$D8="3 dd",$D8="4 dd",$D8="5 dd",$D8="6 dd",$D8="8 dd",$D8="12 dd",$D8="24 dd",$D8="an",$D8="zn"),VLOOKUP($D8,ber_tijden_Neo!$A$17:$Y$27,ber_tijden_Neo!J$15,FALSE),"")</f>
        <v/>
      </c>
      <c r="Q8" s="613" t="str">
        <f>IF(OR($D8="1 dd",$D8="2 dd",$D8="3 dd",$D8="4 dd",$D8="5 dd",$D8="6 dd",$D8="8 dd",$D8="12 dd",$D8="24 dd",$D8="an",$D8="zn"),VLOOKUP($D8,ber_tijden_Neo!$A$17:$Y$27,ber_tijden_Neo!K$15,FALSE),"")</f>
        <v/>
      </c>
      <c r="R8" s="106" t="str">
        <f>IF(OR($D8="1 dd",$D8="2 dd",$D8="3 dd",$D8="4 dd",$D8="5 dd",$D8="6 dd",$D8="8 dd",$D8="12 dd",$D8="24 dd",$D8="an",$D8="zn"),VLOOKUP($D8,ber_tijden_Neo!$A$17:$Y$27,ber_tijden_Neo!L$15,FALSE),"")</f>
        <v/>
      </c>
      <c r="S8" s="613" t="str">
        <f>IF(OR($D8="1 dd",$D8="2 dd",$D8="3 dd",$D8="4 dd",$D8="5 dd",$D8="6 dd",$D8="8 dd",$D8="12 dd",$D8="24 dd",$D8="an",$D8="zn"),VLOOKUP($D8,ber_tijden_Neo!$A$17:$Y$27,ber_tijden_Neo!M$15,FALSE),"")</f>
        <v/>
      </c>
      <c r="T8" s="106" t="str">
        <f>IF(OR($D8="1 dd",$D8="2 dd",$D8="3 dd",$D8="4 dd",$D8="5 dd",$D8="6 dd",$D8="8 dd",$D8="12 dd",$D8="24 dd",$D8="an",$D8="zn"),VLOOKUP($D8,ber_tijden_Neo!$A$17:$Y$27,ber_tijden_Neo!N$15,FALSE),"")</f>
        <v/>
      </c>
      <c r="U8" s="613" t="str">
        <f>IF(OR($D8="1 dd",$D8="2 dd",$D8="3 dd",$D8="4 dd",$D8="5 dd",$D8="6 dd",$D8="8 dd",$D8="12 dd",$D8="24 dd",$D8="an",$D8="zn"),VLOOKUP($D8,ber_tijden_Neo!$A$17:$Y$27,ber_tijden_Neo!O$15,FALSE),"")</f>
        <v/>
      </c>
      <c r="V8" s="106" t="str">
        <f>IF(OR($D8="1 dd",$D8="2 dd",$D8="3 dd",$D8="4 dd",$D8="5 dd",$D8="6 dd",$D8="8 dd",$D8="12 dd",$D8="24 dd",$D8="an",$D8="zn"),VLOOKUP($D8,ber_tijden_Neo!$A$17:$Y$27,ber_tijden_Neo!P$15,FALSE),"")</f>
        <v/>
      </c>
      <c r="W8" s="613" t="str">
        <f>IF(OR($D8="1 dd",$D8="2 dd",$D8="3 dd",$D8="4 dd",$D8="5 dd",$D8="6 dd",$D8="8 dd",$D8="12 dd",$D8="24 dd",$D8="an",$D8="zn"),VLOOKUP($D8,ber_tijden_Neo!$A$17:$Y$27,ber_tijden_Neo!Q$15,FALSE),"")</f>
        <v/>
      </c>
      <c r="X8" s="106" t="str">
        <f>IF(OR($D8="1 dd",$D8="2 dd",$D8="3 dd",$D8="4 dd",$D8="5 dd",$D8="6 dd",$D8="8 dd",$D8="12 dd",$D8="24 dd",$D8="an",$D8="zn"),VLOOKUP($D8,ber_tijden_Neo!$A$17:$Y$27,ber_tijden_Neo!R$15,FALSE),"")</f>
        <v/>
      </c>
      <c r="Y8" s="613" t="str">
        <f>IF(OR($D8="1 dd",$D8="2 dd",$D8="3 dd",$D8="4 dd",$D8="5 dd",$D8="6 dd",$D8="8 dd",$D8="12 dd",$D8="24 dd",$D8="an",$D8="zn"),VLOOKUP($D8,ber_tijden_Neo!$A$17:$Y$27,ber_tijden_Neo!S$15,FALSE),"")</f>
        <v/>
      </c>
      <c r="Z8" s="106" t="str">
        <f>IF(OR($D8="1 dd",$D8="2 dd",$D8="3 dd",$D8="4 dd",$D8="5 dd",$D8="6 dd",$D8="8 dd",$D8="12 dd",$D8="24 dd",$D8="an",$D8="zn"),VLOOKUP($D8,ber_tijden_Neo!$A$17:$Y$27,ber_tijden_Neo!T$15,FALSE),"")</f>
        <v/>
      </c>
      <c r="AA8" s="613" t="str">
        <f>IF(OR($D8="1 dd",$D8="2 dd",$D8="3 dd",$D8="4 dd",$D8="5 dd",$D8="6 dd",$D8="8 dd",$D8="12 dd",$D8="24 dd",$D8="an",$D8="zn"),VLOOKUP($D8,ber_tijden_Neo!$A$17:$Y$27,ber_tijden_Neo!U$15,FALSE),"")</f>
        <v/>
      </c>
      <c r="AB8" s="106" t="str">
        <f>IF(OR($D8="1 dd",$D8="2 dd",$D8="3 dd",$D8="4 dd",$D8="5 dd",$D8="6 dd",$D8="8 dd",$D8="12 dd",$D8="24 dd",$D8="an",$D8="zn"),VLOOKUP($D8,ber_tijden_Neo!$A$17:$Y$27,ber_tijden_Neo!V$15,FALSE),"")</f>
        <v/>
      </c>
      <c r="AC8" s="613" t="str">
        <f>IF(OR($D8="1 dd",$D8="2 dd",$D8="3 dd",$D8="4 dd",$D8="5 dd",$D8="6 dd",$D8="8 dd",$D8="12 dd",$D8="24 dd",$D8="an",$D8="zn"),VLOOKUP($D8,ber_tijden_Neo!$A$17:$Y$27,ber_tijden_Neo!W$15,FALSE),"")</f>
        <v/>
      </c>
      <c r="AD8" s="106" t="str">
        <f>IF(OR($D8="1 dd",$D8="2 dd",$D8="3 dd",$D8="4 dd",$D8="5 dd",$D8="6 dd",$D8="8 dd",$D8="12 dd",$D8="24 dd",$D8="an",$D8="zn"),VLOOKUP($D8,ber_tijden_Neo!$A$17:$Y$27,ber_tijden_Neo!X$15,FALSE),"")</f>
        <v/>
      </c>
      <c r="AE8" s="613" t="str">
        <f>IF(OR($D8="1 dd",$D8="2 dd",$D8="3 dd",$D8="4 dd",$D8="5 dd",$D8="6 dd",$D8="8 dd",$D8="12 dd",$D8="24 dd",$D8="an",$D8="zn"),VLOOKUP($D8,ber_tijden_Neo!$A$17:$Y$27,ber_tijden_Neo!Y$15,FALSE),"")</f>
        <v/>
      </c>
      <c r="AF8" s="105"/>
      <c r="AG8" s="17"/>
    </row>
    <row r="9" spans="1:33" ht="26.1" customHeight="1" x14ac:dyDescent="0.2">
      <c r="B9" s="107"/>
      <c r="C9" s="231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32" t="str">
        <f>IF(Med_disc!H18&lt;&gt;"",Med_disc!H18,"")</f>
        <v/>
      </c>
      <c r="E9" s="233" t="str">
        <f>IF(AND(D9&lt;&gt;"",D9&lt;&gt;"STOP"),ber_Med_disc!H8&amp;" "&amp;ber_Med_disc!F8,"")</f>
        <v/>
      </c>
      <c r="F9" s="233" t="str">
        <f>IF(AND(D9&lt;&gt;"",D9&lt;&gt;"STOP"),ber_Med_disc!L8," ")</f>
        <v xml:space="preserve"> </v>
      </c>
      <c r="G9" s="233" t="str">
        <f>IF(Med_disc!L18&lt;&gt;"",Med_disc!L18&amp;" "&amp;Med_disc!M18&amp;" "&amp;INDEX(ber_Med_disc!$B$27:$B$30,ber_Med_disc!O8,1)&amp;" in "&amp;Med_disc!$O$18,"")</f>
        <v/>
      </c>
      <c r="H9" s="106" t="str">
        <f>IF(OR($D9="1 dd",$D9="2 dd",$D9="3 dd",$D9="4 dd",$D9="5 dd",$D9="6 dd",$D9="8 dd",$D9="12 dd",$D9="24 dd",$D9="an",$D9="zn"),VLOOKUP($D9,ber_tijden_Neo!$A$17:$Y$27,ber_tijden_Neo!B$15,FALSE),"")</f>
        <v/>
      </c>
      <c r="I9" s="613" t="str">
        <f>IF(OR($D9="1 dd",$D9="2 dd",$D9="3 dd",$D9="4 dd",$D9="5 dd",$D9="6 dd",$D9="8 dd",$D9="12 dd",$D9="24 dd",$D9="an",$D9="zn"),VLOOKUP($D9,ber_tijden_Neo!$A$17:$Y$27,ber_tijden_Neo!C$15,FALSE),"")</f>
        <v/>
      </c>
      <c r="J9" s="106" t="str">
        <f>IF(OR($D9="1 dd",$D9="2 dd",$D9="3 dd",$D9="4 dd",$D9="5 dd",$D9="6 dd",$D9="8 dd",$D9="12 dd",$D9="24 dd",$D9="an",$D9="zn"),VLOOKUP($D9,ber_tijden_Neo!$A$17:$Y$27,ber_tijden_Neo!D$15,FALSE),"")</f>
        <v/>
      </c>
      <c r="K9" s="613" t="str">
        <f>IF(OR($D9="1 dd",$D9="2 dd",$D9="3 dd",$D9="4 dd",$D9="5 dd",$D9="6 dd",$D9="8 dd",$D9="12 dd",$D9="24 dd",$D9="an",$D9="zn"),VLOOKUP($D9,ber_tijden_Neo!$A$17:$Y$27,ber_tijden_Neo!E$15,FALSE),"")</f>
        <v/>
      </c>
      <c r="L9" s="106" t="str">
        <f>IF(OR($D9="1 dd",$D9="2 dd",$D9="3 dd",$D9="4 dd",$D9="5 dd",$D9="6 dd",$D9="8 dd",$D9="12 dd",$D9="24 dd",$D9="an",$D9="zn"),VLOOKUP($D9,ber_tijden_Neo!$A$17:$Y$27,ber_tijden_Neo!F$15,FALSE),"")</f>
        <v/>
      </c>
      <c r="M9" s="613" t="str">
        <f>IF(OR($D9="1 dd",$D9="2 dd",$D9="3 dd",$D9="4 dd",$D9="5 dd",$D9="6 dd",$D9="8 dd",$D9="12 dd",$D9="24 dd",$D9="an",$D9="zn"),VLOOKUP($D9,ber_tijden_Neo!$A$17:$Y$27,ber_tijden_Neo!G$15,FALSE),"")</f>
        <v/>
      </c>
      <c r="N9" s="106" t="str">
        <f>IF(OR($D9="1 dd",$D9="2 dd",$D9="3 dd",$D9="4 dd",$D9="5 dd",$D9="6 dd",$D9="8 dd",$D9="12 dd",$D9="24 dd",$D9="an",$D9="zn"),VLOOKUP($D9,ber_tijden_Neo!$A$17:$Y$27,ber_tijden_Neo!H$15,FALSE),"")</f>
        <v/>
      </c>
      <c r="O9" s="613" t="str">
        <f>IF(OR($D9="1 dd",$D9="2 dd",$D9="3 dd",$D9="4 dd",$D9="5 dd",$D9="6 dd",$D9="8 dd",$D9="12 dd",$D9="24 dd",$D9="an",$D9="zn"),VLOOKUP($D9,ber_tijden_Neo!$A$17:$Y$27,ber_tijden_Neo!I$15,FALSE),"")</f>
        <v/>
      </c>
      <c r="P9" s="106" t="str">
        <f>IF(OR($D9="1 dd",$D9="2 dd",$D9="3 dd",$D9="4 dd",$D9="5 dd",$D9="6 dd",$D9="8 dd",$D9="12 dd",$D9="24 dd",$D9="an",$D9="zn"),VLOOKUP($D9,ber_tijden_Neo!$A$17:$Y$27,ber_tijden_Neo!J$15,FALSE),"")</f>
        <v/>
      </c>
      <c r="Q9" s="613" t="str">
        <f>IF(OR($D9="1 dd",$D9="2 dd",$D9="3 dd",$D9="4 dd",$D9="5 dd",$D9="6 dd",$D9="8 dd",$D9="12 dd",$D9="24 dd",$D9="an",$D9="zn"),VLOOKUP($D9,ber_tijden_Neo!$A$17:$Y$27,ber_tijden_Neo!K$15,FALSE),"")</f>
        <v/>
      </c>
      <c r="R9" s="106" t="str">
        <f>IF(OR($D9="1 dd",$D9="2 dd",$D9="3 dd",$D9="4 dd",$D9="5 dd",$D9="6 dd",$D9="8 dd",$D9="12 dd",$D9="24 dd",$D9="an",$D9="zn"),VLOOKUP($D9,ber_tijden_Neo!$A$17:$Y$27,ber_tijden_Neo!L$15,FALSE),"")</f>
        <v/>
      </c>
      <c r="S9" s="613" t="str">
        <f>IF(OR($D9="1 dd",$D9="2 dd",$D9="3 dd",$D9="4 dd",$D9="5 dd",$D9="6 dd",$D9="8 dd",$D9="12 dd",$D9="24 dd",$D9="an",$D9="zn"),VLOOKUP($D9,ber_tijden_Neo!$A$17:$Y$27,ber_tijden_Neo!M$15,FALSE),"")</f>
        <v/>
      </c>
      <c r="T9" s="106" t="str">
        <f>IF(OR($D9="1 dd",$D9="2 dd",$D9="3 dd",$D9="4 dd",$D9="5 dd",$D9="6 dd",$D9="8 dd",$D9="12 dd",$D9="24 dd",$D9="an",$D9="zn"),VLOOKUP($D9,ber_tijden_Neo!$A$17:$Y$27,ber_tijden_Neo!N$15,FALSE),"")</f>
        <v/>
      </c>
      <c r="U9" s="613" t="str">
        <f>IF(OR($D9="1 dd",$D9="2 dd",$D9="3 dd",$D9="4 dd",$D9="5 dd",$D9="6 dd",$D9="8 dd",$D9="12 dd",$D9="24 dd",$D9="an",$D9="zn"),VLOOKUP($D9,ber_tijden_Neo!$A$17:$Y$27,ber_tijden_Neo!O$15,FALSE),"")</f>
        <v/>
      </c>
      <c r="V9" s="106" t="str">
        <f>IF(OR($D9="1 dd",$D9="2 dd",$D9="3 dd",$D9="4 dd",$D9="5 dd",$D9="6 dd",$D9="8 dd",$D9="12 dd",$D9="24 dd",$D9="an",$D9="zn"),VLOOKUP($D9,ber_tijden_Neo!$A$17:$Y$27,ber_tijden_Neo!P$15,FALSE),"")</f>
        <v/>
      </c>
      <c r="W9" s="613" t="str">
        <f>IF(OR($D9="1 dd",$D9="2 dd",$D9="3 dd",$D9="4 dd",$D9="5 dd",$D9="6 dd",$D9="8 dd",$D9="12 dd",$D9="24 dd",$D9="an",$D9="zn"),VLOOKUP($D9,ber_tijden_Neo!$A$17:$Y$27,ber_tijden_Neo!Q$15,FALSE),"")</f>
        <v/>
      </c>
      <c r="X9" s="106" t="str">
        <f>IF(OR($D9="1 dd",$D9="2 dd",$D9="3 dd",$D9="4 dd",$D9="5 dd",$D9="6 dd",$D9="8 dd",$D9="12 dd",$D9="24 dd",$D9="an",$D9="zn"),VLOOKUP($D9,ber_tijden_Neo!$A$17:$Y$27,ber_tijden_Neo!R$15,FALSE),"")</f>
        <v/>
      </c>
      <c r="Y9" s="613" t="str">
        <f>IF(OR($D9="1 dd",$D9="2 dd",$D9="3 dd",$D9="4 dd",$D9="5 dd",$D9="6 dd",$D9="8 dd",$D9="12 dd",$D9="24 dd",$D9="an",$D9="zn"),VLOOKUP($D9,ber_tijden_Neo!$A$17:$Y$27,ber_tijden_Neo!S$15,FALSE),"")</f>
        <v/>
      </c>
      <c r="Z9" s="106" t="str">
        <f>IF(OR($D9="1 dd",$D9="2 dd",$D9="3 dd",$D9="4 dd",$D9="5 dd",$D9="6 dd",$D9="8 dd",$D9="12 dd",$D9="24 dd",$D9="an",$D9="zn"),VLOOKUP($D9,ber_tijden_Neo!$A$17:$Y$27,ber_tijden_Neo!T$15,FALSE),"")</f>
        <v/>
      </c>
      <c r="AA9" s="613" t="str">
        <f>IF(OR($D9="1 dd",$D9="2 dd",$D9="3 dd",$D9="4 dd",$D9="5 dd",$D9="6 dd",$D9="8 dd",$D9="12 dd",$D9="24 dd",$D9="an",$D9="zn"),VLOOKUP($D9,ber_tijden_Neo!$A$17:$Y$27,ber_tijden_Neo!U$15,FALSE),"")</f>
        <v/>
      </c>
      <c r="AB9" s="106" t="str">
        <f>IF(OR($D9="1 dd",$D9="2 dd",$D9="3 dd",$D9="4 dd",$D9="5 dd",$D9="6 dd",$D9="8 dd",$D9="12 dd",$D9="24 dd",$D9="an",$D9="zn"),VLOOKUP($D9,ber_tijden_Neo!$A$17:$Y$27,ber_tijden_Neo!V$15,FALSE),"")</f>
        <v/>
      </c>
      <c r="AC9" s="613" t="str">
        <f>IF(OR($D9="1 dd",$D9="2 dd",$D9="3 dd",$D9="4 dd",$D9="5 dd",$D9="6 dd",$D9="8 dd",$D9="12 dd",$D9="24 dd",$D9="an",$D9="zn"),VLOOKUP($D9,ber_tijden_Neo!$A$17:$Y$27,ber_tijden_Neo!W$15,FALSE),"")</f>
        <v/>
      </c>
      <c r="AD9" s="106" t="str">
        <f>IF(OR($D9="1 dd",$D9="2 dd",$D9="3 dd",$D9="4 dd",$D9="5 dd",$D9="6 dd",$D9="8 dd",$D9="12 dd",$D9="24 dd",$D9="an",$D9="zn"),VLOOKUP($D9,ber_tijden_Neo!$A$17:$Y$27,ber_tijden_Neo!X$15,FALSE),"")</f>
        <v/>
      </c>
      <c r="AE9" s="613" t="str">
        <f>IF(OR($D9="1 dd",$D9="2 dd",$D9="3 dd",$D9="4 dd",$D9="5 dd",$D9="6 dd",$D9="8 dd",$D9="12 dd",$D9="24 dd",$D9="an",$D9="zn"),VLOOKUP($D9,ber_tijden_Neo!$A$17:$Y$27,ber_tijden_Neo!Y$15,FALSE),"")</f>
        <v/>
      </c>
      <c r="AF9" s="105"/>
      <c r="AG9" s="17"/>
    </row>
    <row r="10" spans="1:33" ht="26.1" customHeight="1" x14ac:dyDescent="0.2">
      <c r="B10" s="107"/>
      <c r="C10" s="231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32" t="str">
        <f>IF(Med_disc!H20&lt;&gt;"",Med_disc!H20,"")</f>
        <v/>
      </c>
      <c r="E10" s="233" t="str">
        <f>IF(AND(D10&lt;&gt;"",D10&lt;&gt;"STOP"),ber_Med_disc!H9&amp;" "&amp;ber_Med_disc!F9,"")</f>
        <v/>
      </c>
      <c r="F10" s="233" t="str">
        <f>IF(AND(D10&lt;&gt;"",D10&lt;&gt;"STOP"),ber_Med_disc!L9," ")</f>
        <v xml:space="preserve"> </v>
      </c>
      <c r="G10" s="233" t="str">
        <f>IF(Med_disc!L20&lt;&gt;"",Med_disc!L20&amp;" "&amp;Med_disc!M20&amp;" "&amp;INDEX(ber_Med_disc!$B$27:$B$30,ber_Med_disc!O9,1)&amp;" in "&amp;Med_disc!$O$20,"")</f>
        <v/>
      </c>
      <c r="H10" s="106" t="str">
        <f>IF(OR($D10="1 dd",$D10="2 dd",$D10="3 dd",$D10="4 dd",$D10="5 dd",$D10="6 dd",$D10="8 dd",$D10="12 dd",$D10="24 dd",$D10="an",$D10="zn"),VLOOKUP($D10,ber_tijden_Neo!$A$17:$Y$27,ber_tijden_Neo!B$15,FALSE),"")</f>
        <v/>
      </c>
      <c r="I10" s="613" t="str">
        <f>IF(OR($D10="1 dd",$D10="2 dd",$D10="3 dd",$D10="4 dd",$D10="5 dd",$D10="6 dd",$D10="8 dd",$D10="12 dd",$D10="24 dd",$D10="an",$D10="zn"),VLOOKUP($D10,ber_tijden_Neo!$A$17:$Y$27,ber_tijden_Neo!C$15,FALSE),"")</f>
        <v/>
      </c>
      <c r="J10" s="106" t="str">
        <f>IF(OR($D10="1 dd",$D10="2 dd",$D10="3 dd",$D10="4 dd",$D10="5 dd",$D10="6 dd",$D10="8 dd",$D10="12 dd",$D10="24 dd",$D10="an",$D10="zn"),VLOOKUP($D10,ber_tijden_Neo!$A$17:$Y$27,ber_tijden_Neo!D$15,FALSE),"")</f>
        <v/>
      </c>
      <c r="K10" s="613" t="str">
        <f>IF(OR($D10="1 dd",$D10="2 dd",$D10="3 dd",$D10="4 dd",$D10="5 dd",$D10="6 dd",$D10="8 dd",$D10="12 dd",$D10="24 dd",$D10="an",$D10="zn"),VLOOKUP($D10,ber_tijden_Neo!$A$17:$Y$27,ber_tijden_Neo!E$15,FALSE),"")</f>
        <v/>
      </c>
      <c r="L10" s="106" t="str">
        <f>IF(OR($D10="1 dd",$D10="2 dd",$D10="3 dd",$D10="4 dd",$D10="5 dd",$D10="6 dd",$D10="8 dd",$D10="12 dd",$D10="24 dd",$D10="an",$D10="zn"),VLOOKUP($D10,ber_tijden_Neo!$A$17:$Y$27,ber_tijden_Neo!F$15,FALSE),"")</f>
        <v/>
      </c>
      <c r="M10" s="613" t="str">
        <f>IF(OR($D10="1 dd",$D10="2 dd",$D10="3 dd",$D10="4 dd",$D10="5 dd",$D10="6 dd",$D10="8 dd",$D10="12 dd",$D10="24 dd",$D10="an",$D10="zn"),VLOOKUP($D10,ber_tijden_Neo!$A$17:$Y$27,ber_tijden_Neo!G$15,FALSE),"")</f>
        <v/>
      </c>
      <c r="N10" s="106" t="str">
        <f>IF(OR($D10="1 dd",$D10="2 dd",$D10="3 dd",$D10="4 dd",$D10="5 dd",$D10="6 dd",$D10="8 dd",$D10="12 dd",$D10="24 dd",$D10="an",$D10="zn"),VLOOKUP($D10,ber_tijden_Neo!$A$17:$Y$27,ber_tijden_Neo!H$15,FALSE),"")</f>
        <v/>
      </c>
      <c r="O10" s="613" t="str">
        <f>IF(OR($D10="1 dd",$D10="2 dd",$D10="3 dd",$D10="4 dd",$D10="5 dd",$D10="6 dd",$D10="8 dd",$D10="12 dd",$D10="24 dd",$D10="an",$D10="zn"),VLOOKUP($D10,ber_tijden_Neo!$A$17:$Y$27,ber_tijden_Neo!I$15,FALSE),"")</f>
        <v/>
      </c>
      <c r="P10" s="106" t="str">
        <f>IF(OR($D10="1 dd",$D10="2 dd",$D10="3 dd",$D10="4 dd",$D10="5 dd",$D10="6 dd",$D10="8 dd",$D10="12 dd",$D10="24 dd",$D10="an",$D10="zn"),VLOOKUP($D10,ber_tijden_Neo!$A$17:$Y$27,ber_tijden_Neo!J$15,FALSE),"")</f>
        <v/>
      </c>
      <c r="Q10" s="613" t="str">
        <f>IF(OR($D10="1 dd",$D10="2 dd",$D10="3 dd",$D10="4 dd",$D10="5 dd",$D10="6 dd",$D10="8 dd",$D10="12 dd",$D10="24 dd",$D10="an",$D10="zn"),VLOOKUP($D10,ber_tijden_Neo!$A$17:$Y$27,ber_tijden_Neo!K$15,FALSE),"")</f>
        <v/>
      </c>
      <c r="R10" s="106" t="str">
        <f>IF(OR($D10="1 dd",$D10="2 dd",$D10="3 dd",$D10="4 dd",$D10="5 dd",$D10="6 dd",$D10="8 dd",$D10="12 dd",$D10="24 dd",$D10="an",$D10="zn"),VLOOKUP($D10,ber_tijden_Neo!$A$17:$Y$27,ber_tijden_Neo!L$15,FALSE),"")</f>
        <v/>
      </c>
      <c r="S10" s="613" t="str">
        <f>IF(OR($D10="1 dd",$D10="2 dd",$D10="3 dd",$D10="4 dd",$D10="5 dd",$D10="6 dd",$D10="8 dd",$D10="12 dd",$D10="24 dd",$D10="an",$D10="zn"),VLOOKUP($D10,ber_tijden_Neo!$A$17:$Y$27,ber_tijden_Neo!M$15,FALSE),"")</f>
        <v/>
      </c>
      <c r="T10" s="106" t="str">
        <f>IF(OR($D10="1 dd",$D10="2 dd",$D10="3 dd",$D10="4 dd",$D10="5 dd",$D10="6 dd",$D10="8 dd",$D10="12 dd",$D10="24 dd",$D10="an",$D10="zn"),VLOOKUP($D10,ber_tijden_Neo!$A$17:$Y$27,ber_tijden_Neo!N$15,FALSE),"")</f>
        <v/>
      </c>
      <c r="U10" s="613" t="str">
        <f>IF(OR($D10="1 dd",$D10="2 dd",$D10="3 dd",$D10="4 dd",$D10="5 dd",$D10="6 dd",$D10="8 dd",$D10="12 dd",$D10="24 dd",$D10="an",$D10="zn"),VLOOKUP($D10,ber_tijden_Neo!$A$17:$Y$27,ber_tijden_Neo!O$15,FALSE),"")</f>
        <v/>
      </c>
      <c r="V10" s="106" t="str">
        <f>IF(OR($D10="1 dd",$D10="2 dd",$D10="3 dd",$D10="4 dd",$D10="5 dd",$D10="6 dd",$D10="8 dd",$D10="12 dd",$D10="24 dd",$D10="an",$D10="zn"),VLOOKUP($D10,ber_tijden_Neo!$A$17:$Y$27,ber_tijden_Neo!P$15,FALSE),"")</f>
        <v/>
      </c>
      <c r="W10" s="613" t="str">
        <f>IF(OR($D10="1 dd",$D10="2 dd",$D10="3 dd",$D10="4 dd",$D10="5 dd",$D10="6 dd",$D10="8 dd",$D10="12 dd",$D10="24 dd",$D10="an",$D10="zn"),VLOOKUP($D10,ber_tijden_Neo!$A$17:$Y$27,ber_tijden_Neo!Q$15,FALSE),"")</f>
        <v/>
      </c>
      <c r="X10" s="106" t="str">
        <f>IF(OR($D10="1 dd",$D10="2 dd",$D10="3 dd",$D10="4 dd",$D10="5 dd",$D10="6 dd",$D10="8 dd",$D10="12 dd",$D10="24 dd",$D10="an",$D10="zn"),VLOOKUP($D10,ber_tijden_Neo!$A$17:$Y$27,ber_tijden_Neo!R$15,FALSE),"")</f>
        <v/>
      </c>
      <c r="Y10" s="613" t="str">
        <f>IF(OR($D10="1 dd",$D10="2 dd",$D10="3 dd",$D10="4 dd",$D10="5 dd",$D10="6 dd",$D10="8 dd",$D10="12 dd",$D10="24 dd",$D10="an",$D10="zn"),VLOOKUP($D10,ber_tijden_Neo!$A$17:$Y$27,ber_tijden_Neo!S$15,FALSE),"")</f>
        <v/>
      </c>
      <c r="Z10" s="106" t="str">
        <f>IF(OR($D10="1 dd",$D10="2 dd",$D10="3 dd",$D10="4 dd",$D10="5 dd",$D10="6 dd",$D10="8 dd",$D10="12 dd",$D10="24 dd",$D10="an",$D10="zn"),VLOOKUP($D10,ber_tijden_Neo!$A$17:$Y$27,ber_tijden_Neo!T$15,FALSE),"")</f>
        <v/>
      </c>
      <c r="AA10" s="613" t="str">
        <f>IF(OR($D10="1 dd",$D10="2 dd",$D10="3 dd",$D10="4 dd",$D10="5 dd",$D10="6 dd",$D10="8 dd",$D10="12 dd",$D10="24 dd",$D10="an",$D10="zn"),VLOOKUP($D10,ber_tijden_Neo!$A$17:$Y$27,ber_tijden_Neo!U$15,FALSE),"")</f>
        <v/>
      </c>
      <c r="AB10" s="106" t="str">
        <f>IF(OR($D10="1 dd",$D10="2 dd",$D10="3 dd",$D10="4 dd",$D10="5 dd",$D10="6 dd",$D10="8 dd",$D10="12 dd",$D10="24 dd",$D10="an",$D10="zn"),VLOOKUP($D10,ber_tijden_Neo!$A$17:$Y$27,ber_tijden_Neo!V$15,FALSE),"")</f>
        <v/>
      </c>
      <c r="AC10" s="613" t="str">
        <f>IF(OR($D10="1 dd",$D10="2 dd",$D10="3 dd",$D10="4 dd",$D10="5 dd",$D10="6 dd",$D10="8 dd",$D10="12 dd",$D10="24 dd",$D10="an",$D10="zn"),VLOOKUP($D10,ber_tijden_Neo!$A$17:$Y$27,ber_tijden_Neo!W$15,FALSE),"")</f>
        <v/>
      </c>
      <c r="AD10" s="106" t="str">
        <f>IF(OR($D10="1 dd",$D10="2 dd",$D10="3 dd",$D10="4 dd",$D10="5 dd",$D10="6 dd",$D10="8 dd",$D10="12 dd",$D10="24 dd",$D10="an",$D10="zn"),VLOOKUP($D10,ber_tijden_Neo!$A$17:$Y$27,ber_tijden_Neo!X$15,FALSE),"")</f>
        <v/>
      </c>
      <c r="AE10" s="613" t="str">
        <f>IF(OR($D10="1 dd",$D10="2 dd",$D10="3 dd",$D10="4 dd",$D10="5 dd",$D10="6 dd",$D10="8 dd",$D10="12 dd",$D10="24 dd",$D10="an",$D10="zn"),VLOOKUP($D10,ber_tijden_Neo!$A$17:$Y$27,ber_tijden_Neo!Y$15,FALSE),"")</f>
        <v/>
      </c>
      <c r="AF10" s="105"/>
      <c r="AG10" s="17"/>
    </row>
    <row r="11" spans="1:33" ht="26.1" customHeight="1" x14ac:dyDescent="0.2">
      <c r="B11" s="107"/>
      <c r="C11" s="231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32" t="str">
        <f>IF(Med_disc!H22&lt;&gt;"",Med_disc!H22,"")</f>
        <v/>
      </c>
      <c r="E11" s="233" t="str">
        <f>IF(AND(D11&lt;&gt;"",D11&lt;&gt;"STOP"),ber_Med_disc!H10&amp;" "&amp;ber_Med_disc!F10,"")</f>
        <v/>
      </c>
      <c r="F11" s="233" t="str">
        <f>IF(AND(D11&lt;&gt;"",D11&lt;&gt;"STOP"),ber_Med_disc!L10," ")</f>
        <v xml:space="preserve"> </v>
      </c>
      <c r="G11" s="233" t="str">
        <f>IF(Med_disc!L22&lt;&gt;"",Med_disc!L22&amp;" "&amp;Med_disc!M22&amp;" "&amp;INDEX(ber_Med_disc!$B$27:$B$30,ber_Med_disc!O10,1)&amp;" in "&amp;Med_disc!$O$22,"")</f>
        <v/>
      </c>
      <c r="H11" s="106" t="str">
        <f>IF(OR($D11="1 dd",$D11="2 dd",$D11="3 dd",$D11="4 dd",$D11="5 dd",$D11="6 dd",$D11="8 dd",$D11="12 dd",$D11="24 dd",$D11="an",$D11="zn"),VLOOKUP($D11,ber_tijden_Neo!$A$17:$Y$27,ber_tijden_Neo!B$15,FALSE),"")</f>
        <v/>
      </c>
      <c r="I11" s="613" t="str">
        <f>IF(OR($D11="1 dd",$D11="2 dd",$D11="3 dd",$D11="4 dd",$D11="5 dd",$D11="6 dd",$D11="8 dd",$D11="12 dd",$D11="24 dd",$D11="an",$D11="zn"),VLOOKUP($D11,ber_tijden_Neo!$A$17:$Y$27,ber_tijden_Neo!C$15,FALSE),"")</f>
        <v/>
      </c>
      <c r="J11" s="106" t="str">
        <f>IF(OR($D11="1 dd",$D11="2 dd",$D11="3 dd",$D11="4 dd",$D11="5 dd",$D11="6 dd",$D11="8 dd",$D11="12 dd",$D11="24 dd",$D11="an",$D11="zn"),VLOOKUP($D11,ber_tijden_Neo!$A$17:$Y$27,ber_tijden_Neo!D$15,FALSE),"")</f>
        <v/>
      </c>
      <c r="K11" s="613" t="str">
        <f>IF(OR($D11="1 dd",$D11="2 dd",$D11="3 dd",$D11="4 dd",$D11="5 dd",$D11="6 dd",$D11="8 dd",$D11="12 dd",$D11="24 dd",$D11="an",$D11="zn"),VLOOKUP($D11,ber_tijden_Neo!$A$17:$Y$27,ber_tijden_Neo!E$15,FALSE),"")</f>
        <v/>
      </c>
      <c r="L11" s="106" t="str">
        <f>IF(OR($D11="1 dd",$D11="2 dd",$D11="3 dd",$D11="4 dd",$D11="5 dd",$D11="6 dd",$D11="8 dd",$D11="12 dd",$D11="24 dd",$D11="an",$D11="zn"),VLOOKUP($D11,ber_tijden_Neo!$A$17:$Y$27,ber_tijden_Neo!F$15,FALSE),"")</f>
        <v/>
      </c>
      <c r="M11" s="613" t="str">
        <f>IF(OR($D11="1 dd",$D11="2 dd",$D11="3 dd",$D11="4 dd",$D11="5 dd",$D11="6 dd",$D11="8 dd",$D11="12 dd",$D11="24 dd",$D11="an",$D11="zn"),VLOOKUP($D11,ber_tijden_Neo!$A$17:$Y$27,ber_tijden_Neo!G$15,FALSE),"")</f>
        <v/>
      </c>
      <c r="N11" s="106" t="str">
        <f>IF(OR($D11="1 dd",$D11="2 dd",$D11="3 dd",$D11="4 dd",$D11="5 dd",$D11="6 dd",$D11="8 dd",$D11="12 dd",$D11="24 dd",$D11="an",$D11="zn"),VLOOKUP($D11,ber_tijden_Neo!$A$17:$Y$27,ber_tijden_Neo!H$15,FALSE),"")</f>
        <v/>
      </c>
      <c r="O11" s="613" t="str">
        <f>IF(OR($D11="1 dd",$D11="2 dd",$D11="3 dd",$D11="4 dd",$D11="5 dd",$D11="6 dd",$D11="8 dd",$D11="12 dd",$D11="24 dd",$D11="an",$D11="zn"),VLOOKUP($D11,ber_tijden_Neo!$A$17:$Y$27,ber_tijden_Neo!I$15,FALSE),"")</f>
        <v/>
      </c>
      <c r="P11" s="106" t="str">
        <f>IF(OR($D11="1 dd",$D11="2 dd",$D11="3 dd",$D11="4 dd",$D11="5 dd",$D11="6 dd",$D11="8 dd",$D11="12 dd",$D11="24 dd",$D11="an",$D11="zn"),VLOOKUP($D11,ber_tijden_Neo!$A$17:$Y$27,ber_tijden_Neo!J$15,FALSE),"")</f>
        <v/>
      </c>
      <c r="Q11" s="613" t="str">
        <f>IF(OR($D11="1 dd",$D11="2 dd",$D11="3 dd",$D11="4 dd",$D11="5 dd",$D11="6 dd",$D11="8 dd",$D11="12 dd",$D11="24 dd",$D11="an",$D11="zn"),VLOOKUP($D11,ber_tijden_Neo!$A$17:$Y$27,ber_tijden_Neo!K$15,FALSE),"")</f>
        <v/>
      </c>
      <c r="R11" s="106" t="str">
        <f>IF(OR($D11="1 dd",$D11="2 dd",$D11="3 dd",$D11="4 dd",$D11="5 dd",$D11="6 dd",$D11="8 dd",$D11="12 dd",$D11="24 dd",$D11="an",$D11="zn"),VLOOKUP($D11,ber_tijden_Neo!$A$17:$Y$27,ber_tijden_Neo!L$15,FALSE),"")</f>
        <v/>
      </c>
      <c r="S11" s="613" t="str">
        <f>IF(OR($D11="1 dd",$D11="2 dd",$D11="3 dd",$D11="4 dd",$D11="5 dd",$D11="6 dd",$D11="8 dd",$D11="12 dd",$D11="24 dd",$D11="an",$D11="zn"),VLOOKUP($D11,ber_tijden_Neo!$A$17:$Y$27,ber_tijden_Neo!M$15,FALSE),"")</f>
        <v/>
      </c>
      <c r="T11" s="106" t="str">
        <f>IF(OR($D11="1 dd",$D11="2 dd",$D11="3 dd",$D11="4 dd",$D11="5 dd",$D11="6 dd",$D11="8 dd",$D11="12 dd",$D11="24 dd",$D11="an",$D11="zn"),VLOOKUP($D11,ber_tijden_Neo!$A$17:$Y$27,ber_tijden_Neo!N$15,FALSE),"")</f>
        <v/>
      </c>
      <c r="U11" s="613" t="str">
        <f>IF(OR($D11="1 dd",$D11="2 dd",$D11="3 dd",$D11="4 dd",$D11="5 dd",$D11="6 dd",$D11="8 dd",$D11="12 dd",$D11="24 dd",$D11="an",$D11="zn"),VLOOKUP($D11,ber_tijden_Neo!$A$17:$Y$27,ber_tijden_Neo!O$15,FALSE),"")</f>
        <v/>
      </c>
      <c r="V11" s="106" t="str">
        <f>IF(OR($D11="1 dd",$D11="2 dd",$D11="3 dd",$D11="4 dd",$D11="5 dd",$D11="6 dd",$D11="8 dd",$D11="12 dd",$D11="24 dd",$D11="an",$D11="zn"),VLOOKUP($D11,ber_tijden_Neo!$A$17:$Y$27,ber_tijden_Neo!P$15,FALSE),"")</f>
        <v/>
      </c>
      <c r="W11" s="613" t="str">
        <f>IF(OR($D11="1 dd",$D11="2 dd",$D11="3 dd",$D11="4 dd",$D11="5 dd",$D11="6 dd",$D11="8 dd",$D11="12 dd",$D11="24 dd",$D11="an",$D11="zn"),VLOOKUP($D11,ber_tijden_Neo!$A$17:$Y$27,ber_tijden_Neo!Q$15,FALSE),"")</f>
        <v/>
      </c>
      <c r="X11" s="106" t="str">
        <f>IF(OR($D11="1 dd",$D11="2 dd",$D11="3 dd",$D11="4 dd",$D11="5 dd",$D11="6 dd",$D11="8 dd",$D11="12 dd",$D11="24 dd",$D11="an",$D11="zn"),VLOOKUP($D11,ber_tijden_Neo!$A$17:$Y$27,ber_tijden_Neo!R$15,FALSE),"")</f>
        <v/>
      </c>
      <c r="Y11" s="613" t="str">
        <f>IF(OR($D11="1 dd",$D11="2 dd",$D11="3 dd",$D11="4 dd",$D11="5 dd",$D11="6 dd",$D11="8 dd",$D11="12 dd",$D11="24 dd",$D11="an",$D11="zn"),VLOOKUP($D11,ber_tijden_Neo!$A$17:$Y$27,ber_tijden_Neo!S$15,FALSE),"")</f>
        <v/>
      </c>
      <c r="Z11" s="106" t="str">
        <f>IF(OR($D11="1 dd",$D11="2 dd",$D11="3 dd",$D11="4 dd",$D11="5 dd",$D11="6 dd",$D11="8 dd",$D11="12 dd",$D11="24 dd",$D11="an",$D11="zn"),VLOOKUP($D11,ber_tijden_Neo!$A$17:$Y$27,ber_tijden_Neo!T$15,FALSE),"")</f>
        <v/>
      </c>
      <c r="AA11" s="613" t="str">
        <f>IF(OR($D11="1 dd",$D11="2 dd",$D11="3 dd",$D11="4 dd",$D11="5 dd",$D11="6 dd",$D11="8 dd",$D11="12 dd",$D11="24 dd",$D11="an",$D11="zn"),VLOOKUP($D11,ber_tijden_Neo!$A$17:$Y$27,ber_tijden_Neo!U$15,FALSE),"")</f>
        <v/>
      </c>
      <c r="AB11" s="106" t="str">
        <f>IF(OR($D11="1 dd",$D11="2 dd",$D11="3 dd",$D11="4 dd",$D11="5 dd",$D11="6 dd",$D11="8 dd",$D11="12 dd",$D11="24 dd",$D11="an",$D11="zn"),VLOOKUP($D11,ber_tijden_Neo!$A$17:$Y$27,ber_tijden_Neo!V$15,FALSE),"")</f>
        <v/>
      </c>
      <c r="AC11" s="613" t="str">
        <f>IF(OR($D11="1 dd",$D11="2 dd",$D11="3 dd",$D11="4 dd",$D11="5 dd",$D11="6 dd",$D11="8 dd",$D11="12 dd",$D11="24 dd",$D11="an",$D11="zn"),VLOOKUP($D11,ber_tijden_Neo!$A$17:$Y$27,ber_tijden_Neo!W$15,FALSE),"")</f>
        <v/>
      </c>
      <c r="AD11" s="106" t="str">
        <f>IF(OR($D11="1 dd",$D11="2 dd",$D11="3 dd",$D11="4 dd",$D11="5 dd",$D11="6 dd",$D11="8 dd",$D11="12 dd",$D11="24 dd",$D11="an",$D11="zn"),VLOOKUP($D11,ber_tijden_Neo!$A$17:$Y$27,ber_tijden_Neo!X$15,FALSE),"")</f>
        <v/>
      </c>
      <c r="AE11" s="613" t="str">
        <f>IF(OR($D11="1 dd",$D11="2 dd",$D11="3 dd",$D11="4 dd",$D11="5 dd",$D11="6 dd",$D11="8 dd",$D11="12 dd",$D11="24 dd",$D11="an",$D11="zn"),VLOOKUP($D11,ber_tijden_Neo!$A$17:$Y$27,ber_tijden_Neo!Y$15,FALSE),"")</f>
        <v/>
      </c>
      <c r="AF11" s="105"/>
      <c r="AG11" s="17"/>
    </row>
    <row r="12" spans="1:33" ht="26.1" customHeight="1" x14ac:dyDescent="0.2">
      <c r="B12" s="107"/>
      <c r="C12" s="231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32" t="str">
        <f>IF(Med_disc!H24&lt;&gt;"",Med_disc!H24,"")</f>
        <v/>
      </c>
      <c r="E12" s="233" t="str">
        <f>IF(AND(D12&lt;&gt;"",D12&lt;&gt;"STOP"),ber_Med_disc!H11&amp;" "&amp;ber_Med_disc!F11,"")</f>
        <v/>
      </c>
      <c r="F12" s="233" t="str">
        <f>IF(AND(D12&lt;&gt;"",D12&lt;&gt;"STOP"),ber_Med_disc!L11," ")</f>
        <v xml:space="preserve"> </v>
      </c>
      <c r="G12" s="233" t="str">
        <f>IF(Med_disc!L24&lt;&gt;"",Med_disc!L24&amp;" "&amp;Med_disc!M24&amp;" "&amp;INDEX(ber_Med_disc!$B$27:$B$30,ber_Med_disc!O11,1)&amp;" in "&amp;Med_disc!$O$1404,"")</f>
        <v/>
      </c>
      <c r="H12" s="106" t="str">
        <f>IF(OR($D12="1 dd",$D12="2 dd",$D12="3 dd",$D12="4 dd",$D12="5 dd",$D12="6 dd",$D12="8 dd",$D12="12 dd",$D12="24 dd",$D12="an",$D12="zn"),VLOOKUP($D12,ber_tijden_Neo!$A$17:$Y$27,ber_tijden_Neo!B$15,FALSE),"")</f>
        <v/>
      </c>
      <c r="I12" s="613" t="str">
        <f>IF(OR($D12="1 dd",$D12="2 dd",$D12="3 dd",$D12="4 dd",$D12="5 dd",$D12="6 dd",$D12="8 dd",$D12="12 dd",$D12="24 dd",$D12="an",$D12="zn"),VLOOKUP($D12,ber_tijden_Neo!$A$17:$Y$27,ber_tijden_Neo!C$15,FALSE),"")</f>
        <v/>
      </c>
      <c r="J12" s="106" t="str">
        <f>IF(OR($D12="1 dd",$D12="2 dd",$D12="3 dd",$D12="4 dd",$D12="5 dd",$D12="6 dd",$D12="8 dd",$D12="12 dd",$D12="24 dd",$D12="an",$D12="zn"),VLOOKUP($D12,ber_tijden_Neo!$A$17:$Y$27,ber_tijden_Neo!D$15,FALSE),"")</f>
        <v/>
      </c>
      <c r="K12" s="613" t="str">
        <f>IF(OR($D12="1 dd",$D12="2 dd",$D12="3 dd",$D12="4 dd",$D12="5 dd",$D12="6 dd",$D12="8 dd",$D12="12 dd",$D12="24 dd",$D12="an",$D12="zn"),VLOOKUP($D12,ber_tijden_Neo!$A$17:$Y$27,ber_tijden_Neo!E$15,FALSE),"")</f>
        <v/>
      </c>
      <c r="L12" s="106" t="str">
        <f>IF(OR($D12="1 dd",$D12="2 dd",$D12="3 dd",$D12="4 dd",$D12="5 dd",$D12="6 dd",$D12="8 dd",$D12="12 dd",$D12="24 dd",$D12="an",$D12="zn"),VLOOKUP($D12,ber_tijden_Neo!$A$17:$Y$27,ber_tijden_Neo!F$15,FALSE),"")</f>
        <v/>
      </c>
      <c r="M12" s="613" t="str">
        <f>IF(OR($D12="1 dd",$D12="2 dd",$D12="3 dd",$D12="4 dd",$D12="5 dd",$D12="6 dd",$D12="8 dd",$D12="12 dd",$D12="24 dd",$D12="an",$D12="zn"),VLOOKUP($D12,ber_tijden_Neo!$A$17:$Y$27,ber_tijden_Neo!G$15,FALSE),"")</f>
        <v/>
      </c>
      <c r="N12" s="106" t="str">
        <f>IF(OR($D12="1 dd",$D12="2 dd",$D12="3 dd",$D12="4 dd",$D12="5 dd",$D12="6 dd",$D12="8 dd",$D12="12 dd",$D12="24 dd",$D12="an",$D12="zn"),VLOOKUP($D12,ber_tijden_Neo!$A$17:$Y$27,ber_tijden_Neo!H$15,FALSE),"")</f>
        <v/>
      </c>
      <c r="O12" s="613" t="str">
        <f>IF(OR($D12="1 dd",$D12="2 dd",$D12="3 dd",$D12="4 dd",$D12="5 dd",$D12="6 dd",$D12="8 dd",$D12="12 dd",$D12="24 dd",$D12="an",$D12="zn"),VLOOKUP($D12,ber_tijden_Neo!$A$17:$Y$27,ber_tijden_Neo!I$15,FALSE),"")</f>
        <v/>
      </c>
      <c r="P12" s="106" t="str">
        <f>IF(OR($D12="1 dd",$D12="2 dd",$D12="3 dd",$D12="4 dd",$D12="5 dd",$D12="6 dd",$D12="8 dd",$D12="12 dd",$D12="24 dd",$D12="an",$D12="zn"),VLOOKUP($D12,ber_tijden_Neo!$A$17:$Y$27,ber_tijden_Neo!J$15,FALSE),"")</f>
        <v/>
      </c>
      <c r="Q12" s="613" t="str">
        <f>IF(OR($D12="1 dd",$D12="2 dd",$D12="3 dd",$D12="4 dd",$D12="5 dd",$D12="6 dd",$D12="8 dd",$D12="12 dd",$D12="24 dd",$D12="an",$D12="zn"),VLOOKUP($D12,ber_tijden_Neo!$A$17:$Y$27,ber_tijden_Neo!K$15,FALSE),"")</f>
        <v/>
      </c>
      <c r="R12" s="106" t="str">
        <f>IF(OR($D12="1 dd",$D12="2 dd",$D12="3 dd",$D12="4 dd",$D12="5 dd",$D12="6 dd",$D12="8 dd",$D12="12 dd",$D12="24 dd",$D12="an",$D12="zn"),VLOOKUP($D12,ber_tijden_Neo!$A$17:$Y$27,ber_tijden_Neo!L$15,FALSE),"")</f>
        <v/>
      </c>
      <c r="S12" s="613" t="str">
        <f>IF(OR($D12="1 dd",$D12="2 dd",$D12="3 dd",$D12="4 dd",$D12="5 dd",$D12="6 dd",$D12="8 dd",$D12="12 dd",$D12="24 dd",$D12="an",$D12="zn"),VLOOKUP($D12,ber_tijden_Neo!$A$17:$Y$27,ber_tijden_Neo!M$15,FALSE),"")</f>
        <v/>
      </c>
      <c r="T12" s="106" t="str">
        <f>IF(OR($D12="1 dd",$D12="2 dd",$D12="3 dd",$D12="4 dd",$D12="5 dd",$D12="6 dd",$D12="8 dd",$D12="12 dd",$D12="24 dd",$D12="an",$D12="zn"),VLOOKUP($D12,ber_tijden_Neo!$A$17:$Y$27,ber_tijden_Neo!N$15,FALSE),"")</f>
        <v/>
      </c>
      <c r="U12" s="613" t="str">
        <f>IF(OR($D12="1 dd",$D12="2 dd",$D12="3 dd",$D12="4 dd",$D12="5 dd",$D12="6 dd",$D12="8 dd",$D12="12 dd",$D12="24 dd",$D12="an",$D12="zn"),VLOOKUP($D12,ber_tijden_Neo!$A$17:$Y$27,ber_tijden_Neo!O$15,FALSE),"")</f>
        <v/>
      </c>
      <c r="V12" s="106" t="str">
        <f>IF(OR($D12="1 dd",$D12="2 dd",$D12="3 dd",$D12="4 dd",$D12="5 dd",$D12="6 dd",$D12="8 dd",$D12="12 dd",$D12="24 dd",$D12="an",$D12="zn"),VLOOKUP($D12,ber_tijden_Neo!$A$17:$Y$27,ber_tijden_Neo!P$15,FALSE),"")</f>
        <v/>
      </c>
      <c r="W12" s="613" t="str">
        <f>IF(OR($D12="1 dd",$D12="2 dd",$D12="3 dd",$D12="4 dd",$D12="5 dd",$D12="6 dd",$D12="8 dd",$D12="12 dd",$D12="24 dd",$D12="an",$D12="zn"),VLOOKUP($D12,ber_tijden_Neo!$A$17:$Y$27,ber_tijden_Neo!Q$15,FALSE),"")</f>
        <v/>
      </c>
      <c r="X12" s="106" t="str">
        <f>IF(OR($D12="1 dd",$D12="2 dd",$D12="3 dd",$D12="4 dd",$D12="5 dd",$D12="6 dd",$D12="8 dd",$D12="12 dd",$D12="24 dd",$D12="an",$D12="zn"),VLOOKUP($D12,ber_tijden_Neo!$A$17:$Y$27,ber_tijden_Neo!R$15,FALSE),"")</f>
        <v/>
      </c>
      <c r="Y12" s="613" t="str">
        <f>IF(OR($D12="1 dd",$D12="2 dd",$D12="3 dd",$D12="4 dd",$D12="5 dd",$D12="6 dd",$D12="8 dd",$D12="12 dd",$D12="24 dd",$D12="an",$D12="zn"),VLOOKUP($D12,ber_tijden_Neo!$A$17:$Y$27,ber_tijden_Neo!S$15,FALSE),"")</f>
        <v/>
      </c>
      <c r="Z12" s="106" t="str">
        <f>IF(OR($D12="1 dd",$D12="2 dd",$D12="3 dd",$D12="4 dd",$D12="5 dd",$D12="6 dd",$D12="8 dd",$D12="12 dd",$D12="24 dd",$D12="an",$D12="zn"),VLOOKUP($D12,ber_tijden_Neo!$A$17:$Y$27,ber_tijden_Neo!T$15,FALSE),"")</f>
        <v/>
      </c>
      <c r="AA12" s="613" t="str">
        <f>IF(OR($D12="1 dd",$D12="2 dd",$D12="3 dd",$D12="4 dd",$D12="5 dd",$D12="6 dd",$D12="8 dd",$D12="12 dd",$D12="24 dd",$D12="an",$D12="zn"),VLOOKUP($D12,ber_tijden_Neo!$A$17:$Y$27,ber_tijden_Neo!U$15,FALSE),"")</f>
        <v/>
      </c>
      <c r="AB12" s="106" t="str">
        <f>IF(OR($D12="1 dd",$D12="2 dd",$D12="3 dd",$D12="4 dd",$D12="5 dd",$D12="6 dd",$D12="8 dd",$D12="12 dd",$D12="24 dd",$D12="an",$D12="zn"),VLOOKUP($D12,ber_tijden_Neo!$A$17:$Y$27,ber_tijden_Neo!V$15,FALSE),"")</f>
        <v/>
      </c>
      <c r="AC12" s="613" t="str">
        <f>IF(OR($D12="1 dd",$D12="2 dd",$D12="3 dd",$D12="4 dd",$D12="5 dd",$D12="6 dd",$D12="8 dd",$D12="12 dd",$D12="24 dd",$D12="an",$D12="zn"),VLOOKUP($D12,ber_tijden_Neo!$A$17:$Y$27,ber_tijden_Neo!W$15,FALSE),"")</f>
        <v/>
      </c>
      <c r="AD12" s="106" t="str">
        <f>IF(OR($D12="1 dd",$D12="2 dd",$D12="3 dd",$D12="4 dd",$D12="5 dd",$D12="6 dd",$D12="8 dd",$D12="12 dd",$D12="24 dd",$D12="an",$D12="zn"),VLOOKUP($D12,ber_tijden_Neo!$A$17:$Y$27,ber_tijden_Neo!X$15,FALSE),"")</f>
        <v/>
      </c>
      <c r="AE12" s="613" t="str">
        <f>IF(OR($D12="1 dd",$D12="2 dd",$D12="3 dd",$D12="4 dd",$D12="5 dd",$D12="6 dd",$D12="8 dd",$D12="12 dd",$D12="24 dd",$D12="an",$D12="zn"),VLOOKUP($D12,ber_tijden_Neo!$A$17:$Y$27,ber_tijden_Neo!Y$15,FALSE),"")</f>
        <v/>
      </c>
      <c r="AF12" s="105"/>
      <c r="AG12" s="17"/>
    </row>
    <row r="13" spans="1:33" ht="26.1" customHeight="1" x14ac:dyDescent="0.2">
      <c r="B13" s="107"/>
      <c r="C13" s="231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32" t="str">
        <f>IF(Med_disc!H26&lt;&gt;"",Med_disc!H26,"")</f>
        <v/>
      </c>
      <c r="E13" s="233" t="str">
        <f>IF(AND(D13&lt;&gt;"",D13&lt;&gt;"STOP"),ber_Med_disc!H12&amp;" "&amp;ber_Med_disc!F12,"")</f>
        <v/>
      </c>
      <c r="F13" s="233" t="str">
        <f>IF(AND(D13&lt;&gt;"",D13&lt;&gt;"STOP"),ber_Med_disc!L12," ")</f>
        <v xml:space="preserve"> </v>
      </c>
      <c r="G13" s="233" t="str">
        <f>IF(Med_disc!L26&lt;&gt;"",Med_disc!L26&amp;" "&amp;Med_disc!M26&amp;" "&amp;INDEX(ber_Med_disc!$B$27:$B$30,ber_Med_disc!O12,1)&amp;" in "&amp;Med_disc!$O$26,"")</f>
        <v/>
      </c>
      <c r="H13" s="106" t="str">
        <f>IF(OR($D13="1 dd",$D13="2 dd",$D13="3 dd",$D13="4 dd",$D13="5 dd",$D13="6 dd",$D13="8 dd",$D13="12 dd",$D13="24 dd",$D13="an",$D13="zn"),VLOOKUP($D13,ber_tijden_Neo!$A$17:$Y$27,ber_tijden_Neo!B$15,FALSE),"")</f>
        <v/>
      </c>
      <c r="I13" s="613" t="str">
        <f>IF(OR($D13="1 dd",$D13="2 dd",$D13="3 dd",$D13="4 dd",$D13="5 dd",$D13="6 dd",$D13="8 dd",$D13="12 dd",$D13="24 dd",$D13="an",$D13="zn"),VLOOKUP($D13,ber_tijden_Neo!$A$17:$Y$27,ber_tijden_Neo!C$15,FALSE),"")</f>
        <v/>
      </c>
      <c r="J13" s="106" t="str">
        <f>IF(OR($D13="1 dd",$D13="2 dd",$D13="3 dd",$D13="4 dd",$D13="5 dd",$D13="6 dd",$D13="8 dd",$D13="12 dd",$D13="24 dd",$D13="an",$D13="zn"),VLOOKUP($D13,ber_tijden_Neo!$A$17:$Y$27,ber_tijden_Neo!D$15,FALSE),"")</f>
        <v/>
      </c>
      <c r="K13" s="613" t="str">
        <f>IF(OR($D13="1 dd",$D13="2 dd",$D13="3 dd",$D13="4 dd",$D13="5 dd",$D13="6 dd",$D13="8 dd",$D13="12 dd",$D13="24 dd",$D13="an",$D13="zn"),VLOOKUP($D13,ber_tijden_Neo!$A$17:$Y$27,ber_tijden_Neo!E$15,FALSE),"")</f>
        <v/>
      </c>
      <c r="L13" s="106" t="str">
        <f>IF(OR($D13="1 dd",$D13="2 dd",$D13="3 dd",$D13="4 dd",$D13="5 dd",$D13="6 dd",$D13="8 dd",$D13="12 dd",$D13="24 dd",$D13="an",$D13="zn"),VLOOKUP($D13,ber_tijden_Neo!$A$17:$Y$27,ber_tijden_Neo!F$15,FALSE),"")</f>
        <v/>
      </c>
      <c r="M13" s="613" t="str">
        <f>IF(OR($D13="1 dd",$D13="2 dd",$D13="3 dd",$D13="4 dd",$D13="5 dd",$D13="6 dd",$D13="8 dd",$D13="12 dd",$D13="24 dd",$D13="an",$D13="zn"),VLOOKUP($D13,ber_tijden_Neo!$A$17:$Y$27,ber_tijden_Neo!G$15,FALSE),"")</f>
        <v/>
      </c>
      <c r="N13" s="106" t="str">
        <f>IF(OR($D13="1 dd",$D13="2 dd",$D13="3 dd",$D13="4 dd",$D13="5 dd",$D13="6 dd",$D13="8 dd",$D13="12 dd",$D13="24 dd",$D13="an",$D13="zn"),VLOOKUP($D13,ber_tijden_Neo!$A$17:$Y$27,ber_tijden_Neo!H$15,FALSE),"")</f>
        <v/>
      </c>
      <c r="O13" s="613" t="str">
        <f>IF(OR($D13="1 dd",$D13="2 dd",$D13="3 dd",$D13="4 dd",$D13="5 dd",$D13="6 dd",$D13="8 dd",$D13="12 dd",$D13="24 dd",$D13="an",$D13="zn"),VLOOKUP($D13,ber_tijden_Neo!$A$17:$Y$27,ber_tijden_Neo!I$15,FALSE),"")</f>
        <v/>
      </c>
      <c r="P13" s="106" t="str">
        <f>IF(OR($D13="1 dd",$D13="2 dd",$D13="3 dd",$D13="4 dd",$D13="5 dd",$D13="6 dd",$D13="8 dd",$D13="12 dd",$D13="24 dd",$D13="an",$D13="zn"),VLOOKUP($D13,ber_tijden_Neo!$A$17:$Y$27,ber_tijden_Neo!J$15,FALSE),"")</f>
        <v/>
      </c>
      <c r="Q13" s="613" t="str">
        <f>IF(OR($D13="1 dd",$D13="2 dd",$D13="3 dd",$D13="4 dd",$D13="5 dd",$D13="6 dd",$D13="8 dd",$D13="12 dd",$D13="24 dd",$D13="an",$D13="zn"),VLOOKUP($D13,ber_tijden_Neo!$A$17:$Y$27,ber_tijden_Neo!K$15,FALSE),"")</f>
        <v/>
      </c>
      <c r="R13" s="106" t="str">
        <f>IF(OR($D13="1 dd",$D13="2 dd",$D13="3 dd",$D13="4 dd",$D13="5 dd",$D13="6 dd",$D13="8 dd",$D13="12 dd",$D13="24 dd",$D13="an",$D13="zn"),VLOOKUP($D13,ber_tijden_Neo!$A$17:$Y$27,ber_tijden_Neo!L$15,FALSE),"")</f>
        <v/>
      </c>
      <c r="S13" s="613" t="str">
        <f>IF(OR($D13="1 dd",$D13="2 dd",$D13="3 dd",$D13="4 dd",$D13="5 dd",$D13="6 dd",$D13="8 dd",$D13="12 dd",$D13="24 dd",$D13="an",$D13="zn"),VLOOKUP($D13,ber_tijden_Neo!$A$17:$Y$27,ber_tijden_Neo!M$15,FALSE),"")</f>
        <v/>
      </c>
      <c r="T13" s="106" t="str">
        <f>IF(OR($D13="1 dd",$D13="2 dd",$D13="3 dd",$D13="4 dd",$D13="5 dd",$D13="6 dd",$D13="8 dd",$D13="12 dd",$D13="24 dd",$D13="an",$D13="zn"),VLOOKUP($D13,ber_tijden_Neo!$A$17:$Y$27,ber_tijden_Neo!N$15,FALSE),"")</f>
        <v/>
      </c>
      <c r="U13" s="613" t="str">
        <f>IF(OR($D13="1 dd",$D13="2 dd",$D13="3 dd",$D13="4 dd",$D13="5 dd",$D13="6 dd",$D13="8 dd",$D13="12 dd",$D13="24 dd",$D13="an",$D13="zn"),VLOOKUP($D13,ber_tijden_Neo!$A$17:$Y$27,ber_tijden_Neo!O$15,FALSE),"")</f>
        <v/>
      </c>
      <c r="V13" s="106" t="str">
        <f>IF(OR($D13="1 dd",$D13="2 dd",$D13="3 dd",$D13="4 dd",$D13="5 dd",$D13="6 dd",$D13="8 dd",$D13="12 dd",$D13="24 dd",$D13="an",$D13="zn"),VLOOKUP($D13,ber_tijden_Neo!$A$17:$Y$27,ber_tijden_Neo!P$15,FALSE),"")</f>
        <v/>
      </c>
      <c r="W13" s="613" t="str">
        <f>IF(OR($D13="1 dd",$D13="2 dd",$D13="3 dd",$D13="4 dd",$D13="5 dd",$D13="6 dd",$D13="8 dd",$D13="12 dd",$D13="24 dd",$D13="an",$D13="zn"),VLOOKUP($D13,ber_tijden_Neo!$A$17:$Y$27,ber_tijden_Neo!Q$15,FALSE),"")</f>
        <v/>
      </c>
      <c r="X13" s="106" t="str">
        <f>IF(OR($D13="1 dd",$D13="2 dd",$D13="3 dd",$D13="4 dd",$D13="5 dd",$D13="6 dd",$D13="8 dd",$D13="12 dd",$D13="24 dd",$D13="an",$D13="zn"),VLOOKUP($D13,ber_tijden_Neo!$A$17:$Y$27,ber_tijden_Neo!R$15,FALSE),"")</f>
        <v/>
      </c>
      <c r="Y13" s="613" t="str">
        <f>IF(OR($D13="1 dd",$D13="2 dd",$D13="3 dd",$D13="4 dd",$D13="5 dd",$D13="6 dd",$D13="8 dd",$D13="12 dd",$D13="24 dd",$D13="an",$D13="zn"),VLOOKUP($D13,ber_tijden_Neo!$A$17:$Y$27,ber_tijden_Neo!S$15,FALSE),"")</f>
        <v/>
      </c>
      <c r="Z13" s="106" t="str">
        <f>IF(OR($D13="1 dd",$D13="2 dd",$D13="3 dd",$D13="4 dd",$D13="5 dd",$D13="6 dd",$D13="8 dd",$D13="12 dd",$D13="24 dd",$D13="an",$D13="zn"),VLOOKUP($D13,ber_tijden_Neo!$A$17:$Y$27,ber_tijden_Neo!T$15,FALSE),"")</f>
        <v/>
      </c>
      <c r="AA13" s="613" t="str">
        <f>IF(OR($D13="1 dd",$D13="2 dd",$D13="3 dd",$D13="4 dd",$D13="5 dd",$D13="6 dd",$D13="8 dd",$D13="12 dd",$D13="24 dd",$D13="an",$D13="zn"),VLOOKUP($D13,ber_tijden_Neo!$A$17:$Y$27,ber_tijden_Neo!U$15,FALSE),"")</f>
        <v/>
      </c>
      <c r="AB13" s="106" t="str">
        <f>IF(OR($D13="1 dd",$D13="2 dd",$D13="3 dd",$D13="4 dd",$D13="5 dd",$D13="6 dd",$D13="8 dd",$D13="12 dd",$D13="24 dd",$D13="an",$D13="zn"),VLOOKUP($D13,ber_tijden_Neo!$A$17:$Y$27,ber_tijden_Neo!V$15,FALSE),"")</f>
        <v/>
      </c>
      <c r="AC13" s="613" t="str">
        <f>IF(OR($D13="1 dd",$D13="2 dd",$D13="3 dd",$D13="4 dd",$D13="5 dd",$D13="6 dd",$D13="8 dd",$D13="12 dd",$D13="24 dd",$D13="an",$D13="zn"),VLOOKUP($D13,ber_tijden_Neo!$A$17:$Y$27,ber_tijden_Neo!W$15,FALSE),"")</f>
        <v/>
      </c>
      <c r="AD13" s="106" t="str">
        <f>IF(OR($D13="1 dd",$D13="2 dd",$D13="3 dd",$D13="4 dd",$D13="5 dd",$D13="6 dd",$D13="8 dd",$D13="12 dd",$D13="24 dd",$D13="an",$D13="zn"),VLOOKUP($D13,ber_tijden_Neo!$A$17:$Y$27,ber_tijden_Neo!X$15,FALSE),"")</f>
        <v/>
      </c>
      <c r="AE13" s="613" t="str">
        <f>IF(OR($D13="1 dd",$D13="2 dd",$D13="3 dd",$D13="4 dd",$D13="5 dd",$D13="6 dd",$D13="8 dd",$D13="12 dd",$D13="24 dd",$D13="an",$D13="zn"),VLOOKUP($D13,ber_tijden_Neo!$A$17:$Y$27,ber_tijden_Neo!Y$15,FALSE),"")</f>
        <v/>
      </c>
      <c r="AF13" s="105"/>
      <c r="AG13" s="17"/>
    </row>
    <row r="14" spans="1:33" ht="26.1" customHeight="1" x14ac:dyDescent="0.2">
      <c r="B14" s="107"/>
      <c r="C14" s="231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32" t="str">
        <f>IF(Med_disc!H28&lt;&gt;"",Med_disc!H28,"")</f>
        <v/>
      </c>
      <c r="E14" s="233" t="str">
        <f>IF(AND(D14&lt;&gt;"",D14&lt;&gt;"STOP"),ber_Med_disc!H13&amp;" "&amp;ber_Med_disc!F13,"")</f>
        <v/>
      </c>
      <c r="F14" s="233" t="str">
        <f>IF(AND(D14&lt;&gt;"",D14&lt;&gt;"STOP"),ber_Med_disc!L13," ")</f>
        <v xml:space="preserve"> </v>
      </c>
      <c r="G14" s="233" t="str">
        <f>IF(Med_disc!L28&lt;&gt;"",Med_disc!L28&amp;" "&amp;Med_disc!M28&amp;" "&amp;INDEX(ber_Med_disc!$B$27:$B$30,ber_Med_disc!O13,1)&amp;" in "&amp;Med_disc!$O$28,"")</f>
        <v/>
      </c>
      <c r="H14" s="106" t="str">
        <f>IF(OR($D14="1 dd",$D14="2 dd",$D14="3 dd",$D14="4 dd",$D14="6 dd",$D14="8 dd",$D14="12 dd",$D14="an",$D14="1 X"),VLOOKUP($D14,ber_tijden!$A$16:$X$26,ber_tijden!B$14,FALSE),"")</f>
        <v/>
      </c>
      <c r="I14" s="15" t="str">
        <f>IF(OR($D14="1 dd",$D14="2 dd",$D14="3 dd",$D14="4 dd",$D14="6 dd",$D14="8 dd",$D14="12 dd",$D14="an",$D14="1 X"),VLOOKUP($D14,ber_tijden!$A$16:$X$26,ber_tijden!C$14,FALSE),"")</f>
        <v/>
      </c>
      <c r="J14" s="106" t="str">
        <f>IF(OR($D14="1 dd",$D14="2 dd",$D14="3 dd",$D14="4 dd",$D14="6 dd",$D14="8 dd",$D14="12 dd",$D14="an",$D14="1 X"),VLOOKUP($D14,ber_tijden!$A$16:$X$26,ber_tijden!D$14,FALSE),"")</f>
        <v/>
      </c>
      <c r="K14" s="15" t="str">
        <f>IF(OR($D14="1 dd",$D14="2 dd",$D14="3 dd",$D14="4 dd",$D14="6 dd",$D14="8 dd",$D14="12 dd",$D14="an",$D14="1 X"),VLOOKUP($D14,ber_tijden!$A$16:$X$26,ber_tijden!E$14,FALSE),"")</f>
        <v/>
      </c>
      <c r="L14" s="106" t="str">
        <f>IF(OR($D14="1 dd",$D14="2 dd",$D14="3 dd",$D14="4 dd",$D14="6 dd",$D14="8 dd",$D14="12 dd",$D14="an",$D14="1 X"),VLOOKUP($D14,ber_tijden!$A$16:$X$26,ber_tijden!F$14,FALSE),"")</f>
        <v/>
      </c>
      <c r="M14" s="15" t="str">
        <f>IF(OR($D14="1 dd",$D14="2 dd",$D14="3 dd",$D14="4 dd",$D14="6 dd",$D14="8 dd",$D14="12 dd",$D14="an",$D14="1 X"),VLOOKUP($D14,ber_tijden!$A$16:$X$26,ber_tijden!G$14,FALSE),"")</f>
        <v/>
      </c>
      <c r="N14" s="106" t="str">
        <f>IF(OR($D14="1 dd",$D14="2 dd",$D14="3 dd",$D14="4 dd",$D14="6 dd",$D14="8 dd",$D14="12 dd",$D14="an",$D14="1 X"),VLOOKUP($D14,ber_tijden!$A$16:$X$26,ber_tijden!H$14,FALSE),"")</f>
        <v/>
      </c>
      <c r="O14" s="15" t="str">
        <f>IF(OR($D14="1 dd",$D14="2 dd",$D14="3 dd",$D14="4 dd",$D14="6 dd",$D14="8 dd",$D14="12 dd",$D14="an",$D14="1 X"),VLOOKUP($D14,ber_tijden!$A$16:$X$26,ber_tijden!I$14,FALSE),"")</f>
        <v/>
      </c>
      <c r="P14" s="106" t="str">
        <f>IF(OR($D14="1 dd",$D14="2 dd",$D14="3 dd",$D14="4 dd",$D14="6 dd",$D14="8 dd",$D14="12 dd",$D14="an",$D14="1 X"),VLOOKUP($D14,ber_tijden!$A$16:$X$26,ber_tijden!J$14,FALSE),"")</f>
        <v/>
      </c>
      <c r="Q14" s="15" t="str">
        <f>IF(OR($D14="1 dd",$D14="2 dd",$D14="3 dd",$D14="4 dd",$D14="6 dd",$D14="8 dd",$D14="12 dd",$D14="an",$D14="1 X"),VLOOKUP($D14,ber_tijden!$A$16:$X$26,ber_tijden!K$14,FALSE),"")</f>
        <v/>
      </c>
      <c r="R14" s="106" t="str">
        <f>IF(OR($D14="1 dd",$D14="2 dd",$D14="3 dd",$D14="4 dd",$D14="6 dd",$D14="8 dd",$D14="12 dd",$D14="an",$D14="1 X"),VLOOKUP($D14,ber_tijden!$A$16:$X$26,ber_tijden!L$14,FALSE),"")</f>
        <v/>
      </c>
      <c r="S14" s="15" t="str">
        <f>IF(OR($D14="1 dd",$D14="2 dd",$D14="3 dd",$D14="4 dd",$D14="6 dd",$D14="8 dd",$D14="12 dd",$D14="an",$D14="1 X"),VLOOKUP($D14,ber_tijden!$A$16:$X$26,ber_tijden!M$14,FALSE),"")</f>
        <v/>
      </c>
      <c r="T14" s="106" t="str">
        <f>IF(OR($D14="1 dd",$D14="2 dd",$D14="3 dd",$D14="4 dd",$D14="6 dd",$D14="8 dd",$D14="12 dd",$D14="an",$D14="1 X"),VLOOKUP($D14,ber_tijden!$A$16:$X$26,ber_tijden!N$14,FALSE),"")</f>
        <v/>
      </c>
      <c r="U14" s="15" t="str">
        <f>IF(OR($D14="1 dd",$D14="2 dd",$D14="3 dd",$D14="4 dd",$D14="6 dd",$D14="8 dd",$D14="12 dd",$D14="an",$D14="1 X"),VLOOKUP($D14,ber_tijden!$A$16:$X$26,ber_tijden!O$14,FALSE),"")</f>
        <v/>
      </c>
      <c r="V14" s="106" t="str">
        <f>IF(OR($D14="1 dd",$D14="2 dd",$D14="3 dd",$D14="4 dd",$D14="6 dd",$D14="8 dd",$D14="12 dd",$D14="an",$D14="1 X"),VLOOKUP($D14,ber_tijden!$A$16:$X$26,ber_tijden!P$14,FALSE),"")</f>
        <v/>
      </c>
      <c r="W14" s="15" t="str">
        <f>IF(OR($D14="1 dd",$D14="2 dd",$D14="3 dd",$D14="4 dd",$D14="6 dd",$D14="8 dd",$D14="12 dd",$D14="an",$D14="1 X"),VLOOKUP($D14,ber_tijden!$A$16:$X$26,ber_tijden!Q$14,FALSE),"")</f>
        <v/>
      </c>
      <c r="X14" s="106" t="str">
        <f>IF(OR($D14="1 dd",$D14="2 dd",$D14="3 dd",$D14="4 dd",$D14="6 dd",$D14="8 dd",$D14="12 dd",$D14="an",$D14="1 X"),VLOOKUP($D14,ber_tijden!$A$16:$X$26,ber_tijden!R$14,FALSE),"")</f>
        <v/>
      </c>
      <c r="Y14" s="15" t="str">
        <f>IF(OR($D14="1 dd",$D14="2 dd",$D14="3 dd",$D14="4 dd",$D14="6 dd",$D14="8 dd",$D14="12 dd",$D14="an",$D14="1 X"),VLOOKUP($D14,ber_tijden!$A$16:$X$26,ber_tijden!S$14,FALSE),"")</f>
        <v/>
      </c>
      <c r="Z14" s="106" t="str">
        <f>IF(OR($D14="1 dd",$D14="2 dd",$D14="3 dd",$D14="4 dd",$D14="6 dd",$D14="8 dd",$D14="12 dd",$D14="an",$D14="1 X"),VLOOKUP($D14,ber_tijden!$A$16:$X$26,ber_tijden!T$14,FALSE),"")</f>
        <v/>
      </c>
      <c r="AA14" s="15" t="str">
        <f>IF(OR($D14="1 dd",$D14="2 dd",$D14="3 dd",$D14="4 dd",$D14="6 dd",$D14="8 dd",$D14="12 dd",$D14="an",$D14="1 X"),VLOOKUP($D14,ber_tijden!$A$16:$X$26,ber_tijden!U$14,FALSE),"")</f>
        <v/>
      </c>
      <c r="AB14" s="106" t="str">
        <f>IF(OR($D14="1 dd",$D14="2 dd",$D14="3 dd",$D14="4 dd",$D14="6 dd",$D14="8 dd",$D14="12 dd",$D14="an",$D14="1 X"),VLOOKUP($D14,ber_tijden!$A$16:$X$26,ber_tijden!V$14,FALSE),"")</f>
        <v/>
      </c>
      <c r="AC14" s="15" t="str">
        <f>IF(OR($D14="1 dd",$D14="2 dd",$D14="3 dd",$D14="4 dd",$D14="6 dd",$D14="8 dd",$D14="12 dd",$D14="an",$D14="1 X"),VLOOKUP($D14,ber_tijden!$A$16:$X$26,ber_tijden!W$14,FALSE),"")</f>
        <v/>
      </c>
      <c r="AD14" s="106" t="str">
        <f>IF(OR($D14="1 dd",$D14="2 dd",$D14="3 dd",$D14="4 dd",$D14="6 dd",$D14="8 dd",$D14="12 dd",$D14="an",$D14="1 X"),VLOOKUP($D14,ber_tijden!$A$16:$X$26,ber_tijden!X$14,FALSE),"")</f>
        <v/>
      </c>
      <c r="AE14" s="17"/>
      <c r="AF14" s="105"/>
      <c r="AG14" s="17"/>
    </row>
    <row r="15" spans="1:33" ht="26.1" customHeight="1" x14ac:dyDescent="0.2">
      <c r="B15" s="107"/>
      <c r="C15" s="231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32" t="str">
        <f>IF(Med_disc!H30&lt;&gt;"",Med_disc!H30,"")</f>
        <v/>
      </c>
      <c r="E15" s="233" t="str">
        <f>IF(AND(D15&lt;&gt;"",D15&lt;&gt;"STOP"),ber_Med_disc!H14&amp;" "&amp;ber_Med_disc!F14,"")</f>
        <v/>
      </c>
      <c r="F15" s="233" t="str">
        <f>IF(AND(D15&lt;&gt;"",D15&lt;&gt;"STOP"),ber_Med_disc!L14," ")</f>
        <v xml:space="preserve"> </v>
      </c>
      <c r="G15" s="233" t="str">
        <f>IF(Med_disc!L30&lt;&gt;"",Med_disc!L30&amp;" "&amp;Med_disc!M30&amp;" "&amp;INDEX(ber_Med_disc!$B$27:$B$30,ber_Med_disc!O14,1)&amp;" in "&amp;Med_disc!$O$30,"")</f>
        <v/>
      </c>
      <c r="H15" s="106" t="str">
        <f>IF(OR($D15="1 dd",$D15="2 dd",$D15="3 dd",$D15="4 dd",$D15="6 dd",$D15="8 dd",$D15="12 dd",$D15="an",$D15="1 X"),VLOOKUP($D15,ber_tijden!$A$16:$X$26,ber_tijden!B$14,FALSE),"")</f>
        <v/>
      </c>
      <c r="I15" s="15" t="str">
        <f>IF(OR($D15="1 dd",$D15="2 dd",$D15="3 dd",$D15="4 dd",$D15="6 dd",$D15="8 dd",$D15="12 dd",$D15="an",$D15="1 X"),VLOOKUP($D15,ber_tijden!$A$16:$X$26,ber_tijden!C$14,FALSE),"")</f>
        <v/>
      </c>
      <c r="J15" s="106" t="str">
        <f>IF(OR($D15="1 dd",$D15="2 dd",$D15="3 dd",$D15="4 dd",$D15="6 dd",$D15="8 dd",$D15="12 dd",$D15="an",$D15="1 X"),VLOOKUP($D15,ber_tijden!$A$16:$X$26,ber_tijden!D$14,FALSE),"")</f>
        <v/>
      </c>
      <c r="K15" s="15" t="str">
        <f>IF(OR($D15="1 dd",$D15="2 dd",$D15="3 dd",$D15="4 dd",$D15="6 dd",$D15="8 dd",$D15="12 dd",$D15="an",$D15="1 X"),VLOOKUP($D15,ber_tijden!$A$16:$X$26,ber_tijden!E$14,FALSE),"")</f>
        <v/>
      </c>
      <c r="L15" s="106" t="str">
        <f>IF(OR($D15="1 dd",$D15="2 dd",$D15="3 dd",$D15="4 dd",$D15="6 dd",$D15="8 dd",$D15="12 dd",$D15="an",$D15="1 X"),VLOOKUP($D15,ber_tijden!$A$16:$X$26,ber_tijden!F$14,FALSE),"")</f>
        <v/>
      </c>
      <c r="M15" s="15" t="str">
        <f>IF(OR($D15="1 dd",$D15="2 dd",$D15="3 dd",$D15="4 dd",$D15="6 dd",$D15="8 dd",$D15="12 dd",$D15="an",$D15="1 X"),VLOOKUP($D15,ber_tijden!$A$16:$X$26,ber_tijden!G$14,FALSE),"")</f>
        <v/>
      </c>
      <c r="N15" s="106" t="str">
        <f>IF(OR($D15="1 dd",$D15="2 dd",$D15="3 dd",$D15="4 dd",$D15="6 dd",$D15="8 dd",$D15="12 dd",$D15="an",$D15="1 X"),VLOOKUP($D15,ber_tijden!$A$16:$X$26,ber_tijden!H$14,FALSE),"")</f>
        <v/>
      </c>
      <c r="O15" s="15" t="str">
        <f>IF(OR($D15="1 dd",$D15="2 dd",$D15="3 dd",$D15="4 dd",$D15="6 dd",$D15="8 dd",$D15="12 dd",$D15="an",$D15="1 X"),VLOOKUP($D15,ber_tijden!$A$16:$X$26,ber_tijden!I$14,FALSE),"")</f>
        <v/>
      </c>
      <c r="P15" s="106" t="str">
        <f>IF(OR($D15="1 dd",$D15="2 dd",$D15="3 dd",$D15="4 dd",$D15="6 dd",$D15="8 dd",$D15="12 dd",$D15="an",$D15="1 X"),VLOOKUP($D15,ber_tijden!$A$16:$X$26,ber_tijden!J$14,FALSE),"")</f>
        <v/>
      </c>
      <c r="Q15" s="15" t="str">
        <f>IF(OR($D15="1 dd",$D15="2 dd",$D15="3 dd",$D15="4 dd",$D15="6 dd",$D15="8 dd",$D15="12 dd",$D15="an",$D15="1 X"),VLOOKUP($D15,ber_tijden!$A$16:$X$26,ber_tijden!K$14,FALSE),"")</f>
        <v/>
      </c>
      <c r="R15" s="106" t="str">
        <f>IF(OR($D15="1 dd",$D15="2 dd",$D15="3 dd",$D15="4 dd",$D15="6 dd",$D15="8 dd",$D15="12 dd",$D15="an",$D15="1 X"),VLOOKUP($D15,ber_tijden!$A$16:$X$26,ber_tijden!L$14,FALSE),"")</f>
        <v/>
      </c>
      <c r="S15" s="15" t="str">
        <f>IF(OR($D15="1 dd",$D15="2 dd",$D15="3 dd",$D15="4 dd",$D15="6 dd",$D15="8 dd",$D15="12 dd",$D15="an",$D15="1 X"),VLOOKUP($D15,ber_tijden!$A$16:$X$26,ber_tijden!M$14,FALSE),"")</f>
        <v/>
      </c>
      <c r="T15" s="106" t="str">
        <f>IF(OR($D15="1 dd",$D15="2 dd",$D15="3 dd",$D15="4 dd",$D15="6 dd",$D15="8 dd",$D15="12 dd",$D15="an",$D15="1 X"),VLOOKUP($D15,ber_tijden!$A$16:$X$26,ber_tijden!N$14,FALSE),"")</f>
        <v/>
      </c>
      <c r="U15" s="15" t="str">
        <f>IF(OR($D15="1 dd",$D15="2 dd",$D15="3 dd",$D15="4 dd",$D15="6 dd",$D15="8 dd",$D15="12 dd",$D15="an",$D15="1 X"),VLOOKUP($D15,ber_tijden!$A$16:$X$26,ber_tijden!O$14,FALSE),"")</f>
        <v/>
      </c>
      <c r="V15" s="106" t="str">
        <f>IF(OR($D15="1 dd",$D15="2 dd",$D15="3 dd",$D15="4 dd",$D15="6 dd",$D15="8 dd",$D15="12 dd",$D15="an",$D15="1 X"),VLOOKUP($D15,ber_tijden!$A$16:$X$26,ber_tijden!P$14,FALSE),"")</f>
        <v/>
      </c>
      <c r="W15" s="15" t="str">
        <f>IF(OR($D15="1 dd",$D15="2 dd",$D15="3 dd",$D15="4 dd",$D15="6 dd",$D15="8 dd",$D15="12 dd",$D15="an",$D15="1 X"),VLOOKUP($D15,ber_tijden!$A$16:$X$26,ber_tijden!Q$14,FALSE),"")</f>
        <v/>
      </c>
      <c r="X15" s="106" t="str">
        <f>IF(OR($D15="1 dd",$D15="2 dd",$D15="3 dd",$D15="4 dd",$D15="6 dd",$D15="8 dd",$D15="12 dd",$D15="an",$D15="1 X"),VLOOKUP($D15,ber_tijden!$A$16:$X$26,ber_tijden!R$14,FALSE),"")</f>
        <v/>
      </c>
      <c r="Y15" s="15" t="str">
        <f>IF(OR($D15="1 dd",$D15="2 dd",$D15="3 dd",$D15="4 dd",$D15="6 dd",$D15="8 dd",$D15="12 dd",$D15="an",$D15="1 X"),VLOOKUP($D15,ber_tijden!$A$16:$X$26,ber_tijden!S$14,FALSE),"")</f>
        <v/>
      </c>
      <c r="Z15" s="106" t="str">
        <f>IF(OR($D15="1 dd",$D15="2 dd",$D15="3 dd",$D15="4 dd",$D15="6 dd",$D15="8 dd",$D15="12 dd",$D15="an",$D15="1 X"),VLOOKUP($D15,ber_tijden!$A$16:$X$26,ber_tijden!T$14,FALSE),"")</f>
        <v/>
      </c>
      <c r="AA15" s="15" t="str">
        <f>IF(OR($D15="1 dd",$D15="2 dd",$D15="3 dd",$D15="4 dd",$D15="6 dd",$D15="8 dd",$D15="12 dd",$D15="an",$D15="1 X"),VLOOKUP($D15,ber_tijden!$A$16:$X$26,ber_tijden!U$14,FALSE),"")</f>
        <v/>
      </c>
      <c r="AB15" s="106" t="str">
        <f>IF(OR($D15="1 dd",$D15="2 dd",$D15="3 dd",$D15="4 dd",$D15="6 dd",$D15="8 dd",$D15="12 dd",$D15="an",$D15="1 X"),VLOOKUP($D15,ber_tijden!$A$16:$X$26,ber_tijden!V$14,FALSE),"")</f>
        <v/>
      </c>
      <c r="AC15" s="15" t="str">
        <f>IF(OR($D15="1 dd",$D15="2 dd",$D15="3 dd",$D15="4 dd",$D15="6 dd",$D15="8 dd",$D15="12 dd",$D15="an",$D15="1 X"),VLOOKUP($D15,ber_tijden!$A$16:$X$26,ber_tijden!W$14,FALSE),"")</f>
        <v/>
      </c>
      <c r="AD15" s="106" t="str">
        <f>IF(OR($D15="1 dd",$D15="2 dd",$D15="3 dd",$D15="4 dd",$D15="6 dd",$D15="8 dd",$D15="12 dd",$D15="an",$D15="1 X"),VLOOKUP($D15,ber_tijden!$A$16:$X$26,ber_tijden!X$14,FALSE),"")</f>
        <v/>
      </c>
      <c r="AE15" s="17"/>
      <c r="AF15" s="105"/>
      <c r="AG15" s="17"/>
    </row>
    <row r="16" spans="1:33" ht="26.1" customHeight="1" x14ac:dyDescent="0.2">
      <c r="B16" s="107"/>
      <c r="C16" s="231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32" t="str">
        <f>IF(Med_disc!H32&lt;&gt;"",Med_disc!H32,"")</f>
        <v/>
      </c>
      <c r="E16" s="233" t="str">
        <f>IF(AND(D16&lt;&gt;"",D16&lt;&gt;"STOP"),ber_Med_disc!H15&amp;" "&amp;ber_Med_disc!F15,"")</f>
        <v/>
      </c>
      <c r="F16" s="233" t="str">
        <f>IF(AND(D16&lt;&gt;"",D16&lt;&gt;"STOP"),ber_Med_disc!L15," ")</f>
        <v xml:space="preserve"> </v>
      </c>
      <c r="G16" s="233" t="str">
        <f>IF(Med_disc!L32&lt;&gt;"",Med_disc!L32&amp;" "&amp;Med_disc!M32&amp;" "&amp;INDEX(ber_Med_disc!$B$27:$B$30,ber_Med_disc!O15,1)&amp;" in "&amp;Med_disc!$O$32,"")</f>
        <v/>
      </c>
      <c r="H16" s="106" t="str">
        <f>IF(OR($D16="1 dd",$D16="2 dd",$D16="3 dd",$D16="4 dd",$D16="6 dd",$D16="8 dd",$D16="12 dd",$D16="an",$D16="1 X"),VLOOKUP($D16,ber_tijden!$A$16:$X$26,ber_tijden!B$14,FALSE),"")</f>
        <v/>
      </c>
      <c r="I16" s="15" t="str">
        <f>IF(OR($D16="1 dd",$D16="2 dd",$D16="3 dd",$D16="4 dd",$D16="6 dd",$D16="8 dd",$D16="12 dd",$D16="an",$D16="1 X"),VLOOKUP($D16,ber_tijden!$A$16:$X$26,ber_tijden!C$14,FALSE),"")</f>
        <v/>
      </c>
      <c r="J16" s="106" t="str">
        <f>IF(OR($D16="1 dd",$D16="2 dd",$D16="3 dd",$D16="4 dd",$D16="6 dd",$D16="8 dd",$D16="12 dd",$D16="an",$D16="1 X"),VLOOKUP($D16,ber_tijden!$A$16:$X$26,ber_tijden!D$14,FALSE),"")</f>
        <v/>
      </c>
      <c r="K16" s="15" t="str">
        <f>IF(OR($D16="1 dd",$D16="2 dd",$D16="3 dd",$D16="4 dd",$D16="6 dd",$D16="8 dd",$D16="12 dd",$D16="an",$D16="1 X"),VLOOKUP($D16,ber_tijden!$A$16:$X$26,ber_tijden!E$14,FALSE),"")</f>
        <v/>
      </c>
      <c r="L16" s="106" t="str">
        <f>IF(OR($D16="1 dd",$D16="2 dd",$D16="3 dd",$D16="4 dd",$D16="6 dd",$D16="8 dd",$D16="12 dd",$D16="an",$D16="1 X"),VLOOKUP($D16,ber_tijden!$A$16:$X$26,ber_tijden!F$14,FALSE),"")</f>
        <v/>
      </c>
      <c r="M16" s="15" t="str">
        <f>IF(OR($D16="1 dd",$D16="2 dd",$D16="3 dd",$D16="4 dd",$D16="6 dd",$D16="8 dd",$D16="12 dd",$D16="an",$D16="1 X"),VLOOKUP($D16,ber_tijden!$A$16:$X$26,ber_tijden!G$14,FALSE),"")</f>
        <v/>
      </c>
      <c r="N16" s="106" t="str">
        <f>IF(OR($D16="1 dd",$D16="2 dd",$D16="3 dd",$D16="4 dd",$D16="6 dd",$D16="8 dd",$D16="12 dd",$D16="an",$D16="1 X"),VLOOKUP($D16,ber_tijden!$A$16:$X$26,ber_tijden!H$14,FALSE),"")</f>
        <v/>
      </c>
      <c r="O16" s="15" t="str">
        <f>IF(OR($D16="1 dd",$D16="2 dd",$D16="3 dd",$D16="4 dd",$D16="6 dd",$D16="8 dd",$D16="12 dd",$D16="an",$D16="1 X"),VLOOKUP($D16,ber_tijden!$A$16:$X$26,ber_tijden!I$14,FALSE),"")</f>
        <v/>
      </c>
      <c r="P16" s="106" t="str">
        <f>IF(OR($D16="1 dd",$D16="2 dd",$D16="3 dd",$D16="4 dd",$D16="6 dd",$D16="8 dd",$D16="12 dd",$D16="an",$D16="1 X"),VLOOKUP($D16,ber_tijden!$A$16:$X$26,ber_tijden!J$14,FALSE),"")</f>
        <v/>
      </c>
      <c r="Q16" s="15" t="str">
        <f>IF(OR($D16="1 dd",$D16="2 dd",$D16="3 dd",$D16="4 dd",$D16="6 dd",$D16="8 dd",$D16="12 dd",$D16="an",$D16="1 X"),VLOOKUP($D16,ber_tijden!$A$16:$X$26,ber_tijden!K$14,FALSE),"")</f>
        <v/>
      </c>
      <c r="R16" s="106" t="str">
        <f>IF(OR($D16="1 dd",$D16="2 dd",$D16="3 dd",$D16="4 dd",$D16="6 dd",$D16="8 dd",$D16="12 dd",$D16="an",$D16="1 X"),VLOOKUP($D16,ber_tijden!$A$16:$X$26,ber_tijden!L$14,FALSE),"")</f>
        <v/>
      </c>
      <c r="S16" s="15" t="str">
        <f>IF(OR($D16="1 dd",$D16="2 dd",$D16="3 dd",$D16="4 dd",$D16="6 dd",$D16="8 dd",$D16="12 dd",$D16="an",$D16="1 X"),VLOOKUP($D16,ber_tijden!$A$16:$X$26,ber_tijden!M$14,FALSE),"")</f>
        <v/>
      </c>
      <c r="T16" s="106" t="str">
        <f>IF(OR($D16="1 dd",$D16="2 dd",$D16="3 dd",$D16="4 dd",$D16="6 dd",$D16="8 dd",$D16="12 dd",$D16="an",$D16="1 X"),VLOOKUP($D16,ber_tijden!$A$16:$X$26,ber_tijden!N$14,FALSE),"")</f>
        <v/>
      </c>
      <c r="U16" s="15" t="str">
        <f>IF(OR($D16="1 dd",$D16="2 dd",$D16="3 dd",$D16="4 dd",$D16="6 dd",$D16="8 dd",$D16="12 dd",$D16="an",$D16="1 X"),VLOOKUP($D16,ber_tijden!$A$16:$X$26,ber_tijden!O$14,FALSE),"")</f>
        <v/>
      </c>
      <c r="V16" s="106" t="str">
        <f>IF(OR($D16="1 dd",$D16="2 dd",$D16="3 dd",$D16="4 dd",$D16="6 dd",$D16="8 dd",$D16="12 dd",$D16="an",$D16="1 X"),VLOOKUP($D16,ber_tijden!$A$16:$X$26,ber_tijden!P$14,FALSE),"")</f>
        <v/>
      </c>
      <c r="W16" s="15" t="str">
        <f>IF(OR($D16="1 dd",$D16="2 dd",$D16="3 dd",$D16="4 dd",$D16="6 dd",$D16="8 dd",$D16="12 dd",$D16="an",$D16="1 X"),VLOOKUP($D16,ber_tijden!$A$16:$X$26,ber_tijden!Q$14,FALSE),"")</f>
        <v/>
      </c>
      <c r="X16" s="106" t="str">
        <f>IF(OR($D16="1 dd",$D16="2 dd",$D16="3 dd",$D16="4 dd",$D16="6 dd",$D16="8 dd",$D16="12 dd",$D16="an",$D16="1 X"),VLOOKUP($D16,ber_tijden!$A$16:$X$26,ber_tijden!R$14,FALSE),"")</f>
        <v/>
      </c>
      <c r="Y16" s="15" t="str">
        <f>IF(OR($D16="1 dd",$D16="2 dd",$D16="3 dd",$D16="4 dd",$D16="6 dd",$D16="8 dd",$D16="12 dd",$D16="an",$D16="1 X"),VLOOKUP($D16,ber_tijden!$A$16:$X$26,ber_tijden!S$14,FALSE),"")</f>
        <v/>
      </c>
      <c r="Z16" s="106" t="str">
        <f>IF(OR($D16="1 dd",$D16="2 dd",$D16="3 dd",$D16="4 dd",$D16="6 dd",$D16="8 dd",$D16="12 dd",$D16="an",$D16="1 X"),VLOOKUP($D16,ber_tijden!$A$16:$X$26,ber_tijden!T$14,FALSE),"")</f>
        <v/>
      </c>
      <c r="AA16" s="15" t="str">
        <f>IF(OR($D16="1 dd",$D16="2 dd",$D16="3 dd",$D16="4 dd",$D16="6 dd",$D16="8 dd",$D16="12 dd",$D16="an",$D16="1 X"),VLOOKUP($D16,ber_tijden!$A$16:$X$26,ber_tijden!U$14,FALSE),"")</f>
        <v/>
      </c>
      <c r="AB16" s="106" t="str">
        <f>IF(OR($D16="1 dd",$D16="2 dd",$D16="3 dd",$D16="4 dd",$D16="6 dd",$D16="8 dd",$D16="12 dd",$D16="an",$D16="1 X"),VLOOKUP($D16,ber_tijden!$A$16:$X$26,ber_tijden!V$14,FALSE),"")</f>
        <v/>
      </c>
      <c r="AC16" s="15" t="str">
        <f>IF(OR($D16="1 dd",$D16="2 dd",$D16="3 dd",$D16="4 dd",$D16="6 dd",$D16="8 dd",$D16="12 dd",$D16="an",$D16="1 X"),VLOOKUP($D16,ber_tijden!$A$16:$X$26,ber_tijden!W$14,FALSE),"")</f>
        <v/>
      </c>
      <c r="AD16" s="106" t="str">
        <f>IF(OR($D16="1 dd",$D16="2 dd",$D16="3 dd",$D16="4 dd",$D16="6 dd",$D16="8 dd",$D16="12 dd",$D16="an",$D16="1 X"),VLOOKUP($D16,ber_tijden!$A$16:$X$26,ber_tijden!X$14,FALSE),"")</f>
        <v/>
      </c>
      <c r="AE16" s="17"/>
      <c r="AF16" s="105"/>
      <c r="AG16" s="17"/>
    </row>
    <row r="17" spans="2:33" ht="26.1" customHeight="1" x14ac:dyDescent="0.2">
      <c r="B17" s="107"/>
      <c r="C17" s="231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32" t="str">
        <f>IF(Med_disc!H34&lt;&gt;"",Med_disc!H34,"")</f>
        <v/>
      </c>
      <c r="E17" s="233" t="str">
        <f>IF(AND(D17&lt;&gt;"",D17&lt;&gt;"STOP"),ber_Med_disc!H16&amp;" "&amp;ber_Med_disc!F16,"")</f>
        <v/>
      </c>
      <c r="F17" s="233" t="str">
        <f>IF(AND(D17&lt;&gt;"",D17&lt;&gt;"STOP"),ber_Med_disc!L16," ")</f>
        <v xml:space="preserve"> </v>
      </c>
      <c r="G17" s="233" t="str">
        <f>IF(Med_disc!L34&lt;&gt;"",Med_disc!L34&amp;" "&amp;Med_disc!M34&amp;" "&amp;INDEX(ber_Med_disc!$B$27:$B$30,ber_Med_disc!O16,1)&amp;" in "&amp;Med_disc!$O$34,"")</f>
        <v/>
      </c>
      <c r="H17" s="106" t="str">
        <f>IF(OR($D17="1 dd",$D17="2 dd",$D17="3 dd",$D17="4 dd",$D17="6 dd",$D17="8 dd",$D17="12 dd",$D17="an",$D17="1 X"),VLOOKUP($D17,ber_tijden!$A$16:$X$26,ber_tijden!B$14,FALSE),"")</f>
        <v/>
      </c>
      <c r="I17" s="15" t="str">
        <f>IF(OR($D17="1 dd",$D17="2 dd",$D17="3 dd",$D17="4 dd",$D17="6 dd",$D17="8 dd",$D17="12 dd",$D17="an",$D17="1 X"),VLOOKUP($D17,ber_tijden!$A$16:$X$26,ber_tijden!C$14,FALSE),"")</f>
        <v/>
      </c>
      <c r="J17" s="106" t="str">
        <f>IF(OR($D17="1 dd",$D17="2 dd",$D17="3 dd",$D17="4 dd",$D17="6 dd",$D17="8 dd",$D17="12 dd",$D17="an",$D17="1 X"),VLOOKUP($D17,ber_tijden!$A$16:$X$26,ber_tijden!D$14,FALSE),"")</f>
        <v/>
      </c>
      <c r="K17" s="15" t="str">
        <f>IF(OR($D17="1 dd",$D17="2 dd",$D17="3 dd",$D17="4 dd",$D17="6 dd",$D17="8 dd",$D17="12 dd",$D17="an",$D17="1 X"),VLOOKUP($D17,ber_tijden!$A$16:$X$26,ber_tijden!E$14,FALSE),"")</f>
        <v/>
      </c>
      <c r="L17" s="106" t="str">
        <f>IF(OR($D17="1 dd",$D17="2 dd",$D17="3 dd",$D17="4 dd",$D17="6 dd",$D17="8 dd",$D17="12 dd",$D17="an",$D17="1 X"),VLOOKUP($D17,ber_tijden!$A$16:$X$26,ber_tijden!F$14,FALSE),"")</f>
        <v/>
      </c>
      <c r="M17" s="15" t="str">
        <f>IF(OR($D17="1 dd",$D17="2 dd",$D17="3 dd",$D17="4 dd",$D17="6 dd",$D17="8 dd",$D17="12 dd",$D17="an",$D17="1 X"),VLOOKUP($D17,ber_tijden!$A$16:$X$26,ber_tijden!G$14,FALSE),"")</f>
        <v/>
      </c>
      <c r="N17" s="106" t="str">
        <f>IF(OR($D17="1 dd",$D17="2 dd",$D17="3 dd",$D17="4 dd",$D17="6 dd",$D17="8 dd",$D17="12 dd",$D17="an",$D17="1 X"),VLOOKUP($D17,ber_tijden!$A$16:$X$26,ber_tijden!H$14,FALSE),"")</f>
        <v/>
      </c>
      <c r="O17" s="15" t="str">
        <f>IF(OR($D17="1 dd",$D17="2 dd",$D17="3 dd",$D17="4 dd",$D17="6 dd",$D17="8 dd",$D17="12 dd",$D17="an",$D17="1 X"),VLOOKUP($D17,ber_tijden!$A$16:$X$26,ber_tijden!I$14,FALSE),"")</f>
        <v/>
      </c>
      <c r="P17" s="106" t="str">
        <f>IF(OR($D17="1 dd",$D17="2 dd",$D17="3 dd",$D17="4 dd",$D17="6 dd",$D17="8 dd",$D17="12 dd",$D17="an",$D17="1 X"),VLOOKUP($D17,ber_tijden!$A$16:$X$26,ber_tijden!J$14,FALSE),"")</f>
        <v/>
      </c>
      <c r="Q17" s="15" t="str">
        <f>IF(OR($D17="1 dd",$D17="2 dd",$D17="3 dd",$D17="4 dd",$D17="6 dd",$D17="8 dd",$D17="12 dd",$D17="an",$D17="1 X"),VLOOKUP($D17,ber_tijden!$A$16:$X$26,ber_tijden!K$14,FALSE),"")</f>
        <v/>
      </c>
      <c r="R17" s="106" t="str">
        <f>IF(OR($D17="1 dd",$D17="2 dd",$D17="3 dd",$D17="4 dd",$D17="6 dd",$D17="8 dd",$D17="12 dd",$D17="an",$D17="1 X"),VLOOKUP($D17,ber_tijden!$A$16:$X$26,ber_tijden!L$14,FALSE),"")</f>
        <v/>
      </c>
      <c r="S17" s="15" t="str">
        <f>IF(OR($D17="1 dd",$D17="2 dd",$D17="3 dd",$D17="4 dd",$D17="6 dd",$D17="8 dd",$D17="12 dd",$D17="an",$D17="1 X"),VLOOKUP($D17,ber_tijden!$A$16:$X$26,ber_tijden!M$14,FALSE),"")</f>
        <v/>
      </c>
      <c r="T17" s="106" t="str">
        <f>IF(OR($D17="1 dd",$D17="2 dd",$D17="3 dd",$D17="4 dd",$D17="6 dd",$D17="8 dd",$D17="12 dd",$D17="an",$D17="1 X"),VLOOKUP($D17,ber_tijden!$A$16:$X$26,ber_tijden!N$14,FALSE),"")</f>
        <v/>
      </c>
      <c r="U17" s="15" t="str">
        <f>IF(OR($D17="1 dd",$D17="2 dd",$D17="3 dd",$D17="4 dd",$D17="6 dd",$D17="8 dd",$D17="12 dd",$D17="an",$D17="1 X"),VLOOKUP($D17,ber_tijden!$A$16:$X$26,ber_tijden!O$14,FALSE),"")</f>
        <v/>
      </c>
      <c r="V17" s="106" t="str">
        <f>IF(OR($D17="1 dd",$D17="2 dd",$D17="3 dd",$D17="4 dd",$D17="6 dd",$D17="8 dd",$D17="12 dd",$D17="an",$D17="1 X"),VLOOKUP($D17,ber_tijden!$A$16:$X$26,ber_tijden!P$14,FALSE),"")</f>
        <v/>
      </c>
      <c r="W17" s="15" t="str">
        <f>IF(OR($D17="1 dd",$D17="2 dd",$D17="3 dd",$D17="4 dd",$D17="6 dd",$D17="8 dd",$D17="12 dd",$D17="an",$D17="1 X"),VLOOKUP($D17,ber_tijden!$A$16:$X$26,ber_tijden!Q$14,FALSE),"")</f>
        <v/>
      </c>
      <c r="X17" s="106" t="str">
        <f>IF(OR($D17="1 dd",$D17="2 dd",$D17="3 dd",$D17="4 dd",$D17="6 dd",$D17="8 dd",$D17="12 dd",$D17="an",$D17="1 X"),VLOOKUP($D17,ber_tijden!$A$16:$X$26,ber_tijden!R$14,FALSE),"")</f>
        <v/>
      </c>
      <c r="Y17" s="15" t="str">
        <f>IF(OR($D17="1 dd",$D17="2 dd",$D17="3 dd",$D17="4 dd",$D17="6 dd",$D17="8 dd",$D17="12 dd",$D17="an",$D17="1 X"),VLOOKUP($D17,ber_tijden!$A$16:$X$26,ber_tijden!S$14,FALSE),"")</f>
        <v/>
      </c>
      <c r="Z17" s="106" t="str">
        <f>IF(OR($D17="1 dd",$D17="2 dd",$D17="3 dd",$D17="4 dd",$D17="6 dd",$D17="8 dd",$D17="12 dd",$D17="an",$D17="1 X"),VLOOKUP($D17,ber_tijden!$A$16:$X$26,ber_tijden!T$14,FALSE),"")</f>
        <v/>
      </c>
      <c r="AA17" s="15" t="str">
        <f>IF(OR($D17="1 dd",$D17="2 dd",$D17="3 dd",$D17="4 dd",$D17="6 dd",$D17="8 dd",$D17="12 dd",$D17="an",$D17="1 X"),VLOOKUP($D17,ber_tijden!$A$16:$X$26,ber_tijden!U$14,FALSE),"")</f>
        <v/>
      </c>
      <c r="AB17" s="106" t="str">
        <f>IF(OR($D17="1 dd",$D17="2 dd",$D17="3 dd",$D17="4 dd",$D17="6 dd",$D17="8 dd",$D17="12 dd",$D17="an",$D17="1 X"),VLOOKUP($D17,ber_tijden!$A$16:$X$26,ber_tijden!V$14,FALSE),"")</f>
        <v/>
      </c>
      <c r="AC17" s="15" t="str">
        <f>IF(OR($D17="1 dd",$D17="2 dd",$D17="3 dd",$D17="4 dd",$D17="6 dd",$D17="8 dd",$D17="12 dd",$D17="an",$D17="1 X"),VLOOKUP($D17,ber_tijden!$A$16:$X$26,ber_tijden!W$14,FALSE),"")</f>
        <v/>
      </c>
      <c r="AD17" s="106" t="str">
        <f>IF(OR($D17="1 dd",$D17="2 dd",$D17="3 dd",$D17="4 dd",$D17="6 dd",$D17="8 dd",$D17="12 dd",$D17="an",$D17="1 X"),VLOOKUP($D17,ber_tijden!$A$16:$X$26,ber_tijden!X$14,FALSE),"")</f>
        <v/>
      </c>
      <c r="AE17" s="17"/>
      <c r="AF17" s="105"/>
      <c r="AG17" s="17"/>
    </row>
    <row r="18" spans="2:33" ht="26.1" customHeight="1" x14ac:dyDescent="0.2">
      <c r="B18" s="107"/>
      <c r="C18" s="231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32" t="str">
        <f>IF(Med_disc!H36&lt;&gt;"",Med_disc!H36,"")</f>
        <v/>
      </c>
      <c r="E18" s="233" t="str">
        <f>IF(AND(D18&lt;&gt;"",D18&lt;&gt;"STOP"),ber_Med_disc!H17&amp;" "&amp;ber_Med_disc!F17,"")</f>
        <v/>
      </c>
      <c r="F18" s="233" t="str">
        <f>IF(AND(D18&lt;&gt;"",D18&lt;&gt;"STOP"),ber_Med_disc!L17," ")</f>
        <v xml:space="preserve"> </v>
      </c>
      <c r="G18" s="233" t="str">
        <f>IF(Med_disc!L36&lt;&gt;"",Med_disc!L36&amp;" "&amp;Med_disc!M36&amp;" "&amp;INDEX(ber_Med_disc!$B$27:$B$30,ber_Med_disc!O17,1)&amp;" in "&amp;Med_disc!$O$36,"")</f>
        <v/>
      </c>
      <c r="H18" s="106" t="str">
        <f>IF(OR($D18="1 dd",$D18="2 dd",$D18="3 dd",$D18="4 dd",$D18="6 dd",$D18="8 dd",$D18="12 dd",$D18="an",$D18="1 X"),VLOOKUP($D18,ber_tijden!$A$16:$X$26,ber_tijden!B$14,FALSE),"")</f>
        <v/>
      </c>
      <c r="I18" s="15" t="str">
        <f>IF(OR($D18="1 dd",$D18="2 dd",$D18="3 dd",$D18="4 dd",$D18="6 dd",$D18="8 dd",$D18="12 dd",$D18="an",$D18="1 X"),VLOOKUP($D18,ber_tijden!$A$16:$X$26,ber_tijden!C$14,FALSE),"")</f>
        <v/>
      </c>
      <c r="J18" s="106" t="str">
        <f>IF(OR($D18="1 dd",$D18="2 dd",$D18="3 dd",$D18="4 dd",$D18="6 dd",$D18="8 dd",$D18="12 dd",$D18="an",$D18="1 X"),VLOOKUP($D18,ber_tijden!$A$16:$X$26,ber_tijden!D$14,FALSE),"")</f>
        <v/>
      </c>
      <c r="K18" s="15" t="str">
        <f>IF(OR($D18="1 dd",$D18="2 dd",$D18="3 dd",$D18="4 dd",$D18="6 dd",$D18="8 dd",$D18="12 dd",$D18="an",$D18="1 X"),VLOOKUP($D18,ber_tijden!$A$16:$X$26,ber_tijden!E$14,FALSE),"")</f>
        <v/>
      </c>
      <c r="L18" s="106" t="str">
        <f>IF(OR($D18="1 dd",$D18="2 dd",$D18="3 dd",$D18="4 dd",$D18="6 dd",$D18="8 dd",$D18="12 dd",$D18="an",$D18="1 X"),VLOOKUP($D18,ber_tijden!$A$16:$X$26,ber_tijden!F$14,FALSE),"")</f>
        <v/>
      </c>
      <c r="M18" s="15" t="str">
        <f>IF(OR($D18="1 dd",$D18="2 dd",$D18="3 dd",$D18="4 dd",$D18="6 dd",$D18="8 dd",$D18="12 dd",$D18="an",$D18="1 X"),VLOOKUP($D18,ber_tijden!$A$16:$X$26,ber_tijden!G$14,FALSE),"")</f>
        <v/>
      </c>
      <c r="N18" s="106" t="str">
        <f>IF(OR($D18="1 dd",$D18="2 dd",$D18="3 dd",$D18="4 dd",$D18="6 dd",$D18="8 dd",$D18="12 dd",$D18="an",$D18="1 X"),VLOOKUP($D18,ber_tijden!$A$16:$X$26,ber_tijden!H$14,FALSE),"")</f>
        <v/>
      </c>
      <c r="O18" s="15" t="str">
        <f>IF(OR($D18="1 dd",$D18="2 dd",$D18="3 dd",$D18="4 dd",$D18="6 dd",$D18="8 dd",$D18="12 dd",$D18="an",$D18="1 X"),VLOOKUP($D18,ber_tijden!$A$16:$X$26,ber_tijden!I$14,FALSE),"")</f>
        <v/>
      </c>
      <c r="P18" s="106" t="str">
        <f>IF(OR($D18="1 dd",$D18="2 dd",$D18="3 dd",$D18="4 dd",$D18="6 dd",$D18="8 dd",$D18="12 dd",$D18="an",$D18="1 X"),VLOOKUP($D18,ber_tijden!$A$16:$X$26,ber_tijden!J$14,FALSE),"")</f>
        <v/>
      </c>
      <c r="Q18" s="15" t="str">
        <f>IF(OR($D18="1 dd",$D18="2 dd",$D18="3 dd",$D18="4 dd",$D18="6 dd",$D18="8 dd",$D18="12 dd",$D18="an",$D18="1 X"),VLOOKUP($D18,ber_tijden!$A$16:$X$26,ber_tijden!K$14,FALSE),"")</f>
        <v/>
      </c>
      <c r="R18" s="106" t="str">
        <f>IF(OR($D18="1 dd",$D18="2 dd",$D18="3 dd",$D18="4 dd",$D18="6 dd",$D18="8 dd",$D18="12 dd",$D18="an",$D18="1 X"),VLOOKUP($D18,ber_tijden!$A$16:$X$26,ber_tijden!L$14,FALSE),"")</f>
        <v/>
      </c>
      <c r="S18" s="15" t="str">
        <f>IF(OR($D18="1 dd",$D18="2 dd",$D18="3 dd",$D18="4 dd",$D18="6 dd",$D18="8 dd",$D18="12 dd",$D18="an",$D18="1 X"),VLOOKUP($D18,ber_tijden!$A$16:$X$26,ber_tijden!M$14,FALSE),"")</f>
        <v/>
      </c>
      <c r="T18" s="106" t="str">
        <f>IF(OR($D18="1 dd",$D18="2 dd",$D18="3 dd",$D18="4 dd",$D18="6 dd",$D18="8 dd",$D18="12 dd",$D18="an",$D18="1 X"),VLOOKUP($D18,ber_tijden!$A$16:$X$26,ber_tijden!N$14,FALSE),"")</f>
        <v/>
      </c>
      <c r="U18" s="15" t="str">
        <f>IF(OR($D18="1 dd",$D18="2 dd",$D18="3 dd",$D18="4 dd",$D18="6 dd",$D18="8 dd",$D18="12 dd",$D18="an",$D18="1 X"),VLOOKUP($D18,ber_tijden!$A$16:$X$26,ber_tijden!O$14,FALSE),"")</f>
        <v/>
      </c>
      <c r="V18" s="106" t="str">
        <f>IF(OR($D18="1 dd",$D18="2 dd",$D18="3 dd",$D18="4 dd",$D18="6 dd",$D18="8 dd",$D18="12 dd",$D18="an",$D18="1 X"),VLOOKUP($D18,ber_tijden!$A$16:$X$26,ber_tijden!P$14,FALSE),"")</f>
        <v/>
      </c>
      <c r="W18" s="15" t="str">
        <f>IF(OR($D18="1 dd",$D18="2 dd",$D18="3 dd",$D18="4 dd",$D18="6 dd",$D18="8 dd",$D18="12 dd",$D18="an",$D18="1 X"),VLOOKUP($D18,ber_tijden!$A$16:$X$26,ber_tijden!Q$14,FALSE),"")</f>
        <v/>
      </c>
      <c r="X18" s="106" t="str">
        <f>IF(OR($D18="1 dd",$D18="2 dd",$D18="3 dd",$D18="4 dd",$D18="6 dd",$D18="8 dd",$D18="12 dd",$D18="an",$D18="1 X"),VLOOKUP($D18,ber_tijden!$A$16:$X$26,ber_tijden!R$14,FALSE),"")</f>
        <v/>
      </c>
      <c r="Y18" s="15" t="str">
        <f>IF(OR($D18="1 dd",$D18="2 dd",$D18="3 dd",$D18="4 dd",$D18="6 dd",$D18="8 dd",$D18="12 dd",$D18="an",$D18="1 X"),VLOOKUP($D18,ber_tijden!$A$16:$X$26,ber_tijden!S$14,FALSE),"")</f>
        <v/>
      </c>
      <c r="Z18" s="106" t="str">
        <f>IF(OR($D18="1 dd",$D18="2 dd",$D18="3 dd",$D18="4 dd",$D18="6 dd",$D18="8 dd",$D18="12 dd",$D18="an",$D18="1 X"),VLOOKUP($D18,ber_tijden!$A$16:$X$26,ber_tijden!T$14,FALSE),"")</f>
        <v/>
      </c>
      <c r="AA18" s="15" t="str">
        <f>IF(OR($D18="1 dd",$D18="2 dd",$D18="3 dd",$D18="4 dd",$D18="6 dd",$D18="8 dd",$D18="12 dd",$D18="an",$D18="1 X"),VLOOKUP($D18,ber_tijden!$A$16:$X$26,ber_tijden!U$14,FALSE),"")</f>
        <v/>
      </c>
      <c r="AB18" s="106" t="str">
        <f>IF(OR($D18="1 dd",$D18="2 dd",$D18="3 dd",$D18="4 dd",$D18="6 dd",$D18="8 dd",$D18="12 dd",$D18="an",$D18="1 X"),VLOOKUP($D18,ber_tijden!$A$16:$X$26,ber_tijden!V$14,FALSE),"")</f>
        <v/>
      </c>
      <c r="AC18" s="15" t="str">
        <f>IF(OR($D18="1 dd",$D18="2 dd",$D18="3 dd",$D18="4 dd",$D18="6 dd",$D18="8 dd",$D18="12 dd",$D18="an",$D18="1 X"),VLOOKUP($D18,ber_tijden!$A$16:$X$26,ber_tijden!W$14,FALSE),"")</f>
        <v/>
      </c>
      <c r="AD18" s="106" t="str">
        <f>IF(OR($D18="1 dd",$D18="2 dd",$D18="3 dd",$D18="4 dd",$D18="6 dd",$D18="8 dd",$D18="12 dd",$D18="an",$D18="1 X"),VLOOKUP($D18,ber_tijden!$A$16:$X$26,ber_tijden!X$14,FALSE),"")</f>
        <v/>
      </c>
      <c r="AE18" s="17"/>
      <c r="AF18" s="105"/>
      <c r="AG18" s="17"/>
    </row>
    <row r="19" spans="2:33" ht="26.1" customHeight="1" x14ac:dyDescent="0.2">
      <c r="B19" s="107"/>
      <c r="C19" s="231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32" t="str">
        <f>IF(Med_disc!H38&lt;&gt;"",Med_disc!H38,"")</f>
        <v/>
      </c>
      <c r="E19" s="233" t="str">
        <f>IF(AND(D19&lt;&gt;"",D19&lt;&gt;"STOP"),ber_Med_disc!H18&amp;" "&amp;ber_Med_disc!F18,"")</f>
        <v/>
      </c>
      <c r="F19" s="233" t="str">
        <f>IF(AND(D19&lt;&gt;"",D19&lt;&gt;"STOP"),ber_Med_disc!L18," ")</f>
        <v xml:space="preserve"> </v>
      </c>
      <c r="G19" s="233" t="str">
        <f>IF(Med_disc!L38&lt;&gt;"",Med_disc!L38&amp;" "&amp;Med_disc!M38&amp;" "&amp;INDEX(ber_Med_disc!$B$27:$B$30,ber_Med_disc!O18,1)&amp;" in "&amp;Med_disc!$O$38,"")</f>
        <v/>
      </c>
      <c r="H19" s="106" t="str">
        <f>IF(OR($D19="1 dd",$D19="2 dd",$D19="3 dd",$D19="4 dd",$D19="6 dd",$D19="8 dd",$D19="12 dd",$D19="an",$D19="1 X"),VLOOKUP($D19,ber_tijden!$A$16:$X$26,ber_tijden!B$14,FALSE),"")</f>
        <v/>
      </c>
      <c r="I19" s="15" t="str">
        <f>IF(OR($D19="1 dd",$D19="2 dd",$D19="3 dd",$D19="4 dd",$D19="6 dd",$D19="8 dd",$D19="12 dd",$D19="an",$D19="1 X"),VLOOKUP($D19,ber_tijden!$A$16:$X$26,ber_tijden!C$14,FALSE),"")</f>
        <v/>
      </c>
      <c r="J19" s="106" t="str">
        <f>IF(OR($D19="1 dd",$D19="2 dd",$D19="3 dd",$D19="4 dd",$D19="6 dd",$D19="8 dd",$D19="12 dd",$D19="an",$D19="1 X"),VLOOKUP($D19,ber_tijden!$A$16:$X$26,ber_tijden!D$14,FALSE),"")</f>
        <v/>
      </c>
      <c r="K19" s="15" t="str">
        <f>IF(OR($D19="1 dd",$D19="2 dd",$D19="3 dd",$D19="4 dd",$D19="6 dd",$D19="8 dd",$D19="12 dd",$D19="an",$D19="1 X"),VLOOKUP($D19,ber_tijden!$A$16:$X$26,ber_tijden!E$14,FALSE),"")</f>
        <v/>
      </c>
      <c r="L19" s="106" t="str">
        <f>IF(OR($D19="1 dd",$D19="2 dd",$D19="3 dd",$D19="4 dd",$D19="6 dd",$D19="8 dd",$D19="12 dd",$D19="an",$D19="1 X"),VLOOKUP($D19,ber_tijden!$A$16:$X$26,ber_tijden!F$14,FALSE),"")</f>
        <v/>
      </c>
      <c r="M19" s="15" t="str">
        <f>IF(OR($D19="1 dd",$D19="2 dd",$D19="3 dd",$D19="4 dd",$D19="6 dd",$D19="8 dd",$D19="12 dd",$D19="an",$D19="1 X"),VLOOKUP($D19,ber_tijden!$A$16:$X$26,ber_tijden!G$14,FALSE),"")</f>
        <v/>
      </c>
      <c r="N19" s="106" t="str">
        <f>IF(OR($D19="1 dd",$D19="2 dd",$D19="3 dd",$D19="4 dd",$D19="6 dd",$D19="8 dd",$D19="12 dd",$D19="an",$D19="1 X"),VLOOKUP($D19,ber_tijden!$A$16:$X$26,ber_tijden!H$14,FALSE),"")</f>
        <v/>
      </c>
      <c r="O19" s="15" t="str">
        <f>IF(OR($D19="1 dd",$D19="2 dd",$D19="3 dd",$D19="4 dd",$D19="6 dd",$D19="8 dd",$D19="12 dd",$D19="an",$D19="1 X"),VLOOKUP($D19,ber_tijden!$A$16:$X$26,ber_tijden!I$14,FALSE),"")</f>
        <v/>
      </c>
      <c r="P19" s="106" t="str">
        <f>IF(OR($D19="1 dd",$D19="2 dd",$D19="3 dd",$D19="4 dd",$D19="6 dd",$D19="8 dd",$D19="12 dd",$D19="an",$D19="1 X"),VLOOKUP($D19,ber_tijden!$A$16:$X$26,ber_tijden!J$14,FALSE),"")</f>
        <v/>
      </c>
      <c r="Q19" s="15" t="str">
        <f>IF(OR($D19="1 dd",$D19="2 dd",$D19="3 dd",$D19="4 dd",$D19="6 dd",$D19="8 dd",$D19="12 dd",$D19="an",$D19="1 X"),VLOOKUP($D19,ber_tijden!$A$16:$X$26,ber_tijden!K$14,FALSE),"")</f>
        <v/>
      </c>
      <c r="R19" s="106" t="str">
        <f>IF(OR($D19="1 dd",$D19="2 dd",$D19="3 dd",$D19="4 dd",$D19="6 dd",$D19="8 dd",$D19="12 dd",$D19="an",$D19="1 X"),VLOOKUP($D19,ber_tijden!$A$16:$X$26,ber_tijden!L$14,FALSE),"")</f>
        <v/>
      </c>
      <c r="S19" s="15" t="str">
        <f>IF(OR($D19="1 dd",$D19="2 dd",$D19="3 dd",$D19="4 dd",$D19="6 dd",$D19="8 dd",$D19="12 dd",$D19="an",$D19="1 X"),VLOOKUP($D19,ber_tijden!$A$16:$X$26,ber_tijden!M$14,FALSE),"")</f>
        <v/>
      </c>
      <c r="T19" s="106" t="str">
        <f>IF(OR($D19="1 dd",$D19="2 dd",$D19="3 dd",$D19="4 dd",$D19="6 dd",$D19="8 dd",$D19="12 dd",$D19="an",$D19="1 X"),VLOOKUP($D19,ber_tijden!$A$16:$X$26,ber_tijden!N$14,FALSE),"")</f>
        <v/>
      </c>
      <c r="U19" s="15" t="str">
        <f>IF(OR($D19="1 dd",$D19="2 dd",$D19="3 dd",$D19="4 dd",$D19="6 dd",$D19="8 dd",$D19="12 dd",$D19="an",$D19="1 X"),VLOOKUP($D19,ber_tijden!$A$16:$X$26,ber_tijden!O$14,FALSE),"")</f>
        <v/>
      </c>
      <c r="V19" s="106" t="str">
        <f>IF(OR($D19="1 dd",$D19="2 dd",$D19="3 dd",$D19="4 dd",$D19="6 dd",$D19="8 dd",$D19="12 dd",$D19="an",$D19="1 X"),VLOOKUP($D19,ber_tijden!$A$16:$X$26,ber_tijden!P$14,FALSE),"")</f>
        <v/>
      </c>
      <c r="W19" s="15" t="str">
        <f>IF(OR($D19="1 dd",$D19="2 dd",$D19="3 dd",$D19="4 dd",$D19="6 dd",$D19="8 dd",$D19="12 dd",$D19="an",$D19="1 X"),VLOOKUP($D19,ber_tijden!$A$16:$X$26,ber_tijden!Q$14,FALSE),"")</f>
        <v/>
      </c>
      <c r="X19" s="106" t="str">
        <f>IF(OR($D19="1 dd",$D19="2 dd",$D19="3 dd",$D19="4 dd",$D19="6 dd",$D19="8 dd",$D19="12 dd",$D19="an",$D19="1 X"),VLOOKUP($D19,ber_tijden!$A$16:$X$26,ber_tijden!R$14,FALSE),"")</f>
        <v/>
      </c>
      <c r="Y19" s="15" t="str">
        <f>IF(OR($D19="1 dd",$D19="2 dd",$D19="3 dd",$D19="4 dd",$D19="6 dd",$D19="8 dd",$D19="12 dd",$D19="an",$D19="1 X"),VLOOKUP($D19,ber_tijden!$A$16:$X$26,ber_tijden!S$14,FALSE),"")</f>
        <v/>
      </c>
      <c r="Z19" s="106" t="str">
        <f>IF(OR($D19="1 dd",$D19="2 dd",$D19="3 dd",$D19="4 dd",$D19="6 dd",$D19="8 dd",$D19="12 dd",$D19="an",$D19="1 X"),VLOOKUP($D19,ber_tijden!$A$16:$X$26,ber_tijden!T$14,FALSE),"")</f>
        <v/>
      </c>
      <c r="AA19" s="15" t="str">
        <f>IF(OR($D19="1 dd",$D19="2 dd",$D19="3 dd",$D19="4 dd",$D19="6 dd",$D19="8 dd",$D19="12 dd",$D19="an",$D19="1 X"),VLOOKUP($D19,ber_tijden!$A$16:$X$26,ber_tijden!U$14,FALSE),"")</f>
        <v/>
      </c>
      <c r="AB19" s="106" t="str">
        <f>IF(OR($D19="1 dd",$D19="2 dd",$D19="3 dd",$D19="4 dd",$D19="6 dd",$D19="8 dd",$D19="12 dd",$D19="an",$D19="1 X"),VLOOKUP($D19,ber_tijden!$A$16:$X$26,ber_tijden!V$14,FALSE),"")</f>
        <v/>
      </c>
      <c r="AC19" s="15" t="str">
        <f>IF(OR($D19="1 dd",$D19="2 dd",$D19="3 dd",$D19="4 dd",$D19="6 dd",$D19="8 dd",$D19="12 dd",$D19="an",$D19="1 X"),VLOOKUP($D19,ber_tijden!$A$16:$X$26,ber_tijden!W$14,FALSE),"")</f>
        <v/>
      </c>
      <c r="AD19" s="106" t="str">
        <f>IF(OR($D19="1 dd",$D19="2 dd",$D19="3 dd",$D19="4 dd",$D19="6 dd",$D19="8 dd",$D19="12 dd",$D19="an",$D19="1 X"),VLOOKUP($D19,ber_tijden!$A$16:$X$26,ber_tijden!X$14,FALSE),"")</f>
        <v/>
      </c>
      <c r="AE19" s="17"/>
      <c r="AF19" s="105"/>
      <c r="AG19" s="17"/>
    </row>
    <row r="20" spans="2:33" ht="26.1" customHeight="1" x14ac:dyDescent="0.2">
      <c r="B20" s="107"/>
      <c r="C20" s="231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32" t="str">
        <f>IF(Med_disc!H40&lt;&gt;"",Med_disc!H40,"")</f>
        <v/>
      </c>
      <c r="E20" s="233" t="str">
        <f>IF(AND(D20&lt;&gt;"",D20&lt;&gt;"STOP"),ber_Med_disc!H19&amp;" "&amp;ber_Med_disc!F19,"")</f>
        <v/>
      </c>
      <c r="F20" s="233" t="str">
        <f>IF(AND(D20&lt;&gt;"",D20&lt;&gt;"STOP"),ber_Med_disc!L19," ")</f>
        <v xml:space="preserve"> </v>
      </c>
      <c r="G20" s="233" t="str">
        <f>IF(Med_disc!L40&lt;&gt;"",Med_disc!L40&amp;" "&amp;Med_disc!M40&amp;" "&amp;INDEX(ber_Med_disc!$B$27:$B$30,ber_Med_disc!O19,1)&amp;" in "&amp;Med_disc!$O$40,"")</f>
        <v/>
      </c>
      <c r="H20" s="106" t="str">
        <f>IF(OR($D20="1 dd",$D20="2 dd",$D20="3 dd",$D20="4 dd",$D20="6 dd",$D20="8 dd",$D20="12 dd",$D20="an",$D20="1 X"),VLOOKUP($D20,ber_tijden!$A$16:$X$26,ber_tijden!B$14,FALSE),"")</f>
        <v/>
      </c>
      <c r="I20" s="15" t="str">
        <f>IF(OR($D20="1 dd",$D20="2 dd",$D20="3 dd",$D20="4 dd",$D20="6 dd",$D20="8 dd",$D20="12 dd",$D20="an",$D20="1 X"),VLOOKUP($D20,ber_tijden!$A$16:$X$26,ber_tijden!C$14,FALSE),"")</f>
        <v/>
      </c>
      <c r="J20" s="106" t="str">
        <f>IF(OR($D20="1 dd",$D20="2 dd",$D20="3 dd",$D20="4 dd",$D20="6 dd",$D20="8 dd",$D20="12 dd",$D20="an",$D20="1 X"),VLOOKUP($D20,ber_tijden!$A$16:$X$26,ber_tijden!D$14,FALSE),"")</f>
        <v/>
      </c>
      <c r="K20" s="15" t="str">
        <f>IF(OR($D20="1 dd",$D20="2 dd",$D20="3 dd",$D20="4 dd",$D20="6 dd",$D20="8 dd",$D20="12 dd",$D20="an",$D20="1 X"),VLOOKUP($D20,ber_tijden!$A$16:$X$26,ber_tijden!E$14,FALSE),"")</f>
        <v/>
      </c>
      <c r="L20" s="106" t="str">
        <f>IF(OR($D20="1 dd",$D20="2 dd",$D20="3 dd",$D20="4 dd",$D20="6 dd",$D20="8 dd",$D20="12 dd",$D20="an",$D20="1 X"),VLOOKUP($D20,ber_tijden!$A$16:$X$26,ber_tijden!F$14,FALSE),"")</f>
        <v/>
      </c>
      <c r="M20" s="15" t="str">
        <f>IF(OR($D20="1 dd",$D20="2 dd",$D20="3 dd",$D20="4 dd",$D20="6 dd",$D20="8 dd",$D20="12 dd",$D20="an",$D20="1 X"),VLOOKUP($D20,ber_tijden!$A$16:$X$26,ber_tijden!G$14,FALSE),"")</f>
        <v/>
      </c>
      <c r="N20" s="106" t="str">
        <f>IF(OR($D20="1 dd",$D20="2 dd",$D20="3 dd",$D20="4 dd",$D20="6 dd",$D20="8 dd",$D20="12 dd",$D20="an",$D20="1 X"),VLOOKUP($D20,ber_tijden!$A$16:$X$26,ber_tijden!H$14,FALSE),"")</f>
        <v/>
      </c>
      <c r="O20" s="15" t="str">
        <f>IF(OR($D20="1 dd",$D20="2 dd",$D20="3 dd",$D20="4 dd",$D20="6 dd",$D20="8 dd",$D20="12 dd",$D20="an",$D20="1 X"),VLOOKUP($D20,ber_tijden!$A$16:$X$26,ber_tijden!I$14,FALSE),"")</f>
        <v/>
      </c>
      <c r="P20" s="106" t="str">
        <f>IF(OR($D20="1 dd",$D20="2 dd",$D20="3 dd",$D20="4 dd",$D20="6 dd",$D20="8 dd",$D20="12 dd",$D20="an",$D20="1 X"),VLOOKUP($D20,ber_tijden!$A$16:$X$26,ber_tijden!J$14,FALSE),"")</f>
        <v/>
      </c>
      <c r="Q20" s="15" t="str">
        <f>IF(OR($D20="1 dd",$D20="2 dd",$D20="3 dd",$D20="4 dd",$D20="6 dd",$D20="8 dd",$D20="12 dd",$D20="an",$D20="1 X"),VLOOKUP($D20,ber_tijden!$A$16:$X$26,ber_tijden!K$14,FALSE),"")</f>
        <v/>
      </c>
      <c r="R20" s="106" t="str">
        <f>IF(OR($D20="1 dd",$D20="2 dd",$D20="3 dd",$D20="4 dd",$D20="6 dd",$D20="8 dd",$D20="12 dd",$D20="an",$D20="1 X"),VLOOKUP($D20,ber_tijden!$A$16:$X$26,ber_tijden!L$14,FALSE),"")</f>
        <v/>
      </c>
      <c r="S20" s="15" t="str">
        <f>IF(OR($D20="1 dd",$D20="2 dd",$D20="3 dd",$D20="4 dd",$D20="6 dd",$D20="8 dd",$D20="12 dd",$D20="an",$D20="1 X"),VLOOKUP($D20,ber_tijden!$A$16:$X$26,ber_tijden!M$14,FALSE),"")</f>
        <v/>
      </c>
      <c r="T20" s="106" t="str">
        <f>IF(OR($D20="1 dd",$D20="2 dd",$D20="3 dd",$D20="4 dd",$D20="6 dd",$D20="8 dd",$D20="12 dd",$D20="an",$D20="1 X"),VLOOKUP($D20,ber_tijden!$A$16:$X$26,ber_tijden!N$14,FALSE),"")</f>
        <v/>
      </c>
      <c r="U20" s="15" t="str">
        <f>IF(OR($D20="1 dd",$D20="2 dd",$D20="3 dd",$D20="4 dd",$D20="6 dd",$D20="8 dd",$D20="12 dd",$D20="an",$D20="1 X"),VLOOKUP($D20,ber_tijden!$A$16:$X$26,ber_tijden!O$14,FALSE),"")</f>
        <v/>
      </c>
      <c r="V20" s="106" t="str">
        <f>IF(OR($D20="1 dd",$D20="2 dd",$D20="3 dd",$D20="4 dd",$D20="6 dd",$D20="8 dd",$D20="12 dd",$D20="an",$D20="1 X"),VLOOKUP($D20,ber_tijden!$A$16:$X$26,ber_tijden!P$14,FALSE),"")</f>
        <v/>
      </c>
      <c r="W20" s="15" t="str">
        <f>IF(OR($D20="1 dd",$D20="2 dd",$D20="3 dd",$D20="4 dd",$D20="6 dd",$D20="8 dd",$D20="12 dd",$D20="an",$D20="1 X"),VLOOKUP($D20,ber_tijden!$A$16:$X$26,ber_tijden!Q$14,FALSE),"")</f>
        <v/>
      </c>
      <c r="X20" s="106" t="str">
        <f>IF(OR($D20="1 dd",$D20="2 dd",$D20="3 dd",$D20="4 dd",$D20="6 dd",$D20="8 dd",$D20="12 dd",$D20="an",$D20="1 X"),VLOOKUP($D20,ber_tijden!$A$16:$X$26,ber_tijden!R$14,FALSE),"")</f>
        <v/>
      </c>
      <c r="Y20" s="15" t="str">
        <f>IF(OR($D20="1 dd",$D20="2 dd",$D20="3 dd",$D20="4 dd",$D20="6 dd",$D20="8 dd",$D20="12 dd",$D20="an",$D20="1 X"),VLOOKUP($D20,ber_tijden!$A$16:$X$26,ber_tijden!S$14,FALSE),"")</f>
        <v/>
      </c>
      <c r="Z20" s="106" t="str">
        <f>IF(OR($D20="1 dd",$D20="2 dd",$D20="3 dd",$D20="4 dd",$D20="6 dd",$D20="8 dd",$D20="12 dd",$D20="an",$D20="1 X"),VLOOKUP($D20,ber_tijden!$A$16:$X$26,ber_tijden!T$14,FALSE),"")</f>
        <v/>
      </c>
      <c r="AA20" s="15" t="str">
        <f>IF(OR($D20="1 dd",$D20="2 dd",$D20="3 dd",$D20="4 dd",$D20="6 dd",$D20="8 dd",$D20="12 dd",$D20="an",$D20="1 X"),VLOOKUP($D20,ber_tijden!$A$16:$X$26,ber_tijden!U$14,FALSE),"")</f>
        <v/>
      </c>
      <c r="AB20" s="106" t="str">
        <f>IF(OR($D20="1 dd",$D20="2 dd",$D20="3 dd",$D20="4 dd",$D20="6 dd",$D20="8 dd",$D20="12 dd",$D20="an",$D20="1 X"),VLOOKUP($D20,ber_tijden!$A$16:$X$26,ber_tijden!V$14,FALSE),"")</f>
        <v/>
      </c>
      <c r="AC20" s="15" t="str">
        <f>IF(OR($D20="1 dd",$D20="2 dd",$D20="3 dd",$D20="4 dd",$D20="6 dd",$D20="8 dd",$D20="12 dd",$D20="an",$D20="1 X"),VLOOKUP($D20,ber_tijden!$A$16:$X$26,ber_tijden!W$14,FALSE),"")</f>
        <v/>
      </c>
      <c r="AD20" s="106" t="str">
        <f>IF(OR($D20="1 dd",$D20="2 dd",$D20="3 dd",$D20="4 dd",$D20="6 dd",$D20="8 dd",$D20="12 dd",$D20="an",$D20="1 X"),VLOOKUP($D20,ber_tijden!$A$16:$X$26,ber_tijden!X$14,FALSE),"")</f>
        <v/>
      </c>
      <c r="AE20" s="17"/>
      <c r="AF20" s="105"/>
      <c r="AG20" s="17"/>
    </row>
    <row r="21" spans="2:33" ht="26.1" customHeight="1" x14ac:dyDescent="0.2">
      <c r="B21" s="107"/>
      <c r="C21" s="231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32" t="str">
        <f>IF(Med_disc!H42&lt;&gt;"",Med_disc!H42,"")</f>
        <v/>
      </c>
      <c r="E21" s="233" t="str">
        <f>IF(AND(D21&lt;&gt;"",D21&lt;&gt;"STOP"),ber_Med_disc!H20&amp;" "&amp;ber_Med_disc!F20,"")</f>
        <v/>
      </c>
      <c r="F21" s="233" t="str">
        <f>IF(AND(D21&lt;&gt;"",D21&lt;&gt;"STOP"),ber_Med_disc!L20," ")</f>
        <v xml:space="preserve"> </v>
      </c>
      <c r="G21" s="233" t="str">
        <f>IF(Med_disc!L42&lt;&gt;"",Med_disc!L42&amp;" "&amp;Med_disc!M42&amp;" "&amp;INDEX(ber_Med_disc!$B$27:$B$30,ber_Med_disc!O20,1)&amp;" in "&amp;Med_disc!$O$42,"")</f>
        <v/>
      </c>
      <c r="H21" s="106" t="str">
        <f>IF(OR($D21="1 dd",$D21="2 dd",$D21="3 dd",$D21="4 dd",$D21="6 dd",$D21="8 dd",$D21="12 dd",$D21="an",$D21="1 X"),VLOOKUP($D21,ber_tijden!$A$16:$X$26,ber_tijden!B$14,FALSE),"")</f>
        <v/>
      </c>
      <c r="I21" s="15" t="str">
        <f>IF(OR($D21="1 dd",$D21="2 dd",$D21="3 dd",$D21="4 dd",$D21="6 dd",$D21="8 dd",$D21="12 dd",$D21="an",$D21="1 X"),VLOOKUP($D21,ber_tijden!$A$16:$X$26,ber_tijden!C$14,FALSE),"")</f>
        <v/>
      </c>
      <c r="J21" s="106" t="str">
        <f>IF(OR($D21="1 dd",$D21="2 dd",$D21="3 dd",$D21="4 dd",$D21="6 dd",$D21="8 dd",$D21="12 dd",$D21="an",$D21="1 X"),VLOOKUP($D21,ber_tijden!$A$16:$X$26,ber_tijden!D$14,FALSE),"")</f>
        <v/>
      </c>
      <c r="K21" s="15" t="str">
        <f>IF(OR($D21="1 dd",$D21="2 dd",$D21="3 dd",$D21="4 dd",$D21="6 dd",$D21="8 dd",$D21="12 dd",$D21="an",$D21="1 X"),VLOOKUP($D21,ber_tijden!$A$16:$X$26,ber_tijden!E$14,FALSE),"")</f>
        <v/>
      </c>
      <c r="L21" s="106" t="str">
        <f>IF(OR($D21="1 dd",$D21="2 dd",$D21="3 dd",$D21="4 dd",$D21="6 dd",$D21="8 dd",$D21="12 dd",$D21="an",$D21="1 X"),VLOOKUP($D21,ber_tijden!$A$16:$X$26,ber_tijden!F$14,FALSE),"")</f>
        <v/>
      </c>
      <c r="M21" s="15" t="str">
        <f>IF(OR($D21="1 dd",$D21="2 dd",$D21="3 dd",$D21="4 dd",$D21="6 dd",$D21="8 dd",$D21="12 dd",$D21="an",$D21="1 X"),VLOOKUP($D21,ber_tijden!$A$16:$X$26,ber_tijden!G$14,FALSE),"")</f>
        <v/>
      </c>
      <c r="N21" s="106" t="str">
        <f>IF(OR($D21="1 dd",$D21="2 dd",$D21="3 dd",$D21="4 dd",$D21="6 dd",$D21="8 dd",$D21="12 dd",$D21="an",$D21="1 X"),VLOOKUP($D21,ber_tijden!$A$16:$X$26,ber_tijden!H$14,FALSE),"")</f>
        <v/>
      </c>
      <c r="O21" s="15" t="str">
        <f>IF(OR($D21="1 dd",$D21="2 dd",$D21="3 dd",$D21="4 dd",$D21="6 dd",$D21="8 dd",$D21="12 dd",$D21="an",$D21="1 X"),VLOOKUP($D21,ber_tijden!$A$16:$X$26,ber_tijden!I$14,FALSE),"")</f>
        <v/>
      </c>
      <c r="P21" s="106" t="str">
        <f>IF(OR($D21="1 dd",$D21="2 dd",$D21="3 dd",$D21="4 dd",$D21="6 dd",$D21="8 dd",$D21="12 dd",$D21="an",$D21="1 X"),VLOOKUP($D21,ber_tijden!$A$16:$X$26,ber_tijden!J$14,FALSE),"")</f>
        <v/>
      </c>
      <c r="Q21" s="15" t="str">
        <f>IF(OR($D21="1 dd",$D21="2 dd",$D21="3 dd",$D21="4 dd",$D21="6 dd",$D21="8 dd",$D21="12 dd",$D21="an",$D21="1 X"),VLOOKUP($D21,ber_tijden!$A$16:$X$26,ber_tijden!K$14,FALSE),"")</f>
        <v/>
      </c>
      <c r="R21" s="106" t="str">
        <f>IF(OR($D21="1 dd",$D21="2 dd",$D21="3 dd",$D21="4 dd",$D21="6 dd",$D21="8 dd",$D21="12 dd",$D21="an",$D21="1 X"),VLOOKUP($D21,ber_tijden!$A$16:$X$26,ber_tijden!L$14,FALSE),"")</f>
        <v/>
      </c>
      <c r="S21" s="15" t="str">
        <f>IF(OR($D21="1 dd",$D21="2 dd",$D21="3 dd",$D21="4 dd",$D21="6 dd",$D21="8 dd",$D21="12 dd",$D21="an",$D21="1 X"),VLOOKUP($D21,ber_tijden!$A$16:$X$26,ber_tijden!M$14,FALSE),"")</f>
        <v/>
      </c>
      <c r="T21" s="106" t="str">
        <f>IF(OR($D21="1 dd",$D21="2 dd",$D21="3 dd",$D21="4 dd",$D21="6 dd",$D21="8 dd",$D21="12 dd",$D21="an",$D21="1 X"),VLOOKUP($D21,ber_tijden!$A$16:$X$26,ber_tijden!N$14,FALSE),"")</f>
        <v/>
      </c>
      <c r="U21" s="15" t="str">
        <f>IF(OR($D21="1 dd",$D21="2 dd",$D21="3 dd",$D21="4 dd",$D21="6 dd",$D21="8 dd",$D21="12 dd",$D21="an",$D21="1 X"),VLOOKUP($D21,ber_tijden!$A$16:$X$26,ber_tijden!O$14,FALSE),"")</f>
        <v/>
      </c>
      <c r="V21" s="106" t="str">
        <f>IF(OR($D21="1 dd",$D21="2 dd",$D21="3 dd",$D21="4 dd",$D21="6 dd",$D21="8 dd",$D21="12 dd",$D21="an",$D21="1 X"),VLOOKUP($D21,ber_tijden!$A$16:$X$26,ber_tijden!P$14,FALSE),"")</f>
        <v/>
      </c>
      <c r="W21" s="15" t="str">
        <f>IF(OR($D21="1 dd",$D21="2 dd",$D21="3 dd",$D21="4 dd",$D21="6 dd",$D21="8 dd",$D21="12 dd",$D21="an",$D21="1 X"),VLOOKUP($D21,ber_tijden!$A$16:$X$26,ber_tijden!Q$14,FALSE),"")</f>
        <v/>
      </c>
      <c r="X21" s="106" t="str">
        <f>IF(OR($D21="1 dd",$D21="2 dd",$D21="3 dd",$D21="4 dd",$D21="6 dd",$D21="8 dd",$D21="12 dd",$D21="an",$D21="1 X"),VLOOKUP($D21,ber_tijden!$A$16:$X$26,ber_tijden!R$14,FALSE),"")</f>
        <v/>
      </c>
      <c r="Y21" s="15" t="str">
        <f>IF(OR($D21="1 dd",$D21="2 dd",$D21="3 dd",$D21="4 dd",$D21="6 dd",$D21="8 dd",$D21="12 dd",$D21="an",$D21="1 X"),VLOOKUP($D21,ber_tijden!$A$16:$X$26,ber_tijden!S$14,FALSE),"")</f>
        <v/>
      </c>
      <c r="Z21" s="106" t="str">
        <f>IF(OR($D21="1 dd",$D21="2 dd",$D21="3 dd",$D21="4 dd",$D21="6 dd",$D21="8 dd",$D21="12 dd",$D21="an",$D21="1 X"),VLOOKUP($D21,ber_tijden!$A$16:$X$26,ber_tijden!T$14,FALSE),"")</f>
        <v/>
      </c>
      <c r="AA21" s="15" t="str">
        <f>IF(OR($D21="1 dd",$D21="2 dd",$D21="3 dd",$D21="4 dd",$D21="6 dd",$D21="8 dd",$D21="12 dd",$D21="an",$D21="1 X"),VLOOKUP($D21,ber_tijden!$A$16:$X$26,ber_tijden!U$14,FALSE),"")</f>
        <v/>
      </c>
      <c r="AB21" s="106" t="str">
        <f>IF(OR($D21="1 dd",$D21="2 dd",$D21="3 dd",$D21="4 dd",$D21="6 dd",$D21="8 dd",$D21="12 dd",$D21="an",$D21="1 X"),VLOOKUP($D21,ber_tijden!$A$16:$X$26,ber_tijden!V$14,FALSE),"")</f>
        <v/>
      </c>
      <c r="AC21" s="15" t="str">
        <f>IF(OR($D21="1 dd",$D21="2 dd",$D21="3 dd",$D21="4 dd",$D21="6 dd",$D21="8 dd",$D21="12 dd",$D21="an",$D21="1 X"),VLOOKUP($D21,ber_tijden!$A$16:$X$26,ber_tijden!W$14,FALSE),"")</f>
        <v/>
      </c>
      <c r="AD21" s="106" t="str">
        <f>IF(OR($D21="1 dd",$D21="2 dd",$D21="3 dd",$D21="4 dd",$D21="6 dd",$D21="8 dd",$D21="12 dd",$D21="an",$D21="1 X"),VLOOKUP($D21,ber_tijden!$A$16:$X$26,ber_tijden!X$14,FALSE),"")</f>
        <v/>
      </c>
      <c r="AE21" s="17"/>
      <c r="AF21" s="105"/>
      <c r="AG21" s="17"/>
    </row>
    <row r="22" spans="2:33" ht="26.1" customHeight="1" x14ac:dyDescent="0.2">
      <c r="B22" s="107"/>
      <c r="C22" s="231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32" t="str">
        <f>IF(Med_disc!H44&lt;&gt;"",Med_disc!H44,"")</f>
        <v/>
      </c>
      <c r="E22" s="233" t="str">
        <f>IF(AND(D22&lt;&gt;"",D22&lt;&gt;"STOP"),ber_Med_disc!H21&amp;" "&amp;ber_Med_disc!F21,"")</f>
        <v/>
      </c>
      <c r="F22" s="233" t="str">
        <f>IF(AND(D22&lt;&gt;"",D22&lt;&gt;"STOP"),ber_Med_disc!L21," ")</f>
        <v xml:space="preserve"> </v>
      </c>
      <c r="G22" s="233" t="str">
        <f>IF(Med_disc!L44&lt;&gt;"",Med_disc!L44&amp;" "&amp;Med_disc!M44&amp;" "&amp;INDEX(ber_Med_disc!$B$27:$B$30,ber_Med_disc!O21,1)&amp;" in "&amp;Med_disc!$O$44,"")</f>
        <v/>
      </c>
      <c r="H22" s="106" t="str">
        <f>IF(OR($D22="1 dd",$D22="2 dd",$D22="3 dd",$D22="4 dd",$D22="6 dd",$D22="8 dd",$D22="12 dd",$D22="an",$D22="1 X"),VLOOKUP($D22,ber_tijden!$A$16:$X$26,ber_tijden!B$14,FALSE),"")</f>
        <v/>
      </c>
      <c r="I22" s="15" t="str">
        <f>IF(OR($D22="1 dd",$D22="2 dd",$D22="3 dd",$D22="4 dd",$D22="6 dd",$D22="8 dd",$D22="12 dd",$D22="an",$D22="1 X"),VLOOKUP($D22,ber_tijden!$A$16:$X$26,ber_tijden!C$14,FALSE),"")</f>
        <v/>
      </c>
      <c r="J22" s="106" t="str">
        <f>IF(OR($D22="1 dd",$D22="2 dd",$D22="3 dd",$D22="4 dd",$D22="6 dd",$D22="8 dd",$D22="12 dd",$D22="an",$D22="1 X"),VLOOKUP($D22,ber_tijden!$A$16:$X$26,ber_tijden!D$14,FALSE),"")</f>
        <v/>
      </c>
      <c r="K22" s="15" t="str">
        <f>IF(OR($D22="1 dd",$D22="2 dd",$D22="3 dd",$D22="4 dd",$D22="6 dd",$D22="8 dd",$D22="12 dd",$D22="an",$D22="1 X"),VLOOKUP($D22,ber_tijden!$A$16:$X$26,ber_tijden!E$14,FALSE),"")</f>
        <v/>
      </c>
      <c r="L22" s="106" t="str">
        <f>IF(OR($D22="1 dd",$D22="2 dd",$D22="3 dd",$D22="4 dd",$D22="6 dd",$D22="8 dd",$D22="12 dd",$D22="an",$D22="1 X"),VLOOKUP($D22,ber_tijden!$A$16:$X$26,ber_tijden!F$14,FALSE),"")</f>
        <v/>
      </c>
      <c r="M22" s="15" t="str">
        <f>IF(OR($D22="1 dd",$D22="2 dd",$D22="3 dd",$D22="4 dd",$D22="6 dd",$D22="8 dd",$D22="12 dd",$D22="an",$D22="1 X"),VLOOKUP($D22,ber_tijden!$A$16:$X$26,ber_tijden!G$14,FALSE),"")</f>
        <v/>
      </c>
      <c r="N22" s="106" t="str">
        <f>IF(OR($D22="1 dd",$D22="2 dd",$D22="3 dd",$D22="4 dd",$D22="6 dd",$D22="8 dd",$D22="12 dd",$D22="an",$D22="1 X"),VLOOKUP($D22,ber_tijden!$A$16:$X$26,ber_tijden!H$14,FALSE),"")</f>
        <v/>
      </c>
      <c r="O22" s="15" t="str">
        <f>IF(OR($D22="1 dd",$D22="2 dd",$D22="3 dd",$D22="4 dd",$D22="6 dd",$D22="8 dd",$D22="12 dd",$D22="an",$D22="1 X"),VLOOKUP($D22,ber_tijden!$A$16:$X$26,ber_tijden!I$14,FALSE),"")</f>
        <v/>
      </c>
      <c r="P22" s="106" t="str">
        <f>IF(OR($D22="1 dd",$D22="2 dd",$D22="3 dd",$D22="4 dd",$D22="6 dd",$D22="8 dd",$D22="12 dd",$D22="an",$D22="1 X"),VLOOKUP($D22,ber_tijden!$A$16:$X$26,ber_tijden!J$14,FALSE),"")</f>
        <v/>
      </c>
      <c r="Q22" s="15" t="str">
        <f>IF(OR($D22="1 dd",$D22="2 dd",$D22="3 dd",$D22="4 dd",$D22="6 dd",$D22="8 dd",$D22="12 dd",$D22="an",$D22="1 X"),VLOOKUP($D22,ber_tijden!$A$16:$X$26,ber_tijden!K$14,FALSE),"")</f>
        <v/>
      </c>
      <c r="R22" s="106" t="str">
        <f>IF(OR($D22="1 dd",$D22="2 dd",$D22="3 dd",$D22="4 dd",$D22="6 dd",$D22="8 dd",$D22="12 dd",$D22="an",$D22="1 X"),VLOOKUP($D22,ber_tijden!$A$16:$X$26,ber_tijden!L$14,FALSE),"")</f>
        <v/>
      </c>
      <c r="S22" s="15" t="str">
        <f>IF(OR($D22="1 dd",$D22="2 dd",$D22="3 dd",$D22="4 dd",$D22="6 dd",$D22="8 dd",$D22="12 dd",$D22="an",$D22="1 X"),VLOOKUP($D22,ber_tijden!$A$16:$X$26,ber_tijden!M$14,FALSE),"")</f>
        <v/>
      </c>
      <c r="T22" s="106" t="str">
        <f>IF(OR($D22="1 dd",$D22="2 dd",$D22="3 dd",$D22="4 dd",$D22="6 dd",$D22="8 dd",$D22="12 dd",$D22="an",$D22="1 X"),VLOOKUP($D22,ber_tijden!$A$16:$X$26,ber_tijden!N$14,FALSE),"")</f>
        <v/>
      </c>
      <c r="U22" s="15" t="str">
        <f>IF(OR($D22="1 dd",$D22="2 dd",$D22="3 dd",$D22="4 dd",$D22="6 dd",$D22="8 dd",$D22="12 dd",$D22="an",$D22="1 X"),VLOOKUP($D22,ber_tijden!$A$16:$X$26,ber_tijden!O$14,FALSE),"")</f>
        <v/>
      </c>
      <c r="V22" s="106" t="str">
        <f>IF(OR($D22="1 dd",$D22="2 dd",$D22="3 dd",$D22="4 dd",$D22="6 dd",$D22="8 dd",$D22="12 dd",$D22="an",$D22="1 X"),VLOOKUP($D22,ber_tijden!$A$16:$X$26,ber_tijden!P$14,FALSE),"")</f>
        <v/>
      </c>
      <c r="W22" s="15" t="str">
        <f>IF(OR($D22="1 dd",$D22="2 dd",$D22="3 dd",$D22="4 dd",$D22="6 dd",$D22="8 dd",$D22="12 dd",$D22="an",$D22="1 X"),VLOOKUP($D22,ber_tijden!$A$16:$X$26,ber_tijden!Q$14,FALSE),"")</f>
        <v/>
      </c>
      <c r="X22" s="106" t="str">
        <f>IF(OR($D22="1 dd",$D22="2 dd",$D22="3 dd",$D22="4 dd",$D22="6 dd",$D22="8 dd",$D22="12 dd",$D22="an",$D22="1 X"),VLOOKUP($D22,ber_tijden!$A$16:$X$26,ber_tijden!R$14,FALSE),"")</f>
        <v/>
      </c>
      <c r="Y22" s="15" t="str">
        <f>IF(OR($D22="1 dd",$D22="2 dd",$D22="3 dd",$D22="4 dd",$D22="6 dd",$D22="8 dd",$D22="12 dd",$D22="an",$D22="1 X"),VLOOKUP($D22,ber_tijden!$A$16:$X$26,ber_tijden!S$14,FALSE),"")</f>
        <v/>
      </c>
      <c r="Z22" s="106" t="str">
        <f>IF(OR($D22="1 dd",$D22="2 dd",$D22="3 dd",$D22="4 dd",$D22="6 dd",$D22="8 dd",$D22="12 dd",$D22="an",$D22="1 X"),VLOOKUP($D22,ber_tijden!$A$16:$X$26,ber_tijden!T$14,FALSE),"")</f>
        <v/>
      </c>
      <c r="AA22" s="15" t="str">
        <f>IF(OR($D22="1 dd",$D22="2 dd",$D22="3 dd",$D22="4 dd",$D22="6 dd",$D22="8 dd",$D22="12 dd",$D22="an",$D22="1 X"),VLOOKUP($D22,ber_tijden!$A$16:$X$26,ber_tijden!U$14,FALSE),"")</f>
        <v/>
      </c>
      <c r="AB22" s="106" t="str">
        <f>IF(OR($D22="1 dd",$D22="2 dd",$D22="3 dd",$D22="4 dd",$D22="6 dd",$D22="8 dd",$D22="12 dd",$D22="an",$D22="1 X"),VLOOKUP($D22,ber_tijden!$A$16:$X$26,ber_tijden!V$14,FALSE),"")</f>
        <v/>
      </c>
      <c r="AC22" s="15" t="str">
        <f>IF(OR($D22="1 dd",$D22="2 dd",$D22="3 dd",$D22="4 dd",$D22="6 dd",$D22="8 dd",$D22="12 dd",$D22="an",$D22="1 X"),VLOOKUP($D22,ber_tijden!$A$16:$X$26,ber_tijden!W$14,FALSE),"")</f>
        <v/>
      </c>
      <c r="AD22" s="106" t="str">
        <f>IF(OR($D22="1 dd",$D22="2 dd",$D22="3 dd",$D22="4 dd",$D22="6 dd",$D22="8 dd",$D22="12 dd",$D22="an",$D22="1 X"),VLOOKUP($D22,ber_tijden!$A$16:$X$26,ber_tijden!X$14,FALSE),"")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Neo">
    <tabColor rgb="FF92D050"/>
  </sheetPr>
  <dimension ref="A1:Y27"/>
  <sheetViews>
    <sheetView workbookViewId="0"/>
  </sheetViews>
  <sheetFormatPr defaultRowHeight="12.75" x14ac:dyDescent="0.2"/>
  <cols>
    <col min="1" max="1" width="9.140625" style="517"/>
    <col min="2" max="25" width="4.7109375" style="517" customWidth="1"/>
    <col min="26" max="16384" width="9.140625" style="517"/>
  </cols>
  <sheetData>
    <row r="1" spans="1:25" x14ac:dyDescent="0.2">
      <c r="A1" s="579" t="s">
        <v>853</v>
      </c>
    </row>
    <row r="2" spans="1:25" x14ac:dyDescent="0.2">
      <c r="A2" s="517" t="s">
        <v>806</v>
      </c>
      <c r="B2" s="517">
        <v>20</v>
      </c>
    </row>
    <row r="3" spans="1:25" x14ac:dyDescent="0.2">
      <c r="A3" s="517" t="s">
        <v>854</v>
      </c>
      <c r="B3" s="517">
        <v>9</v>
      </c>
    </row>
    <row r="4" spans="1:25" x14ac:dyDescent="0.2">
      <c r="A4" s="517" t="s">
        <v>855</v>
      </c>
      <c r="B4" s="517">
        <v>9</v>
      </c>
      <c r="C4" s="517">
        <v>21</v>
      </c>
    </row>
    <row r="5" spans="1:25" x14ac:dyDescent="0.2">
      <c r="A5" s="517" t="s">
        <v>856</v>
      </c>
      <c r="B5" s="517">
        <v>9</v>
      </c>
      <c r="C5" s="517">
        <v>17</v>
      </c>
      <c r="D5" s="517">
        <v>1</v>
      </c>
    </row>
    <row r="6" spans="1:25" x14ac:dyDescent="0.2">
      <c r="A6" s="579" t="s">
        <v>857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2">
      <c r="A7" s="585" t="s">
        <v>920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2">
      <c r="A8" s="517" t="s">
        <v>394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2">
      <c r="A9" s="517" t="s">
        <v>395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2">
      <c r="A10" s="517" t="s">
        <v>396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2">
      <c r="A11" s="517" t="s">
        <v>50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2">
      <c r="A13" s="517">
        <v>10</v>
      </c>
      <c r="B13" s="517" t="s">
        <v>854</v>
      </c>
      <c r="C13" s="517" t="s">
        <v>855</v>
      </c>
      <c r="D13" s="517" t="s">
        <v>856</v>
      </c>
      <c r="E13" s="517" t="s">
        <v>857</v>
      </c>
      <c r="F13" s="518" t="s">
        <v>920</v>
      </c>
      <c r="G13" s="518" t="s">
        <v>394</v>
      </c>
      <c r="H13" s="518" t="s">
        <v>395</v>
      </c>
      <c r="I13" s="518" t="s">
        <v>396</v>
      </c>
      <c r="J13" s="518" t="s">
        <v>50</v>
      </c>
    </row>
    <row r="15" spans="1:25" x14ac:dyDescent="0.2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2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2">
      <c r="A17" s="517" t="s">
        <v>854</v>
      </c>
      <c r="B17" s="15" t="s">
        <v>397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2">
      <c r="A18" s="517" t="s">
        <v>855</v>
      </c>
      <c r="B18" s="15" t="s">
        <v>397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397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2">
      <c r="A19" s="517" t="s">
        <v>856</v>
      </c>
      <c r="B19" s="15" t="s">
        <v>397</v>
      </c>
      <c r="C19" s="15"/>
      <c r="D19" s="15"/>
      <c r="E19" s="15"/>
      <c r="F19" s="15"/>
      <c r="G19" s="15"/>
      <c r="H19" s="15"/>
      <c r="I19" s="15"/>
      <c r="J19" s="15" t="s">
        <v>397</v>
      </c>
      <c r="K19" s="15"/>
      <c r="L19" s="15"/>
      <c r="M19" s="15"/>
      <c r="N19" s="15"/>
      <c r="O19" s="15"/>
      <c r="P19" s="15"/>
      <c r="Q19" s="15"/>
      <c r="R19" s="15" t="s">
        <v>397</v>
      </c>
      <c r="S19" s="15"/>
      <c r="T19" s="15"/>
      <c r="U19" s="15"/>
      <c r="V19" s="15"/>
      <c r="W19" s="15"/>
      <c r="X19" s="15"/>
      <c r="Y19" s="15"/>
    </row>
    <row r="20" spans="1:25" x14ac:dyDescent="0.2">
      <c r="A20" s="517" t="s">
        <v>857</v>
      </c>
      <c r="B20" s="15" t="s">
        <v>397</v>
      </c>
      <c r="C20" s="15"/>
      <c r="D20" s="15"/>
      <c r="E20" s="15"/>
      <c r="F20" s="15"/>
      <c r="G20" s="15"/>
      <c r="H20" s="15" t="s">
        <v>397</v>
      </c>
      <c r="I20" s="15"/>
      <c r="J20" s="15"/>
      <c r="K20" s="15"/>
      <c r="L20" s="15"/>
      <c r="M20" s="15"/>
      <c r="N20" s="15" t="s">
        <v>397</v>
      </c>
      <c r="O20" s="15"/>
      <c r="P20" s="15"/>
      <c r="Q20" s="15"/>
      <c r="R20" s="15"/>
      <c r="S20" s="15"/>
      <c r="T20" s="15" t="s">
        <v>397</v>
      </c>
      <c r="U20" s="15"/>
      <c r="V20" s="15"/>
      <c r="W20" s="15"/>
      <c r="X20" s="15"/>
      <c r="Y20" s="15"/>
    </row>
    <row r="21" spans="1:25" x14ac:dyDescent="0.2">
      <c r="A21" s="517" t="s">
        <v>920</v>
      </c>
      <c r="B21" s="15" t="s">
        <v>397</v>
      </c>
      <c r="C21" s="15"/>
      <c r="D21" s="15"/>
      <c r="E21" s="15" t="s">
        <v>397</v>
      </c>
      <c r="F21" s="15"/>
      <c r="G21" s="15"/>
      <c r="H21" s="15" t="s">
        <v>397</v>
      </c>
      <c r="I21" s="15"/>
      <c r="J21" s="15"/>
      <c r="K21" s="15" t="s">
        <v>397</v>
      </c>
      <c r="L21" s="15"/>
      <c r="M21" s="15"/>
      <c r="N21" s="15"/>
      <c r="O21" s="15" t="s">
        <v>397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2">
      <c r="A22" s="517" t="s">
        <v>394</v>
      </c>
      <c r="B22" s="15" t="s">
        <v>397</v>
      </c>
      <c r="C22" s="15"/>
      <c r="D22" s="15"/>
      <c r="E22" s="15"/>
      <c r="F22" s="15" t="s">
        <v>397</v>
      </c>
      <c r="G22" s="15"/>
      <c r="H22" s="15"/>
      <c r="I22" s="15"/>
      <c r="J22" s="15" t="s">
        <v>397</v>
      </c>
      <c r="K22" s="15"/>
      <c r="L22" s="15"/>
      <c r="M22" s="15"/>
      <c r="N22" s="15" t="s">
        <v>397</v>
      </c>
      <c r="O22" s="15"/>
      <c r="P22" s="15"/>
      <c r="Q22" s="15"/>
      <c r="R22" s="15" t="s">
        <v>397</v>
      </c>
      <c r="S22" s="15"/>
      <c r="T22" s="15"/>
      <c r="U22" s="15"/>
      <c r="V22" s="15" t="s">
        <v>397</v>
      </c>
      <c r="X22" s="15"/>
      <c r="Y22" s="15"/>
    </row>
    <row r="23" spans="1:25" x14ac:dyDescent="0.2">
      <c r="A23" s="518" t="s">
        <v>395</v>
      </c>
      <c r="B23" s="15"/>
      <c r="C23" s="15"/>
      <c r="D23" s="15" t="s">
        <v>397</v>
      </c>
      <c r="E23" s="15"/>
      <c r="F23" s="15"/>
      <c r="G23" s="15" t="s">
        <v>397</v>
      </c>
      <c r="H23" s="15"/>
      <c r="I23" s="15"/>
      <c r="J23" s="15" t="s">
        <v>397</v>
      </c>
      <c r="K23" s="15"/>
      <c r="L23" s="15"/>
      <c r="M23" s="15" t="s">
        <v>397</v>
      </c>
      <c r="N23" s="15"/>
      <c r="O23" s="15"/>
      <c r="P23" s="15" t="s">
        <v>397</v>
      </c>
      <c r="Q23" s="15"/>
      <c r="R23" s="15"/>
      <c r="S23" s="15" t="s">
        <v>397</v>
      </c>
      <c r="T23" s="15"/>
      <c r="U23" s="15"/>
      <c r="V23" s="15" t="s">
        <v>397</v>
      </c>
      <c r="W23" s="15"/>
      <c r="X23" s="15"/>
      <c r="Y23" s="15" t="s">
        <v>397</v>
      </c>
    </row>
    <row r="24" spans="1:25" x14ac:dyDescent="0.2">
      <c r="A24" s="518" t="s">
        <v>396</v>
      </c>
      <c r="B24" s="15" t="s">
        <v>397</v>
      </c>
      <c r="C24" s="15"/>
      <c r="D24" s="15" t="s">
        <v>397</v>
      </c>
      <c r="E24" s="15"/>
      <c r="F24" s="15" t="s">
        <v>397</v>
      </c>
      <c r="G24" s="15"/>
      <c r="H24" s="15" t="s">
        <v>397</v>
      </c>
      <c r="I24" s="15"/>
      <c r="J24" s="15" t="s">
        <v>397</v>
      </c>
      <c r="K24" s="15"/>
      <c r="L24" s="15" t="s">
        <v>397</v>
      </c>
      <c r="M24" s="15"/>
      <c r="N24" s="15" t="s">
        <v>397</v>
      </c>
      <c r="O24" s="15"/>
      <c r="P24" s="15" t="s">
        <v>397</v>
      </c>
      <c r="Q24" s="15"/>
      <c r="R24" s="15" t="s">
        <v>397</v>
      </c>
      <c r="S24" s="15"/>
      <c r="T24" s="15" t="s">
        <v>397</v>
      </c>
      <c r="U24" s="15"/>
      <c r="V24" s="15" t="s">
        <v>397</v>
      </c>
      <c r="W24" s="15"/>
      <c r="X24" s="15" t="s">
        <v>397</v>
      </c>
      <c r="Y24" s="15"/>
    </row>
    <row r="25" spans="1:25" x14ac:dyDescent="0.2">
      <c r="A25" s="518" t="s">
        <v>50</v>
      </c>
      <c r="B25" s="15" t="s">
        <v>397</v>
      </c>
      <c r="C25" s="15" t="s">
        <v>397</v>
      </c>
      <c r="D25" s="15" t="s">
        <v>397</v>
      </c>
      <c r="E25" s="15" t="s">
        <v>397</v>
      </c>
      <c r="F25" s="15" t="s">
        <v>397</v>
      </c>
      <c r="G25" s="15" t="s">
        <v>397</v>
      </c>
      <c r="H25" s="15" t="s">
        <v>397</v>
      </c>
      <c r="I25" s="15" t="s">
        <v>397</v>
      </c>
      <c r="J25" s="15" t="s">
        <v>397</v>
      </c>
      <c r="K25" s="15" t="s">
        <v>397</v>
      </c>
      <c r="L25" s="15" t="s">
        <v>397</v>
      </c>
      <c r="M25" s="15" t="s">
        <v>397</v>
      </c>
      <c r="N25" s="15" t="s">
        <v>397</v>
      </c>
      <c r="O25" s="15" t="s">
        <v>397</v>
      </c>
      <c r="P25" s="15" t="s">
        <v>397</v>
      </c>
      <c r="Q25" s="15" t="s">
        <v>397</v>
      </c>
      <c r="R25" s="15" t="s">
        <v>397</v>
      </c>
      <c r="S25" s="15" t="s">
        <v>397</v>
      </c>
      <c r="T25" s="15" t="s">
        <v>397</v>
      </c>
      <c r="U25" s="15" t="s">
        <v>397</v>
      </c>
      <c r="V25" s="15" t="s">
        <v>397</v>
      </c>
      <c r="W25" s="15" t="s">
        <v>397</v>
      </c>
      <c r="X25" s="15" t="s">
        <v>397</v>
      </c>
      <c r="Y25" s="15" t="s">
        <v>397</v>
      </c>
    </row>
    <row r="26" spans="1:25" x14ac:dyDescent="0.2">
      <c r="A26" s="518" t="s">
        <v>767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397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2">
      <c r="A27" s="518" t="s">
        <v>921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anvullendeAfspraken">
    <tabColor rgb="FF7030A0"/>
  </sheetPr>
  <dimension ref="A1:Q85"/>
  <sheetViews>
    <sheetView workbookViewId="0">
      <selection activeCell="A6" sqref="A6"/>
    </sheetView>
  </sheetViews>
  <sheetFormatPr defaultRowHeight="12.75" x14ac:dyDescent="0.2"/>
  <cols>
    <col min="1" max="1" width="9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33" customFormat="1" x14ac:dyDescent="0.2">
      <c r="A1" s="592"/>
    </row>
    <row r="2" spans="1:17" s="133" customFormat="1" ht="17.25" customHeight="1" x14ac:dyDescent="0.2">
      <c r="B2" s="134" t="s">
        <v>624</v>
      </c>
      <c r="C2" s="135">
        <f ca="1">AfspraakDatum</f>
        <v>42703</v>
      </c>
      <c r="D2" s="136"/>
      <c r="E2" s="134" t="s">
        <v>625</v>
      </c>
      <c r="F2" s="137">
        <f>OpnDatum</f>
        <v>42698</v>
      </c>
      <c r="G2" s="134" t="str">
        <f ca="1">"ICU-dag: "&amp;AfspraakDatum-OpnDatum+1</f>
        <v>ICU-dag: 6</v>
      </c>
      <c r="H2" s="134"/>
      <c r="I2" s="270" t="s">
        <v>1004</v>
      </c>
      <c r="J2" s="139" t="str">
        <f>BedNummer</f>
        <v>Unit 2.9</v>
      </c>
    </row>
    <row r="3" spans="1:17" s="133" customFormat="1" ht="17.25" customHeight="1" x14ac:dyDescent="0.2">
      <c r="B3" s="134" t="s">
        <v>54</v>
      </c>
      <c r="C3" s="138" t="str">
        <f>_AchterNaam&amp;", "&amp;_VoorNaam</f>
        <v>Test, Test</v>
      </c>
      <c r="D3" s="138"/>
      <c r="E3" s="134" t="s">
        <v>639</v>
      </c>
      <c r="F3" s="137">
        <f>GebDatum</f>
        <v>42280</v>
      </c>
      <c r="G3" s="139" t="str">
        <f>"Gewicht: "&amp;Gewicht/10&amp;" kg"</f>
        <v>Gewicht: 10 kg</v>
      </c>
      <c r="H3" s="134"/>
      <c r="I3" s="139" t="str">
        <f>"Lengte: "&amp;Lengte&amp;" cm"</f>
        <v>Lengte: 80 cm</v>
      </c>
      <c r="J3" s="134"/>
    </row>
    <row r="4" spans="1:17" s="133" customFormat="1" ht="17.25" customHeight="1" x14ac:dyDescent="0.2">
      <c r="A4" s="163"/>
      <c r="B4" s="134" t="s">
        <v>708</v>
      </c>
      <c r="C4" s="139">
        <f>PatNummer</f>
        <v>123456</v>
      </c>
      <c r="D4" s="136"/>
      <c r="E4" s="134" t="s">
        <v>574</v>
      </c>
      <c r="F4" s="141" t="str">
        <f ca="1">TRUNC((AfspraakDatum-GebDatum)/365,0)&amp;" jaar en "&amp;TRUNC(((AfspraakDatum-GebDatum)-365*TRUNC((AfspraakDatum-GebDatum)/365,0))/30,0)&amp;" maand(-en)"</f>
        <v>1 jaar en 1 maand(-en)</v>
      </c>
      <c r="G4" s="134"/>
      <c r="I4" s="134" t="str">
        <f>"Lichamelijk oppervlak: "&amp;ROUND(POWER(Gewicht/10,0.425)*POWER(((Lengte/100)*100),0.725)*0.007184,2)&amp;" m2"</f>
        <v>Lichamelijk oppervlak: 0,46 m2</v>
      </c>
      <c r="J4" s="134"/>
    </row>
    <row r="5" spans="1:17" x14ac:dyDescent="0.2">
      <c r="G5" s="517"/>
      <c r="H5" s="517"/>
    </row>
    <row r="6" spans="1:17" x14ac:dyDescent="0.2">
      <c r="A6" s="579"/>
      <c r="B6" s="3" t="s">
        <v>1477</v>
      </c>
      <c r="F6" s="3" t="s">
        <v>1289</v>
      </c>
      <c r="G6" s="517"/>
      <c r="H6" s="3"/>
      <c r="I6" s="3" t="s">
        <v>1484</v>
      </c>
      <c r="J6" s="517"/>
      <c r="K6" s="517"/>
      <c r="Q6" s="524"/>
    </row>
    <row r="7" spans="1:17" ht="18" customHeight="1" x14ac:dyDescent="0.2">
      <c r="G7" s="517"/>
      <c r="H7" s="517"/>
      <c r="I7" s="517"/>
      <c r="J7" s="517"/>
      <c r="K7" s="517"/>
      <c r="Q7" s="518"/>
    </row>
    <row r="8" spans="1:17" ht="18" customHeight="1" x14ac:dyDescent="0.2">
      <c r="C8" s="617" t="str">
        <f>IF(AanvullendNeoData_GewichtFrequentie=0,"",AanvullendNeoData_GewichtFrequentie)</f>
        <v/>
      </c>
      <c r="D8" s="559"/>
      <c r="G8" s="517"/>
      <c r="H8" s="517"/>
      <c r="I8" s="517"/>
      <c r="J8" s="617" t="str">
        <f>IF(AanvullendNeoData_AantalLampen=0,"0 lamp(en)",CONCATENATE(AanvullendNeoData_AantalLampen, " lamp(en)"))</f>
        <v>0 lamp(en)</v>
      </c>
      <c r="Q8" s="518"/>
    </row>
    <row r="9" spans="1:17" ht="18" customHeight="1" x14ac:dyDescent="0.2">
      <c r="C9" s="617" t="str">
        <f>IF(AanvullendNeoData_LengteFrequentie=0,"",AanvullendNeoData_LengteFrequentie)</f>
        <v/>
      </c>
      <c r="D9" s="559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2">
      <c r="A10" s="517"/>
      <c r="B10" s="517"/>
      <c r="C10" s="617" t="str">
        <f>IF(AanvullendNeoData_SchedelFrequentie=0,"",AanvullendNeoData_SchedelFrequentie)</f>
        <v/>
      </c>
      <c r="D10" s="559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2">
      <c r="G11" s="517"/>
      <c r="H11" s="517"/>
      <c r="I11" s="517"/>
      <c r="J11" s="517"/>
      <c r="K11" s="517"/>
      <c r="M11" s="517"/>
      <c r="N11" s="517"/>
    </row>
    <row r="12" spans="1:17" ht="18" customHeight="1" x14ac:dyDescent="0.2">
      <c r="C12" s="550" t="str">
        <f>CONCATENATE(ber_AanvullendeAfsprakenNeo!$B$12," dd")</f>
        <v xml:space="preserve"> dd</v>
      </c>
      <c r="D12" s="549"/>
      <c r="G12" s="517"/>
      <c r="H12" s="517"/>
      <c r="I12" s="517"/>
      <c r="J12" s="517"/>
      <c r="K12" s="517"/>
      <c r="M12" s="517"/>
    </row>
    <row r="13" spans="1:17" ht="18" customHeight="1" x14ac:dyDescent="0.2">
      <c r="G13" s="517"/>
      <c r="H13" s="517"/>
      <c r="I13" s="517"/>
      <c r="J13" s="517"/>
      <c r="K13" s="517"/>
      <c r="M13" s="517"/>
    </row>
    <row r="14" spans="1:17" ht="18" customHeight="1" x14ac:dyDescent="0.2">
      <c r="G14" s="517"/>
      <c r="H14" s="517"/>
      <c r="I14" s="517"/>
      <c r="J14" s="517"/>
      <c r="K14" s="517"/>
      <c r="M14" s="518"/>
    </row>
    <row r="15" spans="1:17" ht="18" customHeight="1" x14ac:dyDescent="0.2">
      <c r="G15" s="517"/>
      <c r="H15" s="517"/>
      <c r="I15" s="517"/>
      <c r="J15" s="517"/>
      <c r="K15" s="517"/>
      <c r="M15" s="518"/>
    </row>
    <row r="16" spans="1:17" ht="18" customHeight="1" x14ac:dyDescent="0.2">
      <c r="G16" s="517"/>
      <c r="H16" s="517"/>
      <c r="I16" s="517"/>
      <c r="J16" s="517"/>
      <c r="K16" s="517"/>
      <c r="M16" s="517"/>
    </row>
    <row r="17" spans="1:14" ht="18" customHeight="1" x14ac:dyDescent="0.2">
      <c r="G17" s="517"/>
      <c r="H17" s="517"/>
      <c r="I17" s="517"/>
      <c r="J17" s="550" t="str">
        <f>CONCATENATE(ber_AanvullendeAfsprakenNeo!$K$17," dd")</f>
        <v xml:space="preserve"> dd</v>
      </c>
      <c r="K17" s="550" t="str">
        <f>CONCATENATE(ber_AanvullendeAfsprakenNeo!$L$17," ml")</f>
        <v xml:space="preserve"> ml</v>
      </c>
      <c r="M17" s="518"/>
      <c r="N17" s="517"/>
    </row>
    <row r="18" spans="1:14" ht="18" customHeight="1" x14ac:dyDescent="0.2">
      <c r="G18" s="517"/>
      <c r="H18" s="517"/>
      <c r="I18" s="517"/>
      <c r="J18" s="549"/>
      <c r="K18" s="549"/>
      <c r="M18" s="518"/>
      <c r="N18" s="517"/>
    </row>
    <row r="19" spans="1:14" ht="18" customHeight="1" x14ac:dyDescent="0.2">
      <c r="G19" s="517"/>
      <c r="H19" s="517"/>
      <c r="I19" s="517"/>
      <c r="J19" s="550" t="str">
        <f>CONCATENATE("à ",AanvullendNeoData_VerliezenFrequentie," uur")</f>
        <v>à  uur</v>
      </c>
      <c r="K19" s="517"/>
      <c r="M19" s="518"/>
      <c r="N19" s="518"/>
    </row>
    <row r="20" spans="1:14" ht="18" customHeight="1" x14ac:dyDescent="0.2">
      <c r="G20" s="517"/>
      <c r="H20" s="517"/>
      <c r="I20" s="517"/>
      <c r="J20" s="517"/>
      <c r="K20" s="517"/>
      <c r="M20" s="518"/>
      <c r="N20" s="517"/>
    </row>
    <row r="21" spans="1:14" ht="18" customHeight="1" x14ac:dyDescent="0.2">
      <c r="B21" s="3" t="s">
        <v>1483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2">
      <c r="G22" s="517"/>
      <c r="H22" s="517"/>
      <c r="I22" s="517"/>
      <c r="J22" s="517"/>
      <c r="K22" s="517"/>
      <c r="M22" s="518"/>
      <c r="N22" s="518"/>
    </row>
    <row r="23" spans="1:14" ht="18" customHeight="1" x14ac:dyDescent="0.2">
      <c r="G23" s="517"/>
      <c r="H23" s="517"/>
      <c r="I23" s="517"/>
      <c r="J23" s="517"/>
      <c r="K23" s="517"/>
      <c r="M23" s="517"/>
      <c r="N23" s="517"/>
    </row>
    <row r="24" spans="1:14" ht="18" customHeight="1" x14ac:dyDescent="0.2">
      <c r="G24" s="517"/>
      <c r="H24" s="517"/>
      <c r="I24" s="517"/>
      <c r="J24" s="517"/>
      <c r="K24" s="517"/>
      <c r="M24" s="518"/>
      <c r="N24" s="518"/>
    </row>
    <row r="25" spans="1:14" ht="18" customHeight="1" x14ac:dyDescent="0.2">
      <c r="G25" s="517"/>
      <c r="H25" s="517"/>
      <c r="I25" s="517"/>
      <c r="J25" s="517"/>
      <c r="K25" s="517"/>
      <c r="M25" s="518"/>
      <c r="N25" s="518"/>
    </row>
    <row r="26" spans="1:14" ht="18" customHeight="1" x14ac:dyDescent="0.2">
      <c r="G26" s="517"/>
      <c r="H26" s="517"/>
      <c r="I26" s="517"/>
      <c r="J26" s="517"/>
      <c r="K26" s="517"/>
      <c r="M26" s="524"/>
      <c r="N26" s="518"/>
    </row>
    <row r="27" spans="1:14" ht="18" customHeight="1" x14ac:dyDescent="0.2">
      <c r="C27" s="518" t="s">
        <v>1490</v>
      </c>
      <c r="D27" s="550" t="str">
        <f>CONCATENATE(ber_AanvullendeAfsprakenNeo!C27," uur")</f>
        <v>06:00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2">
      <c r="G28" s="517"/>
      <c r="H28" s="517"/>
      <c r="I28" s="517"/>
      <c r="J28" s="517"/>
      <c r="K28" s="517"/>
      <c r="M28" s="518"/>
    </row>
    <row r="29" spans="1:14" ht="18" customHeight="1" x14ac:dyDescent="0.2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2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2">
      <c r="B31" s="517"/>
      <c r="C31" s="517"/>
      <c r="D31" s="517"/>
      <c r="G31" s="913" t="str">
        <f>IF(Aanvullend_WondkweekTekst=0,"",Aanvullend_WondkweekTekst)</f>
        <v/>
      </c>
      <c r="H31" s="913"/>
      <c r="L31" s="517"/>
      <c r="M31" s="517"/>
    </row>
    <row r="32" spans="1:14" ht="18" customHeight="1" x14ac:dyDescent="0.2">
      <c r="G32" s="913"/>
      <c r="H32" s="913"/>
      <c r="L32" s="517"/>
      <c r="M32" s="517"/>
    </row>
    <row r="33" spans="1:13" s="517" customFormat="1" ht="18" customHeight="1" x14ac:dyDescent="0.2">
      <c r="A33"/>
      <c r="B33"/>
      <c r="C33"/>
      <c r="D33"/>
      <c r="E33"/>
      <c r="G33" s="913"/>
      <c r="H33" s="913"/>
      <c r="L33"/>
    </row>
    <row r="34" spans="1:13" s="517" customFormat="1" ht="18" customHeight="1" x14ac:dyDescent="0.2">
      <c r="A34"/>
      <c r="B34" s="3" t="s">
        <v>1726</v>
      </c>
      <c r="C34"/>
      <c r="D34"/>
      <c r="E34"/>
      <c r="L34"/>
    </row>
    <row r="35" spans="1:13" ht="18" customHeight="1" x14ac:dyDescent="0.2">
      <c r="L35" s="517"/>
      <c r="M35" s="518"/>
    </row>
    <row r="36" spans="1:13" ht="18" customHeight="1" x14ac:dyDescent="0.2">
      <c r="E36" s="517"/>
      <c r="I36" s="517"/>
      <c r="J36" s="517"/>
      <c r="K36" s="517"/>
      <c r="L36" s="517"/>
      <c r="M36" s="518"/>
    </row>
    <row r="37" spans="1:13" s="517" customFormat="1" ht="18" customHeight="1" x14ac:dyDescent="0.2">
      <c r="L37"/>
      <c r="M37" s="518"/>
    </row>
    <row r="38" spans="1:13" s="517" customFormat="1" ht="18" customHeight="1" x14ac:dyDescent="0.2">
      <c r="B38" s="518"/>
      <c r="C38" s="518"/>
      <c r="M38" s="518"/>
    </row>
    <row r="39" spans="1:13" ht="18" customHeight="1" x14ac:dyDescent="0.2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2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2">
      <c r="B41" s="518"/>
      <c r="C41" s="518"/>
      <c r="D41" s="618">
        <f>ber_AanvullendeAfsprakenNeo!D47</f>
        <v>0</v>
      </c>
      <c r="E41" s="517" t="s">
        <v>1728</v>
      </c>
      <c r="I41"/>
      <c r="J41"/>
      <c r="K41"/>
      <c r="L41"/>
      <c r="M41" s="518"/>
    </row>
    <row r="42" spans="1:13" s="517" customFormat="1" ht="18" customHeight="1" x14ac:dyDescent="0.2">
      <c r="B42" s="518"/>
      <c r="I42"/>
      <c r="J42"/>
      <c r="K42"/>
      <c r="L42"/>
      <c r="M42" s="518"/>
    </row>
    <row r="43" spans="1:13" ht="18" customHeight="1" x14ac:dyDescent="0.2">
      <c r="A43" s="517"/>
      <c r="B43" s="518"/>
      <c r="C43" s="517"/>
      <c r="D43" s="517"/>
      <c r="E43" s="517"/>
      <c r="M43" s="518"/>
    </row>
    <row r="44" spans="1:13" ht="18" customHeight="1" x14ac:dyDescent="0.2">
      <c r="B44" s="3" t="s">
        <v>1322</v>
      </c>
      <c r="M44" s="518"/>
    </row>
    <row r="45" spans="1:13" ht="18" customHeight="1" x14ac:dyDescent="0.2">
      <c r="B45" s="518" t="s">
        <v>1477</v>
      </c>
      <c r="C45" s="517" t="str">
        <f>IFERROR(LEFT(_Aanvullend_Controles,LEN(_Aanvullend_Controles)-3),"")</f>
        <v/>
      </c>
      <c r="M45" s="518"/>
    </row>
    <row r="46" spans="1:13" ht="18" customHeight="1" x14ac:dyDescent="0.2">
      <c r="B46" s="518" t="s">
        <v>1483</v>
      </c>
      <c r="C46" s="517" t="str">
        <f>IFERROR(LEFT(_Aanvullend_Onderzoek,LEN(_Aanvullend_Onderzoek)-3),"")</f>
        <v/>
      </c>
      <c r="M46" s="518"/>
    </row>
    <row r="47" spans="1:13" ht="18" customHeight="1" x14ac:dyDescent="0.2">
      <c r="B47" s="518" t="s">
        <v>1726</v>
      </c>
      <c r="C47" s="517" t="str">
        <f>IFERROR(LEFT(_Aanvullend_Instellingen,LEN(_Aanvullend_Instellingen)-3),"")</f>
        <v/>
      </c>
      <c r="M47" s="518"/>
    </row>
    <row r="48" spans="1:13" ht="18" customHeight="1" x14ac:dyDescent="0.2">
      <c r="B48" s="518" t="s">
        <v>1289</v>
      </c>
      <c r="C48" t="str">
        <f>IFERROR(LEFT(_Aanvullend_Kweken,LEN(_Aanvullend_Kweken)-3),"")</f>
        <v/>
      </c>
      <c r="M48" s="518"/>
    </row>
    <row r="49" spans="2:13" ht="18" customHeight="1" x14ac:dyDescent="0.2">
      <c r="B49" s="518" t="s">
        <v>1335</v>
      </c>
      <c r="C49" s="517" t="str">
        <f>IFERROR(LEFT(_Aanvullend_Overig,LEN(_Aanvullend_Overig)-3),"")</f>
        <v/>
      </c>
      <c r="M49" s="518"/>
    </row>
    <row r="50" spans="2:13" ht="18" customHeight="1" x14ac:dyDescent="0.2">
      <c r="M50" s="517"/>
    </row>
    <row r="51" spans="2:13" ht="18" customHeight="1" x14ac:dyDescent="0.2">
      <c r="M51" s="518"/>
    </row>
    <row r="52" spans="2:13" ht="18" customHeight="1" x14ac:dyDescent="0.2">
      <c r="M52" s="518"/>
    </row>
    <row r="53" spans="2:13" ht="18" customHeight="1" x14ac:dyDescent="0.2">
      <c r="M53" s="518"/>
    </row>
    <row r="54" spans="2:13" ht="18" customHeight="1" x14ac:dyDescent="0.2">
      <c r="M54" s="518"/>
    </row>
    <row r="55" spans="2:13" ht="18" customHeight="1" x14ac:dyDescent="0.2">
      <c r="M55" s="518"/>
    </row>
    <row r="56" spans="2:13" ht="18" customHeight="1" x14ac:dyDescent="0.2">
      <c r="M56" s="517"/>
    </row>
    <row r="57" spans="2:13" ht="18" customHeight="1" x14ac:dyDescent="0.2">
      <c r="M57" s="517"/>
    </row>
    <row r="58" spans="2:13" ht="18" customHeight="1" x14ac:dyDescent="0.2">
      <c r="M58" s="526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anvullendeBe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525"/>
    <col min="5" max="5" width="17.85546875" customWidth="1"/>
    <col min="7" max="7" width="37.42578125" bestFit="1" customWidth="1"/>
    <col min="8" max="8" width="9.140625" style="517" customWidth="1"/>
    <col min="9" max="9" width="28" style="557" bestFit="1" customWidth="1"/>
    <col min="11" max="11" width="13.5703125" customWidth="1"/>
  </cols>
  <sheetData>
    <row r="1" spans="1:13" x14ac:dyDescent="0.2">
      <c r="A1" s="579"/>
    </row>
    <row r="6" spans="1:13" x14ac:dyDescent="0.2">
      <c r="A6" s="593" t="s">
        <v>1477</v>
      </c>
      <c r="E6" s="3" t="s">
        <v>1289</v>
      </c>
      <c r="I6" s="555" t="s">
        <v>1335</v>
      </c>
    </row>
    <row r="7" spans="1:13" x14ac:dyDescent="0.2">
      <c r="A7" s="518" t="s">
        <v>1284</v>
      </c>
      <c r="B7" s="579"/>
      <c r="E7" t="s">
        <v>1291</v>
      </c>
      <c r="F7" s="579"/>
      <c r="I7" s="556" t="s">
        <v>1321</v>
      </c>
      <c r="J7" s="579"/>
    </row>
    <row r="8" spans="1:13" x14ac:dyDescent="0.2">
      <c r="A8" s="518" t="s">
        <v>573</v>
      </c>
      <c r="B8" s="579"/>
      <c r="C8" s="585"/>
      <c r="D8" s="830"/>
      <c r="E8" t="s">
        <v>1292</v>
      </c>
      <c r="F8" s="579"/>
      <c r="G8" t="s">
        <v>1293</v>
      </c>
      <c r="H8" s="579"/>
      <c r="I8" s="556" t="s">
        <v>1639</v>
      </c>
      <c r="J8" s="579"/>
      <c r="M8" s="517"/>
    </row>
    <row r="9" spans="1:13" x14ac:dyDescent="0.2">
      <c r="A9" s="518" t="s">
        <v>266</v>
      </c>
      <c r="B9" s="579"/>
      <c r="C9" s="579"/>
      <c r="D9" s="580"/>
      <c r="G9" t="s">
        <v>1294</v>
      </c>
      <c r="H9" s="579"/>
      <c r="I9" s="556" t="s">
        <v>1329</v>
      </c>
      <c r="J9" s="579"/>
      <c r="M9" s="517"/>
    </row>
    <row r="10" spans="1:13" x14ac:dyDescent="0.2">
      <c r="A10" s="518" t="s">
        <v>1275</v>
      </c>
      <c r="B10" s="579"/>
      <c r="G10" t="s">
        <v>1295</v>
      </c>
      <c r="H10" s="579"/>
      <c r="I10" s="556" t="s">
        <v>1285</v>
      </c>
      <c r="J10" s="579"/>
      <c r="M10" s="517"/>
    </row>
    <row r="11" spans="1:13" x14ac:dyDescent="0.2">
      <c r="A11" s="518" t="s">
        <v>1535</v>
      </c>
      <c r="B11" s="579"/>
      <c r="C11" s="518" t="s">
        <v>1479</v>
      </c>
      <c r="D11" s="580"/>
      <c r="G11" t="s">
        <v>1296</v>
      </c>
      <c r="H11" s="579"/>
      <c r="I11" s="556"/>
      <c r="J11" s="579"/>
      <c r="M11" s="517"/>
    </row>
    <row r="12" spans="1:13" x14ac:dyDescent="0.2">
      <c r="A12" s="518" t="s">
        <v>1537</v>
      </c>
      <c r="B12" s="707"/>
      <c r="C12" s="552" t="s">
        <v>1480</v>
      </c>
      <c r="D12" s="580"/>
      <c r="E12" s="518" t="s">
        <v>1297</v>
      </c>
      <c r="F12" s="579"/>
      <c r="I12" s="556" t="s">
        <v>1330</v>
      </c>
      <c r="J12" s="579"/>
      <c r="M12" s="517"/>
    </row>
    <row r="13" spans="1:13" x14ac:dyDescent="0.2">
      <c r="C13" s="518" t="s">
        <v>1481</v>
      </c>
      <c r="D13" s="580"/>
      <c r="E13" s="518" t="s">
        <v>1298</v>
      </c>
      <c r="F13" s="579"/>
      <c r="G13" t="s">
        <v>1305</v>
      </c>
      <c r="H13" s="579"/>
      <c r="I13" s="556" t="s">
        <v>1281</v>
      </c>
      <c r="J13" s="579"/>
      <c r="M13" s="517"/>
    </row>
    <row r="14" spans="1:13" x14ac:dyDescent="0.2">
      <c r="C14" s="518" t="s">
        <v>1482</v>
      </c>
      <c r="D14" s="580"/>
      <c r="E14" s="518" t="s">
        <v>1299</v>
      </c>
      <c r="F14" s="579"/>
      <c r="I14" s="556" t="s">
        <v>1282</v>
      </c>
      <c r="J14" s="579"/>
      <c r="M14" s="517"/>
    </row>
    <row r="15" spans="1:13" x14ac:dyDescent="0.2">
      <c r="A15" s="518" t="s">
        <v>1536</v>
      </c>
      <c r="B15" s="579"/>
      <c r="E15" s="518" t="s">
        <v>1300</v>
      </c>
      <c r="F15" s="579"/>
      <c r="G15" t="s">
        <v>1306</v>
      </c>
      <c r="H15" s="579"/>
      <c r="I15" s="556" t="s">
        <v>1283</v>
      </c>
      <c r="J15" s="579"/>
      <c r="M15" s="517"/>
    </row>
    <row r="16" spans="1:13" x14ac:dyDescent="0.2">
      <c r="A16" t="s">
        <v>1277</v>
      </c>
      <c r="B16" s="579"/>
      <c r="E16" s="517"/>
      <c r="G16" t="s">
        <v>1307</v>
      </c>
      <c r="H16" s="579"/>
      <c r="I16" s="556" t="s">
        <v>1334</v>
      </c>
      <c r="J16" s="579"/>
      <c r="M16" s="517"/>
    </row>
    <row r="17" spans="1:13" x14ac:dyDescent="0.2">
      <c r="A17" s="518" t="s">
        <v>1276</v>
      </c>
      <c r="B17" s="579"/>
      <c r="E17" s="518" t="s">
        <v>858</v>
      </c>
      <c r="F17" s="579"/>
      <c r="I17" s="556" t="s">
        <v>1640</v>
      </c>
      <c r="J17" s="579"/>
      <c r="K17" s="585"/>
      <c r="L17" s="585"/>
      <c r="M17" s="517"/>
    </row>
    <row r="18" spans="1:13" x14ac:dyDescent="0.2">
      <c r="A18" s="518" t="s">
        <v>1280</v>
      </c>
      <c r="B18" s="579"/>
      <c r="C18" s="579"/>
      <c r="D18" s="580"/>
      <c r="E18" s="518" t="s">
        <v>1301</v>
      </c>
      <c r="F18" s="579"/>
      <c r="G18" t="s">
        <v>1308</v>
      </c>
      <c r="H18" s="579"/>
      <c r="I18" s="556" t="s">
        <v>858</v>
      </c>
      <c r="J18" s="579"/>
      <c r="M18" s="517"/>
    </row>
    <row r="19" spans="1:13" x14ac:dyDescent="0.2">
      <c r="A19" s="518" t="s">
        <v>1278</v>
      </c>
      <c r="B19" s="579"/>
      <c r="E19" s="517"/>
      <c r="G19" t="s">
        <v>1309</v>
      </c>
      <c r="H19" s="579"/>
      <c r="I19" s="556" t="s">
        <v>1331</v>
      </c>
      <c r="J19" s="579"/>
      <c r="M19" s="517"/>
    </row>
    <row r="20" spans="1:13" x14ac:dyDescent="0.2">
      <c r="E20" s="517"/>
      <c r="G20" t="s">
        <v>1310</v>
      </c>
      <c r="H20" s="579"/>
      <c r="I20" s="556" t="s">
        <v>1641</v>
      </c>
      <c r="J20" s="579"/>
      <c r="K20" s="831"/>
      <c r="L20" s="585"/>
      <c r="M20" s="517"/>
    </row>
    <row r="21" spans="1:13" x14ac:dyDescent="0.2">
      <c r="A21" s="3" t="s">
        <v>1483</v>
      </c>
      <c r="B21" s="579"/>
      <c r="E21" s="518" t="s">
        <v>1302</v>
      </c>
      <c r="F21" s="579"/>
      <c r="I21" s="556"/>
      <c r="J21" s="517"/>
      <c r="K21" s="518" t="s">
        <v>1642</v>
      </c>
      <c r="L21" s="579"/>
      <c r="M21" s="517"/>
    </row>
    <row r="22" spans="1:13" x14ac:dyDescent="0.2">
      <c r="A22" s="518" t="s">
        <v>1290</v>
      </c>
      <c r="B22" s="579"/>
      <c r="C22" t="str">
        <f>IF(OR(D22=0,D22=1,D22=""),"",INDEX(Aanvullend_aEEG,D22,1))</f>
        <v/>
      </c>
      <c r="D22" s="580"/>
      <c r="E22" s="518" t="s">
        <v>1303</v>
      </c>
      <c r="F22" s="579"/>
      <c r="G22" t="s">
        <v>1311</v>
      </c>
      <c r="H22" s="579"/>
      <c r="I22" s="556"/>
      <c r="J22" s="517"/>
      <c r="K22" s="518" t="s">
        <v>630</v>
      </c>
      <c r="L22" s="579"/>
      <c r="M22" s="517"/>
    </row>
    <row r="23" spans="1:13" x14ac:dyDescent="0.2">
      <c r="A23" s="518" t="s">
        <v>859</v>
      </c>
      <c r="B23" s="579"/>
      <c r="E23" s="518" t="s">
        <v>1304</v>
      </c>
      <c r="F23" s="579"/>
      <c r="G23" t="s">
        <v>1312</v>
      </c>
      <c r="H23" s="579"/>
      <c r="I23" s="556"/>
      <c r="J23" s="517"/>
      <c r="K23" s="518" t="s">
        <v>1643</v>
      </c>
      <c r="L23" s="579"/>
      <c r="M23" s="517"/>
    </row>
    <row r="24" spans="1:13" x14ac:dyDescent="0.2">
      <c r="A24" s="518" t="s">
        <v>64</v>
      </c>
      <c r="B24" s="579"/>
      <c r="E24" s="517"/>
      <c r="G24" t="s">
        <v>1313</v>
      </c>
      <c r="H24" s="579"/>
      <c r="I24" s="556" t="s">
        <v>1485</v>
      </c>
      <c r="J24" s="579"/>
      <c r="K24" s="518" t="s">
        <v>1486</v>
      </c>
      <c r="L24" s="579"/>
      <c r="M24" s="517"/>
    </row>
    <row r="25" spans="1:13" x14ac:dyDescent="0.2">
      <c r="A25" s="518" t="s">
        <v>1327</v>
      </c>
      <c r="B25" s="579"/>
      <c r="E25" s="517"/>
      <c r="G25" t="s">
        <v>1314</v>
      </c>
      <c r="H25" s="579"/>
      <c r="I25" s="556"/>
      <c r="K25" s="518" t="s">
        <v>1487</v>
      </c>
      <c r="L25" s="579"/>
      <c r="M25" s="517"/>
    </row>
    <row r="26" spans="1:13" x14ac:dyDescent="0.2">
      <c r="A26" s="518" t="s">
        <v>1328</v>
      </c>
      <c r="B26" s="579"/>
      <c r="E26" s="517"/>
      <c r="G26" t="s">
        <v>1315</v>
      </c>
      <c r="H26" s="579"/>
      <c r="I26" s="556"/>
      <c r="K26" s="518" t="s">
        <v>1488</v>
      </c>
      <c r="L26" s="579"/>
      <c r="M26" s="517"/>
    </row>
    <row r="27" spans="1:13" x14ac:dyDescent="0.2">
      <c r="A27" s="518" t="s">
        <v>860</v>
      </c>
      <c r="B27" s="579"/>
      <c r="C27" t="str">
        <f>REPLACE(INDEX(Aanvullend_Vertrektijden,D27,2),1,1,"")</f>
        <v>06:00</v>
      </c>
      <c r="D27" s="580"/>
      <c r="E27" s="517"/>
      <c r="G27" t="s">
        <v>1316</v>
      </c>
      <c r="H27" s="579"/>
      <c r="I27" s="556"/>
      <c r="K27" s="518" t="s">
        <v>1489</v>
      </c>
      <c r="L27" s="579"/>
      <c r="M27" s="517"/>
    </row>
    <row r="28" spans="1:13" x14ac:dyDescent="0.2">
      <c r="A28" s="518" t="s">
        <v>1538</v>
      </c>
      <c r="B28" s="579"/>
      <c r="E28" s="517"/>
      <c r="G28" t="s">
        <v>1317</v>
      </c>
      <c r="H28" s="579"/>
      <c r="I28" s="556"/>
      <c r="K28" s="518" t="s">
        <v>584</v>
      </c>
      <c r="L28" s="579"/>
    </row>
    <row r="29" spans="1:13" x14ac:dyDescent="0.2">
      <c r="A29" s="518" t="s">
        <v>1539</v>
      </c>
      <c r="B29" s="579"/>
      <c r="E29" s="517"/>
      <c r="G29" t="s">
        <v>1318</v>
      </c>
      <c r="H29" s="579"/>
      <c r="I29" s="556" t="s">
        <v>1058</v>
      </c>
      <c r="J29" s="579"/>
      <c r="K29" s="579"/>
    </row>
    <row r="30" spans="1:13" x14ac:dyDescent="0.2">
      <c r="A30" s="518" t="s">
        <v>1279</v>
      </c>
      <c r="B30" s="579"/>
      <c r="E30" s="517"/>
      <c r="G30" t="s">
        <v>1319</v>
      </c>
      <c r="H30" s="579"/>
      <c r="I30" s="556"/>
    </row>
    <row r="31" spans="1:13" x14ac:dyDescent="0.2">
      <c r="A31" s="518" t="s">
        <v>63</v>
      </c>
      <c r="B31" s="579"/>
      <c r="E31" s="518" t="s">
        <v>1320</v>
      </c>
      <c r="F31" s="579"/>
      <c r="G31" s="585"/>
      <c r="H31" s="518"/>
      <c r="I31" s="556"/>
    </row>
    <row r="32" spans="1:13" x14ac:dyDescent="0.2">
      <c r="A32" s="518" t="s">
        <v>26</v>
      </c>
      <c r="B32" s="579"/>
      <c r="E32" s="3"/>
      <c r="I32" s="556"/>
    </row>
    <row r="33" spans="1:9" x14ac:dyDescent="0.2">
      <c r="A33" s="3" t="s">
        <v>1726</v>
      </c>
      <c r="B33" s="517"/>
      <c r="C33" s="517"/>
      <c r="E33" s="517"/>
      <c r="F33" s="517"/>
      <c r="G33" s="517"/>
      <c r="I33" s="556"/>
    </row>
    <row r="34" spans="1:9" x14ac:dyDescent="0.2">
      <c r="A34" s="518" t="s">
        <v>1540</v>
      </c>
      <c r="B34" s="579"/>
      <c r="C34" s="517" t="str">
        <f>IF(OR(D34=0,D34=1,D34=""),"",INDEX(Aanvullend_ThoraxDrainSub2,D34,0))</f>
        <v/>
      </c>
      <c r="D34" s="580"/>
      <c r="E34" t="str">
        <f>IF(OR(D22=0,D22=""),"",INDEX(Aanvullend_aEEG,D22,1))</f>
        <v/>
      </c>
      <c r="I34" s="556"/>
    </row>
    <row r="35" spans="1:9" x14ac:dyDescent="0.2">
      <c r="C35" s="517" t="str">
        <f>IF(OR(D35=0,D35=1,D35=""),"",INDEX(Aanvullend_ThoraxDrainSub3,D35,0))</f>
        <v/>
      </c>
      <c r="D35" s="580"/>
      <c r="I35" s="556"/>
    </row>
    <row r="36" spans="1:9" x14ac:dyDescent="0.2">
      <c r="C36" s="517" t="str">
        <f>IF(OR(D36=0,D36=1,D36=""),"",INDEX(Aanvullend_ThoraxDrainSub1,D36,0))</f>
        <v/>
      </c>
      <c r="D36" s="580"/>
      <c r="I36" s="556"/>
    </row>
    <row r="37" spans="1:9" x14ac:dyDescent="0.2">
      <c r="A37" s="518" t="s">
        <v>1638</v>
      </c>
      <c r="B37" s="579"/>
      <c r="C37" s="517" t="str">
        <f>IF(OR(D37=0,D37=1,D37=""),"",INDEX(Aanvullend_ThoraxDrainSub2,D37,0))</f>
        <v/>
      </c>
      <c r="D37" s="580"/>
      <c r="E37" s="517"/>
    </row>
    <row r="38" spans="1:9" x14ac:dyDescent="0.2">
      <c r="A38" s="517"/>
      <c r="B38" s="517"/>
      <c r="C38" s="517" t="str">
        <f>IF(OR(D38=0,D38=1,D38=""),"",INDEX(Aanvullend_ThoraxDrainSub3,D38,0))</f>
        <v/>
      </c>
      <c r="D38" s="580"/>
    </row>
    <row r="39" spans="1:9" x14ac:dyDescent="0.2">
      <c r="A39" s="517"/>
      <c r="B39" s="517"/>
      <c r="C39" s="517" t="str">
        <f>IF(OR(D39=0,D39=1,D39=""),"",INDEX(Aanvullend_ThoraxDrainSub1,D39,0))</f>
        <v/>
      </c>
      <c r="D39" s="580"/>
    </row>
    <row r="40" spans="1:9" x14ac:dyDescent="0.2">
      <c r="A40" s="518" t="s">
        <v>1729</v>
      </c>
      <c r="B40" s="579"/>
      <c r="C40" s="517" t="str">
        <f>IF(OR(D40=0,D40=1,D40=""),"",INDEX(Aanvullend_ThoraxDrainSub2,D40,0))</f>
        <v/>
      </c>
      <c r="D40" s="580"/>
      <c r="E40" s="517"/>
    </row>
    <row r="41" spans="1:9" x14ac:dyDescent="0.2">
      <c r="C41" s="517" t="str">
        <f>IF(OR(D41=0,D41=1,D41=""),"",INDEX(Aanvullend_ThoraxDrainSub3,D41,0))</f>
        <v/>
      </c>
      <c r="D41" s="580"/>
    </row>
    <row r="42" spans="1:9" x14ac:dyDescent="0.2">
      <c r="C42" s="517" t="str">
        <f>IF(OR(D42=0,D42=1,D42=""),"",INDEX(Aanvullend_ThoraxDrainSub1,D42,0))</f>
        <v/>
      </c>
      <c r="D42" s="580"/>
    </row>
    <row r="43" spans="1:9" x14ac:dyDescent="0.2">
      <c r="A43" s="556" t="s">
        <v>1333</v>
      </c>
      <c r="B43" s="579"/>
      <c r="C43" s="518" t="s">
        <v>1730</v>
      </c>
      <c r="D43" s="580"/>
      <c r="E43" s="517"/>
    </row>
    <row r="44" spans="1:9" x14ac:dyDescent="0.2">
      <c r="A44" s="518" t="s">
        <v>1657</v>
      </c>
      <c r="B44" s="579"/>
      <c r="C44" s="518" t="s">
        <v>1730</v>
      </c>
      <c r="D44" s="580"/>
      <c r="E44" s="517"/>
    </row>
    <row r="45" spans="1:9" x14ac:dyDescent="0.2">
      <c r="A45" s="556" t="s">
        <v>1332</v>
      </c>
      <c r="B45" s="579"/>
      <c r="C45" s="518" t="s">
        <v>1730</v>
      </c>
      <c r="D45" s="580"/>
      <c r="E45" s="517"/>
    </row>
    <row r="46" spans="1:9" x14ac:dyDescent="0.2">
      <c r="A46" s="518" t="s">
        <v>1727</v>
      </c>
      <c r="B46" s="579"/>
      <c r="C46" t="str">
        <f>IF(OR(D46=0,D46=1,D46=""),"",INDEX(Aanvullend_LiquorDrainSub1,D46,0))</f>
        <v/>
      </c>
      <c r="D46" s="580"/>
      <c r="E46" s="517"/>
    </row>
    <row r="47" spans="1:9" x14ac:dyDescent="0.2">
      <c r="C47" s="517" t="s">
        <v>1728</v>
      </c>
      <c r="D47" s="580"/>
    </row>
    <row r="55" spans="1:3" x14ac:dyDescent="0.2">
      <c r="A55" s="3" t="s">
        <v>1322</v>
      </c>
    </row>
    <row r="56" spans="1:3" x14ac:dyDescent="0.2">
      <c r="A56" s="518" t="s">
        <v>1477</v>
      </c>
      <c r="B56" t="str">
        <f>CONCATENATE(,IF(B7,A7 &amp; " - ",""),IF(B8,CONCATENATE(A8, " (",C8, " keer per ",INDEX(Aanvullend_PerPeriode,D8,0),")") &amp; " - ",""),IF(B9,CONCATENATE(A9, " (",C9, " keer per ",INDEX(Aanvullend_PerPeriode,D9,0),")") &amp; " - ",""),IF(B18,CONCATENATE(A18, " (",C18, " keer per ",INDEX(Aanvullend_PerPeriode,D18,0),")")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518" t="s">
        <v>1483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518" t="s">
        <v>1726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2">
      <c r="A59" s="518" t="s">
        <v>1289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(",Aanvullend_WondkweekTekst,") - "),""))</f>
        <v/>
      </c>
    </row>
    <row r="60" spans="1:3" x14ac:dyDescent="0.2">
      <c r="A60" s="518" t="s">
        <v>1335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518"/>
    </row>
    <row r="69" spans="1:1" x14ac:dyDescent="0.2">
      <c r="A69" s="518"/>
    </row>
    <row r="70" spans="1:1" x14ac:dyDescent="0.2">
      <c r="A70" s="517"/>
    </row>
    <row r="71" spans="1:1" x14ac:dyDescent="0.2">
      <c r="A71" s="518"/>
    </row>
    <row r="72" spans="1:1" x14ac:dyDescent="0.2">
      <c r="A72" s="518"/>
    </row>
    <row r="73" spans="1:1" x14ac:dyDescent="0.2">
      <c r="A73" s="518"/>
    </row>
    <row r="74" spans="1:1" x14ac:dyDescent="0.2">
      <c r="A74" s="518"/>
    </row>
    <row r="75" spans="1:1" x14ac:dyDescent="0.2">
      <c r="A75" s="518"/>
    </row>
    <row r="76" spans="1:1" x14ac:dyDescent="0.2">
      <c r="A76" s="518"/>
    </row>
    <row r="77" spans="1:1" x14ac:dyDescent="0.2">
      <c r="A77" s="518"/>
    </row>
    <row r="78" spans="1:1" x14ac:dyDescent="0.2">
      <c r="A78" s="518"/>
    </row>
    <row r="79" spans="1:1" x14ac:dyDescent="0.2">
      <c r="A79" s="518"/>
    </row>
    <row r="80" spans="1:1" x14ac:dyDescent="0.2">
      <c r="A80" s="518"/>
    </row>
    <row r="81" spans="1:1" x14ac:dyDescent="0.2">
      <c r="A81" s="518"/>
    </row>
    <row r="82" spans="1:1" x14ac:dyDescent="0.2">
      <c r="A82" s="518"/>
    </row>
    <row r="83" spans="1:1" x14ac:dyDescent="0.2">
      <c r="A83" s="517"/>
    </row>
    <row r="84" spans="1:1" x14ac:dyDescent="0.2">
      <c r="A84" s="518"/>
    </row>
    <row r="85" spans="1:1" x14ac:dyDescent="0.2">
      <c r="A85" s="518"/>
    </row>
    <row r="86" spans="1:1" x14ac:dyDescent="0.2">
      <c r="A86" s="524"/>
    </row>
    <row r="87" spans="1:1" x14ac:dyDescent="0.2">
      <c r="A87" s="518"/>
    </row>
    <row r="88" spans="1:1" x14ac:dyDescent="0.2">
      <c r="A88" s="518"/>
    </row>
    <row r="89" spans="1:1" x14ac:dyDescent="0.2">
      <c r="A89" s="518"/>
    </row>
    <row r="90" spans="1:1" x14ac:dyDescent="0.2">
      <c r="A90" s="518"/>
    </row>
    <row r="91" spans="1:1" x14ac:dyDescent="0.2">
      <c r="A91" s="518"/>
    </row>
    <row r="92" spans="1:1" x14ac:dyDescent="0.2">
      <c r="A92" s="518"/>
    </row>
    <row r="93" spans="1:1" x14ac:dyDescent="0.2">
      <c r="A93" s="518"/>
    </row>
    <row r="94" spans="1:1" x14ac:dyDescent="0.2">
      <c r="A94" s="518"/>
    </row>
    <row r="95" spans="1:1" x14ac:dyDescent="0.2">
      <c r="A95" s="518"/>
    </row>
    <row r="96" spans="1:1" x14ac:dyDescent="0.2">
      <c r="A96" s="518"/>
    </row>
    <row r="97" spans="1:1" x14ac:dyDescent="0.2">
      <c r="A97" s="518"/>
    </row>
    <row r="98" spans="1:1" x14ac:dyDescent="0.2">
      <c r="A98" s="518"/>
    </row>
    <row r="99" spans="1:1" x14ac:dyDescent="0.2">
      <c r="A99" s="518"/>
    </row>
    <row r="100" spans="1:1" x14ac:dyDescent="0.2">
      <c r="A100" s="518"/>
    </row>
    <row r="101" spans="1:1" x14ac:dyDescent="0.2">
      <c r="A101" s="518"/>
    </row>
    <row r="102" spans="1:1" x14ac:dyDescent="0.2">
      <c r="A102" s="518"/>
    </row>
    <row r="103" spans="1:1" x14ac:dyDescent="0.2">
      <c r="A103" s="518"/>
    </row>
    <row r="104" spans="1:1" x14ac:dyDescent="0.2">
      <c r="A104" s="518"/>
    </row>
    <row r="105" spans="1:1" x14ac:dyDescent="0.2">
      <c r="A105" s="518"/>
    </row>
    <row r="106" spans="1:1" x14ac:dyDescent="0.2">
      <c r="A106" s="518"/>
    </row>
    <row r="107" spans="1:1" x14ac:dyDescent="0.2">
      <c r="A107" s="517"/>
    </row>
    <row r="108" spans="1:1" x14ac:dyDescent="0.2">
      <c r="A108" s="517"/>
    </row>
  </sheetData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Neo">
    <tabColor rgb="FF7030A0"/>
    <pageSetUpPr autoPageBreaks="0"/>
  </sheetPr>
  <dimension ref="A1:U36"/>
  <sheetViews>
    <sheetView zoomScale="85" workbookViewId="0"/>
  </sheetViews>
  <sheetFormatPr defaultColWidth="9.140625" defaultRowHeight="12.75" x14ac:dyDescent="0.2"/>
  <cols>
    <col min="1" max="1" width="3.7109375" style="533" customWidth="1"/>
    <col min="2" max="13" width="10.7109375" style="533" customWidth="1"/>
    <col min="14" max="15" width="2.140625" style="533" customWidth="1"/>
    <col min="16" max="21" width="10.7109375" style="533" customWidth="1"/>
    <col min="22" max="16384" width="9.140625" style="533"/>
  </cols>
  <sheetData>
    <row r="1" spans="1:21" ht="11.25" customHeight="1" x14ac:dyDescent="0.2">
      <c r="A1" s="595"/>
      <c r="B1" s="529" t="s">
        <v>286</v>
      </c>
      <c r="C1" s="530"/>
      <c r="D1" s="531" t="s">
        <v>1342</v>
      </c>
      <c r="E1" s="530"/>
      <c r="F1" s="530"/>
      <c r="G1" s="528"/>
      <c r="H1" s="532"/>
      <c r="I1" s="528"/>
      <c r="J1" s="528"/>
      <c r="K1" s="528"/>
      <c r="L1" s="528"/>
      <c r="M1" s="528"/>
      <c r="N1" s="528"/>
    </row>
    <row r="2" spans="1:21" x14ac:dyDescent="0.2">
      <c r="A2" s="528"/>
      <c r="B2" s="534"/>
    </row>
    <row r="3" spans="1:21" ht="18.75" customHeight="1" x14ac:dyDescent="0.2">
      <c r="A3" s="528"/>
      <c r="B3" s="382" t="s">
        <v>1338</v>
      </c>
      <c r="C3" s="535"/>
      <c r="D3" s="382" t="s">
        <v>1343</v>
      </c>
      <c r="E3" s="535"/>
      <c r="F3" s="382" t="s">
        <v>1344</v>
      </c>
      <c r="G3" s="535"/>
      <c r="H3" s="382" t="s">
        <v>1345</v>
      </c>
      <c r="I3" s="535"/>
      <c r="J3" s="382" t="s">
        <v>287</v>
      </c>
      <c r="K3" s="535"/>
      <c r="L3" s="382" t="s">
        <v>1346</v>
      </c>
      <c r="M3" s="535"/>
      <c r="N3" s="382"/>
      <c r="O3" s="535"/>
      <c r="P3" s="382" t="s">
        <v>2427</v>
      </c>
      <c r="Q3" s="382" t="s">
        <v>1350</v>
      </c>
      <c r="R3" s="382" t="s">
        <v>2425</v>
      </c>
      <c r="S3" s="382" t="s">
        <v>1350</v>
      </c>
      <c r="T3" s="382" t="s">
        <v>2428</v>
      </c>
      <c r="U3" s="382" t="s">
        <v>1350</v>
      </c>
    </row>
    <row r="4" spans="1:21" ht="26.25" customHeight="1" x14ac:dyDescent="0.2">
      <c r="B4" s="536"/>
      <c r="C4" s="537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36"/>
      <c r="T4" s="536"/>
      <c r="U4" s="536"/>
    </row>
    <row r="5" spans="1:21" ht="26.25" customHeight="1" x14ac:dyDescent="0.2">
      <c r="B5" s="536"/>
      <c r="C5" s="537"/>
      <c r="D5" s="536"/>
      <c r="E5" s="536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36"/>
      <c r="T5" s="536"/>
      <c r="U5" s="536"/>
    </row>
    <row r="6" spans="1:21" ht="26.25" customHeight="1" x14ac:dyDescent="0.2">
      <c r="A6" s="604"/>
      <c r="B6" s="536"/>
      <c r="C6" s="537"/>
      <c r="D6" s="536"/>
      <c r="E6" s="536"/>
      <c r="F6" s="536"/>
      <c r="G6" s="536"/>
      <c r="H6" s="536"/>
      <c r="I6" s="536"/>
      <c r="J6" s="536"/>
      <c r="K6" s="536"/>
      <c r="L6" s="536"/>
      <c r="M6" s="536"/>
      <c r="N6" s="536"/>
      <c r="O6" s="536"/>
      <c r="P6" s="536"/>
      <c r="Q6" s="536"/>
      <c r="R6" s="536"/>
      <c r="S6" s="536"/>
      <c r="T6" s="536"/>
      <c r="U6" s="536"/>
    </row>
    <row r="7" spans="1:21" ht="26.25" customHeight="1" x14ac:dyDescent="0.2">
      <c r="B7" s="536"/>
      <c r="C7" s="537"/>
      <c r="D7" s="536"/>
      <c r="E7" s="536"/>
      <c r="F7" s="536"/>
      <c r="G7" s="536"/>
      <c r="H7" s="536"/>
      <c r="I7" s="536"/>
      <c r="J7" s="536"/>
      <c r="K7" s="536"/>
      <c r="L7" s="536"/>
      <c r="M7" s="536"/>
      <c r="N7" s="536"/>
      <c r="O7" s="536"/>
      <c r="P7" s="536"/>
      <c r="Q7" s="536"/>
      <c r="R7" s="536"/>
      <c r="S7" s="536"/>
      <c r="T7" s="536"/>
      <c r="U7" s="536"/>
    </row>
    <row r="8" spans="1:21" ht="26.25" customHeight="1" x14ac:dyDescent="0.2">
      <c r="B8" s="536"/>
      <c r="C8" s="537"/>
      <c r="D8" s="536"/>
      <c r="E8" s="536"/>
      <c r="F8" s="536"/>
      <c r="G8" s="536"/>
      <c r="H8" s="536"/>
      <c r="I8" s="536"/>
      <c r="J8" s="536"/>
      <c r="K8" s="536"/>
      <c r="L8" s="536"/>
      <c r="M8" s="536"/>
      <c r="N8" s="536"/>
      <c r="O8" s="536"/>
      <c r="P8" s="536"/>
      <c r="Q8" s="536"/>
      <c r="R8" s="536"/>
      <c r="S8" s="536"/>
      <c r="T8" s="536"/>
      <c r="U8" s="536"/>
    </row>
    <row r="9" spans="1:21" ht="26.25" customHeight="1" x14ac:dyDescent="0.2">
      <c r="B9" s="536"/>
      <c r="C9" s="537"/>
      <c r="D9" s="536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36"/>
      <c r="T9" s="536"/>
      <c r="U9" s="536"/>
    </row>
    <row r="10" spans="1:21" ht="26.25" customHeight="1" x14ac:dyDescent="0.2">
      <c r="B10" s="536"/>
      <c r="C10" s="537"/>
      <c r="D10" s="536"/>
      <c r="E10" s="536"/>
      <c r="F10" s="536"/>
      <c r="G10" s="536"/>
      <c r="H10" s="536"/>
      <c r="I10" s="536"/>
      <c r="J10" s="536"/>
      <c r="K10" s="536"/>
      <c r="L10" s="536"/>
      <c r="M10" s="536"/>
      <c r="N10" s="536"/>
      <c r="O10" s="536"/>
      <c r="P10" s="536"/>
      <c r="Q10" s="536"/>
      <c r="R10" s="536"/>
      <c r="S10" s="536"/>
      <c r="T10" s="536"/>
      <c r="U10" s="536"/>
    </row>
    <row r="11" spans="1:21" ht="26.25" customHeight="1" x14ac:dyDescent="0.2">
      <c r="B11" s="536"/>
      <c r="C11" s="537"/>
      <c r="D11" s="536"/>
      <c r="E11" s="536"/>
      <c r="F11" s="536"/>
      <c r="G11" s="536"/>
      <c r="H11" s="536"/>
      <c r="I11" s="536"/>
      <c r="J11" s="536"/>
      <c r="K11" s="536"/>
      <c r="L11" s="536"/>
      <c r="M11" s="536"/>
      <c r="N11" s="536"/>
      <c r="O11" s="536"/>
      <c r="P11" s="536"/>
      <c r="Q11" s="536"/>
      <c r="R11" s="536"/>
      <c r="S11" s="536"/>
      <c r="T11" s="536"/>
      <c r="U11" s="536"/>
    </row>
    <row r="12" spans="1:21" ht="26.25" customHeight="1" x14ac:dyDescent="0.2">
      <c r="B12" s="536"/>
      <c r="C12" s="537"/>
      <c r="D12" s="536"/>
      <c r="E12" s="536"/>
      <c r="F12" s="536"/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6"/>
    </row>
    <row r="13" spans="1:21" ht="26.25" customHeight="1" x14ac:dyDescent="0.2">
      <c r="B13" s="536"/>
      <c r="C13" s="537"/>
      <c r="D13" s="536"/>
      <c r="E13" s="536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6"/>
      <c r="R13" s="536"/>
      <c r="S13" s="536"/>
      <c r="T13" s="536"/>
      <c r="U13" s="536"/>
    </row>
    <row r="14" spans="1:21" ht="26.25" customHeight="1" x14ac:dyDescent="0.2">
      <c r="B14" s="536"/>
      <c r="C14" s="537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  <c r="Q14" s="536"/>
      <c r="R14" s="536"/>
      <c r="S14" s="536"/>
      <c r="T14" s="536"/>
      <c r="U14" s="536"/>
    </row>
    <row r="15" spans="1:21" ht="26.25" customHeight="1" x14ac:dyDescent="0.2">
      <c r="B15" s="536"/>
      <c r="C15" s="537"/>
      <c r="D15" s="536"/>
      <c r="E15" s="536"/>
      <c r="F15" s="536"/>
      <c r="G15" s="536"/>
      <c r="H15" s="536"/>
      <c r="I15" s="536"/>
      <c r="J15" s="536"/>
      <c r="K15" s="536"/>
      <c r="L15" s="536"/>
      <c r="M15" s="536"/>
      <c r="N15" s="536"/>
      <c r="O15" s="536"/>
      <c r="P15" s="536"/>
      <c r="Q15" s="536"/>
      <c r="R15" s="536"/>
      <c r="S15" s="536"/>
      <c r="T15" s="536"/>
      <c r="U15" s="536"/>
    </row>
    <row r="16" spans="1:21" ht="26.25" customHeight="1" x14ac:dyDescent="0.2">
      <c r="B16" s="536"/>
      <c r="C16" s="537"/>
      <c r="D16" s="536"/>
      <c r="E16" s="536"/>
      <c r="F16" s="536"/>
      <c r="G16" s="536"/>
      <c r="H16" s="536"/>
      <c r="I16" s="536"/>
      <c r="J16" s="536"/>
      <c r="K16" s="536"/>
      <c r="L16" s="536"/>
      <c r="M16" s="536"/>
      <c r="N16" s="536"/>
      <c r="O16" s="536"/>
      <c r="P16" s="536"/>
      <c r="Q16" s="536"/>
      <c r="R16" s="536"/>
      <c r="S16" s="536"/>
      <c r="T16" s="536"/>
      <c r="U16" s="536"/>
    </row>
    <row r="17" spans="2:21" ht="26.25" customHeight="1" x14ac:dyDescent="0.2">
      <c r="B17" s="536"/>
      <c r="C17" s="537"/>
      <c r="D17" s="536"/>
      <c r="E17" s="536"/>
      <c r="F17" s="536"/>
      <c r="G17" s="536"/>
      <c r="H17" s="536"/>
      <c r="I17" s="536"/>
      <c r="J17" s="536"/>
      <c r="K17" s="536"/>
      <c r="L17" s="536"/>
      <c r="M17" s="536"/>
      <c r="N17" s="536"/>
      <c r="O17" s="536"/>
      <c r="P17" s="536"/>
      <c r="Q17" s="536"/>
      <c r="R17" s="536"/>
      <c r="S17" s="536"/>
      <c r="T17" s="536"/>
      <c r="U17" s="536"/>
    </row>
    <row r="18" spans="2:21" ht="26.25" customHeight="1" x14ac:dyDescent="0.2">
      <c r="B18" s="536"/>
      <c r="C18" s="537"/>
      <c r="D18" s="536"/>
      <c r="E18" s="536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6"/>
      <c r="R18" s="536"/>
      <c r="S18" s="536"/>
      <c r="T18" s="536"/>
      <c r="U18" s="536"/>
    </row>
    <row r="19" spans="2:21" ht="26.25" customHeight="1" x14ac:dyDescent="0.2">
      <c r="B19" s="536"/>
      <c r="C19" s="537"/>
      <c r="D19" s="536"/>
      <c r="E19" s="536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6"/>
      <c r="R19" s="536"/>
      <c r="S19" s="536"/>
      <c r="T19" s="536"/>
      <c r="U19" s="536"/>
    </row>
    <row r="20" spans="2:21" ht="26.25" customHeight="1" x14ac:dyDescent="0.2">
      <c r="B20" s="536"/>
      <c r="C20" s="537"/>
      <c r="D20" s="536"/>
      <c r="E20" s="536"/>
      <c r="F20" s="536"/>
      <c r="G20" s="536"/>
      <c r="H20" s="536"/>
      <c r="I20" s="536"/>
      <c r="J20" s="536"/>
      <c r="K20" s="536"/>
      <c r="L20" s="536"/>
      <c r="M20" s="536"/>
      <c r="N20" s="536"/>
      <c r="O20" s="536"/>
      <c r="P20" s="536"/>
      <c r="Q20" s="536"/>
      <c r="R20" s="536"/>
      <c r="S20" s="536"/>
      <c r="T20" s="536"/>
      <c r="U20" s="536"/>
    </row>
    <row r="21" spans="2:21" ht="26.25" customHeight="1" x14ac:dyDescent="0.2">
      <c r="B21" s="536"/>
      <c r="C21" s="537"/>
      <c r="D21" s="536"/>
      <c r="E21" s="536"/>
      <c r="F21" s="536"/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536"/>
      <c r="R21" s="536"/>
      <c r="S21" s="536"/>
      <c r="T21" s="536"/>
      <c r="U21" s="536"/>
    </row>
    <row r="22" spans="2:21" ht="26.25" customHeight="1" x14ac:dyDescent="0.2">
      <c r="B22" s="536"/>
      <c r="C22" s="537"/>
      <c r="D22" s="536"/>
      <c r="E22" s="536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6"/>
      <c r="R22" s="536"/>
      <c r="S22" s="536"/>
      <c r="T22" s="536"/>
      <c r="U22" s="536"/>
    </row>
    <row r="23" spans="2:21" ht="26.25" customHeight="1" x14ac:dyDescent="0.2">
      <c r="B23" s="536"/>
      <c r="C23" s="537"/>
      <c r="D23" s="536"/>
      <c r="E23" s="536"/>
      <c r="F23" s="536"/>
      <c r="G23" s="536"/>
      <c r="H23" s="536"/>
      <c r="I23" s="536"/>
      <c r="J23" s="536"/>
      <c r="K23" s="536"/>
      <c r="L23" s="536"/>
      <c r="M23" s="536"/>
      <c r="N23" s="536"/>
      <c r="O23" s="536"/>
      <c r="P23" s="536"/>
      <c r="Q23" s="536"/>
      <c r="R23" s="536"/>
      <c r="S23" s="536"/>
      <c r="T23" s="536"/>
      <c r="U23" s="536"/>
    </row>
    <row r="24" spans="2:21" ht="26.25" customHeight="1" x14ac:dyDescent="0.2">
      <c r="B24" s="536"/>
      <c r="C24" s="537"/>
      <c r="D24" s="536"/>
      <c r="E24" s="536"/>
      <c r="F24" s="536"/>
      <c r="G24" s="536"/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  <c r="U24" s="536"/>
    </row>
    <row r="25" spans="2:21" ht="26.25" customHeight="1" x14ac:dyDescent="0.2">
      <c r="B25" s="536"/>
      <c r="C25" s="537"/>
      <c r="D25" s="536"/>
      <c r="E25" s="536"/>
      <c r="F25" s="536"/>
      <c r="G25" s="536"/>
      <c r="H25" s="536"/>
      <c r="I25" s="536"/>
      <c r="J25" s="536"/>
      <c r="K25" s="536"/>
      <c r="L25" s="536"/>
      <c r="M25" s="536"/>
      <c r="N25" s="536"/>
      <c r="O25" s="536"/>
      <c r="P25" s="536"/>
      <c r="Q25" s="536"/>
      <c r="R25" s="536"/>
      <c r="S25" s="536"/>
      <c r="T25" s="536"/>
      <c r="U25" s="536"/>
    </row>
    <row r="26" spans="2:21" ht="26.25" customHeight="1" x14ac:dyDescent="0.2">
      <c r="B26" s="536"/>
      <c r="C26" s="537"/>
      <c r="D26" s="536"/>
      <c r="E26" s="536"/>
      <c r="F26" s="536"/>
      <c r="G26" s="536"/>
      <c r="H26" s="536"/>
      <c r="I26" s="536"/>
      <c r="J26" s="536"/>
      <c r="K26" s="536"/>
      <c r="L26" s="536"/>
      <c r="M26" s="536"/>
      <c r="N26" s="536"/>
      <c r="O26" s="536"/>
      <c r="P26" s="536"/>
      <c r="Q26" s="536"/>
      <c r="R26" s="536"/>
      <c r="S26" s="536"/>
      <c r="T26" s="536"/>
      <c r="U26" s="536"/>
    </row>
    <row r="27" spans="2:21" ht="26.25" customHeight="1" x14ac:dyDescent="0.2">
      <c r="B27" s="536"/>
      <c r="C27" s="537"/>
      <c r="D27" s="536"/>
      <c r="E27" s="536"/>
      <c r="F27" s="536"/>
      <c r="G27" s="536"/>
      <c r="H27" s="536"/>
      <c r="I27" s="536"/>
      <c r="J27" s="536"/>
      <c r="K27" s="536"/>
      <c r="L27" s="536"/>
      <c r="M27" s="536"/>
      <c r="N27" s="536"/>
      <c r="O27" s="536"/>
      <c r="P27" s="536"/>
      <c r="Q27" s="536"/>
      <c r="R27" s="536"/>
      <c r="S27" s="536"/>
      <c r="T27" s="536"/>
      <c r="U27" s="536"/>
    </row>
    <row r="28" spans="2:21" ht="26.25" customHeight="1" x14ac:dyDescent="0.2">
      <c r="B28" s="536"/>
      <c r="C28" s="537"/>
      <c r="D28" s="536"/>
      <c r="E28" s="536"/>
      <c r="F28" s="536"/>
      <c r="G28" s="536"/>
      <c r="H28" s="536"/>
      <c r="I28" s="536"/>
      <c r="J28" s="536"/>
      <c r="K28" s="536"/>
      <c r="L28" s="536"/>
      <c r="M28" s="536"/>
      <c r="N28" s="536"/>
      <c r="O28" s="536"/>
      <c r="P28" s="536"/>
      <c r="Q28" s="536"/>
      <c r="R28" s="536"/>
      <c r="S28" s="536"/>
      <c r="T28" s="536"/>
      <c r="U28" s="536"/>
    </row>
    <row r="29" spans="2:21" ht="26.25" customHeight="1" x14ac:dyDescent="0.2">
      <c r="B29" s="536"/>
      <c r="C29" s="537"/>
      <c r="D29" s="536"/>
      <c r="E29" s="536"/>
      <c r="F29" s="536"/>
      <c r="G29" s="536"/>
      <c r="H29" s="536"/>
      <c r="I29" s="536"/>
      <c r="J29" s="536"/>
      <c r="K29" s="536"/>
      <c r="L29" s="536"/>
      <c r="M29" s="536"/>
      <c r="N29" s="536"/>
      <c r="O29" s="536"/>
      <c r="P29" s="536"/>
      <c r="Q29" s="536"/>
      <c r="R29" s="536"/>
      <c r="S29" s="536"/>
      <c r="T29" s="536"/>
      <c r="U29" s="536"/>
    </row>
    <row r="30" spans="2:21" ht="26.25" customHeight="1" x14ac:dyDescent="0.2">
      <c r="B30" s="536"/>
      <c r="C30" s="537"/>
      <c r="D30" s="536"/>
      <c r="E30" s="536"/>
      <c r="F30" s="536"/>
      <c r="G30" s="536"/>
      <c r="H30" s="536"/>
      <c r="I30" s="536"/>
      <c r="J30" s="536"/>
      <c r="K30" s="536"/>
      <c r="L30" s="536"/>
      <c r="M30" s="536"/>
      <c r="N30" s="536"/>
      <c r="O30" s="536"/>
      <c r="P30" s="536"/>
      <c r="Q30" s="536"/>
      <c r="R30" s="536"/>
      <c r="S30" s="536"/>
      <c r="T30" s="536"/>
      <c r="U30" s="536"/>
    </row>
    <row r="31" spans="2:21" ht="26.25" customHeight="1" x14ac:dyDescent="0.2">
      <c r="B31" s="536"/>
      <c r="C31" s="537"/>
      <c r="D31" s="536"/>
      <c r="E31" s="536"/>
      <c r="F31" s="536"/>
      <c r="G31" s="536"/>
      <c r="H31" s="536"/>
      <c r="I31" s="536"/>
      <c r="J31" s="536"/>
      <c r="K31" s="536"/>
      <c r="L31" s="536"/>
      <c r="M31" s="536"/>
      <c r="N31" s="536"/>
      <c r="O31" s="536"/>
      <c r="P31" s="536"/>
      <c r="Q31" s="536"/>
      <c r="R31" s="536"/>
      <c r="S31" s="536"/>
      <c r="T31" s="536"/>
      <c r="U31" s="536"/>
    </row>
    <row r="32" spans="2:21" ht="26.25" customHeight="1" x14ac:dyDescent="0.2">
      <c r="B32" s="536"/>
      <c r="C32" s="537"/>
      <c r="D32" s="536"/>
      <c r="E32" s="536"/>
      <c r="F32" s="536"/>
      <c r="G32" s="536"/>
      <c r="H32" s="536"/>
      <c r="I32" s="536"/>
      <c r="J32" s="536"/>
      <c r="K32" s="536"/>
      <c r="L32" s="536"/>
      <c r="M32" s="536"/>
      <c r="N32" s="536"/>
      <c r="O32" s="536"/>
      <c r="P32" s="536"/>
      <c r="Q32" s="536"/>
      <c r="R32" s="536"/>
      <c r="S32" s="536"/>
      <c r="T32" s="536"/>
      <c r="U32" s="536"/>
    </row>
    <row r="33" spans="2:21" ht="26.25" customHeight="1" x14ac:dyDescent="0.2">
      <c r="B33" s="536"/>
      <c r="C33" s="537"/>
      <c r="D33" s="536"/>
      <c r="E33" s="536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6"/>
      <c r="R33" s="536"/>
      <c r="S33" s="536"/>
      <c r="T33" s="536"/>
      <c r="U33" s="536"/>
    </row>
    <row r="34" spans="2:21" ht="26.25" customHeight="1" x14ac:dyDescent="0.2">
      <c r="B34" s="536"/>
      <c r="C34" s="537"/>
      <c r="D34" s="536"/>
      <c r="E34" s="536"/>
      <c r="F34" s="536"/>
      <c r="G34" s="536"/>
      <c r="H34" s="536"/>
      <c r="I34" s="536"/>
      <c r="J34" s="536"/>
      <c r="K34" s="536"/>
      <c r="L34" s="536"/>
      <c r="M34" s="536"/>
      <c r="N34" s="536"/>
      <c r="O34" s="536"/>
      <c r="P34" s="536"/>
      <c r="Q34" s="536"/>
      <c r="R34" s="536"/>
      <c r="S34" s="536"/>
      <c r="T34" s="536"/>
      <c r="U34" s="536"/>
    </row>
    <row r="35" spans="2:21" ht="26.25" customHeight="1" x14ac:dyDescent="0.2">
      <c r="B35" s="536"/>
      <c r="C35" s="537"/>
      <c r="D35" s="536"/>
      <c r="E35" s="536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6"/>
      <c r="R35" s="536"/>
      <c r="S35" s="536"/>
      <c r="T35" s="536"/>
      <c r="U35" s="536"/>
    </row>
    <row r="36" spans="2:21" x14ac:dyDescent="0.2">
      <c r="B36" s="538" t="s">
        <v>597</v>
      </c>
      <c r="C36" s="533" t="str">
        <f>IF(LabNeoOpmerkingen=0,"",LabNeoOpmerkingen)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3</xdr:row>
                    <xdr:rowOff>0</xdr:rowOff>
                  </from>
                  <to>
                    <xdr:col>2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7</xdr:row>
                    <xdr:rowOff>0</xdr:rowOff>
                  </from>
                  <to>
                    <xdr:col>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0</xdr:rowOff>
                  </from>
                  <to>
                    <xdr:col>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18</xdr:row>
                    <xdr:rowOff>0</xdr:rowOff>
                  </from>
                  <to>
                    <xdr:col>2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0</xdr:rowOff>
                  </from>
                  <to>
                    <xdr:col>2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19050</xdr:rowOff>
                  </from>
                  <to>
                    <xdr:col>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3</xdr:row>
                    <xdr:rowOff>0</xdr:rowOff>
                  </from>
                  <to>
                    <xdr:col>6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7</xdr:row>
                    <xdr:rowOff>0</xdr:rowOff>
                  </from>
                  <to>
                    <xdr:col>6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13</xdr:row>
                    <xdr:rowOff>0</xdr:rowOff>
                  </from>
                  <to>
                    <xdr:col>6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18</xdr:row>
                    <xdr:rowOff>0</xdr:rowOff>
                  </from>
                  <to>
                    <xdr:col>6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11</xdr:row>
                    <xdr:rowOff>0</xdr:rowOff>
                  </from>
                  <to>
                    <xdr:col>6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19050</xdr:rowOff>
                  </from>
                  <to>
                    <xdr:col>6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3</xdr:row>
                    <xdr:rowOff>0</xdr:rowOff>
                  </from>
                  <to>
                    <xdr:col>8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4</xdr:row>
                    <xdr:rowOff>0</xdr:rowOff>
                  </from>
                  <to>
                    <xdr:col>8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0</xdr:rowOff>
                  </from>
                  <to>
                    <xdr:col>8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7</xdr:row>
                    <xdr:rowOff>0</xdr:rowOff>
                  </from>
                  <to>
                    <xdr:col>8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13</xdr:row>
                    <xdr:rowOff>0</xdr:rowOff>
                  </from>
                  <to>
                    <xdr:col>8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0</xdr:rowOff>
                  </from>
                  <to>
                    <xdr:col>8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11</xdr:row>
                    <xdr:rowOff>0</xdr:rowOff>
                  </from>
                  <to>
                    <xdr:col>8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19050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3</xdr:row>
                    <xdr:rowOff>0</xdr:rowOff>
                  </from>
                  <to>
                    <xdr:col>16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4</xdr:row>
                    <xdr:rowOff>0</xdr:rowOff>
                  </from>
                  <to>
                    <xdr:col>16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6</xdr:row>
                    <xdr:rowOff>0</xdr:rowOff>
                  </from>
                  <to>
                    <xdr:col>16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7</xdr:row>
                    <xdr:rowOff>0</xdr:rowOff>
                  </from>
                  <to>
                    <xdr:col>16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13</xdr:row>
                    <xdr:rowOff>0</xdr:rowOff>
                  </from>
                  <to>
                    <xdr:col>16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18</xdr:row>
                    <xdr:rowOff>0</xdr:rowOff>
                  </from>
                  <to>
                    <xdr:col>16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20</xdr:row>
                    <xdr:rowOff>0</xdr:rowOff>
                  </from>
                  <to>
                    <xdr:col>16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11</xdr:row>
                    <xdr:rowOff>0</xdr:rowOff>
                  </from>
                  <to>
                    <xdr:col>16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19050</xdr:rowOff>
                  </from>
                  <to>
                    <xdr:col>16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19050</xdr:rowOff>
                  </from>
                  <to>
                    <xdr:col>16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5</xdr:row>
                    <xdr:rowOff>0</xdr:rowOff>
                  </from>
                  <to>
                    <xdr:col>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0</xdr:rowOff>
                  </from>
                  <to>
                    <xdr:col>6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5</xdr:row>
                    <xdr:rowOff>0</xdr:rowOff>
                  </from>
                  <to>
                    <xdr:col>8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5</xdr:row>
                    <xdr:rowOff>0</xdr:rowOff>
                  </from>
                  <to>
                    <xdr:col>16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3</xdr:row>
                    <xdr:rowOff>0</xdr:rowOff>
                  </from>
                  <to>
                    <xdr:col>4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4</xdr:row>
                    <xdr:rowOff>0</xdr:rowOff>
                  </from>
                  <to>
                    <xdr:col>4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6</xdr:row>
                    <xdr:rowOff>0</xdr:rowOff>
                  </from>
                  <to>
                    <xdr:col>4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7</xdr:row>
                    <xdr:rowOff>0</xdr:rowOff>
                  </from>
                  <to>
                    <xdr:col>4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13</xdr:row>
                    <xdr:rowOff>0</xdr:rowOff>
                  </from>
                  <to>
                    <xdr:col>4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18</xdr:row>
                    <xdr:rowOff>0</xdr:rowOff>
                  </from>
                  <to>
                    <xdr:col>4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11</xdr:row>
                    <xdr:rowOff>0</xdr:rowOff>
                  </from>
                  <to>
                    <xdr:col>4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19050</xdr:rowOff>
                  </from>
                  <to>
                    <xdr:col>4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5</xdr:row>
                    <xdr:rowOff>0</xdr:rowOff>
                  </from>
                  <to>
                    <xdr:col>4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19050</xdr:rowOff>
                  </from>
                  <to>
                    <xdr:col>16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0</xdr:rowOff>
                  </from>
                  <to>
                    <xdr:col>8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8</xdr:row>
                    <xdr:rowOff>0</xdr:rowOff>
                  </from>
                  <to>
                    <xdr:col>16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8</xdr:row>
                    <xdr:rowOff>0</xdr:rowOff>
                  </from>
                  <to>
                    <xdr:col>4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0</xdr:rowOff>
                  </from>
                  <to>
                    <xdr:col>2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14</xdr:row>
                    <xdr:rowOff>0</xdr:rowOff>
                  </from>
                  <to>
                    <xdr:col>6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14</xdr:row>
                    <xdr:rowOff>0</xdr:rowOff>
                  </from>
                  <to>
                    <xdr:col>8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14</xdr:row>
                    <xdr:rowOff>0</xdr:rowOff>
                  </from>
                  <to>
                    <xdr:col>16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21</xdr:row>
                    <xdr:rowOff>0</xdr:rowOff>
                  </from>
                  <to>
                    <xdr:col>16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24</xdr:row>
                    <xdr:rowOff>0</xdr:rowOff>
                  </from>
                  <to>
                    <xdr:col>16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17</xdr:row>
                    <xdr:rowOff>19050</xdr:rowOff>
                  </from>
                  <to>
                    <xdr:col>2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17</xdr:row>
                    <xdr:rowOff>19050</xdr:rowOff>
                  </from>
                  <to>
                    <xdr:col>6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17</xdr:row>
                    <xdr:rowOff>19050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17</xdr:row>
                    <xdr:rowOff>19050</xdr:rowOff>
                  </from>
                  <to>
                    <xdr:col>16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17</xdr:row>
                    <xdr:rowOff>19050</xdr:rowOff>
                  </from>
                  <to>
                    <xdr:col>4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3</xdr:row>
                    <xdr:rowOff>0</xdr:rowOff>
                  </from>
                  <to>
                    <xdr:col>10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7</xdr:row>
                    <xdr:rowOff>0</xdr:rowOff>
                  </from>
                  <to>
                    <xdr:col>10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0</xdr:rowOff>
                  </from>
                  <to>
                    <xdr:col>10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18</xdr:row>
                    <xdr:rowOff>0</xdr:rowOff>
                  </from>
                  <to>
                    <xdr:col>10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20</xdr:row>
                    <xdr:rowOff>0</xdr:rowOff>
                  </from>
                  <to>
                    <xdr:col>10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0</xdr:rowOff>
                  </from>
                  <to>
                    <xdr:col>10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19050</xdr:rowOff>
                  </from>
                  <to>
                    <xdr:col>10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3</xdr:row>
                    <xdr:rowOff>0</xdr:rowOff>
                  </from>
                  <to>
                    <xdr:col>12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4</xdr:row>
                    <xdr:rowOff>0</xdr:rowOff>
                  </from>
                  <to>
                    <xdr:col>12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6</xdr:row>
                    <xdr:rowOff>0</xdr:rowOff>
                  </from>
                  <to>
                    <xdr:col>12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7</xdr:row>
                    <xdr:rowOff>0</xdr:rowOff>
                  </from>
                  <to>
                    <xdr:col>12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13</xdr:row>
                    <xdr:rowOff>0</xdr:rowOff>
                  </from>
                  <to>
                    <xdr:col>12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18</xdr:row>
                    <xdr:rowOff>0</xdr:rowOff>
                  </from>
                  <to>
                    <xdr:col>12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20</xdr:row>
                    <xdr:rowOff>0</xdr:rowOff>
                  </from>
                  <to>
                    <xdr:col>12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11</xdr:row>
                    <xdr:rowOff>0</xdr:rowOff>
                  </from>
                  <to>
                    <xdr:col>12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19050</xdr:rowOff>
                  </from>
                  <to>
                    <xdr:col>12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19050</xdr:rowOff>
                  </from>
                  <to>
                    <xdr:col>10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19050</xdr:rowOff>
                  </from>
                  <to>
                    <xdr:col>12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5</xdr:row>
                    <xdr:rowOff>0</xdr:rowOff>
                  </from>
                  <to>
                    <xdr:col>10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5</xdr:row>
                    <xdr:rowOff>0</xdr:rowOff>
                  </from>
                  <to>
                    <xdr:col>12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19050</xdr:rowOff>
                  </from>
                  <to>
                    <xdr:col>10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19050</xdr:rowOff>
                  </from>
                  <to>
                    <xdr:col>12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8</xdr:row>
                    <xdr:rowOff>0</xdr:rowOff>
                  </from>
                  <to>
                    <xdr:col>12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0</xdr:rowOff>
                  </from>
                  <to>
                    <xdr:col>10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0</xdr:rowOff>
                  </from>
                  <to>
                    <xdr:col>12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21</xdr:row>
                    <xdr:rowOff>0</xdr:rowOff>
                  </from>
                  <to>
                    <xdr:col>10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21</xdr:row>
                    <xdr:rowOff>0</xdr:rowOff>
                  </from>
                  <to>
                    <xdr:col>12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24</xdr:row>
                    <xdr:rowOff>0</xdr:rowOff>
                  </from>
                  <to>
                    <xdr:col>10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24</xdr:row>
                    <xdr:rowOff>0</xdr:rowOff>
                  </from>
                  <to>
                    <xdr:col>12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17</xdr:row>
                    <xdr:rowOff>19050</xdr:rowOff>
                  </from>
                  <to>
                    <xdr:col>10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17</xdr:row>
                    <xdr:rowOff>19050</xdr:rowOff>
                  </from>
                  <to>
                    <xdr:col>12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9</xdr:row>
                    <xdr:rowOff>0</xdr:rowOff>
                  </from>
                  <to>
                    <xdr:col>16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9</xdr:row>
                    <xdr:rowOff>0</xdr:rowOff>
                  </from>
                  <to>
                    <xdr:col>10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9</xdr:row>
                    <xdr:rowOff>0</xdr:rowOff>
                  </from>
                  <to>
                    <xdr:col>12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26</xdr:row>
                    <xdr:rowOff>19050</xdr:rowOff>
                  </from>
                  <to>
                    <xdr:col>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26</xdr:row>
                    <xdr:rowOff>19050</xdr:rowOff>
                  </from>
                  <to>
                    <xdr:col>6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26</xdr:row>
                    <xdr:rowOff>19050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26</xdr:row>
                    <xdr:rowOff>19050</xdr:rowOff>
                  </from>
                  <to>
                    <xdr:col>16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26</xdr:row>
                    <xdr:rowOff>19050</xdr:rowOff>
                  </from>
                  <to>
                    <xdr:col>4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26</xdr:row>
                    <xdr:rowOff>19050</xdr:rowOff>
                  </from>
                  <to>
                    <xdr:col>10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26</xdr:row>
                    <xdr:rowOff>19050</xdr:rowOff>
                  </from>
                  <to>
                    <xdr:col>12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3</xdr:row>
                    <xdr:rowOff>0</xdr:rowOff>
                  </from>
                  <to>
                    <xdr:col>18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7</xdr:row>
                    <xdr:rowOff>0</xdr:rowOff>
                  </from>
                  <to>
                    <xdr:col>18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13</xdr:row>
                    <xdr:rowOff>0</xdr:rowOff>
                  </from>
                  <to>
                    <xdr:col>18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18</xdr:row>
                    <xdr:rowOff>0</xdr:rowOff>
                  </from>
                  <to>
                    <xdr:col>18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20</xdr:row>
                    <xdr:rowOff>0</xdr:rowOff>
                  </from>
                  <to>
                    <xdr:col>18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11</xdr:row>
                    <xdr:rowOff>0</xdr:rowOff>
                  </from>
                  <to>
                    <xdr:col>18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19050</xdr:rowOff>
                  </from>
                  <to>
                    <xdr:col>18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19050</xdr:rowOff>
                  </from>
                  <to>
                    <xdr:col>18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5</xdr:row>
                    <xdr:rowOff>0</xdr:rowOff>
                  </from>
                  <to>
                    <xdr:col>18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19050</xdr:rowOff>
                  </from>
                  <to>
                    <xdr:col>18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14</xdr:row>
                    <xdr:rowOff>0</xdr:rowOff>
                  </from>
                  <to>
                    <xdr:col>18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21</xdr:row>
                    <xdr:rowOff>0</xdr:rowOff>
                  </from>
                  <to>
                    <xdr:col>18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24</xdr:row>
                    <xdr:rowOff>0</xdr:rowOff>
                  </from>
                  <to>
                    <xdr:col>18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17</xdr:row>
                    <xdr:rowOff>19050</xdr:rowOff>
                  </from>
                  <to>
                    <xdr:col>18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9</xdr:row>
                    <xdr:rowOff>0</xdr:rowOff>
                  </from>
                  <to>
                    <xdr:col>18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26</xdr:row>
                    <xdr:rowOff>19050</xdr:rowOff>
                  </from>
                  <to>
                    <xdr:col>18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3</xdr:row>
                    <xdr:rowOff>0</xdr:rowOff>
                  </from>
                  <to>
                    <xdr:col>20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4</xdr:row>
                    <xdr:rowOff>0</xdr:rowOff>
                  </from>
                  <to>
                    <xdr:col>20</xdr:col>
                    <xdr:colOff>628650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6</xdr:row>
                    <xdr:rowOff>0</xdr:rowOff>
                  </from>
                  <to>
                    <xdr:col>20</xdr:col>
                    <xdr:colOff>628650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7</xdr:row>
                    <xdr:rowOff>0</xdr:rowOff>
                  </from>
                  <to>
                    <xdr:col>20</xdr:col>
                    <xdr:colOff>628650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13</xdr:row>
                    <xdr:rowOff>0</xdr:rowOff>
                  </from>
                  <to>
                    <xdr:col>20</xdr:col>
                    <xdr:colOff>619125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18</xdr:row>
                    <xdr:rowOff>0</xdr:rowOff>
                  </from>
                  <to>
                    <xdr:col>20</xdr:col>
                    <xdr:colOff>628650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20</xdr:row>
                    <xdr:rowOff>0</xdr:rowOff>
                  </from>
                  <to>
                    <xdr:col>20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11</xdr:row>
                    <xdr:rowOff>0</xdr:rowOff>
                  </from>
                  <to>
                    <xdr:col>20</xdr:col>
                    <xdr:colOff>619125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19050</xdr:rowOff>
                  </from>
                  <to>
                    <xdr:col>20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19050</xdr:rowOff>
                  </from>
                  <to>
                    <xdr:col>20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5</xdr:row>
                    <xdr:rowOff>0</xdr:rowOff>
                  </from>
                  <to>
                    <xdr:col>20</xdr:col>
                    <xdr:colOff>628650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19050</xdr:rowOff>
                  </from>
                  <to>
                    <xdr:col>20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8</xdr:row>
                    <xdr:rowOff>0</xdr:rowOff>
                  </from>
                  <to>
                    <xdr:col>20</xdr:col>
                    <xdr:colOff>628650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14</xdr:row>
                    <xdr:rowOff>0</xdr:rowOff>
                  </from>
                  <to>
                    <xdr:col>20</xdr:col>
                    <xdr:colOff>619125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21</xdr:row>
                    <xdr:rowOff>0</xdr:rowOff>
                  </from>
                  <to>
                    <xdr:col>20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24</xdr:row>
                    <xdr:rowOff>0</xdr:rowOff>
                  </from>
                  <to>
                    <xdr:col>20</xdr:col>
                    <xdr:colOff>628650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17</xdr:row>
                    <xdr:rowOff>19050</xdr:rowOff>
                  </from>
                  <to>
                    <xdr:col>20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9</xdr:row>
                    <xdr:rowOff>0</xdr:rowOff>
                  </from>
                  <to>
                    <xdr:col>20</xdr:col>
                    <xdr:colOff>628650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26</xdr:row>
                    <xdr:rowOff>19050</xdr:rowOff>
                  </from>
                  <to>
                    <xdr:col>20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Neo">
    <tabColor rgb="FF92D050"/>
  </sheetPr>
  <dimension ref="A1:U38"/>
  <sheetViews>
    <sheetView workbookViewId="0">
      <selection activeCell="D38" activeCellId="9" sqref="C4:C35 E4:E34 G4:G34 I4:I34 K4:K34 M4:M34 O4:O34 Q4:Q34 S4:S34 D38"/>
    </sheetView>
  </sheetViews>
  <sheetFormatPr defaultRowHeight="12.75" x14ac:dyDescent="0.2"/>
  <cols>
    <col min="1" max="16384" width="9.140625" style="271"/>
  </cols>
  <sheetData>
    <row r="1" spans="1:21" x14ac:dyDescent="0.2">
      <c r="A1" s="596"/>
      <c r="D1" s="287"/>
      <c r="F1" s="287"/>
      <c r="H1" s="287"/>
      <c r="J1" s="287"/>
      <c r="L1" s="287"/>
      <c r="N1" s="287"/>
      <c r="P1" s="287"/>
      <c r="R1" s="287"/>
    </row>
    <row r="2" spans="1:21" x14ac:dyDescent="0.2">
      <c r="A2" s="287"/>
      <c r="D2" s="287"/>
      <c r="F2" s="287"/>
      <c r="H2" s="287"/>
      <c r="L2" s="287"/>
    </row>
    <row r="3" spans="1:21" x14ac:dyDescent="0.2">
      <c r="A3" s="287" t="s">
        <v>1337</v>
      </c>
      <c r="B3" s="271" t="s">
        <v>1338</v>
      </c>
      <c r="D3" s="271" t="s">
        <v>1343</v>
      </c>
      <c r="F3" s="271" t="s">
        <v>1344</v>
      </c>
      <c r="H3" s="271" t="s">
        <v>1345</v>
      </c>
      <c r="J3" s="271" t="s">
        <v>287</v>
      </c>
      <c r="L3" s="287" t="s">
        <v>1346</v>
      </c>
      <c r="N3" s="271" t="s">
        <v>1347</v>
      </c>
      <c r="P3" s="271" t="s">
        <v>1348</v>
      </c>
      <c r="R3" s="271" t="s">
        <v>1349</v>
      </c>
    </row>
    <row r="4" spans="1:21" x14ac:dyDescent="0.2">
      <c r="B4" s="271" t="str">
        <f>IF(C4,"A","")</f>
        <v/>
      </c>
      <c r="C4" s="578"/>
      <c r="D4" s="271" t="str">
        <f>IF(E4,"A","")</f>
        <v/>
      </c>
      <c r="E4" s="578"/>
      <c r="F4" s="271" t="str">
        <f>IF(G4,"A","")</f>
        <v/>
      </c>
      <c r="G4" s="578"/>
      <c r="H4" s="271" t="str">
        <f>IF(I4,"A","")</f>
        <v/>
      </c>
      <c r="I4" s="578"/>
      <c r="J4" s="271" t="str">
        <f>IF(K4,"A","")</f>
        <v/>
      </c>
      <c r="K4" s="578"/>
      <c r="L4" s="271" t="str">
        <f>IF(M4,"A","")</f>
        <v/>
      </c>
      <c r="M4" s="578"/>
      <c r="N4" s="271" t="str">
        <f>IF(O4,"A","")</f>
        <v/>
      </c>
      <c r="O4" s="578"/>
      <c r="P4" s="271" t="str">
        <f>IF(Q4,"A","")</f>
        <v/>
      </c>
      <c r="Q4" s="578"/>
      <c r="R4" s="271" t="str">
        <f>IF(S4,"A","")</f>
        <v/>
      </c>
      <c r="S4" s="578"/>
      <c r="U4" s="321"/>
    </row>
    <row r="5" spans="1:21" x14ac:dyDescent="0.2">
      <c r="B5" s="271" t="str">
        <f>IF(C5,"Na K","")</f>
        <v/>
      </c>
      <c r="C5" s="578"/>
      <c r="D5" s="271" t="str">
        <f>IF(E5,"Na K","")</f>
        <v/>
      </c>
      <c r="E5" s="578"/>
      <c r="F5" s="271" t="str">
        <f>IF(G5,"Na K","")</f>
        <v/>
      </c>
      <c r="G5" s="578"/>
      <c r="H5" s="271" t="str">
        <f>IF(I5,"Na K","")</f>
        <v/>
      </c>
      <c r="I5" s="578"/>
      <c r="J5" s="271" t="str">
        <f>IF(K5,"Na K","")</f>
        <v/>
      </c>
      <c r="K5" s="578"/>
      <c r="L5" s="271" t="str">
        <f>IF(M5,"Na K","")</f>
        <v/>
      </c>
      <c r="M5" s="578"/>
      <c r="N5" s="271" t="str">
        <f>IF(O5,"Na K","")</f>
        <v/>
      </c>
      <c r="O5" s="578"/>
      <c r="P5" s="271" t="str">
        <f>IF(Q5,"Na K","")</f>
        <v/>
      </c>
      <c r="Q5" s="578"/>
      <c r="R5" s="271" t="str">
        <f>IF(S5,"Na K","")</f>
        <v/>
      </c>
      <c r="S5" s="578"/>
      <c r="U5" s="321"/>
    </row>
    <row r="6" spans="1:21" x14ac:dyDescent="0.2">
      <c r="A6" s="578"/>
      <c r="B6" s="271" t="str">
        <f>IF(C6,"Cl","")</f>
        <v/>
      </c>
      <c r="C6" s="578"/>
      <c r="D6" s="271" t="str">
        <f>IF(E6,"Cl","")</f>
        <v/>
      </c>
      <c r="E6" s="578"/>
      <c r="F6" s="271" t="str">
        <f>IF(G6,"Cl","")</f>
        <v/>
      </c>
      <c r="G6" s="578"/>
      <c r="H6" s="271" t="str">
        <f>IF(I6,"Cl","")</f>
        <v/>
      </c>
      <c r="I6" s="578"/>
      <c r="J6" s="271" t="str">
        <f>IF(K6,"Cl","")</f>
        <v/>
      </c>
      <c r="K6" s="578"/>
      <c r="L6" s="271" t="str">
        <f>IF(M6,"Cl","")</f>
        <v/>
      </c>
      <c r="M6" s="578"/>
      <c r="N6" s="271" t="str">
        <f>IF(O6,"Cl","")</f>
        <v/>
      </c>
      <c r="O6" s="578"/>
      <c r="P6" s="271" t="str">
        <f>IF(Q6,"Cl","")</f>
        <v/>
      </c>
      <c r="Q6" s="578"/>
      <c r="R6" s="271" t="str">
        <f>IF(S6,"Cl","")</f>
        <v/>
      </c>
      <c r="S6" s="578"/>
      <c r="U6" s="321"/>
    </row>
    <row r="7" spans="1:21" x14ac:dyDescent="0.2">
      <c r="B7" s="271" t="str">
        <f>IF(C7,"Gluc","")</f>
        <v/>
      </c>
      <c r="C7" s="578"/>
      <c r="D7" s="271" t="str">
        <f>IF(E7,"Gluc","")</f>
        <v/>
      </c>
      <c r="E7" s="578"/>
      <c r="F7" s="271" t="str">
        <f>IF(G7,"Gluc","")</f>
        <v/>
      </c>
      <c r="G7" s="578"/>
      <c r="H7" s="271" t="str">
        <f>IF(I7,"Gluc","")</f>
        <v/>
      </c>
      <c r="I7" s="578"/>
      <c r="J7" s="271" t="str">
        <f>IF(K7,"Gluc","")</f>
        <v/>
      </c>
      <c r="K7" s="578"/>
      <c r="L7" s="271" t="str">
        <f>IF(M7,"Gluc","")</f>
        <v/>
      </c>
      <c r="M7" s="578"/>
      <c r="N7" s="271" t="str">
        <f>IF(O7,"Gluc","")</f>
        <v/>
      </c>
      <c r="O7" s="578"/>
      <c r="P7" s="271" t="str">
        <f>IF(Q7,"Gluc","")</f>
        <v/>
      </c>
      <c r="Q7" s="578"/>
      <c r="R7" s="271" t="str">
        <f>IF(S7,"Gluc","")</f>
        <v/>
      </c>
      <c r="S7" s="578"/>
      <c r="U7" s="321"/>
    </row>
    <row r="8" spans="1:21" x14ac:dyDescent="0.2">
      <c r="B8" s="271" t="str">
        <f>IF(C8,"Hb Ht","")</f>
        <v/>
      </c>
      <c r="C8" s="578"/>
      <c r="D8" s="271" t="str">
        <f>IF(E8,"Hb Ht","")</f>
        <v/>
      </c>
      <c r="E8" s="578"/>
      <c r="F8" s="271" t="str">
        <f>IF(G8,"Hb Ht","")</f>
        <v/>
      </c>
      <c r="G8" s="578"/>
      <c r="H8" s="271" t="str">
        <f>IF(I8,"Hb Ht","")</f>
        <v/>
      </c>
      <c r="I8" s="578"/>
      <c r="J8" s="271" t="str">
        <f>IF(K8,"Hb Ht","")</f>
        <v/>
      </c>
      <c r="K8" s="578"/>
      <c r="L8" s="271" t="str">
        <f>IF(M8,"Hb Ht","")</f>
        <v/>
      </c>
      <c r="M8" s="578"/>
      <c r="N8" s="271" t="str">
        <f>IF(O8,"Hb Ht","")</f>
        <v/>
      </c>
      <c r="O8" s="578"/>
      <c r="P8" s="271" t="str">
        <f>IF(Q8,"Hb Ht","")</f>
        <v/>
      </c>
      <c r="Q8" s="578"/>
      <c r="R8" s="271" t="str">
        <f>IF(S8,"Hb Ht","")</f>
        <v/>
      </c>
      <c r="S8" s="578"/>
      <c r="U8" s="321"/>
    </row>
    <row r="9" spans="1:21" x14ac:dyDescent="0.2">
      <c r="B9" s="271" t="str">
        <f>IF(C9,"L","")</f>
        <v/>
      </c>
      <c r="C9" s="578"/>
      <c r="D9" s="271" t="str">
        <f>IF(E9,"L","")</f>
        <v/>
      </c>
      <c r="E9" s="578"/>
      <c r="F9" s="271" t="str">
        <f>IF(G9,"L","")</f>
        <v/>
      </c>
      <c r="G9" s="578"/>
      <c r="H9" s="271" t="str">
        <f>IF(I9,"L","")</f>
        <v/>
      </c>
      <c r="I9" s="578"/>
      <c r="J9" s="271" t="str">
        <f>IF(K9,"L","")</f>
        <v/>
      </c>
      <c r="K9" s="578"/>
      <c r="L9" s="271" t="str">
        <f>IF(M9,"L","")</f>
        <v/>
      </c>
      <c r="M9" s="578"/>
      <c r="N9" s="271" t="str">
        <f>IF(O9,"L","")</f>
        <v/>
      </c>
      <c r="O9" s="578"/>
      <c r="P9" s="271" t="str">
        <f>IF(Q9,"L","")</f>
        <v/>
      </c>
      <c r="Q9" s="578"/>
      <c r="R9" s="271" t="str">
        <f>IF(S9,"L","")</f>
        <v/>
      </c>
      <c r="S9" s="578"/>
      <c r="U9" s="321"/>
    </row>
    <row r="10" spans="1:21" x14ac:dyDescent="0.2">
      <c r="B10" s="271" t="str">
        <f>IF(C10,"L+diff","")</f>
        <v/>
      </c>
      <c r="C10" s="578"/>
      <c r="D10" s="271" t="str">
        <f>IF(E10,"L+diff","")</f>
        <v/>
      </c>
      <c r="E10" s="578"/>
      <c r="F10" s="271" t="str">
        <f>IF(G10,"L+diff","")</f>
        <v/>
      </c>
      <c r="G10" s="578"/>
      <c r="H10" s="271" t="str">
        <f>IF(I10,"L+diff","")</f>
        <v/>
      </c>
      <c r="I10" s="578"/>
      <c r="J10" s="271" t="str">
        <f>IF(K10,"L+diff","")</f>
        <v/>
      </c>
      <c r="K10" s="578"/>
      <c r="L10" s="271" t="str">
        <f>IF(M10,"L+diff","")</f>
        <v/>
      </c>
      <c r="M10" s="578"/>
      <c r="N10" s="271" t="str">
        <f>IF(O10,"L+diff","")</f>
        <v/>
      </c>
      <c r="O10" s="578"/>
      <c r="P10" s="271" t="str">
        <f>IF(Q10,"L+diff","")</f>
        <v/>
      </c>
      <c r="Q10" s="578"/>
      <c r="R10" s="271" t="str">
        <f>IF(S10,"L+diff","")</f>
        <v/>
      </c>
      <c r="S10" s="578"/>
      <c r="U10" s="321"/>
    </row>
    <row r="11" spans="1:21" x14ac:dyDescent="0.2">
      <c r="B11" s="271" t="str">
        <f>IF(C11,"T","")</f>
        <v/>
      </c>
      <c r="C11" s="578"/>
      <c r="D11" s="271" t="str">
        <f>IF(E11,"T","")</f>
        <v/>
      </c>
      <c r="E11" s="578"/>
      <c r="F11" s="271" t="str">
        <f>IF(G11,"T","")</f>
        <v/>
      </c>
      <c r="G11" s="578"/>
      <c r="H11" s="271" t="str">
        <f>IF(I11,"T","")</f>
        <v/>
      </c>
      <c r="I11" s="578"/>
      <c r="J11" s="271" t="str">
        <f>IF(K11,"T","")</f>
        <v/>
      </c>
      <c r="K11" s="578"/>
      <c r="L11" s="271" t="str">
        <f>IF(M11,"T","")</f>
        <v/>
      </c>
      <c r="M11" s="578"/>
      <c r="N11" s="271" t="str">
        <f>IF(O11,"T","")</f>
        <v/>
      </c>
      <c r="O11" s="578"/>
      <c r="P11" s="271" t="str">
        <f>IF(Q11,"T","")</f>
        <v/>
      </c>
      <c r="Q11" s="578"/>
      <c r="R11" s="271" t="str">
        <f>IF(S11,"T","")</f>
        <v/>
      </c>
      <c r="S11" s="578"/>
      <c r="U11" s="321"/>
    </row>
    <row r="12" spans="1:21" x14ac:dyDescent="0.2">
      <c r="B12" s="271" t="str">
        <f>IF(C12,"CRP","")</f>
        <v/>
      </c>
      <c r="C12" s="578"/>
      <c r="D12" s="271" t="str">
        <f>IF(E12,"CRP","")</f>
        <v/>
      </c>
      <c r="E12" s="578"/>
      <c r="F12" s="271" t="str">
        <f>IF(G12,"CRP","")</f>
        <v/>
      </c>
      <c r="G12" s="578"/>
      <c r="H12" s="271" t="str">
        <f>IF(I12,"CRP","")</f>
        <v/>
      </c>
      <c r="I12" s="578"/>
      <c r="J12" s="271" t="str">
        <f>IF(K12,"CRP","")</f>
        <v/>
      </c>
      <c r="K12" s="578"/>
      <c r="L12" s="271" t="str">
        <f>IF(M12,"CRP","")</f>
        <v/>
      </c>
      <c r="M12" s="578"/>
      <c r="N12" s="271" t="str">
        <f>IF(O12,"CRP","")</f>
        <v/>
      </c>
      <c r="O12" s="578"/>
      <c r="P12" s="271" t="str">
        <f>IF(Q12,"CRP","")</f>
        <v/>
      </c>
      <c r="Q12" s="578"/>
      <c r="R12" s="271" t="str">
        <f>IF(S12,"CRP","")</f>
        <v/>
      </c>
      <c r="S12" s="578"/>
      <c r="U12" s="321"/>
    </row>
    <row r="13" spans="1:21" x14ac:dyDescent="0.2">
      <c r="B13" s="271" t="str">
        <f>IF(C13,"Lac","")</f>
        <v/>
      </c>
      <c r="C13" s="578"/>
      <c r="D13" s="271" t="str">
        <f>IF(E13,"Lac","")</f>
        <v/>
      </c>
      <c r="E13" s="578"/>
      <c r="F13" s="271" t="str">
        <f>IF(G13,"Lac","")</f>
        <v/>
      </c>
      <c r="G13" s="578"/>
      <c r="H13" s="271" t="str">
        <f>IF(I13,"Lac","")</f>
        <v/>
      </c>
      <c r="I13" s="578"/>
      <c r="J13" s="271" t="str">
        <f>IF(K13,"Lac","")</f>
        <v/>
      </c>
      <c r="K13" s="578"/>
      <c r="L13" s="271" t="str">
        <f>IF(M13,"Lac","")</f>
        <v/>
      </c>
      <c r="M13" s="578"/>
      <c r="N13" s="271" t="str">
        <f>IF(O13,"Lac","")</f>
        <v/>
      </c>
      <c r="O13" s="578"/>
      <c r="P13" s="271" t="str">
        <f>IF(Q13,"Lac","")</f>
        <v/>
      </c>
      <c r="Q13" s="578"/>
      <c r="R13" s="271" t="str">
        <f>IF(S13,"Lac","")</f>
        <v/>
      </c>
      <c r="S13" s="578"/>
      <c r="U13" s="321"/>
    </row>
    <row r="14" spans="1:21" x14ac:dyDescent="0.2">
      <c r="B14" s="271" t="str">
        <f>IF(C14,"Ur","")</f>
        <v/>
      </c>
      <c r="C14" s="578"/>
      <c r="D14" s="271" t="str">
        <f>IF(E14,"Ur","")</f>
        <v/>
      </c>
      <c r="E14" s="578"/>
      <c r="F14" s="271" t="str">
        <f>IF(G14,"Ur","")</f>
        <v/>
      </c>
      <c r="G14" s="578"/>
      <c r="H14" s="271" t="str">
        <f>IF(I14,"Ur","")</f>
        <v/>
      </c>
      <c r="I14" s="578"/>
      <c r="J14" s="271" t="str">
        <f>IF(K14,"Ur","")</f>
        <v/>
      </c>
      <c r="K14" s="578"/>
      <c r="L14" s="271" t="str">
        <f>IF(M14,"Ur","")</f>
        <v/>
      </c>
      <c r="M14" s="578"/>
      <c r="N14" s="271" t="str">
        <f>IF(O14,"Ur","")</f>
        <v/>
      </c>
      <c r="O14" s="578"/>
      <c r="P14" s="271" t="str">
        <f>IF(Q14,"Ur","")</f>
        <v/>
      </c>
      <c r="Q14" s="578"/>
      <c r="R14" s="271" t="str">
        <f>IF(S14,"Ur","")</f>
        <v/>
      </c>
      <c r="S14" s="578"/>
      <c r="U14" s="321"/>
    </row>
    <row r="15" spans="1:21" x14ac:dyDescent="0.2">
      <c r="B15" s="271" t="str">
        <f>IF(C15,"Kr","")</f>
        <v/>
      </c>
      <c r="C15" s="578"/>
      <c r="D15" s="271" t="str">
        <f>IF(E15,"Kr++","")</f>
        <v/>
      </c>
      <c r="E15" s="578"/>
      <c r="F15" s="271" t="str">
        <f>IF(G15,"Kr","")</f>
        <v/>
      </c>
      <c r="G15" s="578"/>
      <c r="H15" s="271" t="str">
        <f>IF(I15,"Kr","")</f>
        <v/>
      </c>
      <c r="I15" s="578"/>
      <c r="J15" s="271" t="str">
        <f>IF(K15,"Kr","")</f>
        <v/>
      </c>
      <c r="K15" s="578"/>
      <c r="L15" s="271" t="str">
        <f>IF(M15,"Kr","")</f>
        <v/>
      </c>
      <c r="M15" s="578"/>
      <c r="N15" s="271" t="str">
        <f>IF(O15,"Kr","")</f>
        <v/>
      </c>
      <c r="O15" s="578"/>
      <c r="P15" s="271" t="str">
        <f>IF(Q15,"Kr","")</f>
        <v/>
      </c>
      <c r="Q15" s="578"/>
      <c r="R15" s="271" t="str">
        <f>IF(S15,"Kr","")</f>
        <v/>
      </c>
      <c r="S15" s="578"/>
      <c r="U15" s="321"/>
    </row>
    <row r="16" spans="1:21" x14ac:dyDescent="0.2">
      <c r="B16" s="271" t="str">
        <f>IF(C16,"Ca++","")</f>
        <v/>
      </c>
      <c r="C16" s="578"/>
      <c r="D16" s="271" t="str">
        <f>IF(E16,"Ca++","")</f>
        <v/>
      </c>
      <c r="E16" s="578"/>
      <c r="F16" s="271" t="str">
        <f>IF(G16,"Ca++","")</f>
        <v/>
      </c>
      <c r="G16" s="578"/>
      <c r="H16" s="271" t="str">
        <f>IF(I16,"Ca++","")</f>
        <v/>
      </c>
      <c r="I16" s="578"/>
      <c r="J16" s="271" t="str">
        <f>IF(K16,"Ca++","")</f>
        <v/>
      </c>
      <c r="K16" s="578"/>
      <c r="L16" s="271" t="str">
        <f>IF(M16,"Ca++","")</f>
        <v/>
      </c>
      <c r="M16" s="578"/>
      <c r="N16" s="271" t="str">
        <f>IF(O16,"Ca++","")</f>
        <v/>
      </c>
      <c r="O16" s="578"/>
      <c r="P16" s="271" t="str">
        <f>IF(Q16,"Ca++","")</f>
        <v/>
      </c>
      <c r="Q16" s="578"/>
      <c r="R16" s="271" t="str">
        <f>IF(S16,"Ca++","")</f>
        <v/>
      </c>
      <c r="S16" s="578"/>
      <c r="U16" s="321"/>
    </row>
    <row r="17" spans="2:21" x14ac:dyDescent="0.2">
      <c r="B17" s="271" t="str">
        <f>IF(C17,"Mg++","")</f>
        <v/>
      </c>
      <c r="C17" s="578"/>
      <c r="D17" s="271" t="str">
        <f>IF(E17,"Mg++","")</f>
        <v/>
      </c>
      <c r="E17" s="578"/>
      <c r="F17" s="271" t="str">
        <f>IF(G17,"Mg++","")</f>
        <v/>
      </c>
      <c r="G17" s="578"/>
      <c r="H17" s="271" t="str">
        <f>IF(I17,"Mg++","")</f>
        <v/>
      </c>
      <c r="I17" s="578"/>
      <c r="J17" s="271" t="str">
        <f>IF(K17,"Mg++","")</f>
        <v/>
      </c>
      <c r="K17" s="578"/>
      <c r="L17" s="271" t="str">
        <f>IF(M17,"Mg++","")</f>
        <v/>
      </c>
      <c r="M17" s="578"/>
      <c r="N17" s="271" t="str">
        <f>IF(O17,"Mg++","")</f>
        <v/>
      </c>
      <c r="O17" s="578"/>
      <c r="P17" s="271" t="str">
        <f>IF(Q17,"Mg++","")</f>
        <v/>
      </c>
      <c r="Q17" s="578"/>
      <c r="R17" s="271" t="str">
        <f>IF(S17,"Mg++","")</f>
        <v/>
      </c>
      <c r="S17" s="578"/>
      <c r="U17" s="321"/>
    </row>
    <row r="18" spans="2:21" x14ac:dyDescent="0.2">
      <c r="B18" s="271" t="str">
        <f>IF(C18,"Fosfaat","")</f>
        <v/>
      </c>
      <c r="C18" s="578"/>
      <c r="D18" s="271" t="str">
        <f>IF(E18,"Fosfaat","")</f>
        <v/>
      </c>
      <c r="E18" s="578"/>
      <c r="F18" s="271" t="str">
        <f>IF(G18,"Fosfaat","")</f>
        <v/>
      </c>
      <c r="G18" s="578"/>
      <c r="H18" s="271" t="str">
        <f>IF(I18,"Fosfaat","")</f>
        <v/>
      </c>
      <c r="I18" s="578"/>
      <c r="J18" s="271" t="str">
        <f>IF(K18,"Fosfaat","")</f>
        <v/>
      </c>
      <c r="K18" s="578"/>
      <c r="L18" s="271" t="str">
        <f>IF(M18,"Fosfaat","")</f>
        <v/>
      </c>
      <c r="M18" s="578"/>
      <c r="N18" s="271" t="str">
        <f>IF(O18,"Fosfaat","")</f>
        <v/>
      </c>
      <c r="O18" s="578"/>
      <c r="P18" s="271" t="str">
        <f>IF(Q18,"Fosfaat","")</f>
        <v/>
      </c>
      <c r="Q18" s="578"/>
      <c r="R18" s="271" t="str">
        <f>IF(S18,"Fosfaat","")</f>
        <v/>
      </c>
      <c r="S18" s="578"/>
      <c r="U18" s="321"/>
    </row>
    <row r="19" spans="2:21" x14ac:dyDescent="0.2">
      <c r="B19" s="271" t="str">
        <f>IF(C19,"Alb","")</f>
        <v/>
      </c>
      <c r="C19" s="578"/>
      <c r="D19" s="271" t="str">
        <f>IF(E19,"Alb","")</f>
        <v/>
      </c>
      <c r="E19" s="578"/>
      <c r="F19" s="271" t="str">
        <f>IF(G19,"Alb","")</f>
        <v/>
      </c>
      <c r="G19" s="578"/>
      <c r="H19" s="271" t="str">
        <f>IF(I19,"Alb","")</f>
        <v/>
      </c>
      <c r="I19" s="578"/>
      <c r="J19" s="271" t="str">
        <f>IF(K19,"Alb","")</f>
        <v/>
      </c>
      <c r="K19" s="578"/>
      <c r="L19" s="271" t="str">
        <f>IF(M19,"Alb","")</f>
        <v/>
      </c>
      <c r="M19" s="578"/>
      <c r="N19" s="271" t="str">
        <f>IF(O19,"Alb","")</f>
        <v/>
      </c>
      <c r="O19" s="578"/>
      <c r="P19" s="271" t="str">
        <f>IF(Q19,"Alb","")</f>
        <v/>
      </c>
      <c r="Q19" s="578"/>
      <c r="R19" s="271" t="str">
        <f>IF(S19,"Alb","")</f>
        <v/>
      </c>
      <c r="S19" s="578"/>
      <c r="U19" s="321"/>
    </row>
    <row r="20" spans="2:21" x14ac:dyDescent="0.2">
      <c r="B20" s="271" t="str">
        <f>IF(C20,"Ca","")</f>
        <v/>
      </c>
      <c r="C20" s="578"/>
      <c r="D20" s="271" t="str">
        <f>IF(E20,"Ca","")</f>
        <v/>
      </c>
      <c r="E20" s="578"/>
      <c r="F20" s="271" t="str">
        <f>IF(G20,"Ca","")</f>
        <v/>
      </c>
      <c r="G20" s="578"/>
      <c r="H20" s="271" t="str">
        <f>IF(I20,"Ca","")</f>
        <v/>
      </c>
      <c r="I20" s="578"/>
      <c r="J20" s="271" t="str">
        <f>IF(K20,"Ca","")</f>
        <v/>
      </c>
      <c r="K20" s="578"/>
      <c r="L20" s="271" t="str">
        <f>IF(M20,"Ca","")</f>
        <v/>
      </c>
      <c r="M20" s="578"/>
      <c r="N20" s="271" t="str">
        <f>IF(O20,"Ca","")</f>
        <v/>
      </c>
      <c r="O20" s="578"/>
      <c r="P20" s="271" t="str">
        <f>IF(Q20,"Ca","")</f>
        <v/>
      </c>
      <c r="Q20" s="578"/>
      <c r="R20" s="271" t="str">
        <f>IF(S20,"Ca","")</f>
        <v/>
      </c>
      <c r="S20" s="578"/>
      <c r="U20" s="321"/>
    </row>
    <row r="21" spans="2:21" x14ac:dyDescent="0.2">
      <c r="B21" s="271" t="str">
        <f>IF(C21,"ASAT","")</f>
        <v/>
      </c>
      <c r="C21" s="578"/>
      <c r="D21" s="271" t="str">
        <f>IF(E21,"ASAT","")</f>
        <v/>
      </c>
      <c r="E21" s="578"/>
      <c r="F21" s="271" t="str">
        <f>IF(G21,"ASAT","")</f>
        <v/>
      </c>
      <c r="G21" s="578"/>
      <c r="H21" s="271" t="str">
        <f>IF(I21,"ASAT","")</f>
        <v/>
      </c>
      <c r="I21" s="578"/>
      <c r="J21" s="271" t="str">
        <f>IF(K21,"ASAT","")</f>
        <v/>
      </c>
      <c r="K21" s="578"/>
      <c r="L21" s="271" t="str">
        <f>IF(M21,"ASAT","")</f>
        <v/>
      </c>
      <c r="M21" s="578"/>
      <c r="N21" s="271" t="str">
        <f>IF(O21,"ASAT","")</f>
        <v/>
      </c>
      <c r="O21" s="578"/>
      <c r="P21" s="271" t="str">
        <f>IF(Q21,"ASAT","")</f>
        <v/>
      </c>
      <c r="Q21" s="578"/>
      <c r="R21" s="271" t="str">
        <f>IF(S21,"ASAT","")</f>
        <v/>
      </c>
      <c r="S21" s="578"/>
      <c r="U21" s="321"/>
    </row>
    <row r="22" spans="2:21" x14ac:dyDescent="0.2">
      <c r="B22" s="271" t="str">
        <f>IF(C22,"ALAT","")</f>
        <v/>
      </c>
      <c r="C22" s="578"/>
      <c r="D22" s="271" t="str">
        <f>IF(E22,"ALAT","")</f>
        <v/>
      </c>
      <c r="E22" s="578"/>
      <c r="F22" s="271" t="str">
        <f>IF(G22,"ALAT","")</f>
        <v/>
      </c>
      <c r="G22" s="578"/>
      <c r="H22" s="271" t="str">
        <f>IF(I22,"ALAT","")</f>
        <v/>
      </c>
      <c r="I22" s="578"/>
      <c r="J22" s="271" t="str">
        <f>IF(K22,"ALAT","")</f>
        <v/>
      </c>
      <c r="K22" s="578"/>
      <c r="L22" s="271" t="str">
        <f>IF(M22,"ALAT","")</f>
        <v/>
      </c>
      <c r="M22" s="578"/>
      <c r="N22" s="271" t="str">
        <f>IF(O22,"ALAT","")</f>
        <v/>
      </c>
      <c r="O22" s="578"/>
      <c r="P22" s="271" t="str">
        <f>IF(Q22,"ALAT","")</f>
        <v/>
      </c>
      <c r="Q22" s="578"/>
      <c r="R22" s="271" t="str">
        <f>IF(S22,"ALAT","")</f>
        <v/>
      </c>
      <c r="S22" s="578"/>
      <c r="U22" s="321"/>
    </row>
    <row r="23" spans="2:21" x14ac:dyDescent="0.2">
      <c r="B23" s="271" t="str">
        <f>IF(C23,"GGT","")</f>
        <v/>
      </c>
      <c r="C23" s="578"/>
      <c r="D23" s="271" t="str">
        <f>IF(E23,"GGT","")</f>
        <v/>
      </c>
      <c r="E23" s="578"/>
      <c r="F23" s="271" t="str">
        <f>IF(G23,"GGT","")</f>
        <v/>
      </c>
      <c r="G23" s="578"/>
      <c r="H23" s="271" t="str">
        <f>IF(I23,"GGT","")</f>
        <v/>
      </c>
      <c r="I23" s="578"/>
      <c r="J23" s="271" t="str">
        <f>IF(K23,"GGT","")</f>
        <v/>
      </c>
      <c r="K23" s="578"/>
      <c r="L23" s="271" t="str">
        <f>IF(M23,"GGT","")</f>
        <v/>
      </c>
      <c r="M23" s="578"/>
      <c r="N23" s="271" t="str">
        <f>IF(O23,"GGT","")</f>
        <v/>
      </c>
      <c r="O23" s="578"/>
      <c r="P23" s="271" t="str">
        <f>IF(Q23,"GGT","")</f>
        <v/>
      </c>
      <c r="Q23" s="578"/>
      <c r="R23" s="271" t="str">
        <f>IF(S23,"GGT","")</f>
        <v/>
      </c>
      <c r="S23" s="578"/>
      <c r="U23" s="321"/>
    </row>
    <row r="24" spans="2:21" x14ac:dyDescent="0.2">
      <c r="B24" s="271" t="str">
        <f>IF(C24,"AF","")</f>
        <v/>
      </c>
      <c r="C24" s="578"/>
      <c r="D24" s="271" t="str">
        <f>IF(E24,"AF","")</f>
        <v/>
      </c>
      <c r="E24" s="578"/>
      <c r="F24" s="271" t="str">
        <f>IF(G24,"AF","")</f>
        <v/>
      </c>
      <c r="G24" s="578"/>
      <c r="H24" s="271" t="str">
        <f>IF(I24,"AF","")</f>
        <v/>
      </c>
      <c r="I24" s="578"/>
      <c r="J24" s="271" t="str">
        <f>IF(K24,"AF","")</f>
        <v/>
      </c>
      <c r="K24" s="578"/>
      <c r="L24" s="271" t="str">
        <f>IF(M24,"AF","")</f>
        <v/>
      </c>
      <c r="M24" s="578"/>
      <c r="N24" s="271" t="str">
        <f>IF(O24,"AF","")</f>
        <v/>
      </c>
      <c r="O24" s="578"/>
      <c r="P24" s="271" t="str">
        <f>IF(Q24,"AF","")</f>
        <v/>
      </c>
      <c r="Q24" s="578"/>
      <c r="R24" s="271" t="str">
        <f>IF(S24,"AF","")</f>
        <v/>
      </c>
      <c r="S24" s="578"/>
      <c r="U24" s="321"/>
    </row>
    <row r="25" spans="2:21" x14ac:dyDescent="0.2">
      <c r="B25" s="271" t="str">
        <f>IF(C25,"LDH","")</f>
        <v/>
      </c>
      <c r="C25" s="578"/>
      <c r="D25" s="271" t="str">
        <f>IF(E25,"LDH","")</f>
        <v/>
      </c>
      <c r="E25" s="578"/>
      <c r="F25" s="271" t="str">
        <f>IF(G25,"LDH","")</f>
        <v/>
      </c>
      <c r="G25" s="578"/>
      <c r="H25" s="271" t="str">
        <f>IF(I25,"LDH","")</f>
        <v/>
      </c>
      <c r="I25" s="578"/>
      <c r="J25" s="271" t="str">
        <f>IF(K25,"LDH","")</f>
        <v/>
      </c>
      <c r="K25" s="578"/>
      <c r="L25" s="271" t="str">
        <f>IF(M25,"LDH","")</f>
        <v/>
      </c>
      <c r="M25" s="578"/>
      <c r="N25" s="271" t="str">
        <f>IF(O25,"LDH","")</f>
        <v/>
      </c>
      <c r="O25" s="578"/>
      <c r="P25" s="271" t="str">
        <f>IF(Q25,"LDH","")</f>
        <v/>
      </c>
      <c r="Q25" s="578"/>
      <c r="R25" s="271" t="str">
        <f>IF(S25,"LDH","")</f>
        <v/>
      </c>
      <c r="S25" s="578"/>
      <c r="U25" s="321"/>
    </row>
    <row r="26" spans="2:21" x14ac:dyDescent="0.2">
      <c r="B26" s="271" t="str">
        <f>IF(C26,"Bili","")</f>
        <v/>
      </c>
      <c r="C26" s="578"/>
      <c r="D26" s="271" t="str">
        <f>IF(E26,"Bili","")</f>
        <v/>
      </c>
      <c r="E26" s="578"/>
      <c r="F26" s="271" t="str">
        <f>IF(G26,"Bili","")</f>
        <v/>
      </c>
      <c r="G26" s="578"/>
      <c r="H26" s="271" t="str">
        <f>IF(I26,"Bili","")</f>
        <v/>
      </c>
      <c r="I26" s="578"/>
      <c r="J26" s="271" t="str">
        <f>IF(K26,"Bili","")</f>
        <v/>
      </c>
      <c r="K26" s="578"/>
      <c r="L26" s="271" t="str">
        <f>IF(M26,"Bili","")</f>
        <v/>
      </c>
      <c r="M26" s="578"/>
      <c r="N26" s="271" t="str">
        <f>IF(O26,"Bili","")</f>
        <v/>
      </c>
      <c r="O26" s="578"/>
      <c r="P26" s="271" t="str">
        <f>IF(Q26,"Bili","")</f>
        <v/>
      </c>
      <c r="Q26" s="578"/>
      <c r="R26" s="271" t="str">
        <f>IF(S26,"Bili","")</f>
        <v/>
      </c>
      <c r="S26" s="578"/>
      <c r="U26" s="321"/>
    </row>
    <row r="27" spans="2:21" x14ac:dyDescent="0.2">
      <c r="B27" s="271" t="str">
        <f>IF(C27,"TG","")</f>
        <v/>
      </c>
      <c r="C27" s="578"/>
      <c r="D27" s="271" t="str">
        <f>IF(E27,"TG","")</f>
        <v/>
      </c>
      <c r="E27" s="578"/>
      <c r="F27" s="271" t="str">
        <f>IF(G27,"TG","")</f>
        <v/>
      </c>
      <c r="G27" s="578"/>
      <c r="H27" s="271" t="str">
        <f>IF(I27,"TG","")</f>
        <v/>
      </c>
      <c r="I27" s="578"/>
      <c r="J27" s="271" t="str">
        <f>IF(K27,"TG","")</f>
        <v/>
      </c>
      <c r="K27" s="578"/>
      <c r="L27" s="271" t="str">
        <f>IF(M27,"TG","")</f>
        <v/>
      </c>
      <c r="M27" s="578"/>
      <c r="N27" s="271" t="str">
        <f>IF(O27,"TG","")</f>
        <v/>
      </c>
      <c r="O27" s="578"/>
      <c r="P27" s="271" t="str">
        <f>IF(Q27,"TG","")</f>
        <v/>
      </c>
      <c r="Q27" s="578"/>
      <c r="R27" s="271" t="str">
        <f>IF(S27,"TG","")</f>
        <v/>
      </c>
      <c r="S27" s="578"/>
      <c r="U27" s="321"/>
    </row>
    <row r="28" spans="2:21" x14ac:dyDescent="0.2">
      <c r="B28" s="271" t="str">
        <f>IF(C28,"PT","")</f>
        <v/>
      </c>
      <c r="C28" s="578"/>
      <c r="D28" s="271" t="str">
        <f>IF(E28,"PT","")</f>
        <v/>
      </c>
      <c r="E28" s="578"/>
      <c r="F28" s="271" t="str">
        <f>IF(G28,"PT","")</f>
        <v/>
      </c>
      <c r="G28" s="578"/>
      <c r="H28" s="271" t="str">
        <f>IF(I28,"PT","")</f>
        <v/>
      </c>
      <c r="I28" s="578"/>
      <c r="J28" s="271" t="str">
        <f>IF(K28,"PT","")</f>
        <v/>
      </c>
      <c r="K28" s="578"/>
      <c r="L28" s="271" t="str">
        <f>IF(M28,"PT","")</f>
        <v/>
      </c>
      <c r="M28" s="578"/>
      <c r="N28" s="271" t="str">
        <f>IF(O28,"PT","")</f>
        <v/>
      </c>
      <c r="O28" s="578"/>
      <c r="P28" s="271" t="str">
        <f>IF(Q28,"PT","")</f>
        <v/>
      </c>
      <c r="Q28" s="578"/>
      <c r="R28" s="271" t="str">
        <f>IF(S28,"PT","")</f>
        <v/>
      </c>
      <c r="S28" s="578"/>
      <c r="U28" s="321"/>
    </row>
    <row r="29" spans="2:21" x14ac:dyDescent="0.2">
      <c r="B29" s="271" t="str">
        <f>IF(C29,"APPT","")</f>
        <v/>
      </c>
      <c r="C29" s="578"/>
      <c r="D29" s="271" t="str">
        <f>IF(E29,"APPT","")</f>
        <v/>
      </c>
      <c r="E29" s="578"/>
      <c r="F29" s="271" t="str">
        <f>IF(G29,"APPT","")</f>
        <v/>
      </c>
      <c r="G29" s="578"/>
      <c r="H29" s="271" t="str">
        <f>IF(I29,"APPT","")</f>
        <v/>
      </c>
      <c r="I29" s="578"/>
      <c r="J29" s="271" t="str">
        <f>IF(K29,"APPT","")</f>
        <v/>
      </c>
      <c r="K29" s="578"/>
      <c r="L29" s="271" t="str">
        <f>IF(M29,"APPT","")</f>
        <v/>
      </c>
      <c r="M29" s="578"/>
      <c r="N29" s="271" t="str">
        <f>IF(O29,"APPT","")</f>
        <v/>
      </c>
      <c r="O29" s="578"/>
      <c r="P29" s="271" t="str">
        <f>IF(Q29,"APPT","")</f>
        <v/>
      </c>
      <c r="Q29" s="578"/>
      <c r="R29" s="271" t="str">
        <f>IF(S29,"APPT","")</f>
        <v/>
      </c>
      <c r="S29" s="578"/>
      <c r="U29" s="321"/>
    </row>
    <row r="30" spans="2:21" x14ac:dyDescent="0.2">
      <c r="B30" s="271" t="str">
        <f>IF(C30,"NICU APPT","")</f>
        <v/>
      </c>
      <c r="C30" s="578"/>
      <c r="D30" s="271" t="str">
        <f>IF(E30,"NICU APPT","")</f>
        <v/>
      </c>
      <c r="E30" s="578"/>
      <c r="F30" s="271" t="str">
        <f>IF(G30,"NICU APPT","")</f>
        <v/>
      </c>
      <c r="G30" s="578"/>
      <c r="H30" s="271" t="str">
        <f>IF(I30,"NICU APPT","")</f>
        <v/>
      </c>
      <c r="I30" s="578"/>
      <c r="J30" s="271" t="str">
        <f>IF(K30,"NICU APPT","")</f>
        <v/>
      </c>
      <c r="K30" s="578"/>
      <c r="L30" s="271" t="str">
        <f>IF(M30,"NICU APPT","")</f>
        <v/>
      </c>
      <c r="M30" s="578"/>
      <c r="N30" s="271" t="str">
        <f>IF(O30,"NICU APPT","")</f>
        <v/>
      </c>
      <c r="O30" s="578"/>
      <c r="P30" s="271" t="str">
        <f>IF(Q30,"NICU APPT","")</f>
        <v/>
      </c>
      <c r="Q30" s="578"/>
      <c r="R30" s="271" t="str">
        <f>IF(S30,"NICU APPT","")</f>
        <v/>
      </c>
      <c r="S30" s="578"/>
      <c r="U30" s="321"/>
    </row>
    <row r="31" spans="2:21" x14ac:dyDescent="0.2">
      <c r="B31" s="271" t="str">
        <f>IF(C31,"BG","")</f>
        <v/>
      </c>
      <c r="C31" s="578"/>
      <c r="D31" s="271" t="str">
        <f>IF(E31,"BG","")</f>
        <v/>
      </c>
      <c r="E31" s="578"/>
      <c r="F31" s="271" t="str">
        <f>IF(G31,"BG","")</f>
        <v/>
      </c>
      <c r="G31" s="578"/>
      <c r="H31" s="271" t="str">
        <f>IF(I31,"BG","")</f>
        <v/>
      </c>
      <c r="I31" s="578"/>
      <c r="J31" s="271" t="str">
        <f>IF(K31,"BG","")</f>
        <v/>
      </c>
      <c r="K31" s="578"/>
      <c r="L31" s="271" t="str">
        <f>IF(M31,"BG","")</f>
        <v/>
      </c>
      <c r="M31" s="578"/>
      <c r="N31" s="271" t="str">
        <f>IF(O31,"BG","")</f>
        <v/>
      </c>
      <c r="O31" s="578"/>
      <c r="P31" s="271" t="str">
        <f>IF(Q31,"BG","")</f>
        <v/>
      </c>
      <c r="Q31" s="578"/>
      <c r="R31" s="271" t="str">
        <f>IF(S31,"BG","")</f>
        <v/>
      </c>
      <c r="S31" s="578"/>
      <c r="U31" s="321"/>
    </row>
    <row r="32" spans="2:21" x14ac:dyDescent="0.2">
      <c r="B32" s="271" t="str">
        <f>IF(C32,"antiAx","")</f>
        <v/>
      </c>
      <c r="C32" s="578"/>
      <c r="D32" s="271" t="str">
        <f>IF(E32,"antiAx","")</f>
        <v/>
      </c>
      <c r="E32" s="578"/>
      <c r="F32" s="271" t="str">
        <f>IF(G32,"antiAx","")</f>
        <v/>
      </c>
      <c r="G32" s="578"/>
      <c r="H32" s="271" t="str">
        <f>IF(I32,"antiAx","")</f>
        <v/>
      </c>
      <c r="I32" s="578"/>
      <c r="J32" s="271" t="str">
        <f>IF(K32,"antiAx","")</f>
        <v/>
      </c>
      <c r="K32" s="578"/>
      <c r="L32" s="271" t="str">
        <f>IF(M32,"antiAx","")</f>
        <v/>
      </c>
      <c r="M32" s="578"/>
      <c r="N32" s="271" t="str">
        <f>IF(O32,"antiAx","")</f>
        <v/>
      </c>
      <c r="O32" s="578"/>
      <c r="P32" s="271" t="str">
        <f>IF(Q32,"antiAx","")</f>
        <v/>
      </c>
      <c r="Q32" s="578"/>
      <c r="R32" s="271" t="str">
        <f>IF(S32,"antiAx","")</f>
        <v/>
      </c>
      <c r="S32" s="578"/>
      <c r="U32" s="321"/>
    </row>
    <row r="33" spans="2:21" x14ac:dyDescent="0.2">
      <c r="B33" s="271" t="str">
        <f>IF(C33,"BNP","")</f>
        <v/>
      </c>
      <c r="C33" s="578"/>
      <c r="D33" s="271" t="str">
        <f>IF(E33,"BNP","")</f>
        <v/>
      </c>
      <c r="E33" s="578"/>
      <c r="F33" s="271" t="str">
        <f>IF(G33,"BNP","")</f>
        <v/>
      </c>
      <c r="G33" s="578"/>
      <c r="H33" s="271" t="str">
        <f>IF(I33,"BNP","")</f>
        <v/>
      </c>
      <c r="I33" s="578"/>
      <c r="J33" s="271" t="str">
        <f>IF(K33,"BNP","")</f>
        <v/>
      </c>
      <c r="K33" s="578"/>
      <c r="L33" s="271" t="str">
        <f>IF(M33,"BNP","")</f>
        <v/>
      </c>
      <c r="M33" s="578"/>
      <c r="N33" s="271" t="str">
        <f>IF(O33,"BNP","")</f>
        <v/>
      </c>
      <c r="O33" s="578"/>
      <c r="P33" s="271" t="str">
        <f>IF(Q33,"BNP","")</f>
        <v/>
      </c>
      <c r="Q33" s="578"/>
      <c r="R33" s="271" t="str">
        <f>IF(S33,"BNP","")</f>
        <v/>
      </c>
      <c r="S33" s="578"/>
      <c r="U33" s="321"/>
    </row>
    <row r="34" spans="2:21" x14ac:dyDescent="0.2">
      <c r="B34" s="271" t="str">
        <f>IF(C34,"Troponine","")</f>
        <v/>
      </c>
      <c r="C34" s="578"/>
      <c r="D34" s="271" t="str">
        <f>IF(E34,"Troponine","")</f>
        <v/>
      </c>
      <c r="E34" s="578"/>
      <c r="F34" s="271" t="str">
        <f>IF(G34,"Troponine","")</f>
        <v/>
      </c>
      <c r="G34" s="578"/>
      <c r="H34" s="271" t="str">
        <f>IF(I34,"Troponine","")</f>
        <v/>
      </c>
      <c r="I34" s="578"/>
      <c r="J34" s="271" t="str">
        <f>IF(K34,"Troponine","")</f>
        <v/>
      </c>
      <c r="K34" s="578"/>
      <c r="L34" s="271" t="str">
        <f>IF(M34,"Troponine","")</f>
        <v/>
      </c>
      <c r="M34" s="578"/>
      <c r="N34" s="271" t="str">
        <f>IF(O34,"Troponine","")</f>
        <v/>
      </c>
      <c r="O34" s="578"/>
      <c r="P34" s="271" t="str">
        <f>IF(Q34,"Troponine","")</f>
        <v/>
      </c>
      <c r="Q34" s="578"/>
      <c r="R34" s="271" t="str">
        <f>IF(S34,"Troponine","")</f>
        <v/>
      </c>
      <c r="S34" s="578"/>
      <c r="U34" s="321"/>
    </row>
    <row r="35" spans="2:21" x14ac:dyDescent="0.2">
      <c r="B35" s="271" t="str">
        <f>IF(C35,"Coombs-test","")</f>
        <v/>
      </c>
      <c r="C35" s="578"/>
    </row>
    <row r="38" spans="2:21" x14ac:dyDescent="0.2">
      <c r="B38" s="271" t="s">
        <v>1644</v>
      </c>
      <c r="D38" s="578"/>
    </row>
  </sheetData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Neo">
    <tabColor rgb="FF7030A0"/>
    <pageSetUpPr autoPageBreaks="0"/>
  </sheetPr>
  <dimension ref="A1:FIO439"/>
  <sheetViews>
    <sheetView zoomScaleNormal="100" zoomScaleSheetLayoutView="100" workbookViewId="0">
      <selection activeCell="D27" sqref="D27"/>
    </sheetView>
  </sheetViews>
  <sheetFormatPr defaultColWidth="9.140625" defaultRowHeight="12.75" x14ac:dyDescent="0.2"/>
  <cols>
    <col min="1" max="1" width="9.140625" style="45"/>
    <col min="2" max="2" width="10.28515625" style="9" customWidth="1"/>
    <col min="3" max="3" width="19.7109375" style="45" customWidth="1"/>
    <col min="4" max="4" width="24.85546875" style="45" customWidth="1"/>
    <col min="5" max="5" width="17.7109375" style="45" customWidth="1"/>
    <col min="6" max="7" width="18.7109375" style="45" customWidth="1"/>
    <col min="8" max="11" width="9.140625" style="45"/>
    <col min="12" max="21" width="9.140625" style="45" customWidth="1"/>
    <col min="22" max="16384" width="9.140625" style="45"/>
  </cols>
  <sheetData>
    <row r="1" spans="1:25 4305:4305" x14ac:dyDescent="0.2">
      <c r="A1" s="587"/>
      <c r="J1" s="546"/>
      <c r="K1" s="546"/>
      <c r="L1" s="546" t="s">
        <v>1524</v>
      </c>
      <c r="M1" s="546" t="s">
        <v>1532</v>
      </c>
      <c r="N1" s="546" t="s">
        <v>1525</v>
      </c>
      <c r="O1" s="546"/>
      <c r="P1" s="546"/>
      <c r="Q1" s="546"/>
      <c r="R1" s="546"/>
      <c r="S1" s="546" t="s">
        <v>1533</v>
      </c>
      <c r="T1" s="546" t="s">
        <v>1534</v>
      </c>
      <c r="U1" s="546"/>
      <c r="V1" s="546"/>
      <c r="W1" s="546"/>
      <c r="X1" s="546"/>
      <c r="Y1" s="185"/>
    </row>
    <row r="2" spans="1:25 4305:4305" ht="15" customHeight="1" x14ac:dyDescent="0.2">
      <c r="B2" s="176" t="str">
        <f>"Patient: "&amp;_AchterNaam&amp;", "&amp;_VoorNaam</f>
        <v>Patient: Test, Test</v>
      </c>
      <c r="C2" s="174"/>
      <c r="D2" s="132"/>
      <c r="E2" s="177"/>
      <c r="F2" s="132"/>
      <c r="G2" s="140"/>
      <c r="H2" s="46"/>
      <c r="I2" s="46"/>
      <c r="J2" s="546"/>
      <c r="K2" s="546"/>
      <c r="L2" s="546">
        <v>0</v>
      </c>
      <c r="M2" s="546">
        <v>40</v>
      </c>
      <c r="N2" s="546">
        <v>3.5</v>
      </c>
      <c r="O2" s="546">
        <v>0</v>
      </c>
      <c r="P2" s="546">
        <v>3.5</v>
      </c>
      <c r="Q2" s="546">
        <v>51</v>
      </c>
      <c r="R2" s="546"/>
      <c r="S2" s="546">
        <v>1</v>
      </c>
      <c r="T2" s="546">
        <v>1</v>
      </c>
      <c r="U2" s="546">
        <v>1</v>
      </c>
      <c r="V2" s="546"/>
      <c r="W2" s="546"/>
      <c r="X2" s="546"/>
      <c r="Y2" s="185"/>
      <c r="FIO2" s="45">
        <v>30</v>
      </c>
    </row>
    <row r="3" spans="1:25 4305:4305" ht="15" customHeight="1" x14ac:dyDescent="0.2">
      <c r="B3" s="176" t="str">
        <f>"Geb datum.: "</f>
        <v xml:space="preserve">Geb datum.: </v>
      </c>
      <c r="C3" s="190">
        <f>GebDatum</f>
        <v>42280</v>
      </c>
      <c r="D3" s="132"/>
      <c r="E3" s="177"/>
      <c r="F3" s="170"/>
      <c r="G3" s="140"/>
      <c r="H3" s="46"/>
      <c r="I3" s="46"/>
      <c r="J3" s="546"/>
      <c r="K3" s="546"/>
      <c r="L3" s="546">
        <v>1</v>
      </c>
      <c r="M3" s="546">
        <v>30</v>
      </c>
      <c r="N3" s="546">
        <v>4.5</v>
      </c>
      <c r="O3" s="546">
        <v>1</v>
      </c>
      <c r="P3" s="546">
        <v>4.2</v>
      </c>
      <c r="Q3" s="546">
        <v>54</v>
      </c>
      <c r="R3" s="546"/>
      <c r="S3" s="546">
        <v>2</v>
      </c>
      <c r="T3" s="546">
        <v>2</v>
      </c>
      <c r="U3" s="546">
        <v>2</v>
      </c>
      <c r="V3" s="546"/>
      <c r="W3" s="546"/>
      <c r="X3" s="546"/>
      <c r="Y3" s="185"/>
    </row>
    <row r="4" spans="1:25 4305:4305" ht="15.75" customHeight="1" x14ac:dyDescent="0.2">
      <c r="B4" s="163"/>
      <c r="C4" s="172" t="s">
        <v>1269</v>
      </c>
      <c r="D4" s="172" t="s">
        <v>1270</v>
      </c>
      <c r="E4" s="172" t="s">
        <v>1271</v>
      </c>
      <c r="F4" s="172"/>
      <c r="G4" s="172"/>
      <c r="H4" s="46"/>
      <c r="J4" s="547"/>
      <c r="K4" s="547"/>
      <c r="L4" s="546">
        <v>2</v>
      </c>
      <c r="M4" s="546">
        <v>25</v>
      </c>
      <c r="N4" s="546">
        <v>4.5</v>
      </c>
      <c r="O4" s="546">
        <v>2</v>
      </c>
      <c r="P4" s="546">
        <v>5</v>
      </c>
      <c r="Q4" s="546">
        <v>57</v>
      </c>
      <c r="R4" s="546"/>
      <c r="S4" s="546">
        <v>3</v>
      </c>
      <c r="T4" s="546">
        <v>3</v>
      </c>
      <c r="U4" s="546">
        <v>3</v>
      </c>
      <c r="V4" s="546"/>
      <c r="W4" s="546"/>
      <c r="X4" s="546"/>
      <c r="Y4" s="185"/>
    </row>
    <row r="5" spans="1:25 4305:4305" ht="15" customHeight="1" x14ac:dyDescent="0.2">
      <c r="B5" s="163"/>
      <c r="C5" s="172">
        <f>_Weken</f>
        <v>0</v>
      </c>
      <c r="D5" s="172">
        <f>_Dagen</f>
        <v>0</v>
      </c>
      <c r="E5" s="172">
        <f>_Gewicht</f>
        <v>10</v>
      </c>
      <c r="F5" s="172"/>
      <c r="G5" s="172"/>
      <c r="H5" s="46"/>
      <c r="J5" s="547"/>
      <c r="K5" s="547"/>
      <c r="L5" s="546">
        <v>3</v>
      </c>
      <c r="M5" s="546">
        <v>25</v>
      </c>
      <c r="N5" s="546">
        <v>5</v>
      </c>
      <c r="O5" s="546">
        <v>3</v>
      </c>
      <c r="P5" s="546">
        <v>5.7</v>
      </c>
      <c r="Q5" s="546">
        <v>60</v>
      </c>
      <c r="R5" s="546"/>
      <c r="S5" s="546">
        <v>4</v>
      </c>
      <c r="T5" s="546">
        <v>3</v>
      </c>
      <c r="U5" s="546"/>
      <c r="V5" s="546"/>
      <c r="W5" s="546"/>
      <c r="X5" s="546"/>
      <c r="Y5" s="185"/>
    </row>
    <row r="6" spans="1:25 4305:4305" ht="15" customHeight="1" thickBot="1" x14ac:dyDescent="0.25">
      <c r="A6" s="587"/>
      <c r="B6" s="24"/>
      <c r="C6" s="175"/>
      <c r="D6" s="175"/>
      <c r="E6" s="175"/>
      <c r="F6" s="175"/>
      <c r="G6" s="175"/>
      <c r="H6" s="46"/>
      <c r="J6" s="547"/>
      <c r="K6" s="547"/>
      <c r="L6" s="546">
        <v>4</v>
      </c>
      <c r="M6" s="546">
        <v>25</v>
      </c>
      <c r="N6" s="546">
        <v>5</v>
      </c>
      <c r="O6" s="546">
        <v>4</v>
      </c>
      <c r="P6" s="546">
        <v>6.5</v>
      </c>
      <c r="Q6" s="546">
        <v>63</v>
      </c>
      <c r="R6" s="546"/>
      <c r="S6" s="546">
        <v>5</v>
      </c>
      <c r="T6" s="546">
        <v>5</v>
      </c>
      <c r="U6" s="546">
        <v>5</v>
      </c>
      <c r="V6" s="546"/>
      <c r="W6" s="546"/>
      <c r="X6" s="546"/>
      <c r="Y6" s="185"/>
    </row>
    <row r="7" spans="1:25 4305:4305" ht="20.100000000000001" customHeight="1" x14ac:dyDescent="0.2">
      <c r="B7" s="163" t="s">
        <v>642</v>
      </c>
      <c r="C7" s="178" t="s">
        <v>98</v>
      </c>
      <c r="D7" s="179" t="str">
        <f>"Maat: "&amp;IF(_Gewicht&lt;1,2.5,IF(AND(_Gewicht&gt;=1,_Gewicht&lt;2),3,3.5))</f>
        <v>Maat: 3,5</v>
      </c>
      <c r="E7" s="180"/>
      <c r="F7" s="180"/>
      <c r="G7" s="239"/>
      <c r="H7" s="46"/>
      <c r="I7" s="46"/>
      <c r="J7" s="546"/>
      <c r="K7" s="546"/>
      <c r="L7" s="546">
        <v>5</v>
      </c>
      <c r="M7" s="546">
        <v>25</v>
      </c>
      <c r="N7" s="546">
        <v>5.5</v>
      </c>
      <c r="O7" s="546">
        <v>5</v>
      </c>
      <c r="P7" s="546">
        <v>7</v>
      </c>
      <c r="Q7" s="546">
        <v>65</v>
      </c>
      <c r="R7" s="546"/>
      <c r="S7" s="546">
        <v>6</v>
      </c>
      <c r="T7" s="546">
        <v>5</v>
      </c>
      <c r="U7" s="546"/>
      <c r="V7" s="546"/>
      <c r="W7" s="546"/>
      <c r="X7" s="546"/>
      <c r="Y7" s="185"/>
    </row>
    <row r="8" spans="1:25 4305:4305" ht="20.100000000000001" customHeight="1" x14ac:dyDescent="0.2">
      <c r="B8" s="163"/>
      <c r="C8" s="162"/>
      <c r="D8" s="47" t="str">
        <f>"Nasaal: "&amp;(_Gewicht+6)*1.2</f>
        <v>Nasaal: 19,2</v>
      </c>
      <c r="E8" s="46"/>
      <c r="F8" s="46"/>
      <c r="G8" s="240"/>
      <c r="H8" s="46"/>
      <c r="I8" s="46"/>
      <c r="J8" s="546"/>
      <c r="K8" s="546"/>
      <c r="L8" s="546">
        <v>6</v>
      </c>
      <c r="M8" s="546">
        <v>20</v>
      </c>
      <c r="N8" s="546">
        <v>5.5</v>
      </c>
      <c r="O8" s="546">
        <v>6</v>
      </c>
      <c r="P8" s="546">
        <v>7.7</v>
      </c>
      <c r="Q8" s="546">
        <v>67</v>
      </c>
      <c r="R8" s="546"/>
      <c r="S8" s="546">
        <v>7</v>
      </c>
      <c r="T8" s="546">
        <v>7</v>
      </c>
      <c r="U8" s="546">
        <v>7</v>
      </c>
      <c r="V8" s="546"/>
      <c r="W8" s="546"/>
      <c r="X8" s="546"/>
      <c r="Y8" s="185"/>
    </row>
    <row r="9" spans="1:25 4305:4305" ht="20.100000000000001" customHeight="1" x14ac:dyDescent="0.2">
      <c r="B9" s="163"/>
      <c r="C9" s="162"/>
      <c r="D9" s="47" t="str">
        <f>"Oraal: "&amp;(_Gewicht+6)</f>
        <v>Oraal: 16</v>
      </c>
      <c r="E9" s="46"/>
      <c r="F9" s="46"/>
      <c r="G9" s="240"/>
      <c r="H9" s="46"/>
      <c r="I9" s="46"/>
      <c r="J9" s="546"/>
      <c r="K9" s="546"/>
      <c r="L9" s="546">
        <v>7</v>
      </c>
      <c r="M9" s="546">
        <v>20</v>
      </c>
      <c r="N9" s="546">
        <v>6</v>
      </c>
      <c r="O9" s="546">
        <v>7</v>
      </c>
      <c r="P9" s="546">
        <v>8.1999999999999993</v>
      </c>
      <c r="Q9" s="546">
        <v>69</v>
      </c>
      <c r="R9" s="546"/>
      <c r="S9" s="546">
        <v>8</v>
      </c>
      <c r="T9" s="546">
        <v>7</v>
      </c>
      <c r="U9" s="546"/>
      <c r="V9" s="546"/>
      <c r="W9" s="546"/>
      <c r="X9" s="546"/>
      <c r="Y9" s="185"/>
    </row>
    <row r="10" spans="1:25 4305:4305" ht="20.100000000000001" customHeight="1" x14ac:dyDescent="0.2">
      <c r="B10" s="163"/>
      <c r="C10" s="162" t="s">
        <v>2645</v>
      </c>
      <c r="D10" s="834">
        <f>(1.5*_Gewicht)+5.5</f>
        <v>20.5</v>
      </c>
      <c r="E10" s="46"/>
      <c r="F10" s="46"/>
      <c r="G10" s="240"/>
      <c r="H10" s="46"/>
      <c r="I10" s="46"/>
      <c r="J10" s="546"/>
      <c r="K10" s="546"/>
      <c r="L10" s="546"/>
      <c r="M10" s="546"/>
      <c r="N10" s="546"/>
      <c r="O10" s="546"/>
      <c r="P10" s="546"/>
      <c r="Q10" s="546"/>
      <c r="R10" s="546"/>
      <c r="S10" s="546"/>
      <c r="T10" s="546"/>
      <c r="U10" s="546"/>
      <c r="V10" s="546"/>
      <c r="W10" s="546"/>
      <c r="X10" s="546"/>
      <c r="Y10" s="185"/>
    </row>
    <row r="11" spans="1:25 4305:4305" ht="20.100000000000001" customHeight="1" x14ac:dyDescent="0.2">
      <c r="B11" s="163"/>
      <c r="C11" s="162" t="s">
        <v>2646</v>
      </c>
      <c r="D11" s="834">
        <f>(4*_Gewicht)+7</f>
        <v>47</v>
      </c>
      <c r="E11" s="46"/>
      <c r="F11" s="46"/>
      <c r="G11" s="240"/>
      <c r="H11" s="46"/>
      <c r="I11" s="46"/>
      <c r="J11" s="546"/>
      <c r="K11" s="546"/>
      <c r="L11" s="546"/>
      <c r="M11" s="546"/>
      <c r="N11" s="546"/>
      <c r="O11" s="546"/>
      <c r="P11" s="546"/>
      <c r="Q11" s="546"/>
      <c r="R11" s="546"/>
      <c r="S11" s="546"/>
      <c r="T11" s="546"/>
      <c r="U11" s="546"/>
      <c r="V11" s="546"/>
      <c r="W11" s="546"/>
      <c r="X11" s="546"/>
      <c r="Y11" s="185"/>
    </row>
    <row r="12" spans="1:25 4305:4305" ht="20.100000000000001" customHeight="1" x14ac:dyDescent="0.2">
      <c r="B12" s="163"/>
      <c r="C12" s="162" t="s">
        <v>99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6"/>
      <c r="K12" s="546"/>
      <c r="L12" s="546">
        <v>9</v>
      </c>
      <c r="M12" s="546">
        <v>20</v>
      </c>
      <c r="N12" s="546">
        <v>6.5</v>
      </c>
      <c r="O12" s="546">
        <v>9</v>
      </c>
      <c r="P12" s="546">
        <v>9</v>
      </c>
      <c r="Q12" s="546">
        <v>72</v>
      </c>
      <c r="R12" s="546"/>
      <c r="S12" s="546">
        <v>10</v>
      </c>
      <c r="T12" s="546">
        <v>10</v>
      </c>
      <c r="U12" s="546">
        <v>10</v>
      </c>
      <c r="V12" s="546"/>
      <c r="W12" s="546"/>
      <c r="X12" s="546"/>
      <c r="Y12" s="185"/>
    </row>
    <row r="13" spans="1:25 4305:4305" ht="20.100000000000001" customHeight="1" x14ac:dyDescent="0.2">
      <c r="B13" s="163"/>
      <c r="C13" s="162" t="s">
        <v>251</v>
      </c>
      <c r="D13" s="47" t="str">
        <f>IF(OR(ROUND(0.01*(E5),2)&gt;1,C5&gt;=18),"1 mg iv",ROUND(0.01*(E5),2)&amp;" mg iv")</f>
        <v>0,1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6"/>
      <c r="K13" s="546"/>
      <c r="L13" s="546">
        <v>10</v>
      </c>
      <c r="M13" s="546">
        <v>20</v>
      </c>
      <c r="N13" s="546">
        <v>6.5</v>
      </c>
      <c r="O13" s="546">
        <v>10</v>
      </c>
      <c r="P13" s="546">
        <v>9.3000000000000007</v>
      </c>
      <c r="Q13" s="546">
        <v>73</v>
      </c>
      <c r="R13" s="546"/>
      <c r="S13" s="546">
        <v>11</v>
      </c>
      <c r="T13" s="546">
        <v>10</v>
      </c>
      <c r="U13" s="546"/>
      <c r="V13" s="546"/>
      <c r="W13" s="546"/>
      <c r="X13" s="546"/>
      <c r="Y13" s="185"/>
    </row>
    <row r="14" spans="1:25 4305:4305" ht="20.100000000000001" customHeight="1" x14ac:dyDescent="0.2">
      <c r="B14" s="163"/>
      <c r="C14" s="162" t="s">
        <v>1046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6"/>
      <c r="K14" s="546"/>
      <c r="L14" s="546">
        <v>11</v>
      </c>
      <c r="M14" s="546">
        <v>20</v>
      </c>
      <c r="N14" s="546">
        <v>7</v>
      </c>
      <c r="O14" s="546">
        <v>11</v>
      </c>
      <c r="P14" s="546">
        <v>9.5</v>
      </c>
      <c r="Q14" s="546">
        <v>74</v>
      </c>
      <c r="R14" s="546"/>
      <c r="S14" s="546">
        <v>12</v>
      </c>
      <c r="T14" s="546">
        <v>10</v>
      </c>
      <c r="U14" s="546"/>
      <c r="V14" s="546"/>
      <c r="W14" s="546"/>
      <c r="X14" s="546"/>
      <c r="Y14" s="185"/>
    </row>
    <row r="15" spans="1:25 4305:4305" ht="20.100000000000001" customHeight="1" thickBot="1" x14ac:dyDescent="0.25">
      <c r="B15" s="163"/>
      <c r="C15" s="181" t="s">
        <v>1526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6"/>
      <c r="K15" s="546"/>
      <c r="L15" s="546">
        <v>12</v>
      </c>
      <c r="M15" s="546">
        <v>15</v>
      </c>
      <c r="N15" s="546">
        <v>7</v>
      </c>
      <c r="O15" s="546">
        <v>12</v>
      </c>
      <c r="P15" s="546">
        <v>10</v>
      </c>
      <c r="Q15" s="546">
        <v>76</v>
      </c>
      <c r="R15" s="546"/>
      <c r="S15" s="546">
        <v>13</v>
      </c>
      <c r="T15" s="546">
        <v>10</v>
      </c>
      <c r="U15" s="546"/>
      <c r="V15" s="546"/>
      <c r="W15" s="546"/>
      <c r="X15" s="546"/>
      <c r="Y15" s="185"/>
    </row>
    <row r="16" spans="1:25 4305:4305" ht="20.100000000000001" customHeight="1" thickBot="1" x14ac:dyDescent="0.25">
      <c r="B16" s="24"/>
      <c r="C16" s="46"/>
      <c r="D16" s="47"/>
      <c r="E16" s="46"/>
      <c r="F16" s="46"/>
      <c r="G16" s="240"/>
      <c r="H16" s="46"/>
      <c r="I16" s="46"/>
      <c r="J16" s="546"/>
      <c r="K16" s="546"/>
      <c r="L16" s="546">
        <v>16</v>
      </c>
      <c r="M16" s="546">
        <v>15</v>
      </c>
      <c r="N16" s="546">
        <v>7</v>
      </c>
      <c r="O16" s="546"/>
      <c r="P16" s="546"/>
      <c r="Q16" s="546"/>
      <c r="R16" s="546"/>
      <c r="S16" s="546">
        <v>17</v>
      </c>
      <c r="T16" s="546">
        <v>20</v>
      </c>
      <c r="U16" s="546"/>
      <c r="V16" s="546"/>
      <c r="W16" s="546"/>
      <c r="X16" s="546"/>
      <c r="Y16" s="185"/>
    </row>
    <row r="17" spans="2:25" ht="20.100000000000001" customHeight="1" x14ac:dyDescent="0.2">
      <c r="B17" s="163" t="s">
        <v>773</v>
      </c>
      <c r="C17" s="178" t="s">
        <v>1527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1272</v>
      </c>
      <c r="H17" s="46"/>
      <c r="I17" s="46"/>
      <c r="J17" s="546"/>
      <c r="K17" s="546"/>
      <c r="L17" s="546">
        <v>17</v>
      </c>
      <c r="M17" s="546">
        <v>15</v>
      </c>
      <c r="N17" s="546">
        <v>7</v>
      </c>
      <c r="O17" s="546"/>
      <c r="P17" s="546"/>
      <c r="Q17" s="546"/>
      <c r="R17" s="546"/>
      <c r="S17" s="546">
        <v>18</v>
      </c>
      <c r="T17" s="546">
        <v>20</v>
      </c>
      <c r="U17" s="546"/>
      <c r="V17" s="546"/>
      <c r="W17" s="546"/>
      <c r="X17" s="546"/>
      <c r="Y17" s="185"/>
    </row>
    <row r="18" spans="2:25" ht="15.75" customHeight="1" thickBot="1" x14ac:dyDescent="0.25">
      <c r="B18" s="24"/>
      <c r="C18" s="143"/>
      <c r="D18" s="47"/>
      <c r="E18" s="523"/>
      <c r="F18" s="523"/>
      <c r="G18" s="240"/>
      <c r="H18" s="171"/>
      <c r="I18" s="171"/>
      <c r="J18" s="548"/>
      <c r="K18" s="546"/>
      <c r="L18" s="546">
        <v>18</v>
      </c>
      <c r="M18" s="546">
        <v>15</v>
      </c>
      <c r="N18" s="546">
        <v>7</v>
      </c>
      <c r="O18" s="546"/>
      <c r="P18" s="546"/>
      <c r="Q18" s="546"/>
      <c r="R18" s="546"/>
      <c r="S18" s="546">
        <v>19</v>
      </c>
      <c r="T18" s="546">
        <v>20</v>
      </c>
      <c r="U18" s="546"/>
      <c r="V18" s="546"/>
      <c r="W18" s="546"/>
      <c r="X18" s="546"/>
      <c r="Y18" s="185"/>
    </row>
    <row r="19" spans="2:25" ht="20.100000000000001" customHeight="1" x14ac:dyDescent="0.2">
      <c r="B19" s="163" t="s">
        <v>566</v>
      </c>
      <c r="C19" s="178" t="s">
        <v>1528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8"/>
      <c r="K19" s="546"/>
      <c r="L19" s="546"/>
      <c r="M19" s="546"/>
      <c r="N19" s="546"/>
      <c r="O19" s="546"/>
      <c r="P19" s="546"/>
      <c r="Q19" s="546"/>
      <c r="R19" s="546"/>
      <c r="S19" s="546">
        <v>20</v>
      </c>
      <c r="T19" s="546">
        <v>20</v>
      </c>
      <c r="U19" s="546">
        <v>20</v>
      </c>
      <c r="V19" s="546"/>
      <c r="W19" s="546"/>
      <c r="X19" s="546"/>
      <c r="Y19" s="185"/>
    </row>
    <row r="20" spans="2:25" ht="20.100000000000001" customHeight="1" x14ac:dyDescent="0.2">
      <c r="B20" s="163"/>
      <c r="C20" s="162" t="s">
        <v>1529</v>
      </c>
      <c r="D20" s="47" t="str">
        <f>IF(0.01*E5&gt;0.4,"0,4 mg iv",0.01*E5&amp;" mg iv")</f>
        <v>0,1 mg iv</v>
      </c>
      <c r="E20" s="84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43"/>
      <c r="G20" s="240" t="s">
        <v>9</v>
      </c>
      <c r="H20" s="46"/>
      <c r="I20" s="46"/>
      <c r="J20" s="546"/>
      <c r="K20" s="546"/>
      <c r="L20" s="546"/>
      <c r="M20" s="546"/>
      <c r="N20" s="546"/>
      <c r="O20" s="546"/>
      <c r="P20" s="546"/>
      <c r="Q20" s="546"/>
      <c r="R20" s="546"/>
      <c r="S20" s="546">
        <v>21</v>
      </c>
      <c r="T20" s="546">
        <v>30</v>
      </c>
      <c r="U20" s="546"/>
      <c r="V20" s="546"/>
      <c r="W20" s="546"/>
      <c r="X20" s="546"/>
      <c r="Y20" s="185"/>
    </row>
    <row r="21" spans="2:25" ht="20.100000000000001" customHeight="1" thickBot="1" x14ac:dyDescent="0.25">
      <c r="B21" s="163"/>
      <c r="C21" s="181"/>
      <c r="D21" s="182"/>
      <c r="E21" s="844"/>
      <c r="F21" s="844"/>
      <c r="G21" s="241"/>
      <c r="H21" s="46"/>
      <c r="I21" s="46"/>
      <c r="J21" s="546"/>
      <c r="K21" s="546"/>
      <c r="L21" s="546" t="s">
        <v>2643</v>
      </c>
      <c r="M21" s="546" t="s">
        <v>2644</v>
      </c>
      <c r="N21" s="546" t="s">
        <v>1525</v>
      </c>
      <c r="O21" s="546"/>
      <c r="P21" s="546"/>
      <c r="Q21" s="546"/>
      <c r="R21" s="546"/>
      <c r="S21" s="546">
        <v>22</v>
      </c>
      <c r="T21" s="546">
        <v>30</v>
      </c>
      <c r="U21" s="546"/>
      <c r="V21" s="546"/>
      <c r="W21" s="546"/>
      <c r="X21" s="546"/>
      <c r="Y21" s="185"/>
    </row>
    <row r="22" spans="2:25" ht="20.100000000000001" customHeight="1" thickBot="1" x14ac:dyDescent="0.25">
      <c r="B22" s="24"/>
      <c r="C22" s="143"/>
      <c r="D22" s="47"/>
      <c r="E22" s="523"/>
      <c r="F22" s="523"/>
      <c r="G22" s="240"/>
      <c r="H22" s="46"/>
      <c r="I22" s="46"/>
      <c r="J22" s="546"/>
      <c r="K22" s="546"/>
      <c r="L22" s="546">
        <v>0</v>
      </c>
      <c r="M22" s="546">
        <v>1</v>
      </c>
      <c r="N22" s="546">
        <v>2.5</v>
      </c>
      <c r="O22" s="546"/>
      <c r="P22" s="546"/>
      <c r="Q22" s="546"/>
      <c r="R22" s="546"/>
      <c r="S22" s="546">
        <v>23</v>
      </c>
      <c r="T22" s="546">
        <v>30</v>
      </c>
      <c r="U22" s="546"/>
      <c r="V22" s="546"/>
      <c r="W22" s="546"/>
      <c r="X22" s="546"/>
      <c r="Y22" s="185"/>
    </row>
    <row r="23" spans="2:25" ht="20.100000000000001" customHeight="1" x14ac:dyDescent="0.2">
      <c r="B23" s="163" t="s">
        <v>567</v>
      </c>
      <c r="C23" s="178" t="s">
        <v>1495</v>
      </c>
      <c r="D23" s="47" t="str">
        <f>IF(C5&lt;44,"0,5 mg in 50 ml NaCl 0.9%","")</f>
        <v>0,5 mg in 50 ml NaCl 0.9%</v>
      </c>
      <c r="E23" s="180" t="str">
        <f>IF(C5&lt;44,"0,5 ml/uur = "&amp;ROUND(1000*(0.5/50)*24/(E5)/1.44,0)&amp;" nanog/kg/min iv","")</f>
        <v>0,5 ml/uur = 17 nanog/kg/min iv</v>
      </c>
      <c r="F23" s="180"/>
      <c r="G23" s="239" t="s">
        <v>1273</v>
      </c>
      <c r="H23" s="46"/>
      <c r="I23" s="46"/>
      <c r="J23" s="546"/>
      <c r="K23" s="546"/>
      <c r="L23" s="546">
        <v>1</v>
      </c>
      <c r="M23" s="546">
        <v>2</v>
      </c>
      <c r="N23" s="546">
        <v>3</v>
      </c>
      <c r="O23" s="546"/>
      <c r="P23" s="546"/>
      <c r="Q23" s="546"/>
      <c r="R23" s="546"/>
      <c r="S23" s="546">
        <v>24</v>
      </c>
      <c r="T23" s="546">
        <v>30</v>
      </c>
      <c r="U23" s="546"/>
      <c r="V23" s="546"/>
      <c r="W23" s="546"/>
      <c r="X23" s="546"/>
      <c r="Y23" s="185"/>
    </row>
    <row r="24" spans="2:25" ht="20.100000000000001" customHeight="1" x14ac:dyDescent="0.25">
      <c r="B24" s="163"/>
      <c r="C24" s="162" t="s">
        <v>1530</v>
      </c>
      <c r="D24" s="47" t="str">
        <f>IF(E5&gt;5,"20 mcg in 50 ml NaCl 0.9%",ROUND(((E5)*24*60*(10/1000)/(24/50))/50,0)*50&amp;" mg in 50 ml NaCl 0.9%")</f>
        <v>20 mcg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683</v>
      </c>
      <c r="H24" s="46"/>
      <c r="I24" s="46"/>
      <c r="J24" s="551"/>
      <c r="K24" s="546"/>
      <c r="L24" s="546">
        <v>2</v>
      </c>
      <c r="M24" s="546">
        <v>150</v>
      </c>
      <c r="N24" s="546">
        <v>3.5</v>
      </c>
      <c r="O24" s="546"/>
      <c r="P24" s="546"/>
      <c r="Q24" s="546"/>
      <c r="R24" s="546"/>
      <c r="S24" s="546">
        <v>25</v>
      </c>
      <c r="T24" s="546">
        <v>30</v>
      </c>
      <c r="U24" s="546"/>
      <c r="V24" s="546"/>
      <c r="W24" s="546"/>
      <c r="X24" s="546"/>
      <c r="Y24" s="185"/>
    </row>
    <row r="25" spans="2:25" ht="20.100000000000001" customHeight="1" thickBot="1" x14ac:dyDescent="0.25">
      <c r="B25" s="163"/>
      <c r="C25" s="181" t="s">
        <v>1531</v>
      </c>
      <c r="D25" s="182" t="str">
        <f>IF(Gewicht/15&gt;5,"10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838</v>
      </c>
      <c r="H25" s="46"/>
      <c r="I25" s="46"/>
      <c r="J25" s="546"/>
      <c r="K25" s="546"/>
      <c r="L25" s="546"/>
      <c r="M25" s="546"/>
      <c r="N25" s="546"/>
      <c r="O25" s="546"/>
      <c r="P25" s="546"/>
      <c r="Q25" s="546"/>
      <c r="R25" s="546"/>
      <c r="S25" s="546">
        <v>29</v>
      </c>
      <c r="T25" s="546">
        <v>30</v>
      </c>
      <c r="U25" s="546"/>
      <c r="V25" s="546"/>
      <c r="W25" s="546"/>
      <c r="X25" s="546"/>
      <c r="Y25" s="185"/>
    </row>
    <row r="26" spans="2:25" ht="20.100000000000001" customHeight="1" x14ac:dyDescent="0.2">
      <c r="B26" s="24"/>
      <c r="C26" s="46"/>
      <c r="D26" s="47"/>
      <c r="E26" s="46"/>
      <c r="F26" s="46"/>
      <c r="G26" s="240"/>
      <c r="H26" s="46"/>
      <c r="I26" s="46"/>
      <c r="J26" s="546"/>
      <c r="K26" s="546"/>
      <c r="L26" s="546"/>
      <c r="M26" s="546"/>
      <c r="N26" s="546"/>
      <c r="O26" s="546"/>
      <c r="P26" s="546"/>
      <c r="Q26" s="546"/>
      <c r="R26" s="546"/>
      <c r="S26" s="546">
        <v>32</v>
      </c>
      <c r="T26" s="546">
        <v>50</v>
      </c>
      <c r="U26" s="546"/>
      <c r="V26" s="546"/>
      <c r="W26" s="546"/>
      <c r="X26" s="546"/>
      <c r="Y26" s="185"/>
    </row>
    <row r="27" spans="2:25" ht="26.25" thickBot="1" x14ac:dyDescent="0.25">
      <c r="B27" s="522" t="s">
        <v>190</v>
      </c>
      <c r="C27" s="181" t="s">
        <v>570</v>
      </c>
      <c r="D27" s="182" t="str">
        <f>IF((0.05*E5)&gt;10,"10 mg iv",0.05*E5&amp;" mg iv")</f>
        <v>0,5 mg iv</v>
      </c>
      <c r="E27" s="183" t="str">
        <f>"= "&amp;IF((0.05*E5)&gt;10,10,ROUND((0.05*E5),2))&amp;" ml van Dormicum 1 mg/ml iv"</f>
        <v>= 0,5 ml van Dormicum 1 mg/ml iv</v>
      </c>
      <c r="F27" s="183"/>
      <c r="G27" s="243" t="s">
        <v>1274</v>
      </c>
      <c r="H27" s="46"/>
      <c r="I27" s="46"/>
      <c r="J27" s="546"/>
      <c r="K27" s="546"/>
      <c r="L27" s="546"/>
      <c r="M27" s="546"/>
      <c r="N27" s="546"/>
      <c r="O27" s="546"/>
      <c r="P27" s="546"/>
      <c r="Q27" s="546"/>
      <c r="R27" s="546"/>
      <c r="S27" s="546">
        <v>33</v>
      </c>
      <c r="T27" s="546">
        <v>50</v>
      </c>
      <c r="U27" s="546"/>
      <c r="V27" s="546"/>
      <c r="W27" s="546"/>
      <c r="X27" s="546"/>
      <c r="Y27" s="185"/>
    </row>
    <row r="28" spans="2:25" ht="12.75" customHeight="1" x14ac:dyDescent="0.2">
      <c r="B28" s="24"/>
      <c r="H28" s="46"/>
      <c r="I28" s="46"/>
      <c r="J28" s="546"/>
      <c r="K28" s="546"/>
      <c r="L28" s="546"/>
      <c r="M28" s="546"/>
      <c r="N28" s="546"/>
      <c r="O28" s="546"/>
      <c r="P28" s="546"/>
      <c r="Q28" s="546"/>
      <c r="R28" s="546"/>
      <c r="S28" s="546">
        <v>41</v>
      </c>
      <c r="T28" s="546">
        <v>50</v>
      </c>
      <c r="U28" s="546"/>
      <c r="V28" s="546"/>
      <c r="W28" s="546"/>
      <c r="X28" s="546"/>
      <c r="Y28" s="185"/>
    </row>
    <row r="29" spans="2:25" ht="13.5" customHeight="1" x14ac:dyDescent="0.2">
      <c r="B29" s="24"/>
      <c r="C29" s="46"/>
      <c r="D29" s="47"/>
      <c r="E29" s="46"/>
      <c r="F29" s="46"/>
      <c r="G29" s="244"/>
      <c r="H29" s="46"/>
      <c r="I29" s="46"/>
      <c r="J29" s="546"/>
      <c r="K29" s="546"/>
      <c r="L29" s="546"/>
      <c r="M29" s="546"/>
      <c r="N29" s="546"/>
      <c r="O29" s="546"/>
      <c r="P29" s="546"/>
      <c r="Q29" s="546"/>
      <c r="R29" s="546"/>
      <c r="S29" s="546">
        <v>42</v>
      </c>
      <c r="T29" s="546">
        <v>50</v>
      </c>
      <c r="U29" s="546"/>
      <c r="V29" s="546"/>
      <c r="W29" s="546"/>
      <c r="X29" s="546"/>
      <c r="Y29" s="185"/>
    </row>
    <row r="30" spans="2:25" ht="19.5" customHeight="1" x14ac:dyDescent="0.2">
      <c r="B30" s="23"/>
      <c r="C30" s="46"/>
      <c r="D30" s="46"/>
      <c r="E30" s="46"/>
      <c r="F30" s="46"/>
      <c r="G30" s="46"/>
      <c r="H30" s="46"/>
      <c r="I30" s="46"/>
      <c r="J30" s="546"/>
      <c r="K30" s="546"/>
      <c r="L30" s="546"/>
      <c r="M30" s="546"/>
      <c r="N30" s="546"/>
      <c r="O30" s="546"/>
      <c r="P30" s="546"/>
      <c r="Q30" s="546"/>
      <c r="R30" s="546"/>
      <c r="S30" s="546">
        <v>43</v>
      </c>
      <c r="T30" s="546">
        <v>50</v>
      </c>
      <c r="U30" s="546"/>
      <c r="V30" s="546"/>
      <c r="W30" s="546"/>
      <c r="X30" s="546"/>
      <c r="Y30" s="185"/>
    </row>
    <row r="31" spans="2:25" ht="19.5" customHeight="1" x14ac:dyDescent="0.2">
      <c r="B31" s="140" t="s">
        <v>183</v>
      </c>
      <c r="C31" s="48"/>
      <c r="D31" s="46"/>
      <c r="E31" s="46"/>
      <c r="F31" s="46"/>
      <c r="G31" s="46"/>
      <c r="H31" s="46"/>
      <c r="I31" s="46"/>
      <c r="J31" s="546"/>
      <c r="K31" s="546"/>
      <c r="L31" s="546"/>
      <c r="M31" s="546"/>
      <c r="N31" s="546"/>
      <c r="O31" s="546"/>
      <c r="P31" s="546"/>
      <c r="Q31" s="546"/>
      <c r="R31" s="546"/>
      <c r="S31" s="546">
        <v>44</v>
      </c>
      <c r="T31" s="546">
        <v>50</v>
      </c>
      <c r="U31" s="546"/>
      <c r="V31" s="546"/>
      <c r="W31" s="546"/>
      <c r="X31" s="546"/>
      <c r="Y31" s="185"/>
    </row>
    <row r="32" spans="2:25" ht="19.5" customHeight="1" x14ac:dyDescent="0.2">
      <c r="B32" s="55"/>
      <c r="C32" s="46"/>
      <c r="D32" s="46"/>
      <c r="E32" s="46"/>
      <c r="F32" s="46"/>
      <c r="G32" s="46"/>
      <c r="H32" s="46"/>
      <c r="I32" s="46"/>
      <c r="J32" s="546"/>
      <c r="K32" s="546"/>
      <c r="L32" s="546"/>
      <c r="M32" s="546"/>
      <c r="N32" s="546"/>
      <c r="O32" s="546"/>
      <c r="P32" s="546"/>
      <c r="Q32" s="546"/>
      <c r="R32" s="546"/>
      <c r="S32" s="546">
        <v>45</v>
      </c>
      <c r="T32" s="546">
        <v>50</v>
      </c>
      <c r="U32" s="546"/>
      <c r="V32" s="546"/>
      <c r="W32" s="546"/>
      <c r="X32" s="546"/>
      <c r="Y32" s="185"/>
    </row>
    <row r="33" spans="2:25" ht="19.5" customHeight="1" x14ac:dyDescent="0.2">
      <c r="B33" s="55"/>
      <c r="C33" s="46"/>
      <c r="D33" s="46"/>
      <c r="E33" s="46"/>
      <c r="F33" s="46"/>
      <c r="G33" s="46"/>
      <c r="H33" s="46"/>
      <c r="I33" s="46"/>
      <c r="J33" s="546"/>
      <c r="K33" s="546"/>
      <c r="L33" s="546"/>
      <c r="M33" s="546"/>
      <c r="N33" s="546"/>
      <c r="O33" s="546"/>
      <c r="P33" s="546"/>
      <c r="Q33" s="546"/>
      <c r="R33" s="546"/>
      <c r="S33" s="546">
        <v>46</v>
      </c>
      <c r="T33" s="546">
        <v>50</v>
      </c>
      <c r="U33" s="546"/>
      <c r="V33" s="546"/>
      <c r="W33" s="546"/>
      <c r="X33" s="546"/>
      <c r="Y33" s="185"/>
    </row>
    <row r="34" spans="2:25" x14ac:dyDescent="0.2">
      <c r="B34" s="55"/>
      <c r="C34" s="46"/>
      <c r="D34" s="46"/>
      <c r="E34" s="46"/>
      <c r="F34" s="46"/>
      <c r="G34" s="46"/>
      <c r="H34" s="46"/>
      <c r="I34" s="46"/>
      <c r="J34" s="546"/>
      <c r="K34" s="546"/>
      <c r="L34" s="546"/>
      <c r="M34" s="546"/>
      <c r="N34" s="546"/>
      <c r="O34" s="546"/>
      <c r="P34" s="546"/>
      <c r="Q34" s="546"/>
      <c r="R34" s="546"/>
      <c r="S34" s="546">
        <v>47</v>
      </c>
      <c r="T34" s="546">
        <v>50</v>
      </c>
      <c r="U34" s="546"/>
      <c r="V34" s="546"/>
      <c r="W34" s="546"/>
      <c r="X34" s="546"/>
      <c r="Y34" s="185"/>
    </row>
    <row r="35" spans="2:25" x14ac:dyDescent="0.2">
      <c r="B35" s="55"/>
      <c r="C35" s="46"/>
      <c r="D35" s="46"/>
      <c r="E35" s="46"/>
      <c r="F35" s="46"/>
      <c r="G35" s="46"/>
      <c r="H35" s="46"/>
      <c r="I35" s="46"/>
      <c r="J35" s="546"/>
      <c r="K35" s="546"/>
      <c r="L35" s="546"/>
      <c r="M35" s="546"/>
      <c r="N35" s="546"/>
      <c r="O35" s="546"/>
      <c r="P35" s="546"/>
      <c r="Q35" s="546"/>
      <c r="R35" s="546"/>
      <c r="S35" s="546">
        <v>48</v>
      </c>
      <c r="T35" s="546">
        <v>50</v>
      </c>
      <c r="U35" s="546"/>
      <c r="V35" s="546"/>
      <c r="W35" s="546"/>
      <c r="X35" s="546"/>
      <c r="Y35" s="185"/>
    </row>
    <row r="36" spans="2:25" x14ac:dyDescent="0.2">
      <c r="B36" s="55"/>
      <c r="C36" s="46"/>
      <c r="D36" s="46"/>
      <c r="E36" s="46"/>
      <c r="F36" s="46"/>
      <c r="G36" s="46"/>
      <c r="H36" s="46"/>
      <c r="I36" s="46"/>
      <c r="J36" s="546"/>
      <c r="K36" s="546"/>
      <c r="L36" s="546"/>
      <c r="M36" s="546"/>
      <c r="N36" s="546"/>
      <c r="O36" s="546"/>
      <c r="P36" s="546"/>
      <c r="Q36" s="546"/>
      <c r="R36" s="546"/>
      <c r="S36" s="546">
        <v>49</v>
      </c>
      <c r="T36" s="546">
        <v>50</v>
      </c>
      <c r="U36" s="546"/>
      <c r="V36" s="546"/>
      <c r="W36" s="546"/>
      <c r="X36" s="546"/>
      <c r="Y36" s="185"/>
    </row>
    <row r="37" spans="2:25" x14ac:dyDescent="0.2">
      <c r="B37" s="55"/>
      <c r="C37" s="46"/>
      <c r="D37" s="46"/>
      <c r="E37" s="46"/>
      <c r="F37" s="46"/>
      <c r="G37" s="46"/>
      <c r="H37" s="46"/>
      <c r="I37" s="46"/>
      <c r="J37" s="546"/>
      <c r="K37" s="546"/>
      <c r="L37" s="546"/>
      <c r="M37" s="546"/>
      <c r="N37" s="546"/>
      <c r="O37" s="546"/>
      <c r="P37" s="546"/>
      <c r="Q37" s="546"/>
      <c r="R37" s="546"/>
      <c r="S37" s="546">
        <v>50</v>
      </c>
      <c r="T37" s="546">
        <v>50</v>
      </c>
      <c r="U37" s="546">
        <v>50</v>
      </c>
      <c r="V37" s="546"/>
      <c r="W37" s="546"/>
      <c r="X37" s="546"/>
      <c r="Y37" s="185"/>
    </row>
    <row r="38" spans="2:25" x14ac:dyDescent="0.2">
      <c r="B38" s="55"/>
      <c r="C38" s="46"/>
      <c r="D38" s="46"/>
      <c r="E38" s="46"/>
      <c r="F38" s="46"/>
      <c r="G38" s="46"/>
      <c r="H38" s="46"/>
      <c r="I38" s="46"/>
      <c r="J38" s="546"/>
      <c r="K38" s="546"/>
      <c r="L38" s="546"/>
      <c r="M38" s="546"/>
      <c r="N38" s="546"/>
      <c r="O38" s="546"/>
      <c r="P38" s="546"/>
      <c r="Q38" s="546"/>
      <c r="R38" s="546"/>
      <c r="S38" s="546">
        <v>51</v>
      </c>
      <c r="T38" s="546">
        <v>70</v>
      </c>
      <c r="U38" s="546"/>
      <c r="V38" s="546"/>
      <c r="W38" s="546"/>
      <c r="X38" s="546"/>
      <c r="Y38" s="185"/>
    </row>
    <row r="39" spans="2:25" x14ac:dyDescent="0.2">
      <c r="B39" s="55"/>
      <c r="C39" s="46"/>
      <c r="D39" s="46"/>
      <c r="E39" s="46"/>
      <c r="F39" s="46"/>
      <c r="G39" s="46"/>
      <c r="H39" s="46"/>
      <c r="I39" s="46"/>
      <c r="J39" s="546"/>
      <c r="K39" s="546"/>
      <c r="L39" s="546"/>
      <c r="M39" s="546"/>
      <c r="N39" s="546"/>
      <c r="O39" s="546"/>
      <c r="P39" s="546"/>
      <c r="Q39" s="546"/>
      <c r="R39" s="546"/>
      <c r="S39" s="546">
        <v>52</v>
      </c>
      <c r="T39" s="546">
        <v>70</v>
      </c>
      <c r="U39" s="546"/>
      <c r="V39" s="546"/>
      <c r="W39" s="546"/>
      <c r="X39" s="546"/>
      <c r="Y39" s="185"/>
    </row>
    <row r="40" spans="2:25" x14ac:dyDescent="0.2">
      <c r="B40" s="55"/>
      <c r="C40" s="46"/>
      <c r="D40" s="46"/>
      <c r="E40" s="46"/>
      <c r="F40" s="46"/>
      <c r="G40" s="46"/>
      <c r="H40" s="46"/>
      <c r="I40" s="46"/>
      <c r="J40" s="546"/>
      <c r="K40" s="546"/>
      <c r="L40" s="546"/>
      <c r="M40" s="546"/>
      <c r="N40" s="546"/>
      <c r="O40" s="546"/>
      <c r="P40" s="546"/>
      <c r="Q40" s="546"/>
      <c r="R40" s="546"/>
      <c r="S40" s="546">
        <v>53</v>
      </c>
      <c r="T40" s="546">
        <v>70</v>
      </c>
      <c r="U40" s="546"/>
      <c r="V40" s="546"/>
      <c r="W40" s="546"/>
      <c r="X40" s="546"/>
      <c r="Y40" s="185"/>
    </row>
    <row r="41" spans="2:25" x14ac:dyDescent="0.2">
      <c r="B41" s="55"/>
      <c r="C41" s="46"/>
      <c r="D41" s="46"/>
      <c r="E41" s="46"/>
      <c r="F41" s="46"/>
      <c r="G41" s="46"/>
      <c r="H41" s="46"/>
      <c r="I41" s="46"/>
      <c r="J41" s="546"/>
      <c r="K41" s="546"/>
      <c r="L41" s="546"/>
      <c r="M41" s="546"/>
      <c r="N41" s="546"/>
      <c r="O41" s="546"/>
      <c r="P41" s="546"/>
      <c r="Q41" s="546"/>
      <c r="R41" s="546"/>
      <c r="S41" s="546">
        <v>54</v>
      </c>
      <c r="T41" s="546">
        <v>70</v>
      </c>
      <c r="U41" s="546"/>
      <c r="V41" s="546"/>
      <c r="W41" s="546"/>
      <c r="X41" s="546"/>
      <c r="Y41" s="185"/>
    </row>
    <row r="42" spans="2:25" x14ac:dyDescent="0.2">
      <c r="B42" s="55"/>
      <c r="C42" s="46"/>
      <c r="D42" s="46"/>
      <c r="E42" s="46"/>
      <c r="F42" s="46"/>
      <c r="G42" s="46"/>
      <c r="H42" s="46"/>
      <c r="I42" s="46"/>
      <c r="J42" s="546"/>
      <c r="K42" s="546"/>
      <c r="L42" s="546"/>
      <c r="M42" s="546"/>
      <c r="N42" s="546"/>
      <c r="O42" s="546"/>
      <c r="P42" s="546"/>
      <c r="Q42" s="546"/>
      <c r="R42" s="546"/>
      <c r="S42" s="546">
        <v>55</v>
      </c>
      <c r="T42" s="546">
        <v>70</v>
      </c>
      <c r="U42" s="546"/>
      <c r="V42" s="546"/>
      <c r="W42" s="546"/>
      <c r="X42" s="546"/>
      <c r="Y42" s="185"/>
    </row>
    <row r="43" spans="2:25" x14ac:dyDescent="0.2">
      <c r="B43" s="55"/>
      <c r="C43" s="46"/>
      <c r="D43" s="46"/>
      <c r="E43" s="46"/>
      <c r="F43" s="46"/>
      <c r="G43" s="46"/>
      <c r="H43" s="46"/>
      <c r="I43" s="46"/>
      <c r="J43" s="546"/>
      <c r="K43" s="546"/>
      <c r="L43" s="546"/>
      <c r="M43" s="546"/>
      <c r="N43" s="546"/>
      <c r="O43" s="546"/>
      <c r="P43" s="546"/>
      <c r="Q43" s="546"/>
      <c r="R43" s="546"/>
      <c r="S43" s="546">
        <v>56</v>
      </c>
      <c r="T43" s="546">
        <v>70</v>
      </c>
      <c r="U43" s="546"/>
      <c r="V43" s="546"/>
      <c r="W43" s="546"/>
      <c r="X43" s="546"/>
      <c r="Y43" s="185"/>
    </row>
    <row r="44" spans="2:25" x14ac:dyDescent="0.2">
      <c r="B44" s="55"/>
      <c r="C44" s="46"/>
      <c r="D44" s="46"/>
      <c r="E44" s="46"/>
      <c r="F44" s="46"/>
      <c r="G44" s="46"/>
      <c r="H44" s="46"/>
      <c r="I44" s="46"/>
      <c r="J44" s="546"/>
      <c r="K44" s="546"/>
      <c r="L44" s="546"/>
      <c r="M44" s="546"/>
      <c r="N44" s="546"/>
      <c r="O44" s="546"/>
      <c r="P44" s="546"/>
      <c r="Q44" s="546"/>
      <c r="R44" s="546"/>
      <c r="S44" s="546">
        <v>57</v>
      </c>
      <c r="T44" s="546">
        <v>70</v>
      </c>
      <c r="U44" s="546"/>
      <c r="V44" s="546"/>
      <c r="W44" s="546"/>
      <c r="X44" s="546"/>
      <c r="Y44" s="185"/>
    </row>
    <row r="45" spans="2:25" x14ac:dyDescent="0.2">
      <c r="B45" s="55"/>
      <c r="C45" s="46"/>
      <c r="D45" s="46"/>
      <c r="E45" s="46"/>
      <c r="F45" s="46"/>
      <c r="G45" s="46"/>
      <c r="H45" s="46"/>
      <c r="I45" s="46"/>
      <c r="J45" s="546"/>
      <c r="K45" s="546"/>
      <c r="L45" s="546"/>
      <c r="M45" s="546"/>
      <c r="N45" s="546"/>
      <c r="O45" s="546"/>
      <c r="P45" s="546"/>
      <c r="Q45" s="546"/>
      <c r="R45" s="546"/>
      <c r="S45" s="546">
        <v>58</v>
      </c>
      <c r="T45" s="546">
        <v>70</v>
      </c>
      <c r="U45" s="546"/>
      <c r="V45" s="546"/>
      <c r="W45" s="546"/>
      <c r="X45" s="546"/>
      <c r="Y45" s="185"/>
    </row>
    <row r="46" spans="2:25" x14ac:dyDescent="0.2">
      <c r="B46" s="55"/>
      <c r="C46" s="46"/>
      <c r="D46" s="46"/>
      <c r="E46" s="46"/>
      <c r="F46" s="46"/>
      <c r="G46" s="46"/>
      <c r="H46" s="46"/>
      <c r="I46" s="46"/>
      <c r="J46" s="546"/>
      <c r="K46" s="546"/>
      <c r="L46" s="546"/>
      <c r="M46" s="546"/>
      <c r="N46" s="546"/>
      <c r="O46" s="546"/>
      <c r="P46" s="546"/>
      <c r="Q46" s="546"/>
      <c r="R46" s="546"/>
      <c r="S46" s="546">
        <v>59</v>
      </c>
      <c r="T46" s="546">
        <v>70</v>
      </c>
      <c r="U46" s="546"/>
      <c r="V46" s="546"/>
      <c r="W46" s="546"/>
      <c r="X46" s="546"/>
      <c r="Y46" s="185"/>
    </row>
    <row r="47" spans="2:25" x14ac:dyDescent="0.2">
      <c r="B47" s="55"/>
      <c r="C47" s="46"/>
      <c r="D47" s="46"/>
      <c r="E47" s="46"/>
      <c r="F47" s="46"/>
      <c r="G47" s="46"/>
      <c r="H47" s="46"/>
      <c r="I47" s="46"/>
      <c r="J47" s="546"/>
      <c r="K47" s="546"/>
      <c r="L47" s="546"/>
      <c r="M47" s="546"/>
      <c r="N47" s="546"/>
      <c r="O47" s="546"/>
      <c r="P47" s="546"/>
      <c r="Q47" s="546"/>
      <c r="R47" s="546"/>
      <c r="S47" s="546">
        <v>60</v>
      </c>
      <c r="T47" s="546">
        <v>70</v>
      </c>
      <c r="U47" s="546"/>
      <c r="V47" s="546"/>
      <c r="W47" s="546"/>
      <c r="X47" s="546"/>
      <c r="Y47" s="185"/>
    </row>
    <row r="48" spans="2:25" x14ac:dyDescent="0.2">
      <c r="B48" s="55"/>
      <c r="C48" s="46"/>
      <c r="D48" s="46"/>
      <c r="E48" s="46"/>
      <c r="F48" s="46"/>
      <c r="G48" s="46"/>
      <c r="H48" s="46"/>
      <c r="I48" s="46"/>
      <c r="J48" s="546"/>
      <c r="K48" s="546"/>
      <c r="L48" s="546"/>
      <c r="M48" s="546"/>
      <c r="N48" s="546"/>
      <c r="O48" s="546"/>
      <c r="P48" s="546"/>
      <c r="Q48" s="546"/>
      <c r="R48" s="546"/>
      <c r="S48" s="546">
        <v>61</v>
      </c>
      <c r="T48" s="546">
        <v>70</v>
      </c>
      <c r="U48" s="546"/>
      <c r="V48" s="546"/>
      <c r="W48" s="546"/>
      <c r="X48" s="546"/>
      <c r="Y48" s="185"/>
    </row>
    <row r="49" spans="2:25" x14ac:dyDescent="0.2">
      <c r="B49" s="55"/>
      <c r="C49" s="46"/>
      <c r="D49" s="46"/>
      <c r="E49" s="46"/>
      <c r="F49" s="46"/>
      <c r="G49" s="46"/>
      <c r="H49" s="46"/>
      <c r="I49" s="46"/>
      <c r="J49" s="546"/>
      <c r="K49" s="546"/>
      <c r="L49" s="546"/>
      <c r="M49" s="546"/>
      <c r="N49" s="546"/>
      <c r="O49" s="546"/>
      <c r="P49" s="546"/>
      <c r="Q49" s="546"/>
      <c r="R49" s="546"/>
      <c r="S49" s="546">
        <v>62</v>
      </c>
      <c r="T49" s="546">
        <v>70</v>
      </c>
      <c r="U49" s="546"/>
      <c r="V49" s="546"/>
      <c r="W49" s="546"/>
      <c r="X49" s="546"/>
      <c r="Y49" s="185"/>
    </row>
    <row r="50" spans="2:25" x14ac:dyDescent="0.2">
      <c r="B50" s="55"/>
      <c r="C50" s="46"/>
      <c r="D50" s="46"/>
      <c r="E50" s="46"/>
      <c r="F50" s="46"/>
      <c r="G50" s="46"/>
      <c r="H50" s="46"/>
      <c r="I50" s="46"/>
      <c r="J50" s="546"/>
      <c r="K50" s="546"/>
      <c r="L50" s="546"/>
      <c r="M50" s="546"/>
      <c r="N50" s="546"/>
      <c r="O50" s="546"/>
      <c r="P50" s="546"/>
      <c r="Q50" s="546"/>
      <c r="R50" s="546"/>
      <c r="S50" s="546">
        <v>63</v>
      </c>
      <c r="T50" s="546">
        <v>70</v>
      </c>
      <c r="U50" s="546"/>
      <c r="V50" s="546"/>
      <c r="W50" s="546"/>
      <c r="X50" s="546"/>
      <c r="Y50" s="185"/>
    </row>
    <row r="51" spans="2:25" x14ac:dyDescent="0.2">
      <c r="B51" s="55"/>
      <c r="C51" s="46"/>
      <c r="D51" s="46"/>
      <c r="E51" s="46"/>
      <c r="F51" s="46"/>
      <c r="G51" s="46"/>
      <c r="H51" s="46"/>
      <c r="I51" s="46"/>
      <c r="J51" s="546"/>
      <c r="K51" s="546"/>
      <c r="L51" s="546"/>
      <c r="M51" s="546"/>
      <c r="N51" s="546"/>
      <c r="O51" s="546"/>
      <c r="P51" s="546"/>
      <c r="Q51" s="546"/>
      <c r="R51" s="546"/>
      <c r="S51" s="546">
        <v>64</v>
      </c>
      <c r="T51" s="546">
        <v>70</v>
      </c>
      <c r="U51" s="546"/>
      <c r="V51" s="546"/>
      <c r="W51" s="546"/>
      <c r="X51" s="546"/>
      <c r="Y51" s="185"/>
    </row>
    <row r="52" spans="2:25" x14ac:dyDescent="0.2">
      <c r="B52" s="55"/>
      <c r="C52" s="46"/>
      <c r="D52" s="46"/>
      <c r="E52" s="46"/>
      <c r="F52" s="46"/>
      <c r="G52" s="46"/>
      <c r="H52" s="46"/>
      <c r="I52" s="46"/>
      <c r="J52" s="546"/>
      <c r="K52" s="546"/>
      <c r="L52" s="546"/>
      <c r="M52" s="546"/>
      <c r="N52" s="546"/>
      <c r="O52" s="546"/>
      <c r="P52" s="546"/>
      <c r="Q52" s="546"/>
      <c r="R52" s="546"/>
      <c r="S52" s="546">
        <v>65</v>
      </c>
      <c r="T52" s="546">
        <v>70</v>
      </c>
      <c r="U52" s="546"/>
      <c r="V52" s="546"/>
      <c r="W52" s="546"/>
      <c r="X52" s="546"/>
      <c r="Y52" s="185"/>
    </row>
    <row r="53" spans="2:25" x14ac:dyDescent="0.2">
      <c r="B53" s="55"/>
      <c r="C53" s="46"/>
      <c r="D53" s="46"/>
      <c r="E53" s="46"/>
      <c r="F53" s="46"/>
      <c r="G53" s="46"/>
      <c r="H53" s="46"/>
      <c r="I53" s="46"/>
      <c r="J53" s="546"/>
      <c r="K53" s="546"/>
      <c r="L53" s="546"/>
      <c r="M53" s="546"/>
      <c r="N53" s="546"/>
      <c r="O53" s="546"/>
      <c r="P53" s="546"/>
      <c r="Q53" s="546"/>
      <c r="R53" s="546"/>
      <c r="S53" s="546">
        <v>66</v>
      </c>
      <c r="T53" s="546">
        <v>70</v>
      </c>
      <c r="U53" s="546"/>
      <c r="V53" s="546"/>
      <c r="W53" s="546"/>
      <c r="X53" s="546"/>
      <c r="Y53" s="185"/>
    </row>
    <row r="54" spans="2:25" x14ac:dyDescent="0.2">
      <c r="B54" s="55"/>
      <c r="C54" s="46"/>
      <c r="D54" s="46"/>
      <c r="E54" s="46"/>
      <c r="F54" s="46"/>
      <c r="G54" s="46"/>
      <c r="H54" s="46"/>
      <c r="I54" s="46"/>
      <c r="J54" s="546"/>
      <c r="K54" s="546"/>
      <c r="L54" s="546"/>
      <c r="M54" s="546"/>
      <c r="N54" s="546"/>
      <c r="O54" s="546"/>
      <c r="P54" s="546"/>
      <c r="Q54" s="546"/>
      <c r="R54" s="546"/>
      <c r="S54" s="546">
        <v>67</v>
      </c>
      <c r="T54" s="546">
        <v>70</v>
      </c>
      <c r="U54" s="546"/>
      <c r="V54" s="546"/>
      <c r="W54" s="546"/>
      <c r="X54" s="546"/>
      <c r="Y54" s="185"/>
    </row>
    <row r="55" spans="2:25" x14ac:dyDescent="0.2">
      <c r="B55" s="55"/>
      <c r="C55" s="46"/>
      <c r="D55" s="46"/>
      <c r="E55" s="46"/>
      <c r="F55" s="46"/>
      <c r="G55" s="46"/>
      <c r="H55" s="46"/>
      <c r="I55" s="46"/>
      <c r="J55" s="546"/>
      <c r="K55" s="546"/>
      <c r="L55" s="546"/>
      <c r="M55" s="546"/>
      <c r="N55" s="546"/>
      <c r="O55" s="546"/>
      <c r="P55" s="546"/>
      <c r="Q55" s="546"/>
      <c r="R55" s="546"/>
      <c r="S55" s="546">
        <v>68</v>
      </c>
      <c r="T55" s="546">
        <v>70</v>
      </c>
      <c r="U55" s="546"/>
      <c r="V55" s="546"/>
      <c r="W55" s="546"/>
      <c r="X55" s="546"/>
      <c r="Y55" s="185"/>
    </row>
    <row r="56" spans="2:25" x14ac:dyDescent="0.2">
      <c r="B56" s="55"/>
      <c r="C56" s="46"/>
      <c r="D56" s="46"/>
      <c r="E56" s="46"/>
      <c r="F56" s="46"/>
      <c r="G56" s="46"/>
      <c r="H56" s="46"/>
      <c r="I56" s="46"/>
      <c r="J56" s="546"/>
      <c r="K56" s="546"/>
      <c r="L56" s="546"/>
      <c r="M56" s="546"/>
      <c r="N56" s="546"/>
      <c r="O56" s="546"/>
      <c r="P56" s="546"/>
      <c r="Q56" s="546"/>
      <c r="R56" s="546"/>
      <c r="S56" s="546">
        <v>69</v>
      </c>
      <c r="T56" s="546">
        <v>70</v>
      </c>
      <c r="U56" s="546"/>
      <c r="V56" s="546"/>
      <c r="W56" s="546"/>
      <c r="X56" s="546"/>
      <c r="Y56" s="185"/>
    </row>
    <row r="57" spans="2:25" x14ac:dyDescent="0.2">
      <c r="B57" s="55"/>
      <c r="C57" s="46"/>
      <c r="D57" s="46"/>
      <c r="E57" s="46"/>
      <c r="F57" s="46"/>
      <c r="G57" s="46"/>
      <c r="H57" s="46"/>
      <c r="I57" s="46"/>
      <c r="J57" s="546"/>
      <c r="K57" s="546"/>
      <c r="L57" s="546"/>
      <c r="M57" s="546"/>
      <c r="N57" s="546"/>
      <c r="O57" s="546"/>
      <c r="P57" s="546"/>
      <c r="Q57" s="546"/>
      <c r="R57" s="546"/>
      <c r="S57" s="546">
        <v>70</v>
      </c>
      <c r="T57" s="546">
        <v>70</v>
      </c>
      <c r="U57" s="546">
        <v>70</v>
      </c>
      <c r="V57" s="546"/>
      <c r="W57" s="546"/>
      <c r="X57" s="546"/>
      <c r="Y57" s="185"/>
    </row>
    <row r="58" spans="2:25" x14ac:dyDescent="0.2">
      <c r="B58" s="55"/>
      <c r="C58" s="46"/>
      <c r="D58" s="46"/>
      <c r="E58" s="46"/>
      <c r="F58" s="46"/>
      <c r="G58" s="46"/>
      <c r="H58" s="46"/>
      <c r="I58" s="46"/>
      <c r="J58" s="546"/>
      <c r="K58" s="546"/>
      <c r="L58" s="546"/>
      <c r="M58" s="546"/>
      <c r="N58" s="546"/>
      <c r="O58" s="546"/>
      <c r="P58" s="546"/>
      <c r="Q58" s="546"/>
      <c r="R58" s="546"/>
      <c r="S58" s="546">
        <v>71</v>
      </c>
      <c r="T58" s="546">
        <v>100</v>
      </c>
      <c r="U58" s="546"/>
      <c r="V58" s="546"/>
      <c r="W58" s="546"/>
      <c r="X58" s="546"/>
      <c r="Y58" s="185"/>
    </row>
    <row r="59" spans="2:25" x14ac:dyDescent="0.2">
      <c r="B59" s="55"/>
      <c r="C59" s="46"/>
      <c r="D59" s="46"/>
      <c r="E59" s="46"/>
      <c r="F59" s="46"/>
      <c r="G59" s="46"/>
      <c r="H59" s="46"/>
      <c r="I59" s="46"/>
      <c r="J59" s="546"/>
      <c r="K59" s="546"/>
      <c r="L59" s="546"/>
      <c r="M59" s="546"/>
      <c r="N59" s="546"/>
      <c r="O59" s="546"/>
      <c r="P59" s="546"/>
      <c r="Q59" s="546"/>
      <c r="R59" s="546"/>
      <c r="S59" s="546">
        <v>72</v>
      </c>
      <c r="T59" s="546">
        <v>100</v>
      </c>
      <c r="U59" s="546"/>
      <c r="V59" s="546"/>
      <c r="W59" s="546"/>
      <c r="X59" s="546"/>
      <c r="Y59" s="185"/>
    </row>
    <row r="60" spans="2:25" x14ac:dyDescent="0.2">
      <c r="B60" s="55"/>
      <c r="C60" s="46"/>
      <c r="D60" s="46"/>
      <c r="E60" s="46"/>
      <c r="F60" s="46"/>
      <c r="G60" s="46"/>
      <c r="H60" s="46"/>
      <c r="I60" s="46"/>
      <c r="J60" s="546"/>
      <c r="K60" s="546"/>
      <c r="L60" s="546"/>
      <c r="M60" s="546"/>
      <c r="N60" s="546"/>
      <c r="O60" s="546"/>
      <c r="P60" s="546"/>
      <c r="Q60" s="546"/>
      <c r="R60" s="546"/>
      <c r="S60" s="546">
        <v>73</v>
      </c>
      <c r="T60" s="546">
        <v>100</v>
      </c>
      <c r="U60" s="546"/>
      <c r="V60" s="546"/>
      <c r="W60" s="546"/>
      <c r="X60" s="546"/>
      <c r="Y60" s="185"/>
    </row>
    <row r="61" spans="2:25" x14ac:dyDescent="0.2">
      <c r="B61" s="55"/>
      <c r="C61" s="46"/>
      <c r="D61" s="46"/>
      <c r="E61" s="46"/>
      <c r="F61" s="46"/>
      <c r="G61" s="46"/>
      <c r="H61" s="46"/>
      <c r="I61" s="46"/>
      <c r="J61" s="546"/>
      <c r="K61" s="546"/>
      <c r="L61" s="546"/>
      <c r="M61" s="546"/>
      <c r="N61" s="546"/>
      <c r="O61" s="546"/>
      <c r="P61" s="546"/>
      <c r="Q61" s="546"/>
      <c r="R61" s="546"/>
      <c r="S61" s="546">
        <v>74</v>
      </c>
      <c r="T61" s="546">
        <v>100</v>
      </c>
      <c r="U61" s="546"/>
      <c r="V61" s="546"/>
      <c r="W61" s="546"/>
      <c r="X61" s="546"/>
      <c r="Y61" s="185"/>
    </row>
    <row r="62" spans="2:25" x14ac:dyDescent="0.2">
      <c r="B62" s="55"/>
      <c r="C62" s="46"/>
      <c r="D62" s="46"/>
      <c r="E62" s="46"/>
      <c r="F62" s="46"/>
      <c r="G62" s="46"/>
      <c r="H62" s="46"/>
      <c r="I62" s="46"/>
      <c r="J62" s="546"/>
      <c r="K62" s="546"/>
      <c r="L62" s="546"/>
      <c r="M62" s="546"/>
      <c r="N62" s="546"/>
      <c r="O62" s="546"/>
      <c r="P62" s="546"/>
      <c r="Q62" s="546"/>
      <c r="R62" s="546"/>
      <c r="S62" s="546">
        <v>75</v>
      </c>
      <c r="T62" s="546">
        <v>100</v>
      </c>
      <c r="U62" s="546"/>
      <c r="V62" s="546"/>
      <c r="W62" s="546"/>
      <c r="X62" s="546"/>
      <c r="Y62" s="185"/>
    </row>
    <row r="63" spans="2:25" x14ac:dyDescent="0.2">
      <c r="B63" s="55"/>
      <c r="C63" s="46"/>
      <c r="D63" s="46"/>
      <c r="E63" s="46"/>
      <c r="F63" s="46"/>
      <c r="G63" s="46"/>
      <c r="H63" s="46"/>
      <c r="I63" s="46"/>
      <c r="J63" s="546"/>
      <c r="K63" s="546"/>
      <c r="L63" s="546"/>
      <c r="M63" s="546"/>
      <c r="N63" s="546"/>
      <c r="O63" s="546"/>
      <c r="P63" s="546"/>
      <c r="Q63" s="546"/>
      <c r="R63" s="546"/>
      <c r="S63" s="546">
        <v>76</v>
      </c>
      <c r="T63" s="546">
        <v>100</v>
      </c>
      <c r="U63" s="546"/>
      <c r="V63" s="546"/>
      <c r="W63" s="546"/>
      <c r="X63" s="546"/>
      <c r="Y63" s="185"/>
    </row>
    <row r="64" spans="2:25" x14ac:dyDescent="0.2">
      <c r="H64" s="46"/>
      <c r="I64" s="46"/>
      <c r="J64" s="546"/>
      <c r="K64" s="546"/>
      <c r="L64" s="546"/>
      <c r="M64" s="546"/>
      <c r="N64" s="546"/>
      <c r="O64" s="546"/>
      <c r="P64" s="546"/>
      <c r="Q64" s="546"/>
      <c r="R64" s="546"/>
      <c r="S64" s="546">
        <v>77</v>
      </c>
      <c r="T64" s="546">
        <v>100</v>
      </c>
      <c r="U64" s="546"/>
      <c r="V64" s="546"/>
      <c r="W64" s="546"/>
      <c r="X64" s="546"/>
      <c r="Y64" s="185"/>
    </row>
    <row r="65" spans="10:25" x14ac:dyDescent="0.2">
      <c r="J65" s="546"/>
      <c r="K65" s="546"/>
      <c r="L65" s="546"/>
      <c r="M65" s="546"/>
      <c r="N65" s="546"/>
      <c r="O65" s="546"/>
      <c r="P65" s="546"/>
      <c r="Q65" s="546"/>
      <c r="R65" s="546"/>
      <c r="S65" s="546">
        <v>78</v>
      </c>
      <c r="T65" s="546">
        <v>100</v>
      </c>
      <c r="U65" s="546"/>
      <c r="V65" s="546"/>
      <c r="W65" s="546"/>
      <c r="X65" s="546"/>
      <c r="Y65" s="185"/>
    </row>
    <row r="66" spans="10:25" x14ac:dyDescent="0.2">
      <c r="J66" s="546"/>
      <c r="K66" s="546"/>
      <c r="L66" s="546"/>
      <c r="M66" s="546"/>
      <c r="N66" s="546"/>
      <c r="O66" s="546"/>
      <c r="P66" s="546"/>
      <c r="Q66" s="546"/>
      <c r="R66" s="546"/>
      <c r="S66" s="546">
        <v>79</v>
      </c>
      <c r="T66" s="546">
        <v>100</v>
      </c>
      <c r="U66" s="546"/>
      <c r="V66" s="546"/>
      <c r="W66" s="546"/>
      <c r="X66" s="546"/>
      <c r="Y66" s="185"/>
    </row>
    <row r="67" spans="10:25" x14ac:dyDescent="0.2">
      <c r="J67" s="546"/>
      <c r="K67" s="546"/>
      <c r="L67" s="546"/>
      <c r="M67" s="546"/>
      <c r="N67" s="546"/>
      <c r="O67" s="546"/>
      <c r="P67" s="546"/>
      <c r="Q67" s="546"/>
      <c r="R67" s="546"/>
      <c r="S67" s="546">
        <v>80</v>
      </c>
      <c r="T67" s="546">
        <v>100</v>
      </c>
      <c r="U67" s="546"/>
      <c r="V67" s="546"/>
      <c r="W67" s="546"/>
      <c r="X67" s="546"/>
      <c r="Y67" s="185"/>
    </row>
    <row r="68" spans="10:25" x14ac:dyDescent="0.2">
      <c r="J68" s="546"/>
      <c r="K68" s="546"/>
      <c r="L68" s="546"/>
      <c r="M68" s="546"/>
      <c r="N68" s="546"/>
      <c r="O68" s="546"/>
      <c r="P68" s="546"/>
      <c r="Q68" s="546"/>
      <c r="R68" s="546"/>
      <c r="S68" s="546">
        <v>81</v>
      </c>
      <c r="T68" s="546">
        <v>100</v>
      </c>
      <c r="U68" s="546"/>
      <c r="V68" s="546"/>
      <c r="W68" s="546"/>
      <c r="X68" s="546"/>
      <c r="Y68" s="185"/>
    </row>
    <row r="69" spans="10:25" x14ac:dyDescent="0.2">
      <c r="J69" s="546"/>
      <c r="K69" s="546"/>
      <c r="L69" s="546"/>
      <c r="M69" s="546"/>
      <c r="N69" s="546"/>
      <c r="O69" s="546"/>
      <c r="P69" s="546"/>
      <c r="Q69" s="546"/>
      <c r="R69" s="546"/>
      <c r="S69" s="546">
        <v>82</v>
      </c>
      <c r="T69" s="546">
        <v>100</v>
      </c>
      <c r="U69" s="546"/>
      <c r="V69" s="546"/>
      <c r="W69" s="546"/>
      <c r="X69" s="546"/>
      <c r="Y69" s="185"/>
    </row>
    <row r="70" spans="10:25" x14ac:dyDescent="0.2">
      <c r="J70" s="546"/>
      <c r="K70" s="546"/>
      <c r="L70" s="546"/>
      <c r="M70" s="546"/>
      <c r="N70" s="546"/>
      <c r="O70" s="546"/>
      <c r="P70" s="546"/>
      <c r="Q70" s="546"/>
      <c r="R70" s="546"/>
      <c r="S70" s="546">
        <v>83</v>
      </c>
      <c r="T70" s="546">
        <v>100</v>
      </c>
      <c r="U70" s="546"/>
      <c r="V70" s="546"/>
      <c r="W70" s="546"/>
      <c r="X70" s="546"/>
      <c r="Y70" s="185"/>
    </row>
    <row r="71" spans="10:25" x14ac:dyDescent="0.2">
      <c r="J71" s="546"/>
      <c r="K71" s="546"/>
      <c r="L71" s="546"/>
      <c r="M71" s="546"/>
      <c r="N71" s="546"/>
      <c r="O71" s="546"/>
      <c r="P71" s="546"/>
      <c r="Q71" s="546"/>
      <c r="R71" s="546"/>
      <c r="S71" s="546">
        <v>84</v>
      </c>
      <c r="T71" s="546">
        <v>100</v>
      </c>
      <c r="U71" s="546"/>
      <c r="V71" s="546"/>
      <c r="W71" s="546"/>
      <c r="X71" s="546"/>
      <c r="Y71" s="185"/>
    </row>
    <row r="72" spans="10:25" x14ac:dyDescent="0.2">
      <c r="J72" s="546"/>
      <c r="K72" s="546"/>
      <c r="L72" s="546"/>
      <c r="M72" s="546"/>
      <c r="N72" s="546"/>
      <c r="O72" s="546"/>
      <c r="P72" s="546"/>
      <c r="Q72" s="546"/>
      <c r="R72" s="546"/>
      <c r="S72" s="546">
        <v>85</v>
      </c>
      <c r="T72" s="546">
        <v>100</v>
      </c>
      <c r="U72" s="546"/>
      <c r="V72" s="546"/>
      <c r="W72" s="546"/>
      <c r="X72" s="546"/>
      <c r="Y72" s="185"/>
    </row>
    <row r="73" spans="10:25" x14ac:dyDescent="0.2">
      <c r="J73" s="546"/>
      <c r="K73" s="546"/>
      <c r="L73" s="546"/>
      <c r="M73" s="546"/>
      <c r="N73" s="546"/>
      <c r="O73" s="546"/>
      <c r="P73" s="546"/>
      <c r="Q73" s="546"/>
      <c r="R73" s="546"/>
      <c r="S73" s="546">
        <v>86</v>
      </c>
      <c r="T73" s="546">
        <v>100</v>
      </c>
      <c r="U73" s="546"/>
      <c r="V73" s="546"/>
      <c r="W73" s="546"/>
      <c r="X73" s="546"/>
      <c r="Y73" s="185"/>
    </row>
    <row r="74" spans="10:25" x14ac:dyDescent="0.2">
      <c r="J74" s="546"/>
      <c r="K74" s="546"/>
      <c r="L74" s="546"/>
      <c r="M74" s="546"/>
      <c r="N74" s="546"/>
      <c r="O74" s="546"/>
      <c r="P74" s="546"/>
      <c r="Q74" s="546"/>
      <c r="R74" s="546"/>
      <c r="S74" s="546">
        <v>87</v>
      </c>
      <c r="T74" s="546">
        <v>100</v>
      </c>
      <c r="U74" s="546"/>
      <c r="V74" s="546"/>
      <c r="W74" s="546"/>
      <c r="X74" s="546"/>
      <c r="Y74" s="185"/>
    </row>
    <row r="75" spans="10:25" x14ac:dyDescent="0.2">
      <c r="J75" s="546"/>
      <c r="K75" s="546"/>
      <c r="L75" s="546"/>
      <c r="M75" s="546"/>
      <c r="N75" s="546"/>
      <c r="O75" s="546"/>
      <c r="P75" s="546"/>
      <c r="Q75" s="546"/>
      <c r="R75" s="546"/>
      <c r="S75" s="546">
        <v>88</v>
      </c>
      <c r="T75" s="546">
        <v>100</v>
      </c>
      <c r="U75" s="546"/>
      <c r="V75" s="546"/>
      <c r="W75" s="546"/>
      <c r="X75" s="546"/>
      <c r="Y75" s="185"/>
    </row>
    <row r="76" spans="10:25" x14ac:dyDescent="0.2">
      <c r="J76" s="546"/>
      <c r="K76" s="546"/>
      <c r="L76" s="546"/>
      <c r="M76" s="546"/>
      <c r="N76" s="546"/>
      <c r="O76" s="546"/>
      <c r="P76" s="546"/>
      <c r="Q76" s="546"/>
      <c r="R76" s="546"/>
      <c r="S76" s="546">
        <v>89</v>
      </c>
      <c r="T76" s="546">
        <v>100</v>
      </c>
      <c r="U76" s="546"/>
      <c r="V76" s="546"/>
      <c r="W76" s="546"/>
      <c r="X76" s="546"/>
      <c r="Y76" s="185"/>
    </row>
    <row r="77" spans="10:25" x14ac:dyDescent="0.2">
      <c r="J77" s="546"/>
      <c r="K77" s="546"/>
      <c r="L77" s="546"/>
      <c r="M77" s="546"/>
      <c r="N77" s="546"/>
      <c r="O77" s="546"/>
      <c r="P77" s="546"/>
      <c r="Q77" s="546"/>
      <c r="R77" s="546"/>
      <c r="S77" s="546">
        <v>90</v>
      </c>
      <c r="T77" s="546">
        <v>100</v>
      </c>
      <c r="U77" s="546"/>
      <c r="V77" s="546"/>
      <c r="W77" s="546"/>
      <c r="X77" s="546"/>
      <c r="Y77" s="185"/>
    </row>
    <row r="78" spans="10:25" x14ac:dyDescent="0.2">
      <c r="J78" s="546"/>
      <c r="K78" s="546"/>
      <c r="L78" s="546"/>
      <c r="M78" s="546"/>
      <c r="N78" s="546"/>
      <c r="O78" s="546"/>
      <c r="P78" s="546"/>
      <c r="Q78" s="546"/>
      <c r="R78" s="546"/>
      <c r="S78" s="546">
        <v>91</v>
      </c>
      <c r="T78" s="546">
        <v>100</v>
      </c>
      <c r="U78" s="546"/>
      <c r="V78" s="546"/>
      <c r="W78" s="546"/>
      <c r="X78" s="546"/>
      <c r="Y78" s="185"/>
    </row>
    <row r="79" spans="10:25" x14ac:dyDescent="0.2">
      <c r="J79" s="546"/>
      <c r="K79" s="546"/>
      <c r="L79" s="546"/>
      <c r="M79" s="546"/>
      <c r="N79" s="546"/>
      <c r="O79" s="546"/>
      <c r="P79" s="546"/>
      <c r="Q79" s="546"/>
      <c r="R79" s="546"/>
      <c r="S79" s="546">
        <v>92</v>
      </c>
      <c r="T79" s="546">
        <v>100</v>
      </c>
      <c r="U79" s="546"/>
      <c r="V79" s="546"/>
      <c r="W79" s="546"/>
      <c r="X79" s="546"/>
      <c r="Y79" s="185"/>
    </row>
    <row r="80" spans="10:25" x14ac:dyDescent="0.2">
      <c r="J80" s="546"/>
      <c r="K80" s="546"/>
      <c r="L80" s="546"/>
      <c r="M80" s="546"/>
      <c r="N80" s="546"/>
      <c r="O80" s="546"/>
      <c r="P80" s="546"/>
      <c r="Q80" s="546"/>
      <c r="R80" s="546"/>
      <c r="S80" s="546">
        <v>93</v>
      </c>
      <c r="T80" s="546">
        <v>100</v>
      </c>
      <c r="U80" s="546"/>
      <c r="V80" s="546"/>
      <c r="W80" s="546"/>
      <c r="X80" s="546"/>
      <c r="Y80" s="185"/>
    </row>
    <row r="81" spans="10:25" x14ac:dyDescent="0.2">
      <c r="J81" s="546"/>
      <c r="K81" s="546"/>
      <c r="L81" s="546"/>
      <c r="M81" s="546"/>
      <c r="N81" s="546"/>
      <c r="O81" s="546"/>
      <c r="P81" s="546"/>
      <c r="Q81" s="546"/>
      <c r="R81" s="546"/>
      <c r="S81" s="546">
        <v>94</v>
      </c>
      <c r="T81" s="546">
        <v>100</v>
      </c>
      <c r="U81" s="546"/>
      <c r="V81" s="546"/>
      <c r="W81" s="546"/>
      <c r="X81" s="546"/>
      <c r="Y81" s="185"/>
    </row>
    <row r="82" spans="10:25" x14ac:dyDescent="0.2">
      <c r="J82" s="546"/>
      <c r="K82" s="546"/>
      <c r="L82" s="546"/>
      <c r="M82" s="546"/>
      <c r="N82" s="546"/>
      <c r="O82" s="546"/>
      <c r="P82" s="546"/>
      <c r="Q82" s="546"/>
      <c r="R82" s="546"/>
      <c r="S82" s="546">
        <v>95</v>
      </c>
      <c r="T82" s="546">
        <v>100</v>
      </c>
      <c r="U82" s="546"/>
      <c r="V82" s="546"/>
      <c r="W82" s="546"/>
      <c r="X82" s="546"/>
      <c r="Y82" s="185"/>
    </row>
    <row r="83" spans="10:25" x14ac:dyDescent="0.2">
      <c r="J83" s="546"/>
      <c r="K83" s="546"/>
      <c r="L83" s="546"/>
      <c r="M83" s="546"/>
      <c r="N83" s="546"/>
      <c r="O83" s="546"/>
      <c r="P83" s="546"/>
      <c r="Q83" s="546"/>
      <c r="R83" s="546"/>
      <c r="S83" s="546">
        <v>96</v>
      </c>
      <c r="T83" s="546">
        <v>100</v>
      </c>
      <c r="U83" s="546"/>
      <c r="V83" s="546"/>
      <c r="W83" s="546"/>
      <c r="X83" s="546"/>
      <c r="Y83" s="185"/>
    </row>
    <row r="84" spans="10:25" x14ac:dyDescent="0.2">
      <c r="J84" s="546"/>
      <c r="K84" s="546"/>
      <c r="L84" s="546"/>
      <c r="M84" s="546"/>
      <c r="N84" s="546"/>
      <c r="O84" s="546"/>
      <c r="P84" s="546"/>
      <c r="Q84" s="546"/>
      <c r="R84" s="546"/>
      <c r="S84" s="546">
        <v>97</v>
      </c>
      <c r="T84" s="546">
        <v>100</v>
      </c>
      <c r="U84" s="546"/>
      <c r="V84" s="546"/>
      <c r="W84" s="546"/>
      <c r="X84" s="546"/>
      <c r="Y84" s="185"/>
    </row>
    <row r="85" spans="10:25" x14ac:dyDescent="0.2">
      <c r="J85" s="546"/>
      <c r="K85" s="546"/>
      <c r="L85" s="546"/>
      <c r="M85" s="546"/>
      <c r="N85" s="546"/>
      <c r="O85" s="546"/>
      <c r="P85" s="546"/>
      <c r="Q85" s="546"/>
      <c r="R85" s="546"/>
      <c r="S85" s="546">
        <v>98</v>
      </c>
      <c r="T85" s="546">
        <v>100</v>
      </c>
      <c r="U85" s="546"/>
      <c r="V85" s="546"/>
      <c r="W85" s="546"/>
      <c r="X85" s="546"/>
      <c r="Y85" s="185"/>
    </row>
    <row r="86" spans="10:25" x14ac:dyDescent="0.2">
      <c r="J86" s="546"/>
      <c r="K86" s="546"/>
      <c r="L86" s="546"/>
      <c r="M86" s="546"/>
      <c r="N86" s="546"/>
      <c r="O86" s="546"/>
      <c r="P86" s="546"/>
      <c r="Q86" s="546"/>
      <c r="R86" s="546"/>
      <c r="S86" s="546">
        <v>99</v>
      </c>
      <c r="T86" s="546">
        <v>100</v>
      </c>
      <c r="U86" s="546"/>
      <c r="V86" s="546"/>
      <c r="W86" s="546"/>
      <c r="X86" s="546"/>
      <c r="Y86" s="185"/>
    </row>
    <row r="87" spans="10:25" x14ac:dyDescent="0.2">
      <c r="J87" s="546"/>
      <c r="K87" s="546"/>
      <c r="L87" s="546"/>
      <c r="M87" s="546"/>
      <c r="N87" s="546"/>
      <c r="O87" s="546"/>
      <c r="P87" s="546"/>
      <c r="Q87" s="546"/>
      <c r="R87" s="546"/>
      <c r="S87" s="546">
        <v>100</v>
      </c>
      <c r="T87" s="546">
        <v>100</v>
      </c>
      <c r="U87" s="546">
        <v>100</v>
      </c>
      <c r="V87" s="546"/>
      <c r="W87" s="546"/>
      <c r="X87" s="546"/>
      <c r="Y87" s="185"/>
    </row>
    <row r="88" spans="10:25" x14ac:dyDescent="0.2">
      <c r="J88" s="546"/>
      <c r="K88" s="546"/>
      <c r="L88" s="546"/>
      <c r="M88" s="546"/>
      <c r="N88" s="546"/>
      <c r="O88" s="546"/>
      <c r="P88" s="546"/>
      <c r="Q88" s="546"/>
      <c r="R88" s="546"/>
      <c r="S88" s="546">
        <v>101</v>
      </c>
      <c r="T88" s="546">
        <v>150</v>
      </c>
      <c r="U88" s="546"/>
      <c r="V88" s="546"/>
      <c r="W88" s="546"/>
      <c r="X88" s="546"/>
      <c r="Y88" s="185"/>
    </row>
    <row r="89" spans="10:25" x14ac:dyDescent="0.2">
      <c r="J89" s="546"/>
      <c r="K89" s="546"/>
      <c r="L89" s="546"/>
      <c r="M89" s="546"/>
      <c r="N89" s="546"/>
      <c r="O89" s="546"/>
      <c r="P89" s="546"/>
      <c r="Q89" s="546"/>
      <c r="R89" s="546"/>
      <c r="S89" s="546">
        <v>102</v>
      </c>
      <c r="T89" s="546">
        <v>150</v>
      </c>
      <c r="U89" s="546"/>
      <c r="V89" s="546"/>
      <c r="W89" s="546"/>
      <c r="X89" s="546"/>
      <c r="Y89" s="185"/>
    </row>
    <row r="90" spans="10:25" x14ac:dyDescent="0.2">
      <c r="J90" s="546"/>
      <c r="K90" s="546"/>
      <c r="L90" s="546"/>
      <c r="M90" s="546"/>
      <c r="N90" s="546"/>
      <c r="O90" s="546"/>
      <c r="P90" s="546"/>
      <c r="Q90" s="546"/>
      <c r="R90" s="546"/>
      <c r="S90" s="546">
        <v>103</v>
      </c>
      <c r="T90" s="546">
        <v>150</v>
      </c>
      <c r="U90" s="546"/>
      <c r="V90" s="546"/>
      <c r="W90" s="546"/>
      <c r="X90" s="546"/>
      <c r="Y90" s="185"/>
    </row>
    <row r="91" spans="10:25" x14ac:dyDescent="0.2">
      <c r="J91" s="546"/>
      <c r="K91" s="546"/>
      <c r="L91" s="546"/>
      <c r="M91" s="546"/>
      <c r="N91" s="546"/>
      <c r="O91" s="546"/>
      <c r="P91" s="546"/>
      <c r="Q91" s="546"/>
      <c r="R91" s="546"/>
      <c r="S91" s="546">
        <v>104</v>
      </c>
      <c r="T91" s="546">
        <v>150</v>
      </c>
      <c r="U91" s="546"/>
      <c r="V91" s="546"/>
      <c r="W91" s="546"/>
      <c r="X91" s="546"/>
      <c r="Y91" s="185"/>
    </row>
    <row r="92" spans="10:25" x14ac:dyDescent="0.2">
      <c r="J92" s="546"/>
      <c r="K92" s="546"/>
      <c r="L92" s="546"/>
      <c r="M92" s="546"/>
      <c r="N92" s="546"/>
      <c r="O92" s="546"/>
      <c r="P92" s="546"/>
      <c r="Q92" s="546"/>
      <c r="R92" s="546"/>
      <c r="S92" s="546">
        <v>105</v>
      </c>
      <c r="T92" s="546">
        <v>150</v>
      </c>
      <c r="U92" s="546"/>
      <c r="V92" s="546"/>
      <c r="W92" s="546"/>
      <c r="X92" s="546"/>
      <c r="Y92" s="185"/>
    </row>
    <row r="93" spans="10:25" x14ac:dyDescent="0.2">
      <c r="J93" s="546"/>
      <c r="K93" s="546"/>
      <c r="L93" s="546"/>
      <c r="M93" s="546"/>
      <c r="N93" s="546"/>
      <c r="O93" s="546"/>
      <c r="P93" s="546"/>
      <c r="Q93" s="546"/>
      <c r="R93" s="546"/>
      <c r="S93" s="546">
        <v>106</v>
      </c>
      <c r="T93" s="546">
        <v>150</v>
      </c>
      <c r="U93" s="546"/>
      <c r="V93" s="546"/>
      <c r="W93" s="546"/>
      <c r="X93" s="546"/>
      <c r="Y93" s="185"/>
    </row>
    <row r="94" spans="10:25" x14ac:dyDescent="0.2">
      <c r="J94" s="546"/>
      <c r="K94" s="546"/>
      <c r="L94" s="546"/>
      <c r="M94" s="546"/>
      <c r="N94" s="546"/>
      <c r="O94" s="546"/>
      <c r="P94" s="546"/>
      <c r="Q94" s="546"/>
      <c r="R94" s="546"/>
      <c r="S94" s="546">
        <v>107</v>
      </c>
      <c r="T94" s="546">
        <v>150</v>
      </c>
      <c r="U94" s="546"/>
      <c r="V94" s="546"/>
      <c r="W94" s="546"/>
      <c r="X94" s="546"/>
      <c r="Y94" s="185"/>
    </row>
    <row r="95" spans="10:25" x14ac:dyDescent="0.2">
      <c r="J95" s="546"/>
      <c r="K95" s="546"/>
      <c r="L95" s="546"/>
      <c r="M95" s="546"/>
      <c r="N95" s="546"/>
      <c r="O95" s="546"/>
      <c r="P95" s="546"/>
      <c r="Q95" s="546"/>
      <c r="R95" s="546"/>
      <c r="S95" s="546">
        <v>108</v>
      </c>
      <c r="T95" s="546">
        <v>150</v>
      </c>
      <c r="U95" s="546"/>
      <c r="V95" s="546"/>
      <c r="W95" s="546"/>
      <c r="X95" s="546"/>
      <c r="Y95" s="185"/>
    </row>
    <row r="96" spans="10:25" x14ac:dyDescent="0.2">
      <c r="J96" s="546"/>
      <c r="K96" s="546"/>
      <c r="L96" s="546"/>
      <c r="M96" s="546"/>
      <c r="N96" s="546"/>
      <c r="O96" s="546"/>
      <c r="P96" s="546"/>
      <c r="Q96" s="546"/>
      <c r="R96" s="546"/>
      <c r="S96" s="546">
        <v>109</v>
      </c>
      <c r="T96" s="546">
        <v>150</v>
      </c>
      <c r="U96" s="546"/>
      <c r="V96" s="546"/>
      <c r="W96" s="546"/>
      <c r="X96" s="546"/>
      <c r="Y96" s="185"/>
    </row>
    <row r="97" spans="10:25" x14ac:dyDescent="0.2">
      <c r="J97" s="546"/>
      <c r="K97" s="546"/>
      <c r="L97" s="546"/>
      <c r="M97" s="546"/>
      <c r="N97" s="546"/>
      <c r="O97" s="546"/>
      <c r="P97" s="546"/>
      <c r="Q97" s="546"/>
      <c r="R97" s="546"/>
      <c r="S97" s="546">
        <v>110</v>
      </c>
      <c r="T97" s="546">
        <v>150</v>
      </c>
      <c r="U97" s="546"/>
      <c r="V97" s="546"/>
      <c r="W97" s="546"/>
      <c r="X97" s="546"/>
      <c r="Y97" s="185"/>
    </row>
    <row r="98" spans="10:25" x14ac:dyDescent="0.2">
      <c r="J98" s="546"/>
      <c r="K98" s="546"/>
      <c r="L98" s="546"/>
      <c r="M98" s="546"/>
      <c r="N98" s="546"/>
      <c r="O98" s="546"/>
      <c r="P98" s="546"/>
      <c r="Q98" s="546"/>
      <c r="R98" s="546"/>
      <c r="S98" s="546">
        <v>111</v>
      </c>
      <c r="T98" s="546">
        <v>150</v>
      </c>
      <c r="U98" s="546"/>
      <c r="V98" s="546"/>
      <c r="W98" s="546"/>
      <c r="X98" s="546"/>
      <c r="Y98" s="185"/>
    </row>
    <row r="99" spans="10:25" x14ac:dyDescent="0.2">
      <c r="J99" s="546"/>
      <c r="K99" s="546"/>
      <c r="L99" s="546"/>
      <c r="M99" s="546"/>
      <c r="N99" s="546"/>
      <c r="O99" s="546"/>
      <c r="P99" s="546"/>
      <c r="Q99" s="546"/>
      <c r="R99" s="546"/>
      <c r="S99" s="546">
        <v>112</v>
      </c>
      <c r="T99" s="546">
        <v>150</v>
      </c>
      <c r="U99" s="546"/>
      <c r="V99" s="546"/>
      <c r="W99" s="546"/>
      <c r="X99" s="546"/>
      <c r="Y99" s="185"/>
    </row>
    <row r="100" spans="10:25" x14ac:dyDescent="0.2">
      <c r="J100" s="546"/>
      <c r="K100" s="546"/>
      <c r="L100" s="546"/>
      <c r="M100" s="546"/>
      <c r="N100" s="546"/>
      <c r="O100" s="546"/>
      <c r="P100" s="546"/>
      <c r="Q100" s="546"/>
      <c r="R100" s="546"/>
      <c r="S100" s="546">
        <v>113</v>
      </c>
      <c r="T100" s="546">
        <v>150</v>
      </c>
      <c r="U100" s="546"/>
      <c r="V100" s="546"/>
      <c r="W100" s="546"/>
      <c r="X100" s="546"/>
      <c r="Y100" s="185"/>
    </row>
    <row r="101" spans="10:25" x14ac:dyDescent="0.2">
      <c r="J101" s="546"/>
      <c r="K101" s="546"/>
      <c r="L101" s="546"/>
      <c r="M101" s="546"/>
      <c r="N101" s="546"/>
      <c r="O101" s="546"/>
      <c r="P101" s="546"/>
      <c r="Q101" s="546"/>
      <c r="R101" s="546"/>
      <c r="S101" s="546">
        <v>114</v>
      </c>
      <c r="T101" s="546">
        <v>150</v>
      </c>
      <c r="U101" s="546"/>
      <c r="V101" s="546"/>
      <c r="W101" s="546"/>
      <c r="X101" s="546"/>
      <c r="Y101" s="185"/>
    </row>
    <row r="102" spans="10:25" x14ac:dyDescent="0.2">
      <c r="J102" s="546"/>
      <c r="K102" s="546"/>
      <c r="L102" s="546"/>
      <c r="M102" s="546"/>
      <c r="N102" s="546"/>
      <c r="O102" s="546"/>
      <c r="P102" s="546"/>
      <c r="Q102" s="546"/>
      <c r="R102" s="546"/>
      <c r="S102" s="546">
        <v>115</v>
      </c>
      <c r="T102" s="546">
        <v>150</v>
      </c>
      <c r="U102" s="546"/>
      <c r="V102" s="546"/>
      <c r="W102" s="546"/>
      <c r="X102" s="546"/>
      <c r="Y102" s="185"/>
    </row>
    <row r="103" spans="10:25" x14ac:dyDescent="0.2">
      <c r="J103" s="546"/>
      <c r="K103" s="546"/>
      <c r="L103" s="546"/>
      <c r="M103" s="546"/>
      <c r="N103" s="546"/>
      <c r="O103" s="546"/>
      <c r="P103" s="546"/>
      <c r="Q103" s="546"/>
      <c r="R103" s="546"/>
      <c r="S103" s="546">
        <v>116</v>
      </c>
      <c r="T103" s="546">
        <v>150</v>
      </c>
      <c r="U103" s="546"/>
      <c r="V103" s="546"/>
      <c r="W103" s="546"/>
      <c r="X103" s="546"/>
      <c r="Y103" s="185"/>
    </row>
    <row r="104" spans="10:25" x14ac:dyDescent="0.2">
      <c r="J104" s="546"/>
      <c r="K104" s="546"/>
      <c r="L104" s="546"/>
      <c r="M104" s="546"/>
      <c r="N104" s="546"/>
      <c r="O104" s="546"/>
      <c r="P104" s="546"/>
      <c r="Q104" s="546"/>
      <c r="R104" s="546"/>
      <c r="S104" s="546">
        <v>117</v>
      </c>
      <c r="T104" s="546">
        <v>150</v>
      </c>
      <c r="U104" s="546"/>
      <c r="V104" s="546"/>
      <c r="W104" s="546"/>
      <c r="X104" s="546"/>
      <c r="Y104" s="185"/>
    </row>
    <row r="105" spans="10:25" x14ac:dyDescent="0.2">
      <c r="J105" s="546"/>
      <c r="K105" s="546"/>
      <c r="L105" s="546"/>
      <c r="M105" s="546"/>
      <c r="N105" s="546"/>
      <c r="O105" s="546"/>
      <c r="P105" s="546"/>
      <c r="Q105" s="546"/>
      <c r="R105" s="546"/>
      <c r="S105" s="546">
        <v>118</v>
      </c>
      <c r="T105" s="546">
        <v>150</v>
      </c>
      <c r="U105" s="546"/>
      <c r="V105" s="546"/>
      <c r="W105" s="546"/>
      <c r="X105" s="546"/>
      <c r="Y105" s="185"/>
    </row>
    <row r="106" spans="10:25" x14ac:dyDescent="0.2">
      <c r="J106" s="546"/>
      <c r="K106" s="546"/>
      <c r="L106" s="546"/>
      <c r="M106" s="546"/>
      <c r="N106" s="546"/>
      <c r="O106" s="546"/>
      <c r="P106" s="546"/>
      <c r="Q106" s="546"/>
      <c r="R106" s="546"/>
      <c r="S106" s="546">
        <v>119</v>
      </c>
      <c r="T106" s="546">
        <v>150</v>
      </c>
      <c r="U106" s="546"/>
      <c r="V106" s="546"/>
      <c r="W106" s="546"/>
      <c r="X106" s="546"/>
      <c r="Y106" s="185"/>
    </row>
    <row r="107" spans="10:25" x14ac:dyDescent="0.2">
      <c r="J107" s="546"/>
      <c r="K107" s="546"/>
      <c r="L107" s="546"/>
      <c r="M107" s="546"/>
      <c r="N107" s="546"/>
      <c r="O107" s="546"/>
      <c r="P107" s="546"/>
      <c r="Q107" s="546"/>
      <c r="R107" s="546"/>
      <c r="S107" s="546">
        <v>120</v>
      </c>
      <c r="T107" s="546">
        <v>150</v>
      </c>
      <c r="U107" s="546"/>
      <c r="V107" s="546"/>
      <c r="W107" s="546"/>
      <c r="X107" s="546"/>
      <c r="Y107" s="185"/>
    </row>
    <row r="108" spans="10:25" x14ac:dyDescent="0.2">
      <c r="J108" s="546"/>
      <c r="K108" s="546"/>
      <c r="L108" s="546"/>
      <c r="M108" s="546"/>
      <c r="N108" s="546"/>
      <c r="O108" s="546"/>
      <c r="P108" s="546"/>
      <c r="Q108" s="546"/>
      <c r="R108" s="546"/>
      <c r="S108" s="546">
        <v>121</v>
      </c>
      <c r="T108" s="546">
        <v>150</v>
      </c>
      <c r="U108" s="546"/>
      <c r="V108" s="546"/>
      <c r="W108" s="546"/>
      <c r="X108" s="546"/>
      <c r="Y108" s="185"/>
    </row>
    <row r="109" spans="10:25" x14ac:dyDescent="0.2">
      <c r="J109" s="546"/>
      <c r="K109" s="546"/>
      <c r="L109" s="546"/>
      <c r="M109" s="546"/>
      <c r="N109" s="546"/>
      <c r="O109" s="546"/>
      <c r="P109" s="546"/>
      <c r="Q109" s="546"/>
      <c r="R109" s="546"/>
      <c r="S109" s="546">
        <v>122</v>
      </c>
      <c r="T109" s="546">
        <v>150</v>
      </c>
      <c r="U109" s="546"/>
      <c r="V109" s="546"/>
      <c r="W109" s="546"/>
      <c r="X109" s="546"/>
      <c r="Y109" s="185"/>
    </row>
    <row r="110" spans="10:25" x14ac:dyDescent="0.2">
      <c r="J110" s="546"/>
      <c r="K110" s="546"/>
      <c r="L110" s="546"/>
      <c r="M110" s="546"/>
      <c r="N110" s="546"/>
      <c r="O110" s="546"/>
      <c r="P110" s="546"/>
      <c r="Q110" s="546"/>
      <c r="R110" s="546"/>
      <c r="S110" s="546">
        <v>123</v>
      </c>
      <c r="T110" s="546">
        <v>150</v>
      </c>
      <c r="U110" s="546"/>
      <c r="V110" s="546"/>
      <c r="W110" s="546"/>
      <c r="X110" s="546"/>
      <c r="Y110" s="185"/>
    </row>
    <row r="111" spans="10:25" x14ac:dyDescent="0.2">
      <c r="J111" s="546"/>
      <c r="K111" s="546"/>
      <c r="L111" s="546"/>
      <c r="M111" s="546"/>
      <c r="N111" s="546"/>
      <c r="O111" s="546"/>
      <c r="P111" s="546"/>
      <c r="Q111" s="546"/>
      <c r="R111" s="546"/>
      <c r="S111" s="546">
        <v>124</v>
      </c>
      <c r="T111" s="546">
        <v>150</v>
      </c>
      <c r="U111" s="546"/>
      <c r="V111" s="546"/>
      <c r="W111" s="546"/>
      <c r="X111" s="546"/>
      <c r="Y111" s="185"/>
    </row>
    <row r="112" spans="10:25" x14ac:dyDescent="0.2">
      <c r="J112" s="546"/>
      <c r="K112" s="546"/>
      <c r="L112" s="546"/>
      <c r="M112" s="546"/>
      <c r="N112" s="546"/>
      <c r="O112" s="546"/>
      <c r="P112" s="546"/>
      <c r="Q112" s="546"/>
      <c r="R112" s="546"/>
      <c r="S112" s="546">
        <v>125</v>
      </c>
      <c r="T112" s="546">
        <v>150</v>
      </c>
      <c r="U112" s="546"/>
      <c r="V112" s="546"/>
      <c r="W112" s="546"/>
      <c r="X112" s="546"/>
      <c r="Y112" s="185"/>
    </row>
    <row r="113" spans="10:25" x14ac:dyDescent="0.2">
      <c r="J113" s="546"/>
      <c r="K113" s="546"/>
      <c r="L113" s="546"/>
      <c r="M113" s="546"/>
      <c r="N113" s="546"/>
      <c r="O113" s="546"/>
      <c r="P113" s="546"/>
      <c r="Q113" s="546"/>
      <c r="R113" s="546"/>
      <c r="S113" s="546">
        <v>126</v>
      </c>
      <c r="T113" s="546">
        <v>150</v>
      </c>
      <c r="U113" s="546"/>
      <c r="V113" s="546"/>
      <c r="W113" s="546"/>
      <c r="X113" s="546"/>
      <c r="Y113" s="185"/>
    </row>
    <row r="114" spans="10:25" x14ac:dyDescent="0.2">
      <c r="J114" s="546"/>
      <c r="K114" s="546"/>
      <c r="L114" s="546"/>
      <c r="M114" s="546"/>
      <c r="N114" s="546"/>
      <c r="O114" s="546"/>
      <c r="P114" s="546"/>
      <c r="Q114" s="546"/>
      <c r="R114" s="546"/>
      <c r="S114" s="546">
        <v>127</v>
      </c>
      <c r="T114" s="546">
        <v>150</v>
      </c>
      <c r="U114" s="546"/>
      <c r="V114" s="546"/>
      <c r="W114" s="546"/>
      <c r="X114" s="546"/>
      <c r="Y114" s="185"/>
    </row>
    <row r="115" spans="10:25" x14ac:dyDescent="0.2">
      <c r="J115" s="546"/>
      <c r="K115" s="546"/>
      <c r="L115" s="546"/>
      <c r="M115" s="546"/>
      <c r="N115" s="546"/>
      <c r="O115" s="546"/>
      <c r="P115" s="546"/>
      <c r="Q115" s="546"/>
      <c r="R115" s="546"/>
      <c r="S115" s="546">
        <v>128</v>
      </c>
      <c r="T115" s="546">
        <v>150</v>
      </c>
      <c r="U115" s="546"/>
      <c r="V115" s="546"/>
      <c r="W115" s="546"/>
      <c r="X115" s="546"/>
      <c r="Y115" s="185"/>
    </row>
    <row r="116" spans="10:25" x14ac:dyDescent="0.2">
      <c r="J116" s="546"/>
      <c r="K116" s="546"/>
      <c r="L116" s="546"/>
      <c r="M116" s="546"/>
      <c r="N116" s="546"/>
      <c r="O116" s="546"/>
      <c r="P116" s="546"/>
      <c r="Q116" s="546"/>
      <c r="R116" s="546"/>
      <c r="S116" s="546">
        <v>129</v>
      </c>
      <c r="T116" s="546">
        <v>150</v>
      </c>
      <c r="U116" s="546"/>
      <c r="V116" s="546"/>
      <c r="W116" s="546"/>
      <c r="X116" s="546"/>
      <c r="Y116" s="185"/>
    </row>
    <row r="117" spans="10:25" x14ac:dyDescent="0.2">
      <c r="J117" s="546"/>
      <c r="K117" s="546"/>
      <c r="L117" s="546"/>
      <c r="M117" s="546"/>
      <c r="N117" s="546"/>
      <c r="O117" s="546"/>
      <c r="P117" s="546"/>
      <c r="Q117" s="546"/>
      <c r="R117" s="546"/>
      <c r="S117" s="546">
        <v>130</v>
      </c>
      <c r="T117" s="546">
        <v>150</v>
      </c>
      <c r="U117" s="546"/>
      <c r="V117" s="546"/>
      <c r="W117" s="546"/>
      <c r="X117" s="546"/>
      <c r="Y117" s="185"/>
    </row>
    <row r="118" spans="10:25" x14ac:dyDescent="0.2">
      <c r="J118" s="546"/>
      <c r="K118" s="546"/>
      <c r="L118" s="546"/>
      <c r="M118" s="546"/>
      <c r="N118" s="546"/>
      <c r="O118" s="546"/>
      <c r="P118" s="546"/>
      <c r="Q118" s="546"/>
      <c r="R118" s="546"/>
      <c r="S118" s="546">
        <v>131</v>
      </c>
      <c r="T118" s="546">
        <v>150</v>
      </c>
      <c r="U118" s="546"/>
      <c r="V118" s="546"/>
      <c r="W118" s="546"/>
      <c r="X118" s="546"/>
      <c r="Y118" s="185"/>
    </row>
    <row r="119" spans="10:25" x14ac:dyDescent="0.2">
      <c r="J119" s="546"/>
      <c r="K119" s="546"/>
      <c r="L119" s="546"/>
      <c r="M119" s="546"/>
      <c r="N119" s="546"/>
      <c r="O119" s="546"/>
      <c r="P119" s="546"/>
      <c r="Q119" s="546"/>
      <c r="R119" s="546"/>
      <c r="S119" s="546">
        <v>132</v>
      </c>
      <c r="T119" s="546">
        <v>150</v>
      </c>
      <c r="U119" s="546"/>
      <c r="V119" s="546"/>
      <c r="W119" s="546"/>
      <c r="X119" s="546"/>
      <c r="Y119" s="185"/>
    </row>
    <row r="120" spans="10:25" x14ac:dyDescent="0.2">
      <c r="J120" s="546"/>
      <c r="K120" s="546"/>
      <c r="L120" s="546"/>
      <c r="M120" s="546"/>
      <c r="N120" s="546"/>
      <c r="O120" s="546"/>
      <c r="P120" s="546"/>
      <c r="Q120" s="546"/>
      <c r="R120" s="546"/>
      <c r="S120" s="546">
        <v>133</v>
      </c>
      <c r="T120" s="546">
        <v>150</v>
      </c>
      <c r="U120" s="546"/>
      <c r="V120" s="546"/>
      <c r="W120" s="546"/>
      <c r="X120" s="546"/>
      <c r="Y120" s="185"/>
    </row>
    <row r="121" spans="10:25" x14ac:dyDescent="0.2">
      <c r="J121" s="546"/>
      <c r="K121" s="546"/>
      <c r="L121" s="546"/>
      <c r="M121" s="546"/>
      <c r="N121" s="546"/>
      <c r="O121" s="546"/>
      <c r="P121" s="546"/>
      <c r="Q121" s="546"/>
      <c r="R121" s="546"/>
      <c r="S121" s="546">
        <v>134</v>
      </c>
      <c r="T121" s="546">
        <v>150</v>
      </c>
      <c r="U121" s="546"/>
      <c r="V121" s="546"/>
      <c r="W121" s="546"/>
      <c r="X121" s="546"/>
      <c r="Y121" s="185"/>
    </row>
    <row r="122" spans="10:25" x14ac:dyDescent="0.2">
      <c r="J122" s="546"/>
      <c r="K122" s="546"/>
      <c r="L122" s="546"/>
      <c r="M122" s="546"/>
      <c r="N122" s="546"/>
      <c r="O122" s="546"/>
      <c r="P122" s="546"/>
      <c r="Q122" s="546"/>
      <c r="R122" s="546"/>
      <c r="S122" s="546">
        <v>135</v>
      </c>
      <c r="T122" s="546">
        <v>150</v>
      </c>
      <c r="U122" s="546"/>
      <c r="V122" s="546"/>
      <c r="W122" s="546"/>
      <c r="X122" s="546"/>
      <c r="Y122" s="185"/>
    </row>
    <row r="123" spans="10:25" x14ac:dyDescent="0.2">
      <c r="J123" s="546"/>
      <c r="K123" s="546"/>
      <c r="L123" s="546"/>
      <c r="M123" s="546"/>
      <c r="N123" s="546"/>
      <c r="O123" s="546"/>
      <c r="P123" s="546"/>
      <c r="Q123" s="546"/>
      <c r="R123" s="546"/>
      <c r="S123" s="546">
        <v>136</v>
      </c>
      <c r="T123" s="546">
        <v>150</v>
      </c>
      <c r="U123" s="546"/>
      <c r="V123" s="546"/>
      <c r="W123" s="546"/>
      <c r="X123" s="546"/>
      <c r="Y123" s="185"/>
    </row>
    <row r="124" spans="10:25" x14ac:dyDescent="0.2">
      <c r="J124" s="546"/>
      <c r="K124" s="546"/>
      <c r="L124" s="546"/>
      <c r="M124" s="546"/>
      <c r="N124" s="546"/>
      <c r="O124" s="546"/>
      <c r="P124" s="546"/>
      <c r="Q124" s="546"/>
      <c r="R124" s="546"/>
      <c r="S124" s="546">
        <v>137</v>
      </c>
      <c r="T124" s="546">
        <v>150</v>
      </c>
      <c r="U124" s="546"/>
      <c r="V124" s="546"/>
      <c r="W124" s="546"/>
      <c r="X124" s="546"/>
      <c r="Y124" s="185"/>
    </row>
    <row r="125" spans="10:25" x14ac:dyDescent="0.2">
      <c r="J125" s="546"/>
      <c r="K125" s="546"/>
      <c r="L125" s="546"/>
      <c r="M125" s="546"/>
      <c r="N125" s="546"/>
      <c r="O125" s="546"/>
      <c r="P125" s="546"/>
      <c r="Q125" s="546"/>
      <c r="R125" s="546"/>
      <c r="S125" s="546">
        <v>138</v>
      </c>
      <c r="T125" s="546">
        <v>150</v>
      </c>
      <c r="U125" s="546"/>
      <c r="V125" s="546"/>
      <c r="W125" s="546"/>
      <c r="X125" s="546"/>
      <c r="Y125" s="185"/>
    </row>
    <row r="126" spans="10:25" x14ac:dyDescent="0.2">
      <c r="J126" s="546"/>
      <c r="K126" s="546"/>
      <c r="L126" s="546"/>
      <c r="M126" s="546"/>
      <c r="N126" s="546"/>
      <c r="O126" s="546"/>
      <c r="P126" s="546"/>
      <c r="Q126" s="546"/>
      <c r="R126" s="546"/>
      <c r="S126" s="546">
        <v>139</v>
      </c>
      <c r="T126" s="546">
        <v>150</v>
      </c>
      <c r="U126" s="546"/>
      <c r="V126" s="546"/>
      <c r="W126" s="546"/>
      <c r="X126" s="546"/>
      <c r="Y126" s="185"/>
    </row>
    <row r="127" spans="10:25" x14ac:dyDescent="0.2">
      <c r="J127" s="546"/>
      <c r="K127" s="546"/>
      <c r="L127" s="546"/>
      <c r="M127" s="546"/>
      <c r="N127" s="546"/>
      <c r="O127" s="546"/>
      <c r="P127" s="546"/>
      <c r="Q127" s="546"/>
      <c r="R127" s="546"/>
      <c r="S127" s="546">
        <v>140</v>
      </c>
      <c r="T127" s="546">
        <v>150</v>
      </c>
      <c r="U127" s="546"/>
      <c r="V127" s="546"/>
      <c r="W127" s="546"/>
      <c r="X127" s="546"/>
      <c r="Y127" s="185"/>
    </row>
    <row r="128" spans="10:25" x14ac:dyDescent="0.2">
      <c r="J128" s="546"/>
      <c r="K128" s="546"/>
      <c r="L128" s="546"/>
      <c r="M128" s="546"/>
      <c r="N128" s="546"/>
      <c r="O128" s="546"/>
      <c r="P128" s="546"/>
      <c r="Q128" s="546"/>
      <c r="R128" s="546"/>
      <c r="S128" s="546">
        <v>141</v>
      </c>
      <c r="T128" s="546">
        <v>150</v>
      </c>
      <c r="U128" s="546"/>
      <c r="V128" s="546"/>
      <c r="W128" s="546"/>
      <c r="X128" s="546"/>
      <c r="Y128" s="185"/>
    </row>
    <row r="129" spans="10:25" x14ac:dyDescent="0.2">
      <c r="J129" s="546"/>
      <c r="K129" s="546"/>
      <c r="L129" s="546"/>
      <c r="M129" s="546"/>
      <c r="N129" s="546"/>
      <c r="O129" s="546"/>
      <c r="P129" s="546"/>
      <c r="Q129" s="546"/>
      <c r="R129" s="546"/>
      <c r="S129" s="546">
        <v>142</v>
      </c>
      <c r="T129" s="546">
        <v>150</v>
      </c>
      <c r="U129" s="546"/>
      <c r="V129" s="546"/>
      <c r="W129" s="546"/>
      <c r="X129" s="546"/>
      <c r="Y129" s="185"/>
    </row>
    <row r="130" spans="10:25" x14ac:dyDescent="0.2">
      <c r="J130" s="546"/>
      <c r="K130" s="546"/>
      <c r="L130" s="546"/>
      <c r="M130" s="546"/>
      <c r="N130" s="546"/>
      <c r="O130" s="546"/>
      <c r="P130" s="546"/>
      <c r="Q130" s="546"/>
      <c r="R130" s="546"/>
      <c r="S130" s="546">
        <v>143</v>
      </c>
      <c r="T130" s="546">
        <v>150</v>
      </c>
      <c r="U130" s="546"/>
      <c r="V130" s="546"/>
      <c r="W130" s="546"/>
      <c r="X130" s="546"/>
      <c r="Y130" s="185"/>
    </row>
    <row r="131" spans="10:25" x14ac:dyDescent="0.2">
      <c r="J131" s="546"/>
      <c r="K131" s="546"/>
      <c r="L131" s="546"/>
      <c r="M131" s="546"/>
      <c r="N131" s="546"/>
      <c r="O131" s="546"/>
      <c r="P131" s="546"/>
      <c r="Q131" s="546"/>
      <c r="R131" s="546"/>
      <c r="S131" s="546">
        <v>144</v>
      </c>
      <c r="T131" s="546">
        <v>150</v>
      </c>
      <c r="U131" s="546"/>
      <c r="V131" s="546"/>
      <c r="W131" s="546"/>
      <c r="X131" s="546"/>
      <c r="Y131" s="185"/>
    </row>
    <row r="132" spans="10:25" x14ac:dyDescent="0.2">
      <c r="J132" s="546"/>
      <c r="K132" s="546"/>
      <c r="L132" s="546"/>
      <c r="M132" s="546"/>
      <c r="N132" s="546"/>
      <c r="O132" s="546"/>
      <c r="P132" s="546"/>
      <c r="Q132" s="546"/>
      <c r="R132" s="546"/>
      <c r="S132" s="546">
        <v>145</v>
      </c>
      <c r="T132" s="546">
        <v>150</v>
      </c>
      <c r="U132" s="546"/>
      <c r="V132" s="546"/>
      <c r="W132" s="546"/>
      <c r="X132" s="546"/>
      <c r="Y132" s="185"/>
    </row>
    <row r="133" spans="10:25" x14ac:dyDescent="0.2">
      <c r="J133" s="546"/>
      <c r="K133" s="546"/>
      <c r="L133" s="546"/>
      <c r="M133" s="546"/>
      <c r="N133" s="546"/>
      <c r="O133" s="546"/>
      <c r="P133" s="546"/>
      <c r="Q133" s="546"/>
      <c r="R133" s="546"/>
      <c r="S133" s="546">
        <v>146</v>
      </c>
      <c r="T133" s="546">
        <v>150</v>
      </c>
      <c r="U133" s="546"/>
      <c r="V133" s="546"/>
      <c r="W133" s="546"/>
      <c r="X133" s="546"/>
      <c r="Y133" s="185"/>
    </row>
    <row r="134" spans="10:25" x14ac:dyDescent="0.2">
      <c r="J134" s="546"/>
      <c r="K134" s="546"/>
      <c r="L134" s="546"/>
      <c r="M134" s="546"/>
      <c r="N134" s="546"/>
      <c r="O134" s="546"/>
      <c r="P134" s="546"/>
      <c r="Q134" s="546"/>
      <c r="R134" s="546"/>
      <c r="S134" s="546">
        <v>147</v>
      </c>
      <c r="T134" s="546">
        <v>150</v>
      </c>
      <c r="U134" s="546"/>
      <c r="V134" s="546"/>
      <c r="W134" s="546"/>
      <c r="X134" s="546"/>
      <c r="Y134" s="185"/>
    </row>
    <row r="135" spans="10:25" x14ac:dyDescent="0.2">
      <c r="J135" s="546"/>
      <c r="K135" s="546"/>
      <c r="L135" s="546"/>
      <c r="M135" s="546"/>
      <c r="N135" s="546"/>
      <c r="O135" s="546"/>
      <c r="P135" s="546"/>
      <c r="Q135" s="546"/>
      <c r="R135" s="546"/>
      <c r="S135" s="546">
        <v>148</v>
      </c>
      <c r="T135" s="546">
        <v>150</v>
      </c>
      <c r="U135" s="546"/>
      <c r="V135" s="546"/>
      <c r="W135" s="546"/>
      <c r="X135" s="546"/>
      <c r="Y135" s="185"/>
    </row>
    <row r="136" spans="10:25" x14ac:dyDescent="0.2">
      <c r="J136" s="546"/>
      <c r="K136" s="546"/>
      <c r="L136" s="546"/>
      <c r="M136" s="546"/>
      <c r="N136" s="546"/>
      <c r="O136" s="546"/>
      <c r="P136" s="546"/>
      <c r="Q136" s="546"/>
      <c r="R136" s="546"/>
      <c r="S136" s="546">
        <v>149</v>
      </c>
      <c r="T136" s="546">
        <v>150</v>
      </c>
      <c r="U136" s="546"/>
      <c r="V136" s="546"/>
      <c r="W136" s="546"/>
      <c r="X136" s="546"/>
      <c r="Y136" s="185"/>
    </row>
    <row r="137" spans="10:25" x14ac:dyDescent="0.2">
      <c r="J137" s="546"/>
      <c r="K137" s="546"/>
      <c r="L137" s="546"/>
      <c r="M137" s="546"/>
      <c r="N137" s="546"/>
      <c r="O137" s="546"/>
      <c r="P137" s="546"/>
      <c r="Q137" s="546"/>
      <c r="R137" s="546"/>
      <c r="S137" s="546">
        <v>150</v>
      </c>
      <c r="T137" s="546">
        <v>150</v>
      </c>
      <c r="U137" s="546">
        <v>150</v>
      </c>
      <c r="V137" s="546"/>
      <c r="W137" s="546"/>
      <c r="X137" s="546"/>
      <c r="Y137" s="185"/>
    </row>
    <row r="138" spans="10:25" x14ac:dyDescent="0.2">
      <c r="J138" s="546"/>
      <c r="K138" s="546"/>
      <c r="L138" s="546"/>
      <c r="M138" s="546"/>
      <c r="N138" s="546"/>
      <c r="O138" s="546"/>
      <c r="P138" s="546"/>
      <c r="Q138" s="546"/>
      <c r="R138" s="546"/>
      <c r="S138" s="546">
        <v>151</v>
      </c>
      <c r="T138" s="546">
        <v>150</v>
      </c>
      <c r="U138" s="546"/>
      <c r="V138" s="546"/>
      <c r="W138" s="546"/>
      <c r="X138" s="546"/>
      <c r="Y138" s="185"/>
    </row>
    <row r="139" spans="10:25" x14ac:dyDescent="0.2">
      <c r="J139" s="546"/>
      <c r="K139" s="546"/>
      <c r="L139" s="546"/>
      <c r="M139" s="546"/>
      <c r="N139" s="546"/>
      <c r="O139" s="546"/>
      <c r="P139" s="546"/>
      <c r="Q139" s="546"/>
      <c r="R139" s="546"/>
      <c r="S139" s="546">
        <v>152</v>
      </c>
      <c r="T139" s="546">
        <v>150</v>
      </c>
      <c r="U139" s="546"/>
      <c r="V139" s="546"/>
      <c r="W139" s="546"/>
      <c r="X139" s="546"/>
      <c r="Y139" s="185"/>
    </row>
    <row r="140" spans="10:25" x14ac:dyDescent="0.2">
      <c r="J140" s="546"/>
      <c r="K140" s="546"/>
      <c r="L140" s="546"/>
      <c r="M140" s="546"/>
      <c r="N140" s="546"/>
      <c r="O140" s="546"/>
      <c r="P140" s="546"/>
      <c r="Q140" s="546"/>
      <c r="R140" s="546"/>
      <c r="S140" s="546">
        <v>153</v>
      </c>
      <c r="T140" s="546">
        <v>150</v>
      </c>
      <c r="U140" s="546"/>
      <c r="V140" s="546"/>
      <c r="W140" s="546"/>
      <c r="X140" s="546"/>
      <c r="Y140" s="185"/>
    </row>
    <row r="141" spans="10:25" x14ac:dyDescent="0.2">
      <c r="J141" s="546"/>
      <c r="K141" s="546"/>
      <c r="L141" s="546"/>
      <c r="M141" s="546"/>
      <c r="N141" s="546"/>
      <c r="O141" s="546"/>
      <c r="P141" s="546"/>
      <c r="Q141" s="546"/>
      <c r="R141" s="546"/>
      <c r="S141" s="546">
        <v>154</v>
      </c>
      <c r="T141" s="546">
        <v>150</v>
      </c>
      <c r="U141" s="546"/>
      <c r="V141" s="546"/>
      <c r="W141" s="546"/>
      <c r="X141" s="546"/>
      <c r="Y141" s="185"/>
    </row>
    <row r="142" spans="10:25" x14ac:dyDescent="0.2">
      <c r="J142" s="546"/>
      <c r="K142" s="546"/>
      <c r="L142" s="546"/>
      <c r="M142" s="546"/>
      <c r="N142" s="546"/>
      <c r="O142" s="546"/>
      <c r="P142" s="546"/>
      <c r="Q142" s="546"/>
      <c r="R142" s="546"/>
      <c r="S142" s="546">
        <v>155</v>
      </c>
      <c r="T142" s="546">
        <v>150</v>
      </c>
      <c r="U142" s="546"/>
      <c r="V142" s="546"/>
      <c r="W142" s="546"/>
      <c r="X142" s="546"/>
      <c r="Y142" s="185"/>
    </row>
    <row r="143" spans="10:25" x14ac:dyDescent="0.2">
      <c r="J143" s="546"/>
      <c r="K143" s="546"/>
      <c r="L143" s="546"/>
      <c r="M143" s="546"/>
      <c r="N143" s="546"/>
      <c r="O143" s="546"/>
      <c r="P143" s="546"/>
      <c r="Q143" s="546"/>
      <c r="R143" s="546"/>
      <c r="S143" s="546">
        <v>156</v>
      </c>
      <c r="T143" s="546">
        <v>150</v>
      </c>
      <c r="U143" s="546"/>
      <c r="V143" s="546"/>
      <c r="W143" s="546"/>
      <c r="X143" s="546"/>
      <c r="Y143" s="185"/>
    </row>
    <row r="144" spans="10:25" x14ac:dyDescent="0.2">
      <c r="J144" s="546"/>
      <c r="K144" s="546"/>
      <c r="L144" s="546"/>
      <c r="M144" s="546"/>
      <c r="N144" s="546"/>
      <c r="O144" s="546"/>
      <c r="P144" s="546"/>
      <c r="Q144" s="546"/>
      <c r="R144" s="546"/>
      <c r="S144" s="546">
        <v>157</v>
      </c>
      <c r="T144" s="546">
        <v>150</v>
      </c>
      <c r="U144" s="546"/>
      <c r="V144" s="546"/>
      <c r="W144" s="546"/>
      <c r="X144" s="546"/>
      <c r="Y144" s="185"/>
    </row>
    <row r="145" spans="10:25" x14ac:dyDescent="0.2">
      <c r="J145" s="546"/>
      <c r="K145" s="546"/>
      <c r="L145" s="546"/>
      <c r="M145" s="546"/>
      <c r="N145" s="546"/>
      <c r="O145" s="546"/>
      <c r="P145" s="546"/>
      <c r="Q145" s="546"/>
      <c r="R145" s="546"/>
      <c r="S145" s="546">
        <v>158</v>
      </c>
      <c r="T145" s="546">
        <v>150</v>
      </c>
      <c r="U145" s="546"/>
      <c r="V145" s="546"/>
      <c r="W145" s="546"/>
      <c r="X145" s="546"/>
      <c r="Y145" s="185"/>
    </row>
    <row r="146" spans="10:25" x14ac:dyDescent="0.2">
      <c r="J146" s="546"/>
      <c r="K146" s="546"/>
      <c r="L146" s="546"/>
      <c r="M146" s="546"/>
      <c r="N146" s="546"/>
      <c r="O146" s="546"/>
      <c r="P146" s="546"/>
      <c r="Q146" s="546"/>
      <c r="R146" s="546"/>
      <c r="S146" s="546">
        <v>159</v>
      </c>
      <c r="T146" s="546">
        <v>150</v>
      </c>
      <c r="U146" s="546"/>
      <c r="V146" s="546"/>
      <c r="W146" s="546"/>
      <c r="X146" s="546"/>
      <c r="Y146" s="185"/>
    </row>
    <row r="147" spans="10:25" x14ac:dyDescent="0.2">
      <c r="J147" s="546"/>
      <c r="K147" s="546"/>
      <c r="L147" s="546"/>
      <c r="M147" s="546"/>
      <c r="N147" s="546"/>
      <c r="O147" s="546"/>
      <c r="P147" s="546"/>
      <c r="Q147" s="546"/>
      <c r="R147" s="546"/>
      <c r="S147" s="546">
        <v>160</v>
      </c>
      <c r="T147" s="546">
        <v>150</v>
      </c>
      <c r="U147" s="546"/>
      <c r="V147" s="546"/>
      <c r="W147" s="546"/>
      <c r="X147" s="546"/>
      <c r="Y147" s="185"/>
    </row>
    <row r="148" spans="10:25" x14ac:dyDescent="0.2">
      <c r="J148" s="546"/>
      <c r="K148" s="546"/>
      <c r="L148" s="546"/>
      <c r="M148" s="546"/>
      <c r="N148" s="546"/>
      <c r="O148" s="546"/>
      <c r="P148" s="546"/>
      <c r="Q148" s="546"/>
      <c r="R148" s="546"/>
      <c r="S148" s="546">
        <v>161</v>
      </c>
      <c r="T148" s="546">
        <v>150</v>
      </c>
      <c r="U148" s="546"/>
      <c r="V148" s="546"/>
      <c r="W148" s="546"/>
      <c r="X148" s="546"/>
      <c r="Y148" s="185"/>
    </row>
    <row r="149" spans="10:25" x14ac:dyDescent="0.2">
      <c r="J149" s="546"/>
      <c r="K149" s="546"/>
      <c r="L149" s="546"/>
      <c r="M149" s="546"/>
      <c r="N149" s="546"/>
      <c r="O149" s="546"/>
      <c r="P149" s="546"/>
      <c r="Q149" s="546"/>
      <c r="R149" s="546"/>
      <c r="S149" s="546">
        <v>162</v>
      </c>
      <c r="T149" s="546">
        <v>150</v>
      </c>
      <c r="U149" s="546"/>
      <c r="V149" s="546"/>
      <c r="W149" s="546"/>
      <c r="X149" s="546"/>
      <c r="Y149" s="185"/>
    </row>
    <row r="150" spans="10:25" x14ac:dyDescent="0.2">
      <c r="J150" s="546"/>
      <c r="K150" s="546"/>
      <c r="L150" s="546"/>
      <c r="M150" s="546"/>
      <c r="N150" s="546"/>
      <c r="O150" s="546"/>
      <c r="P150" s="546"/>
      <c r="Q150" s="546"/>
      <c r="R150" s="546"/>
      <c r="S150" s="546">
        <v>163</v>
      </c>
      <c r="T150" s="546">
        <v>150</v>
      </c>
      <c r="U150" s="546"/>
      <c r="V150" s="546"/>
      <c r="W150" s="546"/>
      <c r="X150" s="546"/>
      <c r="Y150" s="185"/>
    </row>
    <row r="151" spans="10:25" x14ac:dyDescent="0.2">
      <c r="J151" s="546"/>
      <c r="K151" s="546"/>
      <c r="L151" s="546"/>
      <c r="M151" s="546"/>
      <c r="N151" s="546"/>
      <c r="O151" s="546"/>
      <c r="P151" s="546"/>
      <c r="Q151" s="546"/>
      <c r="R151" s="546"/>
      <c r="S151" s="546">
        <v>164</v>
      </c>
      <c r="T151" s="546">
        <v>150</v>
      </c>
      <c r="U151" s="546"/>
      <c r="V151" s="546"/>
      <c r="W151" s="546"/>
      <c r="X151" s="546"/>
      <c r="Y151" s="185"/>
    </row>
    <row r="152" spans="10:25" x14ac:dyDescent="0.2">
      <c r="J152" s="546"/>
      <c r="K152" s="546"/>
      <c r="L152" s="546"/>
      <c r="M152" s="546"/>
      <c r="N152" s="546"/>
      <c r="O152" s="546"/>
      <c r="P152" s="546"/>
      <c r="Q152" s="546"/>
      <c r="R152" s="546"/>
      <c r="S152" s="546">
        <v>165</v>
      </c>
      <c r="T152" s="546">
        <v>150</v>
      </c>
      <c r="U152" s="546"/>
      <c r="V152" s="546"/>
      <c r="W152" s="546"/>
      <c r="X152" s="546"/>
      <c r="Y152" s="185"/>
    </row>
    <row r="153" spans="10:25" x14ac:dyDescent="0.2">
      <c r="J153" s="546"/>
      <c r="K153" s="546"/>
      <c r="L153" s="546"/>
      <c r="M153" s="546"/>
      <c r="N153" s="546"/>
      <c r="O153" s="546"/>
      <c r="P153" s="546"/>
      <c r="Q153" s="546"/>
      <c r="R153" s="546"/>
      <c r="S153" s="546">
        <v>166</v>
      </c>
      <c r="T153" s="546">
        <v>150</v>
      </c>
      <c r="U153" s="546"/>
      <c r="V153" s="546"/>
      <c r="W153" s="546"/>
      <c r="X153" s="546"/>
      <c r="Y153" s="185"/>
    </row>
    <row r="154" spans="10:25" x14ac:dyDescent="0.2">
      <c r="J154" s="546"/>
      <c r="K154" s="546"/>
      <c r="L154" s="546"/>
      <c r="M154" s="546"/>
      <c r="N154" s="546"/>
      <c r="O154" s="546"/>
      <c r="P154" s="546"/>
      <c r="Q154" s="546"/>
      <c r="R154" s="546"/>
      <c r="S154" s="546">
        <v>167</v>
      </c>
      <c r="T154" s="546">
        <v>150</v>
      </c>
      <c r="U154" s="546"/>
      <c r="V154" s="546"/>
      <c r="W154" s="546"/>
      <c r="X154" s="546"/>
      <c r="Y154" s="185"/>
    </row>
    <row r="155" spans="10:25" x14ac:dyDescent="0.2">
      <c r="J155" s="546"/>
      <c r="K155" s="546"/>
      <c r="L155" s="546"/>
      <c r="M155" s="546"/>
      <c r="N155" s="546"/>
      <c r="O155" s="546"/>
      <c r="P155" s="546"/>
      <c r="Q155" s="546"/>
      <c r="R155" s="546"/>
      <c r="S155" s="546">
        <v>168</v>
      </c>
      <c r="T155" s="546">
        <v>150</v>
      </c>
      <c r="U155" s="546"/>
      <c r="V155" s="546"/>
      <c r="W155" s="546"/>
      <c r="X155" s="546"/>
      <c r="Y155" s="185"/>
    </row>
    <row r="156" spans="10:25" x14ac:dyDescent="0.2">
      <c r="J156" s="546"/>
      <c r="K156" s="546"/>
      <c r="L156" s="546"/>
      <c r="M156" s="546"/>
      <c r="N156" s="546"/>
      <c r="O156" s="546"/>
      <c r="P156" s="546"/>
      <c r="Q156" s="546"/>
      <c r="R156" s="546"/>
      <c r="S156" s="546">
        <v>169</v>
      </c>
      <c r="T156" s="546">
        <v>150</v>
      </c>
      <c r="U156" s="546"/>
      <c r="V156" s="546"/>
      <c r="W156" s="546"/>
      <c r="X156" s="546"/>
      <c r="Y156" s="185"/>
    </row>
    <row r="157" spans="10:25" x14ac:dyDescent="0.2">
      <c r="J157" s="546"/>
      <c r="K157" s="546"/>
      <c r="L157" s="546"/>
      <c r="M157" s="546"/>
      <c r="N157" s="546"/>
      <c r="O157" s="546"/>
      <c r="P157" s="546"/>
      <c r="Q157" s="546"/>
      <c r="R157" s="546"/>
      <c r="S157" s="546">
        <v>170</v>
      </c>
      <c r="T157" s="546">
        <v>150</v>
      </c>
      <c r="U157" s="546"/>
      <c r="V157" s="546"/>
      <c r="W157" s="546"/>
      <c r="X157" s="546"/>
      <c r="Y157" s="185"/>
    </row>
    <row r="158" spans="10:25" x14ac:dyDescent="0.2">
      <c r="J158" s="546"/>
      <c r="K158" s="546"/>
      <c r="L158" s="546"/>
      <c r="M158" s="546"/>
      <c r="N158" s="546"/>
      <c r="O158" s="546"/>
      <c r="P158" s="546"/>
      <c r="Q158" s="546"/>
      <c r="R158" s="546"/>
      <c r="S158" s="546">
        <v>171</v>
      </c>
      <c r="T158" s="546">
        <v>150</v>
      </c>
      <c r="U158" s="546"/>
      <c r="V158" s="546"/>
      <c r="W158" s="546"/>
      <c r="X158" s="546"/>
      <c r="Y158" s="185"/>
    </row>
    <row r="159" spans="10:25" x14ac:dyDescent="0.2">
      <c r="J159" s="546"/>
      <c r="K159" s="546"/>
      <c r="L159" s="546"/>
      <c r="M159" s="546"/>
      <c r="N159" s="546"/>
      <c r="O159" s="546"/>
      <c r="P159" s="546"/>
      <c r="Q159" s="546"/>
      <c r="R159" s="546"/>
      <c r="S159" s="546">
        <v>172</v>
      </c>
      <c r="T159" s="546">
        <v>150</v>
      </c>
      <c r="U159" s="546"/>
      <c r="V159" s="546"/>
      <c r="W159" s="546"/>
      <c r="X159" s="546"/>
      <c r="Y159" s="185"/>
    </row>
    <row r="160" spans="10:25" x14ac:dyDescent="0.2">
      <c r="J160" s="546"/>
      <c r="K160" s="546"/>
      <c r="L160" s="546"/>
      <c r="M160" s="546"/>
      <c r="N160" s="546"/>
      <c r="O160" s="546"/>
      <c r="P160" s="546"/>
      <c r="Q160" s="546"/>
      <c r="R160" s="546"/>
      <c r="S160" s="546">
        <v>173</v>
      </c>
      <c r="T160" s="546">
        <v>150</v>
      </c>
      <c r="U160" s="546"/>
      <c r="V160" s="546"/>
      <c r="W160" s="546"/>
      <c r="X160" s="546"/>
      <c r="Y160" s="185"/>
    </row>
    <row r="161" spans="10:25" x14ac:dyDescent="0.2">
      <c r="J161" s="546"/>
      <c r="K161" s="546"/>
      <c r="L161" s="546"/>
      <c r="M161" s="546"/>
      <c r="N161" s="546"/>
      <c r="O161" s="546"/>
      <c r="P161" s="546"/>
      <c r="Q161" s="546"/>
      <c r="R161" s="546"/>
      <c r="S161" s="546">
        <v>174</v>
      </c>
      <c r="T161" s="546">
        <v>150</v>
      </c>
      <c r="U161" s="546"/>
      <c r="V161" s="546"/>
      <c r="W161" s="546"/>
      <c r="X161" s="546"/>
      <c r="Y161" s="185"/>
    </row>
    <row r="162" spans="10:25" x14ac:dyDescent="0.2">
      <c r="J162" s="546"/>
      <c r="K162" s="546"/>
      <c r="L162" s="546"/>
      <c r="M162" s="546"/>
      <c r="N162" s="546"/>
      <c r="O162" s="546"/>
      <c r="P162" s="546"/>
      <c r="Q162" s="546"/>
      <c r="R162" s="546"/>
      <c r="S162" s="546">
        <v>175</v>
      </c>
      <c r="T162" s="546">
        <v>150</v>
      </c>
      <c r="U162" s="546"/>
      <c r="V162" s="546"/>
      <c r="W162" s="546"/>
      <c r="X162" s="546"/>
      <c r="Y162" s="185"/>
    </row>
    <row r="163" spans="10:25" x14ac:dyDescent="0.2">
      <c r="J163" s="546"/>
      <c r="K163" s="546"/>
      <c r="L163" s="546"/>
      <c r="M163" s="546"/>
      <c r="N163" s="546"/>
      <c r="O163" s="546"/>
      <c r="P163" s="546"/>
      <c r="Q163" s="546"/>
      <c r="R163" s="546"/>
      <c r="S163" s="546">
        <v>176</v>
      </c>
      <c r="T163" s="546">
        <v>150</v>
      </c>
      <c r="U163" s="546"/>
      <c r="V163" s="546"/>
      <c r="W163" s="546"/>
      <c r="X163" s="546"/>
      <c r="Y163" s="185"/>
    </row>
    <row r="164" spans="10:25" x14ac:dyDescent="0.2">
      <c r="J164" s="546"/>
      <c r="K164" s="546"/>
      <c r="L164" s="546"/>
      <c r="M164" s="546"/>
      <c r="N164" s="546"/>
      <c r="O164" s="546"/>
      <c r="P164" s="546"/>
      <c r="Q164" s="546"/>
      <c r="R164" s="546"/>
      <c r="S164" s="546">
        <v>177</v>
      </c>
      <c r="T164" s="546">
        <v>150</v>
      </c>
      <c r="U164" s="546"/>
      <c r="V164" s="546"/>
      <c r="W164" s="546"/>
      <c r="X164" s="546"/>
      <c r="Y164" s="185"/>
    </row>
    <row r="165" spans="10:25" x14ac:dyDescent="0.2">
      <c r="J165" s="546"/>
      <c r="K165" s="546"/>
      <c r="L165" s="546"/>
      <c r="M165" s="546"/>
      <c r="N165" s="546"/>
      <c r="O165" s="546"/>
      <c r="P165" s="546"/>
      <c r="Q165" s="546"/>
      <c r="R165" s="546"/>
      <c r="S165" s="546">
        <v>178</v>
      </c>
      <c r="T165" s="546">
        <v>150</v>
      </c>
      <c r="U165" s="546"/>
      <c r="V165" s="546"/>
      <c r="W165" s="546"/>
      <c r="X165" s="546"/>
      <c r="Y165" s="185"/>
    </row>
    <row r="166" spans="10:25" x14ac:dyDescent="0.2">
      <c r="J166" s="546"/>
      <c r="K166" s="546"/>
      <c r="L166" s="546"/>
      <c r="M166" s="546"/>
      <c r="N166" s="546"/>
      <c r="O166" s="546"/>
      <c r="P166" s="546"/>
      <c r="Q166" s="546"/>
      <c r="R166" s="546"/>
      <c r="S166" s="546">
        <v>179</v>
      </c>
      <c r="T166" s="546">
        <v>150</v>
      </c>
      <c r="U166" s="546"/>
      <c r="V166" s="546"/>
      <c r="W166" s="546"/>
      <c r="X166" s="546"/>
      <c r="Y166" s="185"/>
    </row>
    <row r="167" spans="10:25" x14ac:dyDescent="0.2">
      <c r="J167" s="546"/>
      <c r="K167" s="546"/>
      <c r="L167" s="546"/>
      <c r="M167" s="546"/>
      <c r="N167" s="546"/>
      <c r="O167" s="546"/>
      <c r="P167" s="546"/>
      <c r="Q167" s="546"/>
      <c r="R167" s="546"/>
      <c r="S167" s="546">
        <v>180</v>
      </c>
      <c r="T167" s="546">
        <v>150</v>
      </c>
      <c r="U167" s="546"/>
      <c r="V167" s="546"/>
      <c r="W167" s="546"/>
      <c r="X167" s="546"/>
      <c r="Y167" s="185"/>
    </row>
    <row r="168" spans="10:25" x14ac:dyDescent="0.2">
      <c r="J168" s="546"/>
      <c r="K168" s="546"/>
      <c r="L168" s="546"/>
      <c r="M168" s="546"/>
      <c r="N168" s="546"/>
      <c r="O168" s="546"/>
      <c r="P168" s="546"/>
      <c r="Q168" s="546"/>
      <c r="R168" s="546"/>
      <c r="S168" s="546">
        <v>181</v>
      </c>
      <c r="T168" s="546">
        <v>150</v>
      </c>
      <c r="U168" s="546"/>
      <c r="V168" s="546"/>
      <c r="W168" s="546"/>
      <c r="X168" s="546"/>
      <c r="Y168" s="185"/>
    </row>
    <row r="169" spans="10:25" x14ac:dyDescent="0.2">
      <c r="J169" s="546"/>
      <c r="K169" s="546"/>
      <c r="L169" s="546"/>
      <c r="M169" s="546"/>
      <c r="N169" s="546"/>
      <c r="O169" s="546"/>
      <c r="P169" s="546"/>
      <c r="Q169" s="546"/>
      <c r="R169" s="546"/>
      <c r="S169" s="546">
        <v>182</v>
      </c>
      <c r="T169" s="546">
        <v>150</v>
      </c>
      <c r="U169" s="546"/>
      <c r="V169" s="546"/>
      <c r="W169" s="546"/>
      <c r="X169" s="546"/>
      <c r="Y169" s="185"/>
    </row>
    <row r="170" spans="10:25" x14ac:dyDescent="0.2">
      <c r="J170" s="546"/>
      <c r="K170" s="546"/>
      <c r="L170" s="546"/>
      <c r="M170" s="546"/>
      <c r="N170" s="546"/>
      <c r="O170" s="546"/>
      <c r="P170" s="546"/>
      <c r="Q170" s="546"/>
      <c r="R170" s="546"/>
      <c r="S170" s="546">
        <v>183</v>
      </c>
      <c r="T170" s="546">
        <v>150</v>
      </c>
      <c r="U170" s="546"/>
      <c r="V170" s="546"/>
      <c r="W170" s="546"/>
      <c r="X170" s="546"/>
      <c r="Y170" s="185"/>
    </row>
    <row r="171" spans="10:25" x14ac:dyDescent="0.2">
      <c r="J171" s="546"/>
      <c r="K171" s="546"/>
      <c r="L171" s="546"/>
      <c r="M171" s="546"/>
      <c r="N171" s="546"/>
      <c r="O171" s="546"/>
      <c r="P171" s="546"/>
      <c r="Q171" s="546"/>
      <c r="R171" s="546"/>
      <c r="S171" s="546">
        <v>184</v>
      </c>
      <c r="T171" s="546">
        <v>150</v>
      </c>
      <c r="U171" s="546"/>
      <c r="V171" s="546"/>
      <c r="W171" s="546"/>
      <c r="X171" s="546"/>
      <c r="Y171" s="185"/>
    </row>
    <row r="172" spans="10:25" x14ac:dyDescent="0.2">
      <c r="J172" s="546"/>
      <c r="K172" s="546"/>
      <c r="L172" s="546"/>
      <c r="M172" s="546"/>
      <c r="N172" s="546"/>
      <c r="O172" s="546"/>
      <c r="P172" s="546"/>
      <c r="Q172" s="546"/>
      <c r="R172" s="546"/>
      <c r="S172" s="546">
        <v>185</v>
      </c>
      <c r="T172" s="546">
        <v>150</v>
      </c>
      <c r="U172" s="546"/>
      <c r="V172" s="546"/>
      <c r="W172" s="546"/>
      <c r="X172" s="546"/>
      <c r="Y172" s="185"/>
    </row>
    <row r="173" spans="10:25" x14ac:dyDescent="0.2">
      <c r="J173" s="546"/>
      <c r="K173" s="546"/>
      <c r="L173" s="546"/>
      <c r="M173" s="546"/>
      <c r="N173" s="546"/>
      <c r="O173" s="546"/>
      <c r="P173" s="546"/>
      <c r="Q173" s="546"/>
      <c r="R173" s="546"/>
      <c r="S173" s="546">
        <v>186</v>
      </c>
      <c r="T173" s="546">
        <v>150</v>
      </c>
      <c r="U173" s="546"/>
      <c r="V173" s="546"/>
      <c r="W173" s="546"/>
      <c r="X173" s="546"/>
      <c r="Y173" s="185"/>
    </row>
    <row r="174" spans="10:25" x14ac:dyDescent="0.2">
      <c r="J174" s="546"/>
      <c r="K174" s="546"/>
      <c r="L174" s="546"/>
      <c r="M174" s="546"/>
      <c r="N174" s="546"/>
      <c r="O174" s="546"/>
      <c r="P174" s="546"/>
      <c r="Q174" s="546"/>
      <c r="R174" s="546"/>
      <c r="S174" s="546">
        <v>187</v>
      </c>
      <c r="T174" s="546">
        <v>150</v>
      </c>
      <c r="U174" s="546"/>
      <c r="V174" s="546"/>
      <c r="W174" s="546"/>
      <c r="X174" s="546"/>
      <c r="Y174" s="185"/>
    </row>
    <row r="175" spans="10:25" x14ac:dyDescent="0.2">
      <c r="J175" s="546"/>
      <c r="K175" s="546"/>
      <c r="L175" s="546"/>
      <c r="M175" s="546"/>
      <c r="N175" s="546"/>
      <c r="O175" s="546"/>
      <c r="P175" s="546"/>
      <c r="Q175" s="546"/>
      <c r="R175" s="546"/>
      <c r="S175" s="546">
        <v>188</v>
      </c>
      <c r="T175" s="546">
        <v>150</v>
      </c>
      <c r="U175" s="546"/>
      <c r="V175" s="546"/>
      <c r="W175" s="546"/>
      <c r="X175" s="546"/>
      <c r="Y175" s="185"/>
    </row>
    <row r="176" spans="10:25" x14ac:dyDescent="0.2">
      <c r="J176" s="546"/>
      <c r="K176" s="546"/>
      <c r="L176" s="546"/>
      <c r="M176" s="546"/>
      <c r="N176" s="546"/>
      <c r="O176" s="546"/>
      <c r="P176" s="546"/>
      <c r="Q176" s="546"/>
      <c r="R176" s="546"/>
      <c r="S176" s="546">
        <v>189</v>
      </c>
      <c r="T176" s="546">
        <v>150</v>
      </c>
      <c r="U176" s="546"/>
      <c r="V176" s="546"/>
      <c r="W176" s="546"/>
      <c r="X176" s="546"/>
      <c r="Y176" s="185"/>
    </row>
    <row r="177" spans="10:25" x14ac:dyDescent="0.2">
      <c r="J177" s="546"/>
      <c r="K177" s="546"/>
      <c r="L177" s="546"/>
      <c r="M177" s="546"/>
      <c r="N177" s="546"/>
      <c r="O177" s="546"/>
      <c r="P177" s="546"/>
      <c r="Q177" s="546"/>
      <c r="R177" s="546"/>
      <c r="S177" s="546">
        <v>190</v>
      </c>
      <c r="T177" s="546">
        <v>150</v>
      </c>
      <c r="U177" s="546"/>
      <c r="V177" s="546"/>
      <c r="W177" s="546"/>
      <c r="X177" s="546"/>
      <c r="Y177" s="185"/>
    </row>
    <row r="178" spans="10:25" x14ac:dyDescent="0.2">
      <c r="J178" s="546"/>
      <c r="K178" s="546"/>
      <c r="L178" s="546"/>
      <c r="M178" s="546"/>
      <c r="N178" s="546"/>
      <c r="O178" s="546"/>
      <c r="P178" s="546"/>
      <c r="Q178" s="546"/>
      <c r="R178" s="546"/>
      <c r="S178" s="546">
        <v>191</v>
      </c>
      <c r="T178" s="546">
        <v>150</v>
      </c>
      <c r="U178" s="546"/>
      <c r="V178" s="546"/>
      <c r="W178" s="546"/>
      <c r="X178" s="546"/>
      <c r="Y178" s="185"/>
    </row>
    <row r="179" spans="10:25" x14ac:dyDescent="0.2">
      <c r="J179" s="546"/>
      <c r="K179" s="546"/>
      <c r="L179" s="546"/>
      <c r="M179" s="546"/>
      <c r="N179" s="546"/>
      <c r="O179" s="546"/>
      <c r="P179" s="546"/>
      <c r="Q179" s="546"/>
      <c r="R179" s="546"/>
      <c r="S179" s="546">
        <v>192</v>
      </c>
      <c r="T179" s="546">
        <v>150</v>
      </c>
      <c r="U179" s="546"/>
      <c r="V179" s="546"/>
      <c r="W179" s="546"/>
      <c r="X179" s="546"/>
      <c r="Y179" s="185"/>
    </row>
    <row r="180" spans="10:25" x14ac:dyDescent="0.2">
      <c r="J180" s="546"/>
      <c r="K180" s="546"/>
      <c r="L180" s="546"/>
      <c r="M180" s="546"/>
      <c r="N180" s="546"/>
      <c r="O180" s="546"/>
      <c r="P180" s="546"/>
      <c r="Q180" s="546"/>
      <c r="R180" s="546"/>
      <c r="S180" s="546">
        <v>193</v>
      </c>
      <c r="T180" s="546">
        <v>150</v>
      </c>
      <c r="U180" s="546"/>
      <c r="V180" s="546"/>
      <c r="W180" s="546"/>
      <c r="X180" s="546"/>
      <c r="Y180" s="185"/>
    </row>
    <row r="181" spans="10:25" x14ac:dyDescent="0.2">
      <c r="J181" s="546"/>
      <c r="K181" s="546"/>
      <c r="L181" s="546"/>
      <c r="M181" s="546"/>
      <c r="N181" s="546"/>
      <c r="O181" s="546"/>
      <c r="P181" s="546"/>
      <c r="Q181" s="546"/>
      <c r="R181" s="546"/>
      <c r="S181" s="546">
        <v>194</v>
      </c>
      <c r="T181" s="546">
        <v>150</v>
      </c>
      <c r="U181" s="546"/>
      <c r="V181" s="546"/>
      <c r="W181" s="546"/>
      <c r="X181" s="546"/>
      <c r="Y181" s="185"/>
    </row>
    <row r="182" spans="10:25" x14ac:dyDescent="0.2">
      <c r="J182" s="546"/>
      <c r="K182" s="546"/>
      <c r="L182" s="546"/>
      <c r="M182" s="546"/>
      <c r="N182" s="546"/>
      <c r="O182" s="546"/>
      <c r="P182" s="546"/>
      <c r="Q182" s="546"/>
      <c r="R182" s="546"/>
      <c r="S182" s="546">
        <v>195</v>
      </c>
      <c r="T182" s="546">
        <v>150</v>
      </c>
      <c r="U182" s="546"/>
      <c r="V182" s="546"/>
      <c r="W182" s="546"/>
      <c r="X182" s="546"/>
      <c r="Y182" s="185"/>
    </row>
    <row r="183" spans="10:25" x14ac:dyDescent="0.2">
      <c r="J183" s="546"/>
      <c r="K183" s="546"/>
      <c r="L183" s="546"/>
      <c r="M183" s="546"/>
      <c r="N183" s="546"/>
      <c r="O183" s="546"/>
      <c r="P183" s="546"/>
      <c r="Q183" s="546"/>
      <c r="R183" s="546"/>
      <c r="S183" s="546">
        <v>196</v>
      </c>
      <c r="T183" s="546">
        <v>150</v>
      </c>
      <c r="U183" s="546"/>
      <c r="V183" s="546"/>
      <c r="W183" s="546"/>
      <c r="X183" s="546"/>
      <c r="Y183" s="185"/>
    </row>
    <row r="184" spans="10:25" x14ac:dyDescent="0.2">
      <c r="J184" s="546"/>
      <c r="K184" s="546"/>
      <c r="L184" s="546"/>
      <c r="M184" s="546"/>
      <c r="N184" s="546"/>
      <c r="O184" s="546"/>
      <c r="P184" s="546"/>
      <c r="Q184" s="546"/>
      <c r="R184" s="546"/>
      <c r="S184" s="546">
        <v>197</v>
      </c>
      <c r="T184" s="546">
        <v>150</v>
      </c>
      <c r="U184" s="546"/>
      <c r="V184" s="546"/>
      <c r="W184" s="546"/>
      <c r="X184" s="546"/>
      <c r="Y184" s="185"/>
    </row>
    <row r="185" spans="10:25" x14ac:dyDescent="0.2">
      <c r="J185" s="546"/>
      <c r="K185" s="546"/>
      <c r="L185" s="546"/>
      <c r="M185" s="546"/>
      <c r="N185" s="546"/>
      <c r="O185" s="546"/>
      <c r="P185" s="546"/>
      <c r="Q185" s="546"/>
      <c r="R185" s="546"/>
      <c r="S185" s="546">
        <v>198</v>
      </c>
      <c r="T185" s="546">
        <v>150</v>
      </c>
      <c r="U185" s="546"/>
      <c r="V185" s="546"/>
      <c r="W185" s="546"/>
      <c r="X185" s="546"/>
      <c r="Y185" s="185"/>
    </row>
    <row r="186" spans="10:25" x14ac:dyDescent="0.2">
      <c r="J186" s="546"/>
      <c r="K186" s="546"/>
      <c r="L186" s="546"/>
      <c r="M186" s="546"/>
      <c r="N186" s="546"/>
      <c r="O186" s="546"/>
      <c r="P186" s="546"/>
      <c r="Q186" s="546"/>
      <c r="R186" s="546"/>
      <c r="S186" s="546">
        <v>199</v>
      </c>
      <c r="T186" s="546">
        <v>150</v>
      </c>
      <c r="U186" s="546"/>
      <c r="V186" s="546"/>
      <c r="W186" s="546"/>
      <c r="X186" s="546"/>
      <c r="Y186" s="185"/>
    </row>
    <row r="187" spans="10:25" x14ac:dyDescent="0.2">
      <c r="J187" s="546"/>
      <c r="K187" s="546"/>
      <c r="L187" s="546"/>
      <c r="M187" s="546"/>
      <c r="N187" s="546"/>
      <c r="O187" s="546"/>
      <c r="P187" s="546"/>
      <c r="Q187" s="546"/>
      <c r="R187" s="546"/>
      <c r="S187" s="546">
        <v>200</v>
      </c>
      <c r="T187" s="546">
        <v>150</v>
      </c>
      <c r="U187" s="546">
        <v>200</v>
      </c>
      <c r="V187" s="546"/>
      <c r="W187" s="546"/>
      <c r="X187" s="546"/>
      <c r="Y187" s="185"/>
    </row>
    <row r="188" spans="10:25" x14ac:dyDescent="0.2">
      <c r="J188" s="546"/>
      <c r="K188" s="546"/>
      <c r="L188" s="546"/>
      <c r="M188" s="546"/>
      <c r="N188" s="546"/>
      <c r="O188" s="546"/>
      <c r="P188" s="546"/>
      <c r="Q188" s="546"/>
      <c r="R188" s="546"/>
      <c r="S188" s="546">
        <v>201</v>
      </c>
      <c r="T188" s="546">
        <v>150</v>
      </c>
      <c r="U188" s="546"/>
      <c r="V188" s="546"/>
      <c r="W188" s="546"/>
      <c r="X188" s="546"/>
      <c r="Y188" s="185"/>
    </row>
    <row r="189" spans="10:25" x14ac:dyDescent="0.2">
      <c r="J189" s="546"/>
      <c r="K189" s="546"/>
      <c r="L189" s="546"/>
      <c r="M189" s="546"/>
      <c r="N189" s="546"/>
      <c r="O189" s="546"/>
      <c r="P189" s="546"/>
      <c r="Q189" s="546"/>
      <c r="R189" s="546"/>
      <c r="S189" s="546">
        <v>202</v>
      </c>
      <c r="T189" s="546">
        <v>150</v>
      </c>
      <c r="U189" s="546"/>
      <c r="V189" s="546"/>
      <c r="W189" s="546"/>
      <c r="X189" s="546"/>
      <c r="Y189" s="185"/>
    </row>
    <row r="190" spans="10:25" x14ac:dyDescent="0.2">
      <c r="J190" s="546"/>
      <c r="K190" s="546"/>
      <c r="L190" s="546"/>
      <c r="M190" s="546"/>
      <c r="N190" s="546"/>
      <c r="O190" s="546"/>
      <c r="P190" s="546"/>
      <c r="Q190" s="546"/>
      <c r="R190" s="546"/>
      <c r="S190" s="546">
        <v>203</v>
      </c>
      <c r="T190" s="546">
        <v>150</v>
      </c>
      <c r="U190" s="546"/>
      <c r="V190" s="546"/>
      <c r="W190" s="546"/>
      <c r="X190" s="546"/>
      <c r="Y190" s="185"/>
    </row>
    <row r="191" spans="10:25" x14ac:dyDescent="0.2">
      <c r="J191" s="546"/>
      <c r="K191" s="546"/>
      <c r="L191" s="546"/>
      <c r="M191" s="546"/>
      <c r="N191" s="546"/>
      <c r="O191" s="546"/>
      <c r="P191" s="546"/>
      <c r="Q191" s="546"/>
      <c r="R191" s="546"/>
      <c r="S191" s="546">
        <v>204</v>
      </c>
      <c r="T191" s="546">
        <v>150</v>
      </c>
      <c r="U191" s="546"/>
      <c r="V191" s="546"/>
      <c r="W191" s="546"/>
      <c r="X191" s="546"/>
      <c r="Y191" s="185"/>
    </row>
    <row r="192" spans="10:25" x14ac:dyDescent="0.2">
      <c r="J192" s="546"/>
      <c r="K192" s="546"/>
      <c r="L192" s="546"/>
      <c r="M192" s="546"/>
      <c r="N192" s="546"/>
      <c r="O192" s="546"/>
      <c r="P192" s="546"/>
      <c r="Q192" s="546"/>
      <c r="R192" s="546"/>
      <c r="S192" s="546">
        <v>205</v>
      </c>
      <c r="T192" s="546">
        <v>150</v>
      </c>
      <c r="U192" s="546"/>
      <c r="V192" s="546"/>
      <c r="W192" s="546"/>
      <c r="X192" s="546"/>
      <c r="Y192" s="185"/>
    </row>
    <row r="193" spans="10:25" x14ac:dyDescent="0.2">
      <c r="J193" s="546"/>
      <c r="K193" s="546"/>
      <c r="L193" s="546"/>
      <c r="M193" s="546"/>
      <c r="N193" s="546"/>
      <c r="O193" s="546"/>
      <c r="P193" s="546"/>
      <c r="Q193" s="546"/>
      <c r="R193" s="546"/>
      <c r="S193" s="546">
        <v>206</v>
      </c>
      <c r="T193" s="546">
        <v>150</v>
      </c>
      <c r="U193" s="546"/>
      <c r="V193" s="546"/>
      <c r="W193" s="546"/>
      <c r="X193" s="546"/>
      <c r="Y193" s="185"/>
    </row>
    <row r="194" spans="10:25" x14ac:dyDescent="0.2">
      <c r="J194" s="546"/>
      <c r="K194" s="546"/>
      <c r="L194" s="546"/>
      <c r="M194" s="546"/>
      <c r="N194" s="546"/>
      <c r="O194" s="546"/>
      <c r="P194" s="546"/>
      <c r="Q194" s="546"/>
      <c r="R194" s="546"/>
      <c r="S194" s="546">
        <v>207</v>
      </c>
      <c r="T194" s="546">
        <v>150</v>
      </c>
      <c r="U194" s="546"/>
      <c r="V194" s="546"/>
      <c r="W194" s="546"/>
      <c r="X194" s="546"/>
      <c r="Y194" s="185"/>
    </row>
    <row r="195" spans="10:25" x14ac:dyDescent="0.2">
      <c r="J195" s="546"/>
      <c r="K195" s="546"/>
      <c r="L195" s="546"/>
      <c r="M195" s="546"/>
      <c r="N195" s="546"/>
      <c r="O195" s="546"/>
      <c r="P195" s="546"/>
      <c r="Q195" s="546"/>
      <c r="R195" s="546"/>
      <c r="S195" s="546">
        <v>208</v>
      </c>
      <c r="T195" s="546">
        <v>150</v>
      </c>
      <c r="U195" s="546"/>
      <c r="V195" s="546"/>
      <c r="W195" s="546"/>
      <c r="X195" s="546"/>
      <c r="Y195" s="185"/>
    </row>
    <row r="196" spans="10:25" x14ac:dyDescent="0.2">
      <c r="J196" s="546"/>
      <c r="K196" s="546"/>
      <c r="L196" s="546"/>
      <c r="M196" s="546"/>
      <c r="N196" s="546"/>
      <c r="O196" s="546"/>
      <c r="P196" s="546"/>
      <c r="Q196" s="546"/>
      <c r="R196" s="546"/>
      <c r="S196" s="546">
        <v>209</v>
      </c>
      <c r="T196" s="546">
        <v>150</v>
      </c>
      <c r="U196" s="546"/>
      <c r="V196" s="546"/>
      <c r="W196" s="546"/>
      <c r="X196" s="546"/>
      <c r="Y196" s="185"/>
    </row>
    <row r="197" spans="10:25" x14ac:dyDescent="0.2">
      <c r="J197" s="546"/>
      <c r="K197" s="546"/>
      <c r="L197" s="546"/>
      <c r="M197" s="546"/>
      <c r="N197" s="546"/>
      <c r="O197" s="546"/>
      <c r="P197" s="546"/>
      <c r="Q197" s="546"/>
      <c r="R197" s="546"/>
      <c r="S197" s="546">
        <v>210</v>
      </c>
      <c r="T197" s="546">
        <v>150</v>
      </c>
      <c r="U197" s="546"/>
      <c r="V197" s="546"/>
      <c r="W197" s="546"/>
      <c r="X197" s="546"/>
      <c r="Y197" s="185"/>
    </row>
    <row r="198" spans="10:25" x14ac:dyDescent="0.2">
      <c r="J198" s="546"/>
      <c r="K198" s="546"/>
      <c r="L198" s="546"/>
      <c r="M198" s="546"/>
      <c r="N198" s="546"/>
      <c r="O198" s="546"/>
      <c r="P198" s="546"/>
      <c r="Q198" s="546"/>
      <c r="R198" s="546"/>
      <c r="S198" s="546">
        <v>211</v>
      </c>
      <c r="T198" s="546">
        <v>150</v>
      </c>
      <c r="U198" s="546"/>
      <c r="V198" s="546"/>
      <c r="W198" s="546"/>
      <c r="X198" s="546"/>
      <c r="Y198" s="185"/>
    </row>
    <row r="199" spans="10:25" x14ac:dyDescent="0.2">
      <c r="J199" s="546"/>
      <c r="K199" s="546"/>
      <c r="L199" s="546"/>
      <c r="M199" s="546"/>
      <c r="N199" s="546"/>
      <c r="O199" s="546"/>
      <c r="P199" s="546"/>
      <c r="Q199" s="546"/>
      <c r="R199" s="546"/>
      <c r="S199" s="546">
        <v>212</v>
      </c>
      <c r="T199" s="546">
        <v>150</v>
      </c>
      <c r="U199" s="546"/>
      <c r="V199" s="546"/>
      <c r="W199" s="546"/>
      <c r="X199" s="546"/>
      <c r="Y199" s="185"/>
    </row>
    <row r="200" spans="10:25" x14ac:dyDescent="0.2">
      <c r="J200" s="546"/>
      <c r="K200" s="546"/>
      <c r="L200" s="546"/>
      <c r="M200" s="546"/>
      <c r="N200" s="546"/>
      <c r="O200" s="546"/>
      <c r="P200" s="546"/>
      <c r="Q200" s="546"/>
      <c r="R200" s="546"/>
      <c r="S200" s="546">
        <v>213</v>
      </c>
      <c r="T200" s="546">
        <v>150</v>
      </c>
      <c r="U200" s="546"/>
      <c r="V200" s="546"/>
      <c r="W200" s="546"/>
      <c r="X200" s="546"/>
      <c r="Y200" s="185"/>
    </row>
    <row r="201" spans="10:25" x14ac:dyDescent="0.2">
      <c r="J201" s="546"/>
      <c r="K201" s="546"/>
      <c r="L201" s="546"/>
      <c r="M201" s="546"/>
      <c r="N201" s="546"/>
      <c r="O201" s="546"/>
      <c r="P201" s="546"/>
      <c r="Q201" s="546"/>
      <c r="R201" s="546"/>
      <c r="S201" s="546">
        <v>214</v>
      </c>
      <c r="T201" s="546">
        <v>150</v>
      </c>
      <c r="U201" s="546"/>
      <c r="V201" s="546"/>
      <c r="W201" s="546"/>
      <c r="X201" s="546"/>
      <c r="Y201" s="185"/>
    </row>
    <row r="202" spans="10:25" x14ac:dyDescent="0.2">
      <c r="J202" s="546"/>
      <c r="K202" s="546"/>
      <c r="L202" s="546"/>
      <c r="M202" s="546"/>
      <c r="N202" s="546"/>
      <c r="O202" s="546"/>
      <c r="P202" s="546"/>
      <c r="Q202" s="546"/>
      <c r="R202" s="546"/>
      <c r="S202" s="546">
        <v>215</v>
      </c>
      <c r="T202" s="546">
        <v>150</v>
      </c>
      <c r="U202" s="546"/>
      <c r="V202" s="546"/>
      <c r="W202" s="546"/>
      <c r="X202" s="546"/>
      <c r="Y202" s="185"/>
    </row>
    <row r="203" spans="10:25" x14ac:dyDescent="0.2">
      <c r="J203" s="546"/>
      <c r="K203" s="546"/>
      <c r="L203" s="546"/>
      <c r="M203" s="546"/>
      <c r="N203" s="546"/>
      <c r="O203" s="546"/>
      <c r="P203" s="546"/>
      <c r="Q203" s="546"/>
      <c r="R203" s="546"/>
      <c r="S203" s="546">
        <v>216</v>
      </c>
      <c r="T203" s="546">
        <v>150</v>
      </c>
      <c r="U203" s="546"/>
      <c r="V203" s="546"/>
      <c r="W203" s="546"/>
      <c r="X203" s="546"/>
      <c r="Y203" s="185"/>
    </row>
    <row r="204" spans="10:25" x14ac:dyDescent="0.2">
      <c r="J204" s="546"/>
      <c r="K204" s="546"/>
      <c r="L204" s="546"/>
      <c r="M204" s="546"/>
      <c r="N204" s="546"/>
      <c r="O204" s="546"/>
      <c r="P204" s="546"/>
      <c r="Q204" s="546"/>
      <c r="R204" s="546"/>
      <c r="S204" s="546">
        <v>217</v>
      </c>
      <c r="T204" s="546">
        <v>150</v>
      </c>
      <c r="U204" s="546"/>
      <c r="V204" s="546"/>
      <c r="W204" s="546"/>
      <c r="X204" s="546"/>
      <c r="Y204" s="185"/>
    </row>
    <row r="205" spans="10:25" x14ac:dyDescent="0.2">
      <c r="J205" s="546"/>
      <c r="K205" s="546"/>
      <c r="L205" s="546"/>
      <c r="M205" s="546"/>
      <c r="N205" s="546"/>
      <c r="O205" s="546"/>
      <c r="P205" s="546"/>
      <c r="Q205" s="546"/>
      <c r="R205" s="546"/>
      <c r="S205" s="546">
        <v>218</v>
      </c>
      <c r="T205" s="546">
        <v>150</v>
      </c>
      <c r="U205" s="546"/>
      <c r="V205" s="546"/>
      <c r="W205" s="546"/>
      <c r="X205" s="546"/>
      <c r="Y205" s="185"/>
    </row>
    <row r="206" spans="10:25" x14ac:dyDescent="0.2">
      <c r="J206" s="546"/>
      <c r="K206" s="546"/>
      <c r="L206" s="546"/>
      <c r="M206" s="546"/>
      <c r="N206" s="546"/>
      <c r="O206" s="546"/>
      <c r="P206" s="546"/>
      <c r="Q206" s="546"/>
      <c r="R206" s="546"/>
      <c r="S206" s="546">
        <v>219</v>
      </c>
      <c r="T206" s="546">
        <v>150</v>
      </c>
      <c r="U206" s="546"/>
      <c r="V206" s="546"/>
      <c r="W206" s="546"/>
      <c r="X206" s="546"/>
      <c r="Y206" s="185"/>
    </row>
    <row r="207" spans="10:25" x14ac:dyDescent="0.2">
      <c r="J207" s="546"/>
      <c r="K207" s="546"/>
      <c r="L207" s="546"/>
      <c r="M207" s="546"/>
      <c r="N207" s="546"/>
      <c r="O207" s="546"/>
      <c r="P207" s="546"/>
      <c r="Q207" s="546"/>
      <c r="R207" s="546"/>
      <c r="S207" s="546">
        <v>220</v>
      </c>
      <c r="T207" s="546">
        <v>150</v>
      </c>
      <c r="U207" s="546"/>
      <c r="V207" s="546"/>
      <c r="W207" s="546"/>
      <c r="X207" s="546"/>
      <c r="Y207" s="185"/>
    </row>
    <row r="208" spans="10:25" x14ac:dyDescent="0.2">
      <c r="J208" s="546"/>
      <c r="K208" s="546"/>
      <c r="L208" s="546"/>
      <c r="M208" s="546"/>
      <c r="N208" s="546"/>
      <c r="O208" s="546"/>
      <c r="P208" s="546"/>
      <c r="Q208" s="546"/>
      <c r="R208" s="546"/>
      <c r="S208" s="546">
        <v>221</v>
      </c>
      <c r="T208" s="546">
        <v>150</v>
      </c>
      <c r="U208" s="546"/>
      <c r="V208" s="546"/>
      <c r="W208" s="546"/>
      <c r="X208" s="546"/>
      <c r="Y208" s="185"/>
    </row>
    <row r="209" spans="10:25" x14ac:dyDescent="0.2">
      <c r="J209" s="546"/>
      <c r="K209" s="546"/>
      <c r="L209" s="546"/>
      <c r="M209" s="546"/>
      <c r="N209" s="546"/>
      <c r="O209" s="546"/>
      <c r="P209" s="546"/>
      <c r="Q209" s="546"/>
      <c r="R209" s="546"/>
      <c r="S209" s="546">
        <v>222</v>
      </c>
      <c r="T209" s="546">
        <v>150</v>
      </c>
      <c r="U209" s="546"/>
      <c r="V209" s="546"/>
      <c r="W209" s="546"/>
      <c r="X209" s="546"/>
      <c r="Y209" s="185"/>
    </row>
    <row r="210" spans="10:25" x14ac:dyDescent="0.2">
      <c r="J210" s="546"/>
      <c r="K210" s="546"/>
      <c r="L210" s="546"/>
      <c r="M210" s="546"/>
      <c r="N210" s="546"/>
      <c r="O210" s="546"/>
      <c r="P210" s="546"/>
      <c r="Q210" s="546"/>
      <c r="R210" s="546"/>
      <c r="S210" s="546">
        <v>223</v>
      </c>
      <c r="T210" s="546">
        <v>150</v>
      </c>
      <c r="U210" s="546"/>
      <c r="V210" s="546"/>
      <c r="W210" s="546"/>
      <c r="X210" s="546"/>
      <c r="Y210" s="185"/>
    </row>
    <row r="211" spans="10:25" x14ac:dyDescent="0.2">
      <c r="J211" s="546"/>
      <c r="K211" s="546"/>
      <c r="L211" s="546"/>
      <c r="M211" s="546"/>
      <c r="N211" s="546"/>
      <c r="O211" s="546"/>
      <c r="P211" s="546"/>
      <c r="Q211" s="546"/>
      <c r="R211" s="546"/>
      <c r="S211" s="546">
        <v>224</v>
      </c>
      <c r="T211" s="546">
        <v>150</v>
      </c>
      <c r="U211" s="546"/>
      <c r="V211" s="546"/>
      <c r="W211" s="546"/>
      <c r="X211" s="546"/>
      <c r="Y211" s="185"/>
    </row>
    <row r="212" spans="10:25" x14ac:dyDescent="0.2">
      <c r="J212" s="546"/>
      <c r="K212" s="546"/>
      <c r="L212" s="546"/>
      <c r="M212" s="546"/>
      <c r="N212" s="546"/>
      <c r="O212" s="546"/>
      <c r="P212" s="546"/>
      <c r="Q212" s="546"/>
      <c r="R212" s="546"/>
      <c r="S212" s="546">
        <v>225</v>
      </c>
      <c r="T212" s="546">
        <v>150</v>
      </c>
      <c r="U212" s="546"/>
      <c r="V212" s="546"/>
      <c r="W212" s="546"/>
      <c r="X212" s="546"/>
      <c r="Y212" s="185"/>
    </row>
    <row r="213" spans="10:25" x14ac:dyDescent="0.2">
      <c r="J213" s="546"/>
      <c r="K213" s="546"/>
      <c r="L213" s="546"/>
      <c r="M213" s="546"/>
      <c r="N213" s="546"/>
      <c r="O213" s="546"/>
      <c r="P213" s="546"/>
      <c r="Q213" s="546"/>
      <c r="R213" s="546"/>
      <c r="S213" s="546">
        <v>226</v>
      </c>
      <c r="T213" s="546">
        <v>150</v>
      </c>
      <c r="U213" s="546"/>
      <c r="V213" s="546"/>
      <c r="W213" s="546"/>
      <c r="X213" s="546"/>
      <c r="Y213" s="185"/>
    </row>
    <row r="214" spans="10:25" x14ac:dyDescent="0.2">
      <c r="J214" s="546"/>
      <c r="K214" s="546"/>
      <c r="L214" s="546"/>
      <c r="M214" s="546"/>
      <c r="N214" s="546"/>
      <c r="O214" s="546"/>
      <c r="P214" s="546"/>
      <c r="Q214" s="546"/>
      <c r="R214" s="546"/>
      <c r="S214" s="546">
        <v>227</v>
      </c>
      <c r="T214" s="546">
        <v>150</v>
      </c>
      <c r="U214" s="546"/>
      <c r="V214" s="546"/>
      <c r="W214" s="546"/>
      <c r="X214" s="546"/>
      <c r="Y214" s="185"/>
    </row>
    <row r="215" spans="10:25" x14ac:dyDescent="0.2">
      <c r="J215" s="546"/>
      <c r="K215" s="546"/>
      <c r="L215" s="546"/>
      <c r="M215" s="546"/>
      <c r="N215" s="546"/>
      <c r="O215" s="546"/>
      <c r="P215" s="546"/>
      <c r="Q215" s="546"/>
      <c r="R215" s="546"/>
      <c r="S215" s="546">
        <v>228</v>
      </c>
      <c r="T215" s="546">
        <v>150</v>
      </c>
      <c r="U215" s="546"/>
      <c r="V215" s="546"/>
      <c r="W215" s="546"/>
      <c r="X215" s="546"/>
      <c r="Y215" s="185"/>
    </row>
    <row r="216" spans="10:25" x14ac:dyDescent="0.2">
      <c r="J216" s="546"/>
      <c r="K216" s="546"/>
      <c r="L216" s="546"/>
      <c r="M216" s="546"/>
      <c r="N216" s="546"/>
      <c r="O216" s="546"/>
      <c r="P216" s="546"/>
      <c r="Q216" s="546"/>
      <c r="R216" s="546"/>
      <c r="S216" s="546">
        <v>229</v>
      </c>
      <c r="T216" s="546">
        <v>150</v>
      </c>
      <c r="U216" s="546"/>
      <c r="V216" s="546"/>
      <c r="W216" s="546"/>
      <c r="X216" s="546"/>
      <c r="Y216" s="185"/>
    </row>
    <row r="217" spans="10:25" x14ac:dyDescent="0.2">
      <c r="J217" s="546"/>
      <c r="K217" s="546"/>
      <c r="L217" s="546"/>
      <c r="M217" s="546"/>
      <c r="N217" s="546"/>
      <c r="O217" s="546"/>
      <c r="P217" s="546"/>
      <c r="Q217" s="546"/>
      <c r="R217" s="546"/>
      <c r="S217" s="546">
        <v>230</v>
      </c>
      <c r="T217" s="546">
        <v>150</v>
      </c>
      <c r="U217" s="546"/>
      <c r="V217" s="546"/>
      <c r="W217" s="546"/>
      <c r="X217" s="546"/>
      <c r="Y217" s="185"/>
    </row>
    <row r="218" spans="10:25" x14ac:dyDescent="0.2">
      <c r="J218" s="546"/>
      <c r="K218" s="546"/>
      <c r="L218" s="546"/>
      <c r="M218" s="546"/>
      <c r="N218" s="546"/>
      <c r="O218" s="546"/>
      <c r="P218" s="546"/>
      <c r="Q218" s="546"/>
      <c r="R218" s="546"/>
      <c r="S218" s="546">
        <v>231</v>
      </c>
      <c r="T218" s="546">
        <v>150</v>
      </c>
      <c r="U218" s="546"/>
      <c r="V218" s="546"/>
      <c r="W218" s="546"/>
      <c r="X218" s="546"/>
      <c r="Y218" s="185"/>
    </row>
    <row r="219" spans="10:25" x14ac:dyDescent="0.2">
      <c r="J219" s="546"/>
      <c r="K219" s="546"/>
      <c r="L219" s="546"/>
      <c r="M219" s="546"/>
      <c r="N219" s="546"/>
      <c r="O219" s="546"/>
      <c r="P219" s="546"/>
      <c r="Q219" s="546"/>
      <c r="R219" s="546"/>
      <c r="S219" s="546">
        <v>232</v>
      </c>
      <c r="T219" s="546">
        <v>150</v>
      </c>
      <c r="U219" s="546"/>
      <c r="V219" s="546"/>
      <c r="W219" s="546"/>
      <c r="X219" s="546"/>
      <c r="Y219" s="185"/>
    </row>
    <row r="220" spans="10:25" x14ac:dyDescent="0.2">
      <c r="J220" s="546"/>
      <c r="K220" s="546"/>
      <c r="L220" s="546"/>
      <c r="M220" s="546"/>
      <c r="N220" s="546"/>
      <c r="O220" s="546"/>
      <c r="P220" s="546"/>
      <c r="Q220" s="546"/>
      <c r="R220" s="546"/>
      <c r="S220" s="546">
        <v>233</v>
      </c>
      <c r="T220" s="546">
        <v>150</v>
      </c>
      <c r="U220" s="546"/>
      <c r="V220" s="546"/>
      <c r="W220" s="546"/>
      <c r="X220" s="546"/>
      <c r="Y220" s="185"/>
    </row>
    <row r="221" spans="10:25" x14ac:dyDescent="0.2">
      <c r="J221" s="546"/>
      <c r="K221" s="546"/>
      <c r="L221" s="546"/>
      <c r="M221" s="546"/>
      <c r="N221" s="546"/>
      <c r="O221" s="546"/>
      <c r="P221" s="546"/>
      <c r="Q221" s="546"/>
      <c r="R221" s="546"/>
      <c r="S221" s="546">
        <v>234</v>
      </c>
      <c r="T221" s="546">
        <v>150</v>
      </c>
      <c r="U221" s="546"/>
      <c r="V221" s="546"/>
      <c r="W221" s="546"/>
      <c r="X221" s="546"/>
      <c r="Y221" s="185"/>
    </row>
    <row r="222" spans="10:25" x14ac:dyDescent="0.2">
      <c r="J222" s="546"/>
      <c r="K222" s="546"/>
      <c r="L222" s="546"/>
      <c r="M222" s="546"/>
      <c r="N222" s="546"/>
      <c r="O222" s="546"/>
      <c r="P222" s="546"/>
      <c r="Q222" s="546"/>
      <c r="R222" s="546"/>
      <c r="S222" s="546">
        <v>235</v>
      </c>
      <c r="T222" s="546">
        <v>150</v>
      </c>
      <c r="U222" s="546"/>
      <c r="V222" s="546"/>
      <c r="W222" s="546"/>
      <c r="X222" s="546"/>
      <c r="Y222" s="185"/>
    </row>
    <row r="223" spans="10:25" x14ac:dyDescent="0.2">
      <c r="J223" s="546"/>
      <c r="K223" s="546"/>
      <c r="L223" s="546"/>
      <c r="M223" s="546"/>
      <c r="N223" s="546"/>
      <c r="O223" s="546"/>
      <c r="P223" s="546"/>
      <c r="Q223" s="546"/>
      <c r="R223" s="546"/>
      <c r="S223" s="546">
        <v>236</v>
      </c>
      <c r="T223" s="546">
        <v>150</v>
      </c>
      <c r="U223" s="546"/>
      <c r="V223" s="546"/>
      <c r="W223" s="546"/>
      <c r="X223" s="546"/>
      <c r="Y223" s="185"/>
    </row>
    <row r="224" spans="10:25" x14ac:dyDescent="0.2">
      <c r="J224" s="546"/>
      <c r="K224" s="546"/>
      <c r="L224" s="546"/>
      <c r="M224" s="546"/>
      <c r="N224" s="546"/>
      <c r="O224" s="546"/>
      <c r="P224" s="546"/>
      <c r="Q224" s="546"/>
      <c r="R224" s="546"/>
      <c r="S224" s="546">
        <v>237</v>
      </c>
      <c r="T224" s="546">
        <v>150</v>
      </c>
      <c r="U224" s="546"/>
      <c r="V224" s="546"/>
      <c r="W224" s="546"/>
      <c r="X224" s="546"/>
      <c r="Y224" s="185"/>
    </row>
    <row r="225" spans="10:25" x14ac:dyDescent="0.2">
      <c r="J225" s="546"/>
      <c r="K225" s="546"/>
      <c r="L225" s="546"/>
      <c r="M225" s="546"/>
      <c r="N225" s="546"/>
      <c r="O225" s="546"/>
      <c r="P225" s="546"/>
      <c r="Q225" s="546"/>
      <c r="R225" s="546"/>
      <c r="S225" s="546">
        <v>238</v>
      </c>
      <c r="T225" s="546">
        <v>150</v>
      </c>
      <c r="U225" s="546"/>
      <c r="V225" s="546"/>
      <c r="W225" s="546"/>
      <c r="X225" s="546"/>
      <c r="Y225" s="185"/>
    </row>
    <row r="226" spans="10:25" x14ac:dyDescent="0.2">
      <c r="J226" s="546"/>
      <c r="K226" s="546"/>
      <c r="L226" s="546"/>
      <c r="M226" s="546"/>
      <c r="N226" s="546"/>
      <c r="O226" s="546"/>
      <c r="P226" s="546"/>
      <c r="Q226" s="546"/>
      <c r="R226" s="546"/>
      <c r="S226" s="546">
        <v>239</v>
      </c>
      <c r="T226" s="546">
        <v>150</v>
      </c>
      <c r="U226" s="546"/>
      <c r="V226" s="546"/>
      <c r="W226" s="546"/>
      <c r="X226" s="546"/>
      <c r="Y226" s="185"/>
    </row>
    <row r="227" spans="10:25" x14ac:dyDescent="0.2">
      <c r="J227" s="546"/>
      <c r="K227" s="546"/>
      <c r="L227" s="546"/>
      <c r="M227" s="546"/>
      <c r="N227" s="546"/>
      <c r="O227" s="546"/>
      <c r="P227" s="546"/>
      <c r="Q227" s="546"/>
      <c r="R227" s="546"/>
      <c r="S227" s="546">
        <v>240</v>
      </c>
      <c r="T227" s="546">
        <v>150</v>
      </c>
      <c r="U227" s="546"/>
      <c r="V227" s="546"/>
      <c r="W227" s="546"/>
      <c r="X227" s="546"/>
      <c r="Y227" s="185"/>
    </row>
    <row r="228" spans="10:25" x14ac:dyDescent="0.2">
      <c r="J228" s="546"/>
      <c r="K228" s="546"/>
      <c r="L228" s="546"/>
      <c r="M228" s="546"/>
      <c r="N228" s="546"/>
      <c r="O228" s="546"/>
      <c r="P228" s="546"/>
      <c r="Q228" s="546"/>
      <c r="R228" s="546"/>
      <c r="S228" s="546">
        <v>241</v>
      </c>
      <c r="T228" s="546">
        <v>150</v>
      </c>
      <c r="U228" s="546"/>
      <c r="V228" s="546"/>
      <c r="W228" s="546"/>
      <c r="X228" s="546"/>
      <c r="Y228" s="185"/>
    </row>
    <row r="229" spans="10:25" x14ac:dyDescent="0.2">
      <c r="J229" s="546"/>
      <c r="K229" s="546"/>
      <c r="L229" s="546"/>
      <c r="M229" s="546"/>
      <c r="N229" s="546"/>
      <c r="O229" s="546"/>
      <c r="P229" s="546"/>
      <c r="Q229" s="546"/>
      <c r="R229" s="546"/>
      <c r="S229" s="546">
        <v>242</v>
      </c>
      <c r="T229" s="546">
        <v>150</v>
      </c>
      <c r="U229" s="546"/>
      <c r="V229" s="546"/>
      <c r="W229" s="546"/>
      <c r="X229" s="546"/>
      <c r="Y229" s="185"/>
    </row>
    <row r="230" spans="10:25" x14ac:dyDescent="0.2">
      <c r="J230" s="546"/>
      <c r="K230" s="546"/>
      <c r="L230" s="546"/>
      <c r="M230" s="546"/>
      <c r="N230" s="546"/>
      <c r="O230" s="546"/>
      <c r="P230" s="546"/>
      <c r="Q230" s="546"/>
      <c r="R230" s="546"/>
      <c r="S230" s="546">
        <v>243</v>
      </c>
      <c r="T230" s="546">
        <v>150</v>
      </c>
      <c r="U230" s="546"/>
      <c r="V230" s="546"/>
      <c r="W230" s="546"/>
      <c r="X230" s="546"/>
      <c r="Y230" s="185"/>
    </row>
    <row r="231" spans="10:25" x14ac:dyDescent="0.2">
      <c r="J231" s="546"/>
      <c r="K231" s="546"/>
      <c r="L231" s="546"/>
      <c r="M231" s="546"/>
      <c r="N231" s="546"/>
      <c r="O231" s="546"/>
      <c r="P231" s="546"/>
      <c r="Q231" s="546"/>
      <c r="R231" s="546"/>
      <c r="S231" s="546">
        <v>244</v>
      </c>
      <c r="T231" s="546">
        <v>150</v>
      </c>
      <c r="U231" s="546"/>
      <c r="V231" s="546"/>
      <c r="W231" s="546"/>
      <c r="X231" s="546"/>
      <c r="Y231" s="185"/>
    </row>
    <row r="232" spans="10:25" x14ac:dyDescent="0.2">
      <c r="J232" s="546"/>
      <c r="K232" s="546"/>
      <c r="L232" s="546"/>
      <c r="M232" s="546"/>
      <c r="N232" s="546"/>
      <c r="O232" s="546"/>
      <c r="P232" s="546"/>
      <c r="Q232" s="546"/>
      <c r="R232" s="546"/>
      <c r="S232" s="546">
        <v>245</v>
      </c>
      <c r="T232" s="546">
        <v>150</v>
      </c>
      <c r="U232" s="546"/>
      <c r="V232" s="546"/>
      <c r="W232" s="546"/>
      <c r="X232" s="546"/>
      <c r="Y232" s="185"/>
    </row>
    <row r="233" spans="10:25" x14ac:dyDescent="0.2">
      <c r="J233" s="546"/>
      <c r="K233" s="546"/>
      <c r="L233" s="546"/>
      <c r="M233" s="546"/>
      <c r="N233" s="546"/>
      <c r="O233" s="546"/>
      <c r="P233" s="546"/>
      <c r="Q233" s="546"/>
      <c r="R233" s="546"/>
      <c r="S233" s="546">
        <v>246</v>
      </c>
      <c r="T233" s="546">
        <v>150</v>
      </c>
      <c r="U233" s="546"/>
      <c r="V233" s="546"/>
      <c r="W233" s="546"/>
      <c r="X233" s="546"/>
      <c r="Y233" s="185"/>
    </row>
    <row r="234" spans="10:25" x14ac:dyDescent="0.2">
      <c r="J234" s="546"/>
      <c r="K234" s="546"/>
      <c r="L234" s="546"/>
      <c r="M234" s="546"/>
      <c r="N234" s="546"/>
      <c r="O234" s="546"/>
      <c r="P234" s="546"/>
      <c r="Q234" s="546"/>
      <c r="R234" s="546"/>
      <c r="S234" s="546">
        <v>247</v>
      </c>
      <c r="T234" s="546">
        <v>150</v>
      </c>
      <c r="U234" s="546"/>
      <c r="V234" s="546"/>
      <c r="W234" s="546"/>
      <c r="X234" s="546"/>
      <c r="Y234" s="185"/>
    </row>
    <row r="235" spans="10:25" x14ac:dyDescent="0.2">
      <c r="J235" s="546"/>
      <c r="K235" s="546"/>
      <c r="L235" s="546"/>
      <c r="M235" s="546"/>
      <c r="N235" s="546"/>
      <c r="O235" s="546"/>
      <c r="P235" s="546"/>
      <c r="Q235" s="546"/>
      <c r="R235" s="546"/>
      <c r="S235" s="546">
        <v>248</v>
      </c>
      <c r="T235" s="546">
        <v>150</v>
      </c>
      <c r="U235" s="546"/>
      <c r="V235" s="546"/>
      <c r="W235" s="546"/>
      <c r="X235" s="546"/>
      <c r="Y235" s="185"/>
    </row>
    <row r="236" spans="10:25" x14ac:dyDescent="0.2">
      <c r="J236" s="546"/>
      <c r="K236" s="546"/>
      <c r="L236" s="546"/>
      <c r="M236" s="546"/>
      <c r="N236" s="546"/>
      <c r="O236" s="546"/>
      <c r="P236" s="546"/>
      <c r="Q236" s="546"/>
      <c r="R236" s="546"/>
      <c r="S236" s="546">
        <v>249</v>
      </c>
      <c r="T236" s="546">
        <v>150</v>
      </c>
      <c r="U236" s="546"/>
      <c r="V236" s="546"/>
      <c r="W236" s="546"/>
      <c r="X236" s="546"/>
      <c r="Y236" s="185"/>
    </row>
    <row r="237" spans="10:25" x14ac:dyDescent="0.2">
      <c r="J237" s="546"/>
      <c r="K237" s="546"/>
      <c r="L237" s="546"/>
      <c r="M237" s="546"/>
      <c r="N237" s="546"/>
      <c r="O237" s="546"/>
      <c r="P237" s="546"/>
      <c r="Q237" s="546"/>
      <c r="R237" s="546"/>
      <c r="S237" s="546">
        <v>250</v>
      </c>
      <c r="T237" s="546">
        <v>150</v>
      </c>
      <c r="U237" s="546"/>
      <c r="V237" s="546"/>
      <c r="W237" s="546"/>
      <c r="X237" s="546"/>
      <c r="Y237" s="185"/>
    </row>
    <row r="238" spans="10:25" x14ac:dyDescent="0.2">
      <c r="J238" s="546"/>
      <c r="K238" s="546"/>
      <c r="L238" s="546"/>
      <c r="M238" s="546"/>
      <c r="N238" s="546"/>
      <c r="O238" s="546"/>
      <c r="P238" s="546"/>
      <c r="Q238" s="546"/>
      <c r="R238" s="546"/>
      <c r="S238" s="546">
        <v>251</v>
      </c>
      <c r="T238" s="546">
        <v>150</v>
      </c>
      <c r="U238" s="546"/>
      <c r="V238" s="546"/>
      <c r="W238" s="546"/>
      <c r="X238" s="546"/>
      <c r="Y238" s="185"/>
    </row>
    <row r="239" spans="10:25" x14ac:dyDescent="0.2">
      <c r="J239" s="546"/>
      <c r="K239" s="546"/>
      <c r="L239" s="546"/>
      <c r="M239" s="546"/>
      <c r="N239" s="546"/>
      <c r="O239" s="546"/>
      <c r="P239" s="546"/>
      <c r="Q239" s="546"/>
      <c r="R239" s="546"/>
      <c r="S239" s="546">
        <v>252</v>
      </c>
      <c r="T239" s="546">
        <v>150</v>
      </c>
      <c r="U239" s="546"/>
      <c r="V239" s="546"/>
      <c r="W239" s="546"/>
      <c r="X239" s="546"/>
      <c r="Y239" s="185"/>
    </row>
    <row r="240" spans="10:25" x14ac:dyDescent="0.2">
      <c r="J240" s="546"/>
      <c r="K240" s="546"/>
      <c r="L240" s="546"/>
      <c r="M240" s="546"/>
      <c r="N240" s="546"/>
      <c r="O240" s="546"/>
      <c r="P240" s="546"/>
      <c r="Q240" s="546"/>
      <c r="R240" s="546"/>
      <c r="S240" s="546">
        <v>253</v>
      </c>
      <c r="T240" s="546">
        <v>150</v>
      </c>
      <c r="U240" s="546"/>
      <c r="V240" s="546"/>
      <c r="W240" s="546"/>
      <c r="X240" s="546"/>
      <c r="Y240" s="185"/>
    </row>
    <row r="241" spans="10:25" x14ac:dyDescent="0.2">
      <c r="J241" s="546"/>
      <c r="K241" s="546"/>
      <c r="L241" s="546"/>
      <c r="M241" s="546"/>
      <c r="N241" s="546"/>
      <c r="O241" s="546"/>
      <c r="P241" s="546"/>
      <c r="Q241" s="546"/>
      <c r="R241" s="546"/>
      <c r="S241" s="546">
        <v>254</v>
      </c>
      <c r="T241" s="546">
        <v>150</v>
      </c>
      <c r="U241" s="546"/>
      <c r="V241" s="546"/>
      <c r="W241" s="546"/>
      <c r="X241" s="546"/>
      <c r="Y241" s="185"/>
    </row>
    <row r="242" spans="10:25" x14ac:dyDescent="0.2">
      <c r="J242" s="546"/>
      <c r="K242" s="546"/>
      <c r="L242" s="546"/>
      <c r="M242" s="546"/>
      <c r="N242" s="546"/>
      <c r="O242" s="546"/>
      <c r="P242" s="546"/>
      <c r="Q242" s="546"/>
      <c r="R242" s="546"/>
      <c r="S242" s="546">
        <v>255</v>
      </c>
      <c r="T242" s="546">
        <v>150</v>
      </c>
      <c r="U242" s="546"/>
      <c r="V242" s="546"/>
      <c r="W242" s="546"/>
      <c r="X242" s="546"/>
      <c r="Y242" s="185"/>
    </row>
    <row r="243" spans="10:25" x14ac:dyDescent="0.2">
      <c r="J243" s="546"/>
      <c r="K243" s="546"/>
      <c r="L243" s="546"/>
      <c r="M243" s="546"/>
      <c r="N243" s="546"/>
      <c r="O243" s="546"/>
      <c r="P243" s="546"/>
      <c r="Q243" s="546"/>
      <c r="R243" s="546"/>
      <c r="S243" s="546">
        <v>256</v>
      </c>
      <c r="T243" s="546">
        <v>150</v>
      </c>
      <c r="U243" s="546"/>
      <c r="V243" s="546"/>
      <c r="W243" s="546"/>
      <c r="X243" s="546"/>
      <c r="Y243" s="185"/>
    </row>
    <row r="244" spans="10:25" x14ac:dyDescent="0.2">
      <c r="J244" s="546"/>
      <c r="K244" s="546"/>
      <c r="L244" s="546"/>
      <c r="M244" s="546"/>
      <c r="N244" s="546"/>
      <c r="O244" s="546"/>
      <c r="P244" s="546"/>
      <c r="Q244" s="546"/>
      <c r="R244" s="546"/>
      <c r="S244" s="546">
        <v>257</v>
      </c>
      <c r="T244" s="546">
        <v>150</v>
      </c>
      <c r="U244" s="546"/>
      <c r="V244" s="546"/>
      <c r="W244" s="546"/>
      <c r="X244" s="546"/>
      <c r="Y244" s="185"/>
    </row>
    <row r="245" spans="10:25" x14ac:dyDescent="0.2">
      <c r="J245" s="546"/>
      <c r="K245" s="546"/>
      <c r="L245" s="546"/>
      <c r="M245" s="546"/>
      <c r="N245" s="546"/>
      <c r="O245" s="546"/>
      <c r="P245" s="546"/>
      <c r="Q245" s="546"/>
      <c r="R245" s="546"/>
      <c r="S245" s="546">
        <v>258</v>
      </c>
      <c r="T245" s="546">
        <v>150</v>
      </c>
      <c r="U245" s="546"/>
      <c r="V245" s="546"/>
      <c r="W245" s="546"/>
      <c r="X245" s="546"/>
      <c r="Y245" s="185"/>
    </row>
    <row r="246" spans="10:25" x14ac:dyDescent="0.2">
      <c r="J246" s="546"/>
      <c r="K246" s="546"/>
      <c r="L246" s="546"/>
      <c r="M246" s="546"/>
      <c r="N246" s="546"/>
      <c r="O246" s="546"/>
      <c r="P246" s="546"/>
      <c r="Q246" s="546"/>
      <c r="R246" s="546"/>
      <c r="S246" s="546">
        <v>259</v>
      </c>
      <c r="T246" s="546">
        <v>150</v>
      </c>
      <c r="U246" s="546"/>
      <c r="V246" s="546"/>
      <c r="W246" s="546"/>
      <c r="X246" s="546"/>
      <c r="Y246" s="185"/>
    </row>
    <row r="247" spans="10:25" x14ac:dyDescent="0.2">
      <c r="J247" s="546"/>
      <c r="K247" s="546"/>
      <c r="L247" s="546"/>
      <c r="M247" s="546"/>
      <c r="N247" s="546"/>
      <c r="O247" s="546"/>
      <c r="P247" s="546"/>
      <c r="Q247" s="546"/>
      <c r="R247" s="546"/>
      <c r="S247" s="546">
        <v>260</v>
      </c>
      <c r="T247" s="546">
        <v>150</v>
      </c>
      <c r="U247" s="546"/>
      <c r="V247" s="546"/>
      <c r="W247" s="546"/>
      <c r="X247" s="546"/>
      <c r="Y247" s="185"/>
    </row>
    <row r="248" spans="10:25" x14ac:dyDescent="0.2">
      <c r="J248" s="546"/>
      <c r="K248" s="546"/>
      <c r="L248" s="546"/>
      <c r="M248" s="546"/>
      <c r="N248" s="546"/>
      <c r="O248" s="546"/>
      <c r="P248" s="546"/>
      <c r="Q248" s="546"/>
      <c r="R248" s="546"/>
      <c r="S248" s="546">
        <v>261</v>
      </c>
      <c r="T248" s="546">
        <v>150</v>
      </c>
      <c r="U248" s="546"/>
      <c r="V248" s="546"/>
      <c r="W248" s="546"/>
      <c r="X248" s="546"/>
      <c r="Y248" s="185"/>
    </row>
    <row r="249" spans="10:25" x14ac:dyDescent="0.2">
      <c r="J249" s="546"/>
      <c r="K249" s="546"/>
      <c r="L249" s="546"/>
      <c r="M249" s="546"/>
      <c r="N249" s="546"/>
      <c r="O249" s="546"/>
      <c r="P249" s="546"/>
      <c r="Q249" s="546"/>
      <c r="R249" s="546"/>
      <c r="S249" s="546">
        <v>262</v>
      </c>
      <c r="T249" s="546">
        <v>150</v>
      </c>
      <c r="U249" s="546"/>
      <c r="V249" s="546"/>
      <c r="W249" s="546"/>
      <c r="X249" s="546"/>
      <c r="Y249" s="185"/>
    </row>
    <row r="250" spans="10:25" x14ac:dyDescent="0.2">
      <c r="J250" s="546"/>
      <c r="K250" s="546"/>
      <c r="L250" s="546"/>
      <c r="M250" s="546"/>
      <c r="N250" s="546"/>
      <c r="O250" s="546"/>
      <c r="P250" s="546"/>
      <c r="Q250" s="546"/>
      <c r="R250" s="546"/>
      <c r="S250" s="546">
        <v>263</v>
      </c>
      <c r="T250" s="546">
        <v>150</v>
      </c>
      <c r="U250" s="546"/>
      <c r="V250" s="546"/>
      <c r="W250" s="546"/>
      <c r="X250" s="546"/>
      <c r="Y250" s="185"/>
    </row>
    <row r="251" spans="10:25" x14ac:dyDescent="0.2">
      <c r="J251" s="546"/>
      <c r="K251" s="546"/>
      <c r="L251" s="546"/>
      <c r="M251" s="546"/>
      <c r="N251" s="546"/>
      <c r="O251" s="546"/>
      <c r="P251" s="546"/>
      <c r="Q251" s="546"/>
      <c r="R251" s="546"/>
      <c r="S251" s="546">
        <v>264</v>
      </c>
      <c r="T251" s="546">
        <v>150</v>
      </c>
      <c r="U251" s="546"/>
      <c r="V251" s="546"/>
      <c r="W251" s="546"/>
      <c r="X251" s="546"/>
      <c r="Y251" s="185"/>
    </row>
    <row r="252" spans="10:25" x14ac:dyDescent="0.2">
      <c r="J252" s="546"/>
      <c r="K252" s="546"/>
      <c r="L252" s="546"/>
      <c r="M252" s="546"/>
      <c r="N252" s="546"/>
      <c r="O252" s="546"/>
      <c r="P252" s="546"/>
      <c r="Q252" s="546"/>
      <c r="R252" s="546"/>
      <c r="S252" s="546">
        <v>265</v>
      </c>
      <c r="T252" s="546">
        <v>150</v>
      </c>
      <c r="U252" s="546"/>
      <c r="V252" s="546"/>
      <c r="W252" s="546"/>
      <c r="X252" s="546"/>
      <c r="Y252" s="185"/>
    </row>
    <row r="253" spans="10:25" x14ac:dyDescent="0.2">
      <c r="J253" s="546"/>
      <c r="K253" s="546"/>
      <c r="L253" s="546"/>
      <c r="M253" s="546"/>
      <c r="N253" s="546"/>
      <c r="O253" s="546"/>
      <c r="P253" s="546"/>
      <c r="Q253" s="546"/>
      <c r="R253" s="546"/>
      <c r="S253" s="546">
        <v>266</v>
      </c>
      <c r="T253" s="546">
        <v>150</v>
      </c>
      <c r="U253" s="546"/>
      <c r="V253" s="546"/>
      <c r="W253" s="546"/>
      <c r="X253" s="546"/>
      <c r="Y253" s="185"/>
    </row>
    <row r="254" spans="10:25" x14ac:dyDescent="0.2">
      <c r="J254" s="546"/>
      <c r="K254" s="546"/>
      <c r="L254" s="546"/>
      <c r="M254" s="546"/>
      <c r="N254" s="546"/>
      <c r="O254" s="546"/>
      <c r="P254" s="546"/>
      <c r="Q254" s="546"/>
      <c r="R254" s="546"/>
      <c r="S254" s="546">
        <v>267</v>
      </c>
      <c r="T254" s="546">
        <v>150</v>
      </c>
      <c r="U254" s="546"/>
      <c r="V254" s="546"/>
      <c r="W254" s="546"/>
      <c r="X254" s="546"/>
      <c r="Y254" s="185"/>
    </row>
    <row r="255" spans="10:25" x14ac:dyDescent="0.2">
      <c r="J255" s="546"/>
      <c r="K255" s="546"/>
      <c r="L255" s="546"/>
      <c r="M255" s="546"/>
      <c r="N255" s="546"/>
      <c r="O255" s="546"/>
      <c r="P255" s="546"/>
      <c r="Q255" s="546"/>
      <c r="R255" s="546"/>
      <c r="S255" s="546">
        <v>268</v>
      </c>
      <c r="T255" s="546">
        <v>150</v>
      </c>
      <c r="U255" s="546"/>
      <c r="V255" s="546"/>
      <c r="W255" s="546"/>
      <c r="X255" s="546"/>
      <c r="Y255" s="185"/>
    </row>
    <row r="256" spans="10:25" x14ac:dyDescent="0.2">
      <c r="J256" s="546"/>
      <c r="K256" s="546"/>
      <c r="L256" s="546"/>
      <c r="M256" s="546"/>
      <c r="N256" s="546"/>
      <c r="O256" s="546"/>
      <c r="P256" s="546"/>
      <c r="Q256" s="546"/>
      <c r="R256" s="546"/>
      <c r="S256" s="546">
        <v>269</v>
      </c>
      <c r="T256" s="546">
        <v>150</v>
      </c>
      <c r="U256" s="546"/>
      <c r="V256" s="546"/>
      <c r="W256" s="546"/>
      <c r="X256" s="546"/>
      <c r="Y256" s="185"/>
    </row>
    <row r="257" spans="10:25" x14ac:dyDescent="0.2">
      <c r="J257" s="546"/>
      <c r="K257" s="546"/>
      <c r="L257" s="546"/>
      <c r="M257" s="546"/>
      <c r="N257" s="546"/>
      <c r="O257" s="546"/>
      <c r="P257" s="546"/>
      <c r="Q257" s="546"/>
      <c r="R257" s="546"/>
      <c r="S257" s="546">
        <v>270</v>
      </c>
      <c r="T257" s="546">
        <v>150</v>
      </c>
      <c r="U257" s="546"/>
      <c r="V257" s="546"/>
      <c r="W257" s="546"/>
      <c r="X257" s="546"/>
      <c r="Y257" s="185"/>
    </row>
    <row r="258" spans="10:25" x14ac:dyDescent="0.2">
      <c r="J258" s="546"/>
      <c r="K258" s="546"/>
      <c r="L258" s="546"/>
      <c r="M258" s="546"/>
      <c r="N258" s="546"/>
      <c r="O258" s="546"/>
      <c r="P258" s="546"/>
      <c r="Q258" s="546"/>
      <c r="R258" s="546"/>
      <c r="S258" s="546">
        <v>271</v>
      </c>
      <c r="T258" s="546">
        <v>150</v>
      </c>
      <c r="U258" s="546"/>
      <c r="V258" s="546"/>
      <c r="W258" s="546"/>
      <c r="X258" s="546"/>
      <c r="Y258" s="185"/>
    </row>
    <row r="259" spans="10:25" x14ac:dyDescent="0.2">
      <c r="J259" s="546"/>
      <c r="K259" s="546"/>
      <c r="L259" s="546"/>
      <c r="M259" s="546"/>
      <c r="N259" s="546"/>
      <c r="O259" s="546"/>
      <c r="P259" s="546"/>
      <c r="Q259" s="546"/>
      <c r="R259" s="546"/>
      <c r="S259" s="546">
        <v>272</v>
      </c>
      <c r="T259" s="546">
        <v>150</v>
      </c>
      <c r="U259" s="546"/>
      <c r="V259" s="546"/>
      <c r="W259" s="546"/>
      <c r="X259" s="546"/>
      <c r="Y259" s="185"/>
    </row>
    <row r="260" spans="10:25" x14ac:dyDescent="0.2">
      <c r="J260" s="546"/>
      <c r="K260" s="546"/>
      <c r="L260" s="546"/>
      <c r="M260" s="546"/>
      <c r="N260" s="546"/>
      <c r="O260" s="546"/>
      <c r="P260" s="546"/>
      <c r="Q260" s="546"/>
      <c r="R260" s="546"/>
      <c r="S260" s="546">
        <v>273</v>
      </c>
      <c r="T260" s="546">
        <v>150</v>
      </c>
      <c r="U260" s="546"/>
      <c r="V260" s="546"/>
      <c r="W260" s="546"/>
      <c r="X260" s="546"/>
      <c r="Y260" s="185"/>
    </row>
    <row r="261" spans="10:25" x14ac:dyDescent="0.2">
      <c r="J261" s="546"/>
      <c r="K261" s="546"/>
      <c r="L261" s="546"/>
      <c r="M261" s="546"/>
      <c r="N261" s="546"/>
      <c r="O261" s="546"/>
      <c r="P261" s="546"/>
      <c r="Q261" s="546"/>
      <c r="R261" s="546"/>
      <c r="S261" s="546">
        <v>274</v>
      </c>
      <c r="T261" s="546">
        <v>150</v>
      </c>
      <c r="U261" s="546"/>
      <c r="V261" s="546"/>
      <c r="W261" s="546"/>
      <c r="X261" s="546"/>
      <c r="Y261" s="185"/>
    </row>
    <row r="262" spans="10:25" x14ac:dyDescent="0.2">
      <c r="J262" s="546"/>
      <c r="K262" s="546"/>
      <c r="L262" s="546"/>
      <c r="M262" s="546"/>
      <c r="N262" s="546"/>
      <c r="O262" s="546"/>
      <c r="P262" s="546"/>
      <c r="Q262" s="546"/>
      <c r="R262" s="546"/>
      <c r="S262" s="546">
        <v>275</v>
      </c>
      <c r="T262" s="546">
        <v>150</v>
      </c>
      <c r="U262" s="546"/>
      <c r="V262" s="546"/>
      <c r="W262" s="546"/>
      <c r="X262" s="546"/>
      <c r="Y262" s="185"/>
    </row>
    <row r="263" spans="10:25" x14ac:dyDescent="0.2">
      <c r="J263" s="546"/>
      <c r="K263" s="546"/>
      <c r="L263" s="546"/>
      <c r="M263" s="546"/>
      <c r="N263" s="546"/>
      <c r="O263" s="546"/>
      <c r="P263" s="546"/>
      <c r="Q263" s="546"/>
      <c r="R263" s="546"/>
      <c r="S263" s="546">
        <v>276</v>
      </c>
      <c r="T263" s="546">
        <v>150</v>
      </c>
      <c r="U263" s="546"/>
      <c r="V263" s="546"/>
      <c r="W263" s="546"/>
      <c r="X263" s="546"/>
      <c r="Y263" s="185"/>
    </row>
    <row r="264" spans="10:25" x14ac:dyDescent="0.2">
      <c r="J264" s="546"/>
      <c r="K264" s="546"/>
      <c r="L264" s="546"/>
      <c r="M264" s="546"/>
      <c r="N264" s="546"/>
      <c r="O264" s="546"/>
      <c r="P264" s="546"/>
      <c r="Q264" s="546"/>
      <c r="R264" s="546"/>
      <c r="S264" s="546">
        <v>277</v>
      </c>
      <c r="T264" s="546">
        <v>150</v>
      </c>
      <c r="U264" s="546"/>
      <c r="V264" s="546"/>
      <c r="W264" s="546"/>
      <c r="X264" s="546"/>
      <c r="Y264" s="185"/>
    </row>
    <row r="265" spans="10:25" x14ac:dyDescent="0.2">
      <c r="J265" s="546"/>
      <c r="K265" s="546"/>
      <c r="L265" s="546"/>
      <c r="M265" s="546"/>
      <c r="N265" s="546"/>
      <c r="O265" s="546"/>
      <c r="P265" s="546"/>
      <c r="Q265" s="546"/>
      <c r="R265" s="546"/>
      <c r="S265" s="546">
        <v>278</v>
      </c>
      <c r="T265" s="546">
        <v>150</v>
      </c>
      <c r="U265" s="546"/>
      <c r="V265" s="546"/>
      <c r="W265" s="546"/>
      <c r="X265" s="546"/>
      <c r="Y265" s="185"/>
    </row>
    <row r="266" spans="10:25" x14ac:dyDescent="0.2">
      <c r="J266" s="546"/>
      <c r="K266" s="546"/>
      <c r="L266" s="546"/>
      <c r="M266" s="546"/>
      <c r="N266" s="546"/>
      <c r="O266" s="546"/>
      <c r="P266" s="546"/>
      <c r="Q266" s="546"/>
      <c r="R266" s="546"/>
      <c r="S266" s="546">
        <v>279</v>
      </c>
      <c r="T266" s="546">
        <v>150</v>
      </c>
      <c r="U266" s="546"/>
      <c r="V266" s="546"/>
      <c r="W266" s="546"/>
      <c r="X266" s="546"/>
      <c r="Y266" s="185"/>
    </row>
    <row r="267" spans="10:25" x14ac:dyDescent="0.2">
      <c r="J267" s="546"/>
      <c r="K267" s="546"/>
      <c r="L267" s="546"/>
      <c r="M267" s="546"/>
      <c r="N267" s="546"/>
      <c r="O267" s="546"/>
      <c r="P267" s="546"/>
      <c r="Q267" s="546"/>
      <c r="R267" s="546"/>
      <c r="S267" s="546">
        <v>280</v>
      </c>
      <c r="T267" s="546">
        <v>150</v>
      </c>
      <c r="U267" s="546"/>
      <c r="V267" s="546"/>
      <c r="W267" s="546"/>
      <c r="X267" s="546"/>
      <c r="Y267" s="185"/>
    </row>
    <row r="268" spans="10:25" x14ac:dyDescent="0.2">
      <c r="J268" s="546"/>
      <c r="K268" s="546"/>
      <c r="L268" s="546"/>
      <c r="M268" s="546"/>
      <c r="N268" s="546"/>
      <c r="O268" s="546"/>
      <c r="P268" s="546"/>
      <c r="Q268" s="546"/>
      <c r="R268" s="546"/>
      <c r="S268" s="546">
        <v>281</v>
      </c>
      <c r="T268" s="546">
        <v>150</v>
      </c>
      <c r="U268" s="546"/>
      <c r="V268" s="546"/>
      <c r="W268" s="546"/>
      <c r="X268" s="546"/>
      <c r="Y268" s="185"/>
    </row>
    <row r="269" spans="10:25" x14ac:dyDescent="0.2">
      <c r="J269" s="546"/>
      <c r="K269" s="546"/>
      <c r="L269" s="546"/>
      <c r="M269" s="546"/>
      <c r="N269" s="546"/>
      <c r="O269" s="546"/>
      <c r="P269" s="546"/>
      <c r="Q269" s="546"/>
      <c r="R269" s="546"/>
      <c r="S269" s="546">
        <v>282</v>
      </c>
      <c r="T269" s="546">
        <v>150</v>
      </c>
      <c r="U269" s="546"/>
      <c r="V269" s="546"/>
      <c r="W269" s="546"/>
      <c r="X269" s="546"/>
      <c r="Y269" s="185"/>
    </row>
    <row r="270" spans="10:25" x14ac:dyDescent="0.2">
      <c r="J270" s="546"/>
      <c r="K270" s="546"/>
      <c r="L270" s="546"/>
      <c r="M270" s="546"/>
      <c r="N270" s="546"/>
      <c r="O270" s="546"/>
      <c r="P270" s="546"/>
      <c r="Q270" s="546"/>
      <c r="R270" s="546"/>
      <c r="S270" s="546">
        <v>283</v>
      </c>
      <c r="T270" s="546">
        <v>150</v>
      </c>
      <c r="U270" s="546"/>
      <c r="V270" s="546"/>
      <c r="W270" s="546"/>
      <c r="X270" s="546"/>
      <c r="Y270" s="185"/>
    </row>
    <row r="271" spans="10:25" x14ac:dyDescent="0.2">
      <c r="J271" s="546"/>
      <c r="K271" s="546"/>
      <c r="L271" s="546"/>
      <c r="M271" s="546"/>
      <c r="N271" s="546"/>
      <c r="O271" s="546"/>
      <c r="P271" s="546"/>
      <c r="Q271" s="546"/>
      <c r="R271" s="546"/>
      <c r="S271" s="546">
        <v>284</v>
      </c>
      <c r="T271" s="546">
        <v>150</v>
      </c>
      <c r="U271" s="546"/>
      <c r="V271" s="546"/>
      <c r="W271" s="546"/>
      <c r="X271" s="546"/>
      <c r="Y271" s="185"/>
    </row>
    <row r="272" spans="10:25" x14ac:dyDescent="0.2">
      <c r="J272" s="546"/>
      <c r="K272" s="546"/>
      <c r="L272" s="546"/>
      <c r="M272" s="546"/>
      <c r="N272" s="546"/>
      <c r="O272" s="546"/>
      <c r="P272" s="546"/>
      <c r="Q272" s="546"/>
      <c r="R272" s="546"/>
      <c r="S272" s="546">
        <v>285</v>
      </c>
      <c r="T272" s="546">
        <v>150</v>
      </c>
      <c r="U272" s="546"/>
      <c r="V272" s="546"/>
      <c r="W272" s="546"/>
      <c r="X272" s="546"/>
      <c r="Y272" s="185"/>
    </row>
    <row r="273" spans="10:25" x14ac:dyDescent="0.2">
      <c r="J273" s="546"/>
      <c r="K273" s="546"/>
      <c r="L273" s="546"/>
      <c r="M273" s="546"/>
      <c r="N273" s="546"/>
      <c r="O273" s="546"/>
      <c r="P273" s="546"/>
      <c r="Q273" s="546"/>
      <c r="R273" s="546"/>
      <c r="S273" s="546">
        <v>286</v>
      </c>
      <c r="T273" s="546">
        <v>150</v>
      </c>
      <c r="U273" s="546"/>
      <c r="V273" s="546"/>
      <c r="W273" s="546"/>
      <c r="X273" s="546"/>
      <c r="Y273" s="185"/>
    </row>
    <row r="274" spans="10:25" x14ac:dyDescent="0.2">
      <c r="J274" s="546"/>
      <c r="K274" s="546"/>
      <c r="L274" s="546"/>
      <c r="M274" s="546"/>
      <c r="N274" s="546"/>
      <c r="O274" s="546"/>
      <c r="P274" s="546"/>
      <c r="Q274" s="546"/>
      <c r="R274" s="546"/>
      <c r="S274" s="546">
        <v>287</v>
      </c>
      <c r="T274" s="546">
        <v>150</v>
      </c>
      <c r="U274" s="546"/>
      <c r="V274" s="546"/>
      <c r="W274" s="546"/>
      <c r="X274" s="546"/>
      <c r="Y274" s="185"/>
    </row>
    <row r="275" spans="10:25" x14ac:dyDescent="0.2">
      <c r="J275" s="546"/>
      <c r="K275" s="546"/>
      <c r="L275" s="546"/>
      <c r="M275" s="546"/>
      <c r="N275" s="546"/>
      <c r="O275" s="546"/>
      <c r="P275" s="546"/>
      <c r="Q275" s="546"/>
      <c r="R275" s="546"/>
      <c r="S275" s="546">
        <v>288</v>
      </c>
      <c r="T275" s="546">
        <v>150</v>
      </c>
      <c r="U275" s="546"/>
      <c r="V275" s="546"/>
      <c r="W275" s="546"/>
      <c r="X275" s="546"/>
      <c r="Y275" s="185"/>
    </row>
    <row r="276" spans="10:25" x14ac:dyDescent="0.2">
      <c r="J276" s="546"/>
      <c r="K276" s="546"/>
      <c r="L276" s="546"/>
      <c r="M276" s="546"/>
      <c r="N276" s="546"/>
      <c r="O276" s="546"/>
      <c r="P276" s="546"/>
      <c r="Q276" s="546"/>
      <c r="R276" s="546"/>
      <c r="S276" s="546">
        <v>289</v>
      </c>
      <c r="T276" s="546">
        <v>150</v>
      </c>
      <c r="U276" s="546"/>
      <c r="V276" s="546"/>
      <c r="W276" s="546"/>
      <c r="X276" s="546"/>
      <c r="Y276" s="185"/>
    </row>
    <row r="277" spans="10:25" x14ac:dyDescent="0.2">
      <c r="J277" s="546"/>
      <c r="K277" s="546"/>
      <c r="L277" s="546"/>
      <c r="M277" s="546"/>
      <c r="N277" s="546"/>
      <c r="O277" s="546"/>
      <c r="P277" s="546"/>
      <c r="Q277" s="546"/>
      <c r="R277" s="546"/>
      <c r="S277" s="546">
        <v>290</v>
      </c>
      <c r="T277" s="546">
        <v>150</v>
      </c>
      <c r="U277" s="546"/>
      <c r="V277" s="546"/>
      <c r="W277" s="546"/>
      <c r="X277" s="546"/>
      <c r="Y277" s="185"/>
    </row>
    <row r="278" spans="10:25" x14ac:dyDescent="0.2">
      <c r="J278" s="546"/>
      <c r="K278" s="546"/>
      <c r="L278" s="546"/>
      <c r="M278" s="546"/>
      <c r="N278" s="546"/>
      <c r="O278" s="546"/>
      <c r="P278" s="546"/>
      <c r="Q278" s="546"/>
      <c r="R278" s="546"/>
      <c r="S278" s="546">
        <v>291</v>
      </c>
      <c r="T278" s="546">
        <v>150</v>
      </c>
      <c r="U278" s="546"/>
      <c r="V278" s="546"/>
      <c r="W278" s="546"/>
      <c r="X278" s="546"/>
      <c r="Y278" s="185"/>
    </row>
    <row r="279" spans="10:25" x14ac:dyDescent="0.2">
      <c r="J279" s="546"/>
      <c r="K279" s="546"/>
      <c r="L279" s="546"/>
      <c r="M279" s="546"/>
      <c r="N279" s="546"/>
      <c r="O279" s="546"/>
      <c r="P279" s="546"/>
      <c r="Q279" s="546"/>
      <c r="R279" s="546"/>
      <c r="S279" s="546">
        <v>292</v>
      </c>
      <c r="T279" s="546">
        <v>150</v>
      </c>
      <c r="U279" s="546"/>
      <c r="V279" s="546"/>
      <c r="W279" s="546"/>
      <c r="X279" s="546"/>
      <c r="Y279" s="185"/>
    </row>
    <row r="280" spans="10:25" x14ac:dyDescent="0.2">
      <c r="J280" s="546"/>
      <c r="K280" s="546"/>
      <c r="L280" s="546"/>
      <c r="M280" s="546"/>
      <c r="N280" s="546"/>
      <c r="O280" s="546"/>
      <c r="P280" s="546"/>
      <c r="Q280" s="546"/>
      <c r="R280" s="546"/>
      <c r="S280" s="546">
        <v>293</v>
      </c>
      <c r="T280" s="546">
        <v>150</v>
      </c>
      <c r="U280" s="546"/>
      <c r="V280" s="546"/>
      <c r="W280" s="546"/>
      <c r="X280" s="546"/>
      <c r="Y280" s="185"/>
    </row>
    <row r="281" spans="10:25" x14ac:dyDescent="0.2">
      <c r="J281" s="546"/>
      <c r="K281" s="546"/>
      <c r="L281" s="546"/>
      <c r="M281" s="546"/>
      <c r="N281" s="546"/>
      <c r="O281" s="546"/>
      <c r="P281" s="546"/>
      <c r="Q281" s="546"/>
      <c r="R281" s="546"/>
      <c r="S281" s="546">
        <v>294</v>
      </c>
      <c r="T281" s="546">
        <v>150</v>
      </c>
      <c r="U281" s="546"/>
      <c r="V281" s="546"/>
      <c r="W281" s="546"/>
      <c r="X281" s="546"/>
      <c r="Y281" s="185"/>
    </row>
    <row r="282" spans="10:25" x14ac:dyDescent="0.2">
      <c r="J282" s="546"/>
      <c r="K282" s="546"/>
      <c r="L282" s="546"/>
      <c r="M282" s="546"/>
      <c r="N282" s="546"/>
      <c r="O282" s="546"/>
      <c r="P282" s="546"/>
      <c r="Q282" s="546"/>
      <c r="R282" s="546"/>
      <c r="S282" s="546">
        <v>295</v>
      </c>
      <c r="T282" s="546">
        <v>150</v>
      </c>
      <c r="U282" s="546"/>
      <c r="V282" s="546"/>
      <c r="W282" s="546"/>
      <c r="X282" s="546"/>
      <c r="Y282" s="185"/>
    </row>
    <row r="283" spans="10:25" x14ac:dyDescent="0.2">
      <c r="J283" s="546"/>
      <c r="K283" s="546"/>
      <c r="L283" s="546"/>
      <c r="M283" s="546"/>
      <c r="N283" s="546"/>
      <c r="O283" s="546"/>
      <c r="P283" s="546"/>
      <c r="Q283" s="546"/>
      <c r="R283" s="546"/>
      <c r="S283" s="546">
        <v>296</v>
      </c>
      <c r="T283" s="546">
        <v>150</v>
      </c>
      <c r="U283" s="546"/>
      <c r="V283" s="546"/>
      <c r="W283" s="546"/>
      <c r="X283" s="546"/>
      <c r="Y283" s="185"/>
    </row>
    <row r="284" spans="10:25" x14ac:dyDescent="0.2">
      <c r="J284" s="546"/>
      <c r="K284" s="546"/>
      <c r="L284" s="546"/>
      <c r="M284" s="546"/>
      <c r="N284" s="546"/>
      <c r="O284" s="546"/>
      <c r="P284" s="546"/>
      <c r="Q284" s="546"/>
      <c r="R284" s="546"/>
      <c r="S284" s="546">
        <v>297</v>
      </c>
      <c r="T284" s="546">
        <v>150</v>
      </c>
      <c r="U284" s="546"/>
      <c r="V284" s="546"/>
      <c r="W284" s="546"/>
      <c r="X284" s="546"/>
      <c r="Y284" s="185"/>
    </row>
    <row r="285" spans="10:25" x14ac:dyDescent="0.2">
      <c r="J285" s="546"/>
      <c r="K285" s="546"/>
      <c r="L285" s="546"/>
      <c r="M285" s="546"/>
      <c r="N285" s="546"/>
      <c r="O285" s="546"/>
      <c r="P285" s="546"/>
      <c r="Q285" s="546"/>
      <c r="R285" s="546"/>
      <c r="S285" s="546">
        <v>298</v>
      </c>
      <c r="T285" s="546">
        <v>150</v>
      </c>
      <c r="U285" s="546"/>
      <c r="V285" s="546"/>
      <c r="W285" s="546"/>
      <c r="X285" s="546"/>
      <c r="Y285" s="185"/>
    </row>
    <row r="286" spans="10:25" x14ac:dyDescent="0.2">
      <c r="J286" s="546"/>
      <c r="K286" s="546"/>
      <c r="L286" s="546"/>
      <c r="M286" s="546"/>
      <c r="N286" s="546"/>
      <c r="O286" s="546"/>
      <c r="P286" s="546"/>
      <c r="Q286" s="546"/>
      <c r="R286" s="546"/>
      <c r="S286" s="546">
        <v>299</v>
      </c>
      <c r="T286" s="546">
        <v>150</v>
      </c>
      <c r="U286" s="546"/>
      <c r="V286" s="546"/>
      <c r="W286" s="546"/>
      <c r="X286" s="546"/>
      <c r="Y286" s="185"/>
    </row>
    <row r="287" spans="10:25" x14ac:dyDescent="0.2">
      <c r="J287" s="546"/>
      <c r="K287" s="546"/>
      <c r="L287" s="546"/>
      <c r="M287" s="546"/>
      <c r="N287" s="546"/>
      <c r="O287" s="546"/>
      <c r="P287" s="546"/>
      <c r="Q287" s="546"/>
      <c r="R287" s="546"/>
      <c r="S287" s="546">
        <v>300</v>
      </c>
      <c r="T287" s="546">
        <v>150</v>
      </c>
      <c r="U287" s="546">
        <v>300</v>
      </c>
      <c r="V287" s="546"/>
      <c r="W287" s="546"/>
      <c r="X287" s="546"/>
      <c r="Y287" s="185"/>
    </row>
    <row r="288" spans="10:25" x14ac:dyDescent="0.2">
      <c r="J288" s="546"/>
      <c r="K288" s="546"/>
      <c r="L288" s="546"/>
      <c r="M288" s="546"/>
      <c r="N288" s="546"/>
      <c r="O288" s="546"/>
      <c r="P288" s="546"/>
      <c r="Q288" s="546"/>
      <c r="R288" s="546"/>
      <c r="S288" s="546">
        <v>301</v>
      </c>
      <c r="T288" s="546">
        <v>150</v>
      </c>
      <c r="U288" s="546"/>
      <c r="V288" s="546"/>
      <c r="W288" s="546"/>
      <c r="X288" s="546"/>
      <c r="Y288" s="185"/>
    </row>
    <row r="289" spans="10:25" x14ac:dyDescent="0.2">
      <c r="J289" s="546"/>
      <c r="K289" s="546"/>
      <c r="L289" s="546"/>
      <c r="M289" s="546"/>
      <c r="N289" s="546"/>
      <c r="O289" s="546"/>
      <c r="P289" s="546"/>
      <c r="Q289" s="546"/>
      <c r="R289" s="546"/>
      <c r="S289" s="546">
        <v>302</v>
      </c>
      <c r="T289" s="546">
        <v>150</v>
      </c>
      <c r="U289" s="546"/>
      <c r="V289" s="546"/>
      <c r="W289" s="546"/>
      <c r="X289" s="546"/>
      <c r="Y289" s="185"/>
    </row>
    <row r="290" spans="10:25" x14ac:dyDescent="0.2">
      <c r="J290" s="546"/>
      <c r="K290" s="546"/>
      <c r="L290" s="546"/>
      <c r="M290" s="546"/>
      <c r="N290" s="546"/>
      <c r="O290" s="546"/>
      <c r="P290" s="546"/>
      <c r="Q290" s="546"/>
      <c r="R290" s="546"/>
      <c r="S290" s="546">
        <v>303</v>
      </c>
      <c r="T290" s="546">
        <v>150</v>
      </c>
      <c r="U290" s="546"/>
      <c r="V290" s="546"/>
      <c r="W290" s="546"/>
      <c r="X290" s="546"/>
      <c r="Y290" s="185"/>
    </row>
    <row r="291" spans="10:25" x14ac:dyDescent="0.2">
      <c r="J291" s="546"/>
      <c r="K291" s="546"/>
      <c r="L291" s="546"/>
      <c r="M291" s="546"/>
      <c r="N291" s="546"/>
      <c r="O291" s="546"/>
      <c r="P291" s="546"/>
      <c r="Q291" s="546"/>
      <c r="R291" s="546"/>
      <c r="S291" s="546">
        <v>304</v>
      </c>
      <c r="T291" s="546">
        <v>150</v>
      </c>
      <c r="U291" s="546"/>
      <c r="V291" s="546"/>
      <c r="W291" s="546"/>
      <c r="X291" s="546"/>
      <c r="Y291" s="185"/>
    </row>
    <row r="292" spans="10:25" x14ac:dyDescent="0.2">
      <c r="J292" s="546"/>
      <c r="K292" s="546"/>
      <c r="L292" s="546"/>
      <c r="M292" s="546"/>
      <c r="N292" s="546"/>
      <c r="O292" s="546"/>
      <c r="P292" s="546"/>
      <c r="Q292" s="546"/>
      <c r="R292" s="546"/>
      <c r="S292" s="546">
        <v>305</v>
      </c>
      <c r="T292" s="546">
        <v>150</v>
      </c>
      <c r="U292" s="546"/>
      <c r="V292" s="546"/>
      <c r="W292" s="546"/>
      <c r="X292" s="546"/>
      <c r="Y292" s="185"/>
    </row>
    <row r="293" spans="10:25" x14ac:dyDescent="0.2">
      <c r="J293" s="546"/>
      <c r="K293" s="546"/>
      <c r="L293" s="546"/>
      <c r="M293" s="546"/>
      <c r="N293" s="546"/>
      <c r="O293" s="546"/>
      <c r="P293" s="546"/>
      <c r="Q293" s="546"/>
      <c r="R293" s="546"/>
      <c r="S293" s="546">
        <v>306</v>
      </c>
      <c r="T293" s="546">
        <v>150</v>
      </c>
      <c r="U293" s="546"/>
      <c r="V293" s="546"/>
      <c r="W293" s="546"/>
      <c r="X293" s="546"/>
      <c r="Y293" s="185"/>
    </row>
    <row r="294" spans="10:25" x14ac:dyDescent="0.2">
      <c r="J294" s="546"/>
      <c r="K294" s="546"/>
      <c r="L294" s="546"/>
      <c r="M294" s="546"/>
      <c r="N294" s="546"/>
      <c r="O294" s="546"/>
      <c r="P294" s="546"/>
      <c r="Q294" s="546"/>
      <c r="R294" s="546"/>
      <c r="S294" s="546">
        <v>307</v>
      </c>
      <c r="T294" s="546">
        <v>150</v>
      </c>
      <c r="U294" s="546"/>
      <c r="V294" s="546"/>
      <c r="W294" s="546"/>
      <c r="X294" s="546"/>
      <c r="Y294" s="185"/>
    </row>
    <row r="295" spans="10:25" x14ac:dyDescent="0.2">
      <c r="J295" s="546"/>
      <c r="K295" s="546"/>
      <c r="L295" s="546"/>
      <c r="M295" s="546"/>
      <c r="N295" s="546"/>
      <c r="O295" s="546"/>
      <c r="P295" s="546"/>
      <c r="Q295" s="546"/>
      <c r="R295" s="546"/>
      <c r="S295" s="546">
        <v>308</v>
      </c>
      <c r="T295" s="546">
        <v>150</v>
      </c>
      <c r="U295" s="546"/>
      <c r="V295" s="546"/>
      <c r="W295" s="546"/>
      <c r="X295" s="546"/>
      <c r="Y295" s="185"/>
    </row>
    <row r="296" spans="10:25" x14ac:dyDescent="0.2">
      <c r="J296" s="546"/>
      <c r="K296" s="546"/>
      <c r="L296" s="546"/>
      <c r="M296" s="546"/>
      <c r="N296" s="546"/>
      <c r="O296" s="546"/>
      <c r="P296" s="546"/>
      <c r="Q296" s="546"/>
      <c r="R296" s="546"/>
      <c r="S296" s="546">
        <v>309</v>
      </c>
      <c r="T296" s="546">
        <v>150</v>
      </c>
      <c r="U296" s="546"/>
      <c r="V296" s="546"/>
      <c r="W296" s="546"/>
      <c r="X296" s="546"/>
      <c r="Y296" s="185"/>
    </row>
    <row r="297" spans="10:25" x14ac:dyDescent="0.2">
      <c r="J297" s="546"/>
      <c r="K297" s="546"/>
      <c r="L297" s="546"/>
      <c r="M297" s="546"/>
      <c r="N297" s="546"/>
      <c r="O297" s="546"/>
      <c r="P297" s="546"/>
      <c r="Q297" s="546"/>
      <c r="R297" s="546"/>
      <c r="S297" s="546">
        <v>310</v>
      </c>
      <c r="T297" s="546">
        <v>150</v>
      </c>
      <c r="U297" s="546"/>
      <c r="V297" s="546"/>
      <c r="W297" s="546"/>
      <c r="X297" s="546"/>
      <c r="Y297" s="185"/>
    </row>
    <row r="298" spans="10:25" x14ac:dyDescent="0.2">
      <c r="J298" s="546"/>
      <c r="K298" s="546"/>
      <c r="L298" s="546"/>
      <c r="M298" s="546"/>
      <c r="N298" s="546"/>
      <c r="O298" s="546"/>
      <c r="P298" s="546"/>
      <c r="Q298" s="546"/>
      <c r="R298" s="546"/>
      <c r="S298" s="546">
        <v>311</v>
      </c>
      <c r="T298" s="546">
        <v>150</v>
      </c>
      <c r="U298" s="546"/>
      <c r="V298" s="546"/>
      <c r="W298" s="546"/>
      <c r="X298" s="546"/>
      <c r="Y298" s="185"/>
    </row>
    <row r="299" spans="10:25" x14ac:dyDescent="0.2">
      <c r="J299" s="546"/>
      <c r="K299" s="546"/>
      <c r="L299" s="546"/>
      <c r="M299" s="546"/>
      <c r="N299" s="546"/>
      <c r="O299" s="546"/>
      <c r="P299" s="546"/>
      <c r="Q299" s="546"/>
      <c r="R299" s="546"/>
      <c r="S299" s="546">
        <v>312</v>
      </c>
      <c r="T299" s="546">
        <v>150</v>
      </c>
      <c r="U299" s="546"/>
      <c r="V299" s="546"/>
      <c r="W299" s="546"/>
      <c r="X299" s="546"/>
      <c r="Y299" s="185"/>
    </row>
    <row r="300" spans="10:25" x14ac:dyDescent="0.2">
      <c r="J300" s="546"/>
      <c r="K300" s="546"/>
      <c r="L300" s="546"/>
      <c r="M300" s="546"/>
      <c r="N300" s="546"/>
      <c r="O300" s="546"/>
      <c r="P300" s="546"/>
      <c r="Q300" s="546"/>
      <c r="R300" s="546"/>
      <c r="S300" s="546">
        <v>313</v>
      </c>
      <c r="T300" s="546">
        <v>150</v>
      </c>
      <c r="U300" s="546"/>
      <c r="V300" s="546"/>
      <c r="W300" s="546"/>
      <c r="X300" s="546"/>
      <c r="Y300" s="185"/>
    </row>
    <row r="301" spans="10:25" x14ac:dyDescent="0.2">
      <c r="J301" s="546"/>
      <c r="K301" s="546"/>
      <c r="L301" s="546"/>
      <c r="M301" s="546"/>
      <c r="N301" s="546"/>
      <c r="O301" s="546"/>
      <c r="P301" s="546"/>
      <c r="Q301" s="546"/>
      <c r="R301" s="546"/>
      <c r="S301" s="546">
        <v>314</v>
      </c>
      <c r="T301" s="546">
        <v>150</v>
      </c>
      <c r="U301" s="546"/>
      <c r="V301" s="546"/>
      <c r="W301" s="546"/>
      <c r="X301" s="546"/>
      <c r="Y301" s="185"/>
    </row>
    <row r="302" spans="10:25" x14ac:dyDescent="0.2">
      <c r="J302" s="546"/>
      <c r="K302" s="546"/>
      <c r="L302" s="546"/>
      <c r="M302" s="546"/>
      <c r="N302" s="546"/>
      <c r="O302" s="546"/>
      <c r="P302" s="546"/>
      <c r="Q302" s="546"/>
      <c r="R302" s="546"/>
      <c r="S302" s="546">
        <v>315</v>
      </c>
      <c r="T302" s="546">
        <v>150</v>
      </c>
      <c r="U302" s="546"/>
      <c r="V302" s="546"/>
      <c r="W302" s="546"/>
      <c r="X302" s="546"/>
      <c r="Y302" s="185"/>
    </row>
    <row r="303" spans="10:25" x14ac:dyDescent="0.2">
      <c r="J303" s="546"/>
      <c r="K303" s="546"/>
      <c r="L303" s="546"/>
      <c r="M303" s="546"/>
      <c r="N303" s="546"/>
      <c r="O303" s="546"/>
      <c r="P303" s="546"/>
      <c r="Q303" s="546"/>
      <c r="R303" s="546"/>
      <c r="S303" s="546">
        <v>316</v>
      </c>
      <c r="T303" s="546">
        <v>150</v>
      </c>
      <c r="U303" s="546"/>
      <c r="V303" s="546"/>
      <c r="W303" s="546"/>
      <c r="X303" s="546"/>
      <c r="Y303" s="185"/>
    </row>
    <row r="304" spans="10:25" x14ac:dyDescent="0.2">
      <c r="J304" s="546"/>
      <c r="K304" s="546"/>
      <c r="L304" s="546"/>
      <c r="M304" s="546"/>
      <c r="N304" s="546"/>
      <c r="O304" s="546"/>
      <c r="P304" s="546"/>
      <c r="Q304" s="546"/>
      <c r="R304" s="546"/>
      <c r="S304" s="546">
        <v>317</v>
      </c>
      <c r="T304" s="546">
        <v>150</v>
      </c>
      <c r="U304" s="546"/>
      <c r="V304" s="546"/>
      <c r="W304" s="546"/>
      <c r="X304" s="546"/>
      <c r="Y304" s="185"/>
    </row>
    <row r="305" spans="10:25" x14ac:dyDescent="0.2">
      <c r="J305" s="546"/>
      <c r="K305" s="546"/>
      <c r="L305" s="546"/>
      <c r="M305" s="546"/>
      <c r="N305" s="546"/>
      <c r="O305" s="546"/>
      <c r="P305" s="546"/>
      <c r="Q305" s="546"/>
      <c r="R305" s="546"/>
      <c r="S305" s="546">
        <v>318</v>
      </c>
      <c r="T305" s="546">
        <v>150</v>
      </c>
      <c r="U305" s="546"/>
      <c r="V305" s="546"/>
      <c r="W305" s="546"/>
      <c r="X305" s="546"/>
      <c r="Y305" s="185"/>
    </row>
    <row r="306" spans="10:25" x14ac:dyDescent="0.2">
      <c r="J306" s="546"/>
      <c r="K306" s="546"/>
      <c r="L306" s="546"/>
      <c r="M306" s="546"/>
      <c r="N306" s="546"/>
      <c r="O306" s="546"/>
      <c r="P306" s="546"/>
      <c r="Q306" s="546"/>
      <c r="R306" s="546"/>
      <c r="S306" s="546">
        <v>319</v>
      </c>
      <c r="T306" s="546">
        <v>150</v>
      </c>
      <c r="U306" s="546"/>
      <c r="V306" s="546"/>
      <c r="W306" s="546"/>
      <c r="X306" s="546"/>
      <c r="Y306" s="185"/>
    </row>
    <row r="307" spans="10:25" x14ac:dyDescent="0.2">
      <c r="J307" s="546"/>
      <c r="K307" s="546"/>
      <c r="L307" s="546"/>
      <c r="M307" s="546"/>
      <c r="N307" s="546"/>
      <c r="O307" s="546"/>
      <c r="P307" s="546"/>
      <c r="Q307" s="546"/>
      <c r="R307" s="546"/>
      <c r="S307" s="546">
        <v>320</v>
      </c>
      <c r="T307" s="546">
        <v>150</v>
      </c>
      <c r="U307" s="546"/>
      <c r="V307" s="546"/>
      <c r="W307" s="546"/>
      <c r="X307" s="546"/>
      <c r="Y307" s="185"/>
    </row>
    <row r="308" spans="10:25" x14ac:dyDescent="0.2">
      <c r="J308" s="546"/>
      <c r="K308" s="546"/>
      <c r="L308" s="546"/>
      <c r="M308" s="546"/>
      <c r="N308" s="546"/>
      <c r="O308" s="546"/>
      <c r="P308" s="546"/>
      <c r="Q308" s="546"/>
      <c r="R308" s="546"/>
      <c r="S308" s="546">
        <v>321</v>
      </c>
      <c r="T308" s="546">
        <v>150</v>
      </c>
      <c r="U308" s="546"/>
      <c r="V308" s="546"/>
      <c r="W308" s="546"/>
      <c r="X308" s="546"/>
      <c r="Y308" s="185"/>
    </row>
    <row r="309" spans="10:25" x14ac:dyDescent="0.2">
      <c r="J309" s="546"/>
      <c r="K309" s="546"/>
      <c r="L309" s="546"/>
      <c r="M309" s="546"/>
      <c r="N309" s="546"/>
      <c r="O309" s="546"/>
      <c r="P309" s="546"/>
      <c r="Q309" s="546"/>
      <c r="R309" s="546"/>
      <c r="S309" s="546">
        <v>322</v>
      </c>
      <c r="T309" s="546">
        <v>150</v>
      </c>
      <c r="U309" s="546"/>
      <c r="V309" s="546"/>
      <c r="W309" s="546"/>
      <c r="X309" s="546"/>
      <c r="Y309" s="185"/>
    </row>
    <row r="310" spans="10:25" x14ac:dyDescent="0.2">
      <c r="J310" s="546"/>
      <c r="K310" s="546"/>
      <c r="L310" s="546"/>
      <c r="M310" s="546"/>
      <c r="N310" s="546"/>
      <c r="O310" s="546"/>
      <c r="P310" s="546"/>
      <c r="Q310" s="546"/>
      <c r="R310" s="546"/>
      <c r="S310" s="546">
        <v>323</v>
      </c>
      <c r="T310" s="546">
        <v>150</v>
      </c>
      <c r="U310" s="546"/>
      <c r="V310" s="546"/>
      <c r="W310" s="546"/>
      <c r="X310" s="546"/>
      <c r="Y310" s="185"/>
    </row>
    <row r="311" spans="10:25" x14ac:dyDescent="0.2">
      <c r="J311" s="546"/>
      <c r="K311" s="546"/>
      <c r="L311" s="546"/>
      <c r="M311" s="546"/>
      <c r="N311" s="546"/>
      <c r="O311" s="546"/>
      <c r="P311" s="546"/>
      <c r="Q311" s="546"/>
      <c r="R311" s="546"/>
      <c r="S311" s="546">
        <v>324</v>
      </c>
      <c r="T311" s="546">
        <v>150</v>
      </c>
      <c r="U311" s="546"/>
      <c r="V311" s="546"/>
      <c r="W311" s="546"/>
      <c r="X311" s="546"/>
      <c r="Y311" s="185"/>
    </row>
    <row r="312" spans="10:25" x14ac:dyDescent="0.2">
      <c r="J312" s="546"/>
      <c r="K312" s="546"/>
      <c r="L312" s="546"/>
      <c r="M312" s="546"/>
      <c r="N312" s="546"/>
      <c r="O312" s="546"/>
      <c r="P312" s="546"/>
      <c r="Q312" s="546"/>
      <c r="R312" s="546"/>
      <c r="S312" s="546">
        <v>325</v>
      </c>
      <c r="T312" s="546">
        <v>150</v>
      </c>
      <c r="U312" s="546"/>
      <c r="V312" s="546"/>
      <c r="W312" s="546"/>
      <c r="X312" s="546"/>
      <c r="Y312" s="185"/>
    </row>
    <row r="313" spans="10:25" x14ac:dyDescent="0.2">
      <c r="J313" s="546"/>
      <c r="K313" s="546"/>
      <c r="L313" s="546"/>
      <c r="M313" s="546"/>
      <c r="N313" s="546"/>
      <c r="O313" s="546"/>
      <c r="P313" s="546"/>
      <c r="Q313" s="546"/>
      <c r="R313" s="546"/>
      <c r="S313" s="546">
        <v>326</v>
      </c>
      <c r="T313" s="546">
        <v>150</v>
      </c>
      <c r="U313" s="546"/>
      <c r="V313" s="546"/>
      <c r="W313" s="546"/>
      <c r="X313" s="546"/>
      <c r="Y313" s="185"/>
    </row>
    <row r="314" spans="10:25" x14ac:dyDescent="0.2">
      <c r="J314" s="546"/>
      <c r="K314" s="546"/>
      <c r="L314" s="546"/>
      <c r="M314" s="546"/>
      <c r="N314" s="546"/>
      <c r="O314" s="546"/>
      <c r="P314" s="546"/>
      <c r="Q314" s="546"/>
      <c r="R314" s="546"/>
      <c r="S314" s="546">
        <v>327</v>
      </c>
      <c r="T314" s="546">
        <v>150</v>
      </c>
      <c r="U314" s="546"/>
      <c r="V314" s="546"/>
      <c r="W314" s="546"/>
      <c r="X314" s="546"/>
      <c r="Y314" s="185"/>
    </row>
    <row r="315" spans="10:25" x14ac:dyDescent="0.2">
      <c r="J315" s="546"/>
      <c r="K315" s="546"/>
      <c r="L315" s="546"/>
      <c r="M315" s="546"/>
      <c r="N315" s="546"/>
      <c r="O315" s="546"/>
      <c r="P315" s="546"/>
      <c r="Q315" s="546"/>
      <c r="R315" s="546"/>
      <c r="S315" s="546">
        <v>328</v>
      </c>
      <c r="T315" s="546">
        <v>150</v>
      </c>
      <c r="U315" s="546"/>
      <c r="V315" s="546"/>
      <c r="W315" s="546"/>
      <c r="X315" s="546"/>
      <c r="Y315" s="185"/>
    </row>
    <row r="316" spans="10:25" x14ac:dyDescent="0.2">
      <c r="J316" s="546"/>
      <c r="K316" s="546"/>
      <c r="L316" s="546"/>
      <c r="M316" s="546"/>
      <c r="N316" s="546"/>
      <c r="O316" s="546"/>
      <c r="P316" s="546"/>
      <c r="Q316" s="546"/>
      <c r="R316" s="546"/>
      <c r="S316" s="546">
        <v>329</v>
      </c>
      <c r="T316" s="546">
        <v>150</v>
      </c>
      <c r="U316" s="546"/>
      <c r="V316" s="546"/>
      <c r="W316" s="546"/>
      <c r="X316" s="546"/>
      <c r="Y316" s="185"/>
    </row>
    <row r="317" spans="10:25" x14ac:dyDescent="0.2">
      <c r="J317" s="546"/>
      <c r="K317" s="546"/>
      <c r="L317" s="546"/>
      <c r="M317" s="546"/>
      <c r="N317" s="546"/>
      <c r="O317" s="546"/>
      <c r="P317" s="546"/>
      <c r="Q317" s="546"/>
      <c r="R317" s="546"/>
      <c r="S317" s="546">
        <v>330</v>
      </c>
      <c r="T317" s="546">
        <v>150</v>
      </c>
      <c r="U317" s="546"/>
      <c r="V317" s="546"/>
      <c r="W317" s="546"/>
      <c r="X317" s="546"/>
      <c r="Y317" s="185"/>
    </row>
    <row r="318" spans="10:25" x14ac:dyDescent="0.2">
      <c r="J318" s="546"/>
      <c r="K318" s="546"/>
      <c r="L318" s="546"/>
      <c r="M318" s="546"/>
      <c r="N318" s="546"/>
      <c r="O318" s="546"/>
      <c r="P318" s="546"/>
      <c r="Q318" s="546"/>
      <c r="R318" s="546"/>
      <c r="S318" s="546">
        <v>331</v>
      </c>
      <c r="T318" s="546">
        <v>150</v>
      </c>
      <c r="U318" s="546"/>
      <c r="V318" s="546"/>
      <c r="W318" s="546"/>
      <c r="X318" s="546"/>
      <c r="Y318" s="185"/>
    </row>
    <row r="319" spans="10:25" x14ac:dyDescent="0.2">
      <c r="J319" s="546"/>
      <c r="K319" s="546"/>
      <c r="L319" s="546"/>
      <c r="M319" s="546"/>
      <c r="N319" s="546"/>
      <c r="O319" s="546"/>
      <c r="P319" s="546"/>
      <c r="Q319" s="546"/>
      <c r="R319" s="546"/>
      <c r="S319" s="546">
        <v>332</v>
      </c>
      <c r="T319" s="546">
        <v>150</v>
      </c>
      <c r="U319" s="546"/>
      <c r="V319" s="546"/>
      <c r="W319" s="546"/>
      <c r="X319" s="546"/>
      <c r="Y319" s="185"/>
    </row>
    <row r="320" spans="10:25" x14ac:dyDescent="0.2">
      <c r="J320" s="546"/>
      <c r="K320" s="546"/>
      <c r="L320" s="546"/>
      <c r="M320" s="546"/>
      <c r="N320" s="546"/>
      <c r="O320" s="546"/>
      <c r="P320" s="546"/>
      <c r="Q320" s="546"/>
      <c r="R320" s="546"/>
      <c r="S320" s="546">
        <v>333</v>
      </c>
      <c r="T320" s="546">
        <v>150</v>
      </c>
      <c r="U320" s="546"/>
      <c r="V320" s="546"/>
      <c r="W320" s="546"/>
      <c r="X320" s="546"/>
      <c r="Y320" s="185"/>
    </row>
    <row r="321" spans="10:25" x14ac:dyDescent="0.2">
      <c r="J321" s="546"/>
      <c r="K321" s="546"/>
      <c r="L321" s="546"/>
      <c r="M321" s="546"/>
      <c r="N321" s="546"/>
      <c r="O321" s="546"/>
      <c r="P321" s="546"/>
      <c r="Q321" s="546"/>
      <c r="R321" s="546"/>
      <c r="S321" s="546">
        <v>334</v>
      </c>
      <c r="T321" s="546">
        <v>150</v>
      </c>
      <c r="U321" s="546"/>
      <c r="V321" s="546"/>
      <c r="W321" s="546"/>
      <c r="X321" s="546"/>
      <c r="Y321" s="185"/>
    </row>
    <row r="322" spans="10:25" x14ac:dyDescent="0.2">
      <c r="J322" s="546"/>
      <c r="K322" s="546"/>
      <c r="L322" s="546"/>
      <c r="M322" s="546"/>
      <c r="N322" s="546"/>
      <c r="O322" s="546"/>
      <c r="P322" s="546"/>
      <c r="Q322" s="546"/>
      <c r="R322" s="546"/>
      <c r="S322" s="546">
        <v>335</v>
      </c>
      <c r="T322" s="546">
        <v>150</v>
      </c>
      <c r="U322" s="546"/>
      <c r="V322" s="546"/>
      <c r="W322" s="546"/>
      <c r="X322" s="546"/>
      <c r="Y322" s="185"/>
    </row>
    <row r="323" spans="10:25" x14ac:dyDescent="0.2">
      <c r="J323" s="546"/>
      <c r="K323" s="546"/>
      <c r="L323" s="546"/>
      <c r="M323" s="546"/>
      <c r="N323" s="546"/>
      <c r="O323" s="546"/>
      <c r="P323" s="546"/>
      <c r="Q323" s="546"/>
      <c r="R323" s="546"/>
      <c r="S323" s="546">
        <v>336</v>
      </c>
      <c r="T323" s="546">
        <v>150</v>
      </c>
      <c r="U323" s="546"/>
      <c r="V323" s="546"/>
      <c r="W323" s="546"/>
      <c r="X323" s="546"/>
      <c r="Y323" s="185"/>
    </row>
    <row r="324" spans="10:25" x14ac:dyDescent="0.2">
      <c r="J324" s="546"/>
      <c r="K324" s="546"/>
      <c r="L324" s="546"/>
      <c r="M324" s="546"/>
      <c r="N324" s="546"/>
      <c r="O324" s="546"/>
      <c r="P324" s="546"/>
      <c r="Q324" s="546"/>
      <c r="R324" s="546"/>
      <c r="S324" s="546">
        <v>337</v>
      </c>
      <c r="T324" s="546">
        <v>150</v>
      </c>
      <c r="U324" s="546"/>
      <c r="V324" s="546"/>
      <c r="W324" s="546"/>
      <c r="X324" s="546"/>
      <c r="Y324" s="185"/>
    </row>
    <row r="325" spans="10:25" x14ac:dyDescent="0.2">
      <c r="J325" s="546"/>
      <c r="K325" s="546"/>
      <c r="L325" s="546"/>
      <c r="M325" s="546"/>
      <c r="N325" s="546"/>
      <c r="O325" s="546"/>
      <c r="P325" s="546"/>
      <c r="Q325" s="546"/>
      <c r="R325" s="546"/>
      <c r="S325" s="546">
        <v>338</v>
      </c>
      <c r="T325" s="546">
        <v>150</v>
      </c>
      <c r="U325" s="546"/>
      <c r="V325" s="546"/>
      <c r="W325" s="546"/>
      <c r="X325" s="546"/>
      <c r="Y325" s="185"/>
    </row>
    <row r="326" spans="10:25" x14ac:dyDescent="0.2">
      <c r="J326" s="546"/>
      <c r="K326" s="546"/>
      <c r="L326" s="546"/>
      <c r="M326" s="546"/>
      <c r="N326" s="546"/>
      <c r="O326" s="546"/>
      <c r="P326" s="546"/>
      <c r="Q326" s="546"/>
      <c r="R326" s="546"/>
      <c r="S326" s="546">
        <v>339</v>
      </c>
      <c r="T326" s="546">
        <v>150</v>
      </c>
      <c r="U326" s="546"/>
      <c r="V326" s="546"/>
      <c r="W326" s="546"/>
      <c r="X326" s="546"/>
      <c r="Y326" s="185"/>
    </row>
    <row r="327" spans="10:25" x14ac:dyDescent="0.2">
      <c r="J327" s="546"/>
      <c r="K327" s="546"/>
      <c r="L327" s="546"/>
      <c r="M327" s="546"/>
      <c r="N327" s="546"/>
      <c r="O327" s="546"/>
      <c r="P327" s="546"/>
      <c r="Q327" s="546"/>
      <c r="R327" s="546"/>
      <c r="S327" s="546">
        <v>340</v>
      </c>
      <c r="T327" s="546">
        <v>150</v>
      </c>
      <c r="U327" s="546"/>
      <c r="V327" s="546"/>
      <c r="W327" s="546"/>
      <c r="X327" s="546"/>
      <c r="Y327" s="185"/>
    </row>
    <row r="328" spans="10:25" x14ac:dyDescent="0.2">
      <c r="J328" s="546"/>
      <c r="K328" s="546"/>
      <c r="L328" s="546"/>
      <c r="M328" s="546"/>
      <c r="N328" s="546"/>
      <c r="O328" s="546"/>
      <c r="P328" s="546"/>
      <c r="Q328" s="546"/>
      <c r="R328" s="546"/>
      <c r="S328" s="546">
        <v>341</v>
      </c>
      <c r="T328" s="546">
        <v>150</v>
      </c>
      <c r="U328" s="546"/>
      <c r="V328" s="546"/>
      <c r="W328" s="546"/>
      <c r="X328" s="546"/>
      <c r="Y328" s="185"/>
    </row>
    <row r="329" spans="10:25" x14ac:dyDescent="0.2">
      <c r="J329" s="546"/>
      <c r="K329" s="546"/>
      <c r="L329" s="546"/>
      <c r="M329" s="546"/>
      <c r="N329" s="546"/>
      <c r="O329" s="546"/>
      <c r="P329" s="546"/>
      <c r="Q329" s="546"/>
      <c r="R329" s="546"/>
      <c r="S329" s="546">
        <v>342</v>
      </c>
      <c r="T329" s="546">
        <v>150</v>
      </c>
      <c r="U329" s="546"/>
      <c r="V329" s="546"/>
      <c r="W329" s="546"/>
      <c r="X329" s="546"/>
      <c r="Y329" s="185"/>
    </row>
    <row r="330" spans="10:25" x14ac:dyDescent="0.2">
      <c r="J330" s="546"/>
      <c r="K330" s="546"/>
      <c r="L330" s="546"/>
      <c r="M330" s="546"/>
      <c r="N330" s="546"/>
      <c r="O330" s="546"/>
      <c r="P330" s="546"/>
      <c r="Q330" s="546"/>
      <c r="R330" s="546"/>
      <c r="S330" s="546">
        <v>343</v>
      </c>
      <c r="T330" s="546">
        <v>150</v>
      </c>
      <c r="U330" s="546"/>
      <c r="V330" s="546"/>
      <c r="W330" s="546"/>
      <c r="X330" s="546"/>
      <c r="Y330" s="185"/>
    </row>
    <row r="331" spans="10:25" x14ac:dyDescent="0.2">
      <c r="J331" s="546"/>
      <c r="K331" s="546"/>
      <c r="L331" s="546"/>
      <c r="M331" s="546"/>
      <c r="N331" s="546"/>
      <c r="O331" s="546"/>
      <c r="P331" s="546"/>
      <c r="Q331" s="546"/>
      <c r="R331" s="546"/>
      <c r="S331" s="546">
        <v>344</v>
      </c>
      <c r="T331" s="546">
        <v>150</v>
      </c>
      <c r="U331" s="546"/>
      <c r="V331" s="546"/>
      <c r="W331" s="546"/>
      <c r="X331" s="546"/>
      <c r="Y331" s="185"/>
    </row>
    <row r="332" spans="10:25" x14ac:dyDescent="0.2">
      <c r="J332" s="546"/>
      <c r="K332" s="546"/>
      <c r="L332" s="546"/>
      <c r="M332" s="546"/>
      <c r="N332" s="546"/>
      <c r="O332" s="546"/>
      <c r="P332" s="546"/>
      <c r="Q332" s="546"/>
      <c r="R332" s="546"/>
      <c r="S332" s="546">
        <v>345</v>
      </c>
      <c r="T332" s="546">
        <v>150</v>
      </c>
      <c r="U332" s="546"/>
      <c r="V332" s="546"/>
      <c r="W332" s="546"/>
      <c r="X332" s="546"/>
      <c r="Y332" s="185"/>
    </row>
    <row r="333" spans="10:25" x14ac:dyDescent="0.2">
      <c r="J333" s="546"/>
      <c r="K333" s="546"/>
      <c r="L333" s="546"/>
      <c r="M333" s="546"/>
      <c r="N333" s="546"/>
      <c r="O333" s="546"/>
      <c r="P333" s="546"/>
      <c r="Q333" s="546"/>
      <c r="R333" s="546"/>
      <c r="S333" s="546">
        <v>346</v>
      </c>
      <c r="T333" s="546">
        <v>150</v>
      </c>
      <c r="U333" s="546"/>
      <c r="V333" s="546"/>
      <c r="W333" s="546"/>
      <c r="X333" s="546"/>
      <c r="Y333" s="185"/>
    </row>
    <row r="334" spans="10:25" x14ac:dyDescent="0.2">
      <c r="J334" s="546"/>
      <c r="K334" s="546"/>
      <c r="L334" s="546"/>
      <c r="M334" s="546"/>
      <c r="N334" s="546"/>
      <c r="O334" s="546"/>
      <c r="P334" s="546"/>
      <c r="Q334" s="546"/>
      <c r="R334" s="546"/>
      <c r="S334" s="546">
        <v>347</v>
      </c>
      <c r="T334" s="546">
        <v>150</v>
      </c>
      <c r="U334" s="546"/>
      <c r="V334" s="546"/>
      <c r="W334" s="546"/>
      <c r="X334" s="546"/>
      <c r="Y334" s="185"/>
    </row>
    <row r="335" spans="10:25" x14ac:dyDescent="0.2">
      <c r="J335" s="546"/>
      <c r="K335" s="546"/>
      <c r="L335" s="546"/>
      <c r="M335" s="546"/>
      <c r="N335" s="546"/>
      <c r="O335" s="546"/>
      <c r="P335" s="546"/>
      <c r="Q335" s="546"/>
      <c r="R335" s="546"/>
      <c r="S335" s="546">
        <v>348</v>
      </c>
      <c r="T335" s="546">
        <v>150</v>
      </c>
      <c r="U335" s="546"/>
      <c r="V335" s="546"/>
      <c r="W335" s="546"/>
      <c r="X335" s="546"/>
      <c r="Y335" s="185"/>
    </row>
    <row r="336" spans="10:25" x14ac:dyDescent="0.2">
      <c r="J336" s="546"/>
      <c r="K336" s="546"/>
      <c r="L336" s="546"/>
      <c r="M336" s="546"/>
      <c r="N336" s="546"/>
      <c r="O336" s="546"/>
      <c r="P336" s="546"/>
      <c r="Q336" s="546"/>
      <c r="R336" s="546"/>
      <c r="S336" s="546">
        <v>349</v>
      </c>
      <c r="T336" s="546">
        <v>150</v>
      </c>
      <c r="U336" s="546"/>
      <c r="V336" s="546"/>
      <c r="W336" s="546"/>
      <c r="X336" s="546"/>
      <c r="Y336" s="185"/>
    </row>
    <row r="337" spans="10:25" x14ac:dyDescent="0.2">
      <c r="J337" s="546"/>
      <c r="K337" s="546"/>
      <c r="L337" s="546"/>
      <c r="M337" s="546"/>
      <c r="N337" s="546"/>
      <c r="O337" s="546"/>
      <c r="P337" s="546"/>
      <c r="Q337" s="546"/>
      <c r="R337" s="546"/>
      <c r="S337" s="546">
        <v>350</v>
      </c>
      <c r="T337" s="546">
        <v>150</v>
      </c>
      <c r="U337" s="546"/>
      <c r="V337" s="546"/>
      <c r="W337" s="546"/>
      <c r="X337" s="546"/>
      <c r="Y337" s="185"/>
    </row>
    <row r="338" spans="10:25" x14ac:dyDescent="0.2">
      <c r="J338" s="546"/>
      <c r="K338" s="546"/>
      <c r="L338" s="546"/>
      <c r="M338" s="546"/>
      <c r="N338" s="546"/>
      <c r="O338" s="546"/>
      <c r="P338" s="546"/>
      <c r="Q338" s="546"/>
      <c r="R338" s="546"/>
      <c r="S338" s="546">
        <v>351</v>
      </c>
      <c r="T338" s="546">
        <v>150</v>
      </c>
      <c r="U338" s="546"/>
      <c r="V338" s="546"/>
      <c r="W338" s="546"/>
      <c r="X338" s="546"/>
      <c r="Y338" s="185"/>
    </row>
    <row r="339" spans="10:25" x14ac:dyDescent="0.2">
      <c r="J339" s="546"/>
      <c r="K339" s="546"/>
      <c r="L339" s="546"/>
      <c r="M339" s="546"/>
      <c r="N339" s="546"/>
      <c r="O339" s="546"/>
      <c r="P339" s="546"/>
      <c r="Q339" s="546"/>
      <c r="R339" s="546"/>
      <c r="S339" s="546">
        <v>352</v>
      </c>
      <c r="T339" s="546">
        <v>150</v>
      </c>
      <c r="U339" s="546"/>
      <c r="V339" s="546"/>
      <c r="W339" s="546"/>
      <c r="X339" s="546"/>
      <c r="Y339" s="185"/>
    </row>
    <row r="340" spans="10:25" x14ac:dyDescent="0.2">
      <c r="J340" s="546"/>
      <c r="K340" s="546"/>
      <c r="L340" s="546"/>
      <c r="M340" s="546"/>
      <c r="N340" s="546"/>
      <c r="O340" s="546"/>
      <c r="P340" s="546"/>
      <c r="Q340" s="546"/>
      <c r="R340" s="546"/>
      <c r="S340" s="546">
        <v>353</v>
      </c>
      <c r="T340" s="546">
        <v>150</v>
      </c>
      <c r="U340" s="546"/>
      <c r="V340" s="546"/>
      <c r="W340" s="546"/>
      <c r="X340" s="546"/>
      <c r="Y340" s="185"/>
    </row>
    <row r="341" spans="10:25" x14ac:dyDescent="0.2">
      <c r="J341" s="546"/>
      <c r="K341" s="546"/>
      <c r="L341" s="546"/>
      <c r="M341" s="546"/>
      <c r="N341" s="546"/>
      <c r="O341" s="546"/>
      <c r="P341" s="546"/>
      <c r="Q341" s="546"/>
      <c r="R341" s="546"/>
      <c r="S341" s="546">
        <v>354</v>
      </c>
      <c r="T341" s="546">
        <v>150</v>
      </c>
      <c r="U341" s="546"/>
      <c r="V341" s="546"/>
      <c r="W341" s="546"/>
      <c r="X341" s="546"/>
      <c r="Y341" s="185"/>
    </row>
    <row r="342" spans="10:25" x14ac:dyDescent="0.2">
      <c r="J342" s="546"/>
      <c r="K342" s="546"/>
      <c r="L342" s="546"/>
      <c r="M342" s="546"/>
      <c r="N342" s="546"/>
      <c r="O342" s="546"/>
      <c r="P342" s="546"/>
      <c r="Q342" s="546"/>
      <c r="R342" s="546"/>
      <c r="S342" s="546">
        <v>355</v>
      </c>
      <c r="T342" s="546">
        <v>150</v>
      </c>
      <c r="U342" s="546"/>
      <c r="V342" s="546"/>
      <c r="W342" s="546"/>
      <c r="X342" s="546"/>
      <c r="Y342" s="185"/>
    </row>
    <row r="343" spans="10:25" x14ac:dyDescent="0.2">
      <c r="J343" s="546"/>
      <c r="K343" s="546"/>
      <c r="L343" s="546"/>
      <c r="M343" s="546"/>
      <c r="N343" s="546"/>
      <c r="O343" s="546"/>
      <c r="P343" s="546"/>
      <c r="Q343" s="546"/>
      <c r="R343" s="546"/>
      <c r="S343" s="546">
        <v>356</v>
      </c>
      <c r="T343" s="546">
        <v>150</v>
      </c>
      <c r="U343" s="546"/>
      <c r="V343" s="546"/>
      <c r="W343" s="546"/>
      <c r="X343" s="546"/>
      <c r="Y343" s="185"/>
    </row>
    <row r="344" spans="10:25" x14ac:dyDescent="0.2">
      <c r="J344" s="546"/>
      <c r="K344" s="546"/>
      <c r="L344" s="546"/>
      <c r="M344" s="546"/>
      <c r="N344" s="546"/>
      <c r="O344" s="546"/>
      <c r="P344" s="546"/>
      <c r="Q344" s="546"/>
      <c r="R344" s="546"/>
      <c r="S344" s="546">
        <v>357</v>
      </c>
      <c r="T344" s="546">
        <v>150</v>
      </c>
      <c r="U344" s="546"/>
      <c r="V344" s="546"/>
      <c r="W344" s="546"/>
      <c r="X344" s="546"/>
      <c r="Y344" s="185"/>
    </row>
    <row r="345" spans="10:25" x14ac:dyDescent="0.2">
      <c r="J345" s="546"/>
      <c r="K345" s="546"/>
      <c r="L345" s="546"/>
      <c r="M345" s="546"/>
      <c r="N345" s="546"/>
      <c r="O345" s="546"/>
      <c r="P345" s="546"/>
      <c r="Q345" s="546"/>
      <c r="R345" s="546"/>
      <c r="S345" s="546">
        <v>358</v>
      </c>
      <c r="T345" s="546">
        <v>150</v>
      </c>
      <c r="U345" s="546"/>
      <c r="V345" s="546"/>
      <c r="W345" s="546"/>
      <c r="X345" s="546"/>
      <c r="Y345" s="185"/>
    </row>
    <row r="346" spans="10:25" x14ac:dyDescent="0.2">
      <c r="J346" s="546"/>
      <c r="K346" s="546"/>
      <c r="L346" s="546"/>
      <c r="M346" s="546"/>
      <c r="N346" s="546"/>
      <c r="O346" s="546"/>
      <c r="P346" s="546"/>
      <c r="Q346" s="546"/>
      <c r="R346" s="546"/>
      <c r="S346" s="546">
        <v>359</v>
      </c>
      <c r="T346" s="546">
        <v>150</v>
      </c>
      <c r="U346" s="546"/>
      <c r="V346" s="546"/>
      <c r="W346" s="546"/>
      <c r="X346" s="546"/>
      <c r="Y346" s="185"/>
    </row>
    <row r="347" spans="10:25" x14ac:dyDescent="0.2">
      <c r="J347" s="546"/>
      <c r="K347" s="546"/>
      <c r="L347" s="546"/>
      <c r="M347" s="546"/>
      <c r="N347" s="546"/>
      <c r="O347" s="546"/>
      <c r="P347" s="546"/>
      <c r="Q347" s="546"/>
      <c r="R347" s="546"/>
      <c r="S347" s="546">
        <v>360</v>
      </c>
      <c r="T347" s="546">
        <v>150</v>
      </c>
      <c r="U347" s="546">
        <v>360</v>
      </c>
      <c r="V347" s="546"/>
      <c r="W347" s="546"/>
      <c r="X347" s="546"/>
      <c r="Y347" s="185"/>
    </row>
    <row r="348" spans="10:25" x14ac:dyDescent="0.2">
      <c r="J348" s="546"/>
      <c r="K348" s="546"/>
      <c r="L348" s="546"/>
      <c r="M348" s="546"/>
      <c r="N348" s="546"/>
      <c r="O348" s="546"/>
      <c r="P348" s="546"/>
      <c r="Q348" s="546"/>
      <c r="R348" s="546"/>
      <c r="S348" s="546"/>
      <c r="T348" s="546"/>
      <c r="U348" s="546"/>
      <c r="V348" s="546"/>
      <c r="W348" s="546"/>
      <c r="X348" s="546"/>
      <c r="Y348" s="185"/>
    </row>
    <row r="349" spans="10:25" x14ac:dyDescent="0.2">
      <c r="J349" s="546"/>
      <c r="K349" s="546"/>
      <c r="L349" s="546"/>
      <c r="M349" s="546"/>
      <c r="N349" s="546"/>
      <c r="O349" s="546"/>
      <c r="P349" s="546"/>
      <c r="Q349" s="546"/>
      <c r="R349" s="546"/>
      <c r="S349" s="546"/>
      <c r="T349" s="546"/>
      <c r="U349" s="546"/>
      <c r="V349" s="546"/>
      <c r="W349" s="546"/>
      <c r="X349" s="546"/>
      <c r="Y349" s="185"/>
    </row>
    <row r="350" spans="10:25" x14ac:dyDescent="0.2">
      <c r="J350" s="546"/>
      <c r="K350" s="546"/>
      <c r="L350" s="546"/>
      <c r="M350" s="546"/>
      <c r="N350" s="546"/>
      <c r="O350" s="546"/>
      <c r="P350" s="546"/>
      <c r="Q350" s="546"/>
      <c r="R350" s="546"/>
      <c r="S350" s="546"/>
      <c r="T350" s="546"/>
      <c r="U350" s="546"/>
      <c r="V350" s="546"/>
      <c r="W350" s="546"/>
      <c r="X350" s="546"/>
      <c r="Y350" s="185"/>
    </row>
    <row r="351" spans="10:25" x14ac:dyDescent="0.2">
      <c r="J351" s="546"/>
      <c r="K351" s="546"/>
      <c r="L351" s="546"/>
      <c r="M351" s="546"/>
      <c r="N351" s="546"/>
      <c r="O351" s="546"/>
      <c r="P351" s="546"/>
      <c r="Q351" s="546"/>
      <c r="R351" s="546"/>
      <c r="S351" s="546"/>
      <c r="T351" s="546"/>
      <c r="U351" s="546"/>
      <c r="V351" s="546"/>
      <c r="W351" s="546"/>
      <c r="X351" s="546"/>
      <c r="Y351" s="185"/>
    </row>
    <row r="352" spans="10:25" x14ac:dyDescent="0.2">
      <c r="J352" s="546"/>
      <c r="K352" s="546"/>
      <c r="L352" s="546"/>
      <c r="M352" s="546"/>
      <c r="N352" s="546"/>
      <c r="O352" s="546"/>
      <c r="P352" s="546"/>
      <c r="Q352" s="546"/>
      <c r="R352" s="546"/>
      <c r="S352" s="546"/>
      <c r="T352" s="546"/>
      <c r="U352" s="546"/>
      <c r="V352" s="546"/>
      <c r="W352" s="546"/>
      <c r="X352" s="546"/>
      <c r="Y352" s="185"/>
    </row>
    <row r="353" spans="10:25" x14ac:dyDescent="0.2">
      <c r="J353" s="546"/>
      <c r="K353" s="546"/>
      <c r="L353" s="546"/>
      <c r="M353" s="546"/>
      <c r="N353" s="546"/>
      <c r="O353" s="546"/>
      <c r="P353" s="546"/>
      <c r="Q353" s="546"/>
      <c r="R353" s="546"/>
      <c r="S353" s="546"/>
      <c r="T353" s="546"/>
      <c r="U353" s="546"/>
      <c r="V353" s="546"/>
      <c r="W353" s="546"/>
      <c r="X353" s="546"/>
      <c r="Y353" s="185"/>
    </row>
    <row r="354" spans="10:25" x14ac:dyDescent="0.2">
      <c r="J354" s="546"/>
      <c r="K354" s="546"/>
      <c r="L354" s="546"/>
      <c r="M354" s="546"/>
      <c r="N354" s="546"/>
      <c r="O354" s="546"/>
      <c r="P354" s="546"/>
      <c r="Q354" s="546"/>
      <c r="R354" s="546"/>
      <c r="S354" s="546"/>
      <c r="T354" s="546"/>
      <c r="U354" s="546"/>
      <c r="V354" s="546"/>
      <c r="W354" s="546"/>
      <c r="X354" s="546"/>
      <c r="Y354" s="185"/>
    </row>
    <row r="355" spans="10:25" x14ac:dyDescent="0.2">
      <c r="J355" s="546"/>
      <c r="K355" s="546"/>
      <c r="L355" s="546"/>
      <c r="M355" s="546"/>
      <c r="N355" s="546"/>
      <c r="O355" s="546"/>
      <c r="P355" s="546"/>
      <c r="Q355" s="546"/>
      <c r="R355" s="546"/>
      <c r="S355" s="546"/>
      <c r="T355" s="546"/>
      <c r="U355" s="546"/>
      <c r="V355" s="546"/>
      <c r="W355" s="546"/>
      <c r="X355" s="546"/>
      <c r="Y355" s="185"/>
    </row>
    <row r="356" spans="10:25" x14ac:dyDescent="0.2">
      <c r="J356" s="546"/>
      <c r="K356" s="546"/>
      <c r="L356" s="546"/>
      <c r="M356" s="546"/>
      <c r="N356" s="546"/>
      <c r="O356" s="546"/>
      <c r="P356" s="546"/>
      <c r="Q356" s="546"/>
      <c r="R356" s="546"/>
      <c r="S356" s="546"/>
      <c r="T356" s="546"/>
      <c r="U356" s="546"/>
      <c r="V356" s="546"/>
      <c r="W356" s="546"/>
      <c r="X356" s="546"/>
      <c r="Y356" s="185"/>
    </row>
    <row r="357" spans="10:25" x14ac:dyDescent="0.2">
      <c r="J357" s="546"/>
      <c r="K357" s="546"/>
      <c r="L357" s="546"/>
      <c r="M357" s="546"/>
      <c r="N357" s="546"/>
      <c r="O357" s="546"/>
      <c r="P357" s="546"/>
      <c r="Q357" s="546"/>
      <c r="R357" s="546"/>
      <c r="S357" s="546"/>
      <c r="T357" s="546"/>
      <c r="U357" s="546"/>
      <c r="V357" s="546"/>
      <c r="W357" s="546"/>
      <c r="X357" s="546"/>
      <c r="Y357" s="185"/>
    </row>
    <row r="358" spans="10:25" x14ac:dyDescent="0.2">
      <c r="J358" s="546"/>
      <c r="K358" s="546"/>
      <c r="L358" s="546"/>
      <c r="M358" s="546"/>
      <c r="N358" s="546"/>
      <c r="O358" s="546"/>
      <c r="P358" s="546"/>
      <c r="Q358" s="546"/>
      <c r="R358" s="546"/>
      <c r="S358" s="546"/>
      <c r="T358" s="546"/>
      <c r="U358" s="546"/>
      <c r="V358" s="546"/>
      <c r="W358" s="546"/>
      <c r="X358" s="546"/>
      <c r="Y358" s="185"/>
    </row>
    <row r="359" spans="10:25" x14ac:dyDescent="0.2">
      <c r="J359" s="546"/>
      <c r="K359" s="546"/>
      <c r="L359" s="546"/>
      <c r="M359" s="546"/>
      <c r="N359" s="546"/>
      <c r="O359" s="546"/>
      <c r="P359" s="546"/>
      <c r="Q359" s="546"/>
      <c r="R359" s="546"/>
      <c r="S359" s="546"/>
      <c r="T359" s="546"/>
      <c r="U359" s="546"/>
      <c r="V359" s="546"/>
      <c r="W359" s="546"/>
      <c r="X359" s="546"/>
      <c r="Y359" s="185"/>
    </row>
    <row r="360" spans="10:25" x14ac:dyDescent="0.2">
      <c r="J360" s="546"/>
      <c r="K360" s="546"/>
      <c r="L360" s="546"/>
      <c r="M360" s="546"/>
      <c r="N360" s="546"/>
      <c r="O360" s="546"/>
      <c r="P360" s="546"/>
      <c r="Q360" s="546"/>
      <c r="R360" s="546"/>
      <c r="S360" s="546"/>
      <c r="T360" s="546"/>
      <c r="U360" s="546"/>
      <c r="V360" s="546"/>
      <c r="W360" s="546"/>
      <c r="X360" s="546"/>
      <c r="Y360" s="185"/>
    </row>
    <row r="361" spans="10:25" x14ac:dyDescent="0.2">
      <c r="J361" s="546"/>
      <c r="K361" s="546"/>
      <c r="L361" s="546"/>
      <c r="M361" s="546"/>
      <c r="N361" s="546"/>
      <c r="O361" s="546"/>
      <c r="P361" s="546"/>
      <c r="Q361" s="546"/>
      <c r="R361" s="546"/>
      <c r="S361" s="546"/>
      <c r="T361" s="546"/>
      <c r="U361" s="546"/>
      <c r="V361" s="546"/>
      <c r="W361" s="546"/>
      <c r="X361" s="546"/>
      <c r="Y361" s="185"/>
    </row>
    <row r="362" spans="10:25" x14ac:dyDescent="0.2">
      <c r="J362" s="546"/>
      <c r="K362" s="546"/>
      <c r="L362" s="546"/>
      <c r="M362" s="546"/>
      <c r="N362" s="546"/>
      <c r="O362" s="546"/>
      <c r="P362" s="546"/>
      <c r="Q362" s="546"/>
      <c r="R362" s="546"/>
      <c r="S362" s="546"/>
      <c r="T362" s="546"/>
      <c r="U362" s="546"/>
      <c r="V362" s="546"/>
      <c r="W362" s="546"/>
      <c r="X362" s="546"/>
      <c r="Y362" s="185"/>
    </row>
    <row r="363" spans="10:25" x14ac:dyDescent="0.2">
      <c r="J363" s="546"/>
      <c r="K363" s="546"/>
      <c r="L363" s="546"/>
      <c r="M363" s="546"/>
      <c r="N363" s="546"/>
      <c r="O363" s="546"/>
      <c r="P363" s="546"/>
      <c r="Q363" s="546"/>
      <c r="R363" s="546"/>
      <c r="S363" s="546"/>
      <c r="T363" s="546"/>
      <c r="U363" s="546"/>
      <c r="V363" s="546"/>
      <c r="W363" s="546"/>
      <c r="X363" s="546"/>
      <c r="Y363" s="185"/>
    </row>
    <row r="364" spans="10:25" x14ac:dyDescent="0.2">
      <c r="J364" s="546"/>
      <c r="K364" s="546"/>
      <c r="L364" s="546"/>
      <c r="M364" s="546"/>
      <c r="N364" s="546"/>
      <c r="O364" s="546"/>
      <c r="P364" s="546"/>
      <c r="Q364" s="546"/>
      <c r="R364" s="546"/>
      <c r="S364" s="546"/>
      <c r="T364" s="546"/>
      <c r="U364" s="546"/>
      <c r="V364" s="546"/>
      <c r="W364" s="546"/>
      <c r="X364" s="546"/>
      <c r="Y364" s="185"/>
    </row>
    <row r="365" spans="10:25" x14ac:dyDescent="0.2">
      <c r="J365" s="546"/>
      <c r="K365" s="546"/>
      <c r="L365" s="546"/>
      <c r="M365" s="546"/>
      <c r="N365" s="546"/>
      <c r="O365" s="546"/>
      <c r="P365" s="546"/>
      <c r="Q365" s="546"/>
      <c r="R365" s="546"/>
      <c r="S365" s="546"/>
      <c r="T365" s="546"/>
      <c r="U365" s="546"/>
      <c r="V365" s="546"/>
      <c r="W365" s="546"/>
      <c r="X365" s="546"/>
      <c r="Y365" s="185"/>
    </row>
    <row r="366" spans="10:25" x14ac:dyDescent="0.2">
      <c r="J366" s="546"/>
      <c r="K366" s="546"/>
      <c r="L366" s="546"/>
      <c r="M366" s="546"/>
      <c r="N366" s="546"/>
      <c r="O366" s="546"/>
      <c r="P366" s="546"/>
      <c r="Q366" s="546"/>
      <c r="R366" s="546"/>
      <c r="S366" s="546"/>
      <c r="T366" s="546"/>
      <c r="U366" s="546"/>
      <c r="V366" s="546"/>
      <c r="W366" s="546"/>
      <c r="X366" s="546"/>
      <c r="Y366" s="185"/>
    </row>
    <row r="367" spans="10:25" x14ac:dyDescent="0.2">
      <c r="J367" s="546"/>
      <c r="K367" s="546"/>
      <c r="L367" s="546"/>
      <c r="M367" s="546"/>
      <c r="N367" s="546"/>
      <c r="O367" s="546"/>
      <c r="P367" s="546"/>
      <c r="Q367" s="546"/>
      <c r="R367" s="546"/>
      <c r="S367" s="546"/>
      <c r="T367" s="546"/>
      <c r="U367" s="546"/>
      <c r="V367" s="546"/>
      <c r="W367" s="546"/>
      <c r="X367" s="546"/>
      <c r="Y367" s="185"/>
    </row>
    <row r="368" spans="10:25" x14ac:dyDescent="0.2">
      <c r="J368" s="546"/>
      <c r="K368" s="546"/>
      <c r="L368" s="546"/>
      <c r="M368" s="546"/>
      <c r="N368" s="546"/>
      <c r="O368" s="546"/>
      <c r="P368" s="546"/>
      <c r="Q368" s="546"/>
      <c r="R368" s="546"/>
      <c r="S368" s="546"/>
      <c r="T368" s="546"/>
      <c r="U368" s="546"/>
      <c r="V368" s="546"/>
      <c r="W368" s="546"/>
      <c r="X368" s="546"/>
      <c r="Y368" s="185"/>
    </row>
    <row r="369" spans="10:25" x14ac:dyDescent="0.2">
      <c r="J369" s="546"/>
      <c r="K369" s="546"/>
      <c r="L369" s="546"/>
      <c r="M369" s="546"/>
      <c r="N369" s="546"/>
      <c r="O369" s="546"/>
      <c r="P369" s="546"/>
      <c r="Q369" s="546"/>
      <c r="R369" s="546"/>
      <c r="S369" s="546"/>
      <c r="T369" s="546"/>
      <c r="U369" s="546"/>
      <c r="V369" s="546"/>
      <c r="W369" s="546"/>
      <c r="X369" s="546"/>
      <c r="Y369" s="185"/>
    </row>
    <row r="370" spans="10:25" x14ac:dyDescent="0.2">
      <c r="J370" s="546"/>
      <c r="K370" s="546"/>
      <c r="L370" s="546"/>
      <c r="M370" s="546"/>
      <c r="N370" s="546"/>
      <c r="O370" s="546"/>
      <c r="P370" s="546"/>
      <c r="Q370" s="546"/>
      <c r="R370" s="546"/>
      <c r="S370" s="546"/>
      <c r="T370" s="546"/>
      <c r="U370" s="546"/>
      <c r="V370" s="546"/>
      <c r="W370" s="546"/>
      <c r="X370" s="546"/>
      <c r="Y370" s="185"/>
    </row>
    <row r="371" spans="10:25" x14ac:dyDescent="0.2">
      <c r="J371" s="546"/>
      <c r="K371" s="546"/>
      <c r="L371" s="546"/>
      <c r="M371" s="546"/>
      <c r="N371" s="546"/>
      <c r="O371" s="546"/>
      <c r="P371" s="546"/>
      <c r="Q371" s="546"/>
      <c r="R371" s="546"/>
      <c r="S371" s="546"/>
      <c r="T371" s="546"/>
      <c r="U371" s="546"/>
      <c r="V371" s="546"/>
      <c r="W371" s="546"/>
      <c r="X371" s="546"/>
      <c r="Y371" s="185"/>
    </row>
    <row r="372" spans="10:25" x14ac:dyDescent="0.2">
      <c r="J372" s="546"/>
      <c r="K372" s="546"/>
      <c r="L372" s="546"/>
      <c r="M372" s="546"/>
      <c r="N372" s="546"/>
      <c r="O372" s="546"/>
      <c r="P372" s="546"/>
      <c r="Q372" s="546"/>
      <c r="R372" s="546"/>
      <c r="S372" s="546"/>
      <c r="T372" s="546"/>
      <c r="U372" s="546"/>
      <c r="V372" s="546"/>
      <c r="W372" s="546"/>
      <c r="X372" s="546"/>
      <c r="Y372" s="185"/>
    </row>
    <row r="373" spans="10:25" x14ac:dyDescent="0.2">
      <c r="J373" s="546"/>
      <c r="K373" s="546"/>
      <c r="L373" s="546"/>
      <c r="M373" s="546"/>
      <c r="N373" s="546"/>
      <c r="O373" s="546"/>
      <c r="P373" s="546"/>
      <c r="Q373" s="546"/>
      <c r="R373" s="546"/>
      <c r="S373" s="546"/>
      <c r="T373" s="546"/>
      <c r="U373" s="546"/>
      <c r="V373" s="546"/>
      <c r="W373" s="546"/>
      <c r="X373" s="546"/>
      <c r="Y373" s="185"/>
    </row>
    <row r="374" spans="10:25" x14ac:dyDescent="0.2">
      <c r="J374" s="546"/>
      <c r="K374" s="546"/>
      <c r="L374" s="546"/>
      <c r="M374" s="546"/>
      <c r="N374" s="546"/>
      <c r="O374" s="546"/>
      <c r="P374" s="546"/>
      <c r="Q374" s="546"/>
      <c r="R374" s="546"/>
      <c r="S374" s="546"/>
      <c r="T374" s="546"/>
      <c r="U374" s="546"/>
      <c r="V374" s="546"/>
      <c r="W374" s="546"/>
      <c r="X374" s="546"/>
      <c r="Y374" s="185"/>
    </row>
    <row r="375" spans="10:25" x14ac:dyDescent="0.2">
      <c r="J375" s="546"/>
      <c r="K375" s="546"/>
      <c r="L375" s="546"/>
      <c r="M375" s="546"/>
      <c r="N375" s="546"/>
      <c r="O375" s="546"/>
      <c r="P375" s="546"/>
      <c r="Q375" s="546"/>
      <c r="R375" s="546"/>
      <c r="S375" s="546"/>
      <c r="T375" s="546"/>
      <c r="U375" s="546"/>
      <c r="V375" s="546"/>
      <c r="W375" s="546"/>
      <c r="X375" s="546"/>
      <c r="Y375" s="185"/>
    </row>
    <row r="376" spans="10:25" x14ac:dyDescent="0.2">
      <c r="J376" s="546"/>
      <c r="K376" s="546"/>
      <c r="L376" s="546"/>
      <c r="M376" s="546"/>
      <c r="N376" s="546"/>
      <c r="O376" s="546"/>
      <c r="P376" s="546"/>
      <c r="Q376" s="546"/>
      <c r="R376" s="546"/>
      <c r="S376" s="546"/>
      <c r="T376" s="546"/>
      <c r="U376" s="546"/>
      <c r="V376" s="546"/>
      <c r="W376" s="546"/>
      <c r="X376" s="546"/>
      <c r="Y376" s="185"/>
    </row>
    <row r="377" spans="10:25" x14ac:dyDescent="0.2">
      <c r="J377" s="546"/>
      <c r="K377" s="546"/>
      <c r="L377" s="546"/>
      <c r="M377" s="546"/>
      <c r="N377" s="546"/>
      <c r="O377" s="546"/>
      <c r="P377" s="546"/>
      <c r="Q377" s="546"/>
      <c r="R377" s="546"/>
      <c r="S377" s="546"/>
      <c r="T377" s="546"/>
      <c r="U377" s="546"/>
      <c r="V377" s="546"/>
      <c r="W377" s="546"/>
      <c r="X377" s="546"/>
      <c r="Y377" s="185"/>
    </row>
    <row r="378" spans="10:25" x14ac:dyDescent="0.2">
      <c r="J378" s="546"/>
      <c r="K378" s="546"/>
      <c r="L378" s="546"/>
      <c r="M378" s="546"/>
      <c r="N378" s="546"/>
      <c r="O378" s="546"/>
      <c r="P378" s="546"/>
      <c r="Q378" s="546"/>
      <c r="R378" s="546"/>
      <c r="S378" s="546"/>
      <c r="T378" s="546"/>
      <c r="U378" s="546"/>
      <c r="V378" s="546"/>
      <c r="W378" s="546"/>
      <c r="X378" s="546"/>
      <c r="Y378" s="185"/>
    </row>
    <row r="379" spans="10:25" x14ac:dyDescent="0.2">
      <c r="J379" s="546"/>
      <c r="K379" s="546"/>
      <c r="L379" s="546"/>
      <c r="M379" s="546"/>
      <c r="N379" s="546"/>
      <c r="O379" s="546"/>
      <c r="P379" s="546"/>
      <c r="Q379" s="546"/>
      <c r="R379" s="546"/>
      <c r="S379" s="546"/>
      <c r="T379" s="546"/>
      <c r="U379" s="546"/>
      <c r="V379" s="546"/>
      <c r="W379" s="546"/>
      <c r="X379" s="546"/>
      <c r="Y379" s="185"/>
    </row>
    <row r="380" spans="10:25" x14ac:dyDescent="0.2">
      <c r="J380" s="546"/>
      <c r="K380" s="546"/>
      <c r="L380" s="546"/>
      <c r="M380" s="546"/>
      <c r="N380" s="546"/>
      <c r="O380" s="546"/>
      <c r="P380" s="546"/>
      <c r="Q380" s="546"/>
      <c r="R380" s="546"/>
      <c r="S380" s="546"/>
      <c r="T380" s="546"/>
      <c r="U380" s="546"/>
      <c r="V380" s="546"/>
      <c r="W380" s="546"/>
      <c r="X380" s="546"/>
      <c r="Y380" s="185"/>
    </row>
    <row r="381" spans="10:25" x14ac:dyDescent="0.2">
      <c r="J381" s="546"/>
      <c r="K381" s="546"/>
      <c r="L381" s="546"/>
      <c r="M381" s="546"/>
      <c r="N381" s="546"/>
      <c r="O381" s="546"/>
      <c r="P381" s="546"/>
      <c r="Q381" s="546"/>
      <c r="R381" s="546"/>
      <c r="S381" s="546"/>
      <c r="T381" s="546"/>
      <c r="U381" s="546"/>
      <c r="V381" s="546"/>
      <c r="W381" s="546"/>
      <c r="X381" s="546"/>
      <c r="Y381" s="185"/>
    </row>
    <row r="382" spans="10:25" x14ac:dyDescent="0.2">
      <c r="J382" s="546"/>
      <c r="K382" s="546"/>
      <c r="L382" s="546"/>
      <c r="M382" s="546"/>
      <c r="N382" s="546"/>
      <c r="O382" s="546"/>
      <c r="P382" s="546"/>
      <c r="Q382" s="546"/>
      <c r="R382" s="546"/>
      <c r="S382" s="546"/>
      <c r="T382" s="546"/>
      <c r="U382" s="546"/>
      <c r="V382" s="546"/>
      <c r="W382" s="546"/>
      <c r="X382" s="546"/>
      <c r="Y382" s="185"/>
    </row>
    <row r="383" spans="10:25" x14ac:dyDescent="0.2">
      <c r="J383" s="546"/>
      <c r="K383" s="546"/>
      <c r="L383" s="546"/>
      <c r="M383" s="546"/>
      <c r="N383" s="546"/>
      <c r="O383" s="546"/>
      <c r="P383" s="546"/>
      <c r="Q383" s="546"/>
      <c r="R383" s="546"/>
      <c r="S383" s="546"/>
      <c r="T383" s="546"/>
      <c r="U383" s="546"/>
      <c r="V383" s="546"/>
      <c r="W383" s="546"/>
      <c r="X383" s="546"/>
      <c r="Y383" s="185"/>
    </row>
    <row r="384" spans="10:25" x14ac:dyDescent="0.2">
      <c r="J384" s="546"/>
      <c r="K384" s="546"/>
      <c r="L384" s="546"/>
      <c r="M384" s="546"/>
      <c r="N384" s="546"/>
      <c r="O384" s="546"/>
      <c r="P384" s="546"/>
      <c r="Q384" s="546"/>
      <c r="R384" s="546"/>
      <c r="S384" s="546"/>
      <c r="T384" s="546"/>
      <c r="U384" s="546"/>
      <c r="V384" s="546"/>
      <c r="W384" s="546"/>
      <c r="X384" s="546"/>
      <c r="Y384" s="185"/>
    </row>
    <row r="385" spans="10:25" x14ac:dyDescent="0.2">
      <c r="J385" s="546"/>
      <c r="K385" s="546"/>
      <c r="L385" s="546"/>
      <c r="M385" s="546"/>
      <c r="N385" s="546"/>
      <c r="O385" s="546"/>
      <c r="P385" s="546"/>
      <c r="Q385" s="546"/>
      <c r="R385" s="546"/>
      <c r="S385" s="546"/>
      <c r="T385" s="546"/>
      <c r="U385" s="546"/>
      <c r="V385" s="546"/>
      <c r="W385" s="546"/>
      <c r="X385" s="546"/>
      <c r="Y385" s="185"/>
    </row>
    <row r="386" spans="10:25" x14ac:dyDescent="0.2">
      <c r="J386" s="546"/>
      <c r="K386" s="546"/>
      <c r="L386" s="546"/>
      <c r="M386" s="546"/>
      <c r="N386" s="546"/>
      <c r="O386" s="546"/>
      <c r="P386" s="546"/>
      <c r="Q386" s="546"/>
      <c r="R386" s="546"/>
      <c r="S386" s="546"/>
      <c r="T386" s="546"/>
      <c r="U386" s="546"/>
      <c r="V386" s="546"/>
      <c r="W386" s="546"/>
      <c r="X386" s="546"/>
      <c r="Y386" s="185"/>
    </row>
    <row r="387" spans="10:25" x14ac:dyDescent="0.2">
      <c r="J387" s="546"/>
      <c r="K387" s="546"/>
      <c r="L387" s="546"/>
      <c r="M387" s="546"/>
      <c r="N387" s="546"/>
      <c r="O387" s="546"/>
      <c r="P387" s="546"/>
      <c r="Q387" s="546"/>
      <c r="R387" s="546"/>
      <c r="S387" s="546"/>
      <c r="T387" s="546"/>
      <c r="U387" s="546"/>
      <c r="V387" s="546"/>
      <c r="W387" s="546"/>
      <c r="X387" s="546"/>
      <c r="Y387" s="185"/>
    </row>
    <row r="388" spans="10:25" x14ac:dyDescent="0.2">
      <c r="J388" s="546"/>
      <c r="K388" s="546"/>
      <c r="L388" s="546"/>
      <c r="M388" s="546"/>
      <c r="N388" s="546"/>
      <c r="O388" s="546"/>
      <c r="P388" s="546"/>
      <c r="Q388" s="546"/>
      <c r="R388" s="546"/>
      <c r="S388" s="546"/>
      <c r="T388" s="546"/>
      <c r="U388" s="546"/>
      <c r="V388" s="546"/>
      <c r="W388" s="546"/>
      <c r="X388" s="546"/>
      <c r="Y388" s="185"/>
    </row>
    <row r="389" spans="10:25" x14ac:dyDescent="0.2">
      <c r="J389" s="546"/>
      <c r="K389" s="546"/>
      <c r="L389" s="546"/>
      <c r="M389" s="546"/>
      <c r="N389" s="546"/>
      <c r="O389" s="546"/>
      <c r="P389" s="546"/>
      <c r="Q389" s="546"/>
      <c r="R389" s="546"/>
      <c r="S389" s="546"/>
      <c r="T389" s="546"/>
      <c r="U389" s="546"/>
      <c r="V389" s="546"/>
      <c r="W389" s="546"/>
      <c r="X389" s="546"/>
      <c r="Y389" s="185"/>
    </row>
    <row r="390" spans="10:25" x14ac:dyDescent="0.2">
      <c r="J390" s="546"/>
      <c r="K390" s="546"/>
      <c r="L390" s="546"/>
      <c r="M390" s="546"/>
      <c r="N390" s="546"/>
      <c r="O390" s="546"/>
      <c r="P390" s="546"/>
      <c r="Q390" s="546"/>
      <c r="R390" s="546"/>
      <c r="S390" s="546"/>
      <c r="T390" s="546"/>
      <c r="U390" s="546"/>
      <c r="V390" s="546"/>
      <c r="W390" s="546"/>
      <c r="X390" s="546"/>
      <c r="Y390" s="185"/>
    </row>
    <row r="391" spans="10:25" x14ac:dyDescent="0.2">
      <c r="J391" s="546"/>
      <c r="K391" s="546"/>
      <c r="L391" s="546"/>
      <c r="M391" s="546"/>
      <c r="N391" s="546"/>
      <c r="O391" s="546"/>
      <c r="P391" s="546"/>
      <c r="Q391" s="546"/>
      <c r="R391" s="546"/>
      <c r="S391" s="546"/>
      <c r="T391" s="546"/>
      <c r="U391" s="546"/>
      <c r="V391" s="546"/>
      <c r="W391" s="546"/>
      <c r="X391" s="546"/>
      <c r="Y391" s="185"/>
    </row>
    <row r="392" spans="10:25" x14ac:dyDescent="0.2">
      <c r="J392" s="546"/>
      <c r="K392" s="546"/>
      <c r="L392" s="546"/>
      <c r="M392" s="546"/>
      <c r="N392" s="546"/>
      <c r="O392" s="546"/>
      <c r="P392" s="546"/>
      <c r="Q392" s="546"/>
      <c r="R392" s="546"/>
      <c r="S392" s="546"/>
      <c r="T392" s="546"/>
      <c r="U392" s="546"/>
      <c r="V392" s="546"/>
      <c r="W392" s="546"/>
      <c r="X392" s="546"/>
      <c r="Y392" s="185"/>
    </row>
    <row r="393" spans="10:25" x14ac:dyDescent="0.2">
      <c r="J393" s="546"/>
      <c r="K393" s="546"/>
      <c r="L393" s="546"/>
      <c r="M393" s="546"/>
      <c r="N393" s="546"/>
      <c r="O393" s="546"/>
      <c r="P393" s="546"/>
      <c r="Q393" s="546"/>
      <c r="R393" s="546"/>
      <c r="S393" s="546"/>
      <c r="T393" s="546"/>
      <c r="U393" s="546"/>
      <c r="V393" s="546"/>
      <c r="W393" s="546"/>
      <c r="X393" s="546"/>
      <c r="Y393" s="185"/>
    </row>
    <row r="394" spans="10:25" x14ac:dyDescent="0.2">
      <c r="J394" s="546"/>
      <c r="K394" s="546"/>
      <c r="L394" s="546"/>
      <c r="M394" s="546"/>
      <c r="N394" s="546"/>
      <c r="O394" s="546"/>
      <c r="P394" s="546"/>
      <c r="Q394" s="546"/>
      <c r="R394" s="546"/>
      <c r="S394" s="546"/>
      <c r="T394" s="546"/>
      <c r="U394" s="546"/>
      <c r="V394" s="546"/>
      <c r="W394" s="546"/>
      <c r="X394" s="546"/>
      <c r="Y394" s="185"/>
    </row>
    <row r="395" spans="10:25" x14ac:dyDescent="0.2">
      <c r="J395" s="546"/>
      <c r="K395" s="546"/>
      <c r="L395" s="546"/>
      <c r="M395" s="546"/>
      <c r="N395" s="546"/>
      <c r="O395" s="546"/>
      <c r="P395" s="546"/>
      <c r="Q395" s="546"/>
      <c r="R395" s="546"/>
      <c r="S395" s="546"/>
      <c r="T395" s="546"/>
      <c r="U395" s="546"/>
      <c r="V395" s="546"/>
      <c r="W395" s="546"/>
      <c r="X395" s="546"/>
      <c r="Y395" s="185"/>
    </row>
    <row r="396" spans="10:25" x14ac:dyDescent="0.2">
      <c r="J396" s="546"/>
      <c r="K396" s="546"/>
      <c r="L396" s="546"/>
      <c r="M396" s="546"/>
      <c r="N396" s="546"/>
      <c r="O396" s="546"/>
      <c r="P396" s="546"/>
      <c r="Q396" s="546"/>
      <c r="R396" s="546"/>
      <c r="S396" s="546"/>
      <c r="T396" s="546"/>
      <c r="U396" s="546"/>
      <c r="V396" s="546"/>
      <c r="W396" s="546"/>
      <c r="X396" s="546"/>
      <c r="Y396" s="185"/>
    </row>
    <row r="397" spans="10:25" x14ac:dyDescent="0.2">
      <c r="J397" s="546"/>
      <c r="K397" s="546"/>
      <c r="L397" s="546"/>
      <c r="M397" s="546"/>
      <c r="N397" s="546"/>
      <c r="O397" s="546"/>
      <c r="P397" s="546"/>
      <c r="Q397" s="546"/>
      <c r="R397" s="546"/>
      <c r="S397" s="546"/>
      <c r="T397" s="546"/>
      <c r="U397" s="546"/>
      <c r="V397" s="546"/>
      <c r="W397" s="546"/>
      <c r="X397" s="546"/>
      <c r="Y397" s="185"/>
    </row>
    <row r="398" spans="10:25" x14ac:dyDescent="0.2">
      <c r="J398" s="546"/>
      <c r="K398" s="546"/>
      <c r="L398" s="546"/>
      <c r="M398" s="546"/>
      <c r="N398" s="546"/>
      <c r="O398" s="546"/>
      <c r="P398" s="546"/>
      <c r="Q398" s="546"/>
      <c r="R398" s="546"/>
      <c r="S398" s="546"/>
      <c r="T398" s="546"/>
      <c r="U398" s="546"/>
      <c r="V398" s="546"/>
      <c r="W398" s="546"/>
      <c r="X398" s="546"/>
      <c r="Y398" s="185"/>
    </row>
    <row r="399" spans="10:25" x14ac:dyDescent="0.2">
      <c r="J399" s="546"/>
      <c r="K399" s="546"/>
      <c r="L399" s="546"/>
      <c r="M399" s="546"/>
      <c r="N399" s="546"/>
      <c r="O399" s="546"/>
      <c r="P399" s="546"/>
      <c r="Q399" s="546"/>
      <c r="R399" s="546"/>
      <c r="S399" s="546"/>
      <c r="T399" s="546"/>
      <c r="U399" s="546"/>
      <c r="V399" s="546"/>
      <c r="W399" s="546"/>
      <c r="X399" s="546"/>
      <c r="Y399" s="185"/>
    </row>
    <row r="400" spans="10:25" x14ac:dyDescent="0.2">
      <c r="J400" s="546"/>
      <c r="K400" s="546"/>
      <c r="L400" s="546"/>
      <c r="M400" s="546"/>
      <c r="N400" s="546"/>
      <c r="O400" s="546"/>
      <c r="P400" s="546"/>
      <c r="Q400" s="546"/>
      <c r="R400" s="546"/>
      <c r="S400" s="546"/>
      <c r="T400" s="546"/>
      <c r="U400" s="546"/>
      <c r="V400" s="546"/>
      <c r="W400" s="546"/>
      <c r="X400" s="546"/>
      <c r="Y400" s="185"/>
    </row>
    <row r="401" spans="10:25" x14ac:dyDescent="0.2">
      <c r="J401" s="546"/>
      <c r="K401" s="546"/>
      <c r="L401" s="546"/>
      <c r="M401" s="546"/>
      <c r="N401" s="546"/>
      <c r="O401" s="546"/>
      <c r="P401" s="546"/>
      <c r="Q401" s="546"/>
      <c r="R401" s="546"/>
      <c r="S401" s="546"/>
      <c r="T401" s="546"/>
      <c r="U401" s="546"/>
      <c r="V401" s="546"/>
      <c r="W401" s="546"/>
      <c r="X401" s="546"/>
      <c r="Y401" s="185"/>
    </row>
    <row r="402" spans="10:25" x14ac:dyDescent="0.2">
      <c r="J402" s="546"/>
      <c r="K402" s="546"/>
      <c r="L402" s="546"/>
      <c r="M402" s="546"/>
      <c r="N402" s="546"/>
      <c r="O402" s="546"/>
      <c r="P402" s="546"/>
      <c r="Q402" s="546"/>
      <c r="R402" s="546"/>
      <c r="S402" s="546"/>
      <c r="T402" s="546"/>
      <c r="U402" s="546"/>
      <c r="V402" s="546"/>
      <c r="W402" s="546"/>
      <c r="X402" s="546"/>
      <c r="Y402" s="185"/>
    </row>
    <row r="403" spans="10:25" x14ac:dyDescent="0.2">
      <c r="J403" s="546"/>
      <c r="K403" s="546"/>
      <c r="L403" s="546"/>
      <c r="M403" s="546"/>
      <c r="N403" s="546"/>
      <c r="O403" s="546"/>
      <c r="P403" s="546"/>
      <c r="Q403" s="546"/>
      <c r="R403" s="546"/>
      <c r="S403" s="546"/>
      <c r="T403" s="546"/>
      <c r="U403" s="546"/>
      <c r="V403" s="546"/>
      <c r="W403" s="546"/>
      <c r="X403" s="546"/>
      <c r="Y403" s="185"/>
    </row>
    <row r="404" spans="10:25" x14ac:dyDescent="0.2">
      <c r="J404" s="546"/>
      <c r="K404" s="546"/>
      <c r="L404" s="546"/>
      <c r="M404" s="546"/>
      <c r="N404" s="546"/>
      <c r="O404" s="546"/>
      <c r="P404" s="546"/>
      <c r="Q404" s="546"/>
      <c r="R404" s="546"/>
      <c r="S404" s="546"/>
      <c r="T404" s="546"/>
      <c r="U404" s="546"/>
      <c r="V404" s="546"/>
      <c r="W404" s="546"/>
      <c r="X404" s="546"/>
      <c r="Y404" s="185"/>
    </row>
    <row r="405" spans="10:25" x14ac:dyDescent="0.2">
      <c r="J405" s="546"/>
      <c r="K405" s="546"/>
      <c r="L405" s="546"/>
      <c r="M405" s="546"/>
      <c r="N405" s="546"/>
      <c r="O405" s="546"/>
      <c r="P405" s="546"/>
      <c r="Q405" s="546"/>
      <c r="R405" s="546"/>
      <c r="S405" s="546"/>
      <c r="T405" s="546"/>
      <c r="U405" s="546"/>
      <c r="V405" s="546"/>
      <c r="W405" s="546"/>
      <c r="X405" s="546"/>
      <c r="Y405" s="185"/>
    </row>
    <row r="406" spans="10:25" x14ac:dyDescent="0.2">
      <c r="J406" s="546"/>
      <c r="K406" s="546"/>
      <c r="L406" s="546"/>
      <c r="M406" s="546"/>
      <c r="N406" s="546"/>
      <c r="O406" s="546"/>
      <c r="P406" s="546"/>
      <c r="Q406" s="546"/>
      <c r="R406" s="546"/>
      <c r="S406" s="546"/>
      <c r="T406" s="546"/>
      <c r="U406" s="546"/>
      <c r="V406" s="546"/>
      <c r="W406" s="546"/>
      <c r="X406" s="546"/>
      <c r="Y406" s="185"/>
    </row>
    <row r="407" spans="10:25" x14ac:dyDescent="0.2">
      <c r="J407" s="546"/>
      <c r="K407" s="546"/>
      <c r="L407" s="546"/>
      <c r="M407" s="546"/>
      <c r="N407" s="546"/>
      <c r="O407" s="546"/>
      <c r="P407" s="546"/>
      <c r="Q407" s="546"/>
      <c r="R407" s="546"/>
      <c r="S407" s="546"/>
      <c r="T407" s="546"/>
      <c r="U407" s="546"/>
      <c r="V407" s="546"/>
      <c r="W407" s="546"/>
      <c r="X407" s="546"/>
      <c r="Y407" s="185"/>
    </row>
    <row r="408" spans="10:25" x14ac:dyDescent="0.2">
      <c r="J408" s="546"/>
      <c r="K408" s="546"/>
      <c r="L408" s="546"/>
      <c r="M408" s="546"/>
      <c r="N408" s="546"/>
      <c r="O408" s="546"/>
      <c r="P408" s="546"/>
      <c r="Q408" s="546"/>
      <c r="R408" s="546"/>
      <c r="S408" s="546"/>
      <c r="T408" s="546"/>
      <c r="U408" s="546"/>
      <c r="V408" s="546"/>
      <c r="W408" s="546"/>
      <c r="X408" s="546"/>
      <c r="Y408" s="185"/>
    </row>
    <row r="409" spans="10:25" x14ac:dyDescent="0.2">
      <c r="J409" s="546"/>
      <c r="K409" s="546"/>
      <c r="L409" s="546"/>
      <c r="M409" s="546"/>
      <c r="N409" s="546"/>
      <c r="O409" s="546"/>
      <c r="P409" s="546"/>
      <c r="Q409" s="546"/>
      <c r="R409" s="546"/>
      <c r="S409" s="546"/>
      <c r="T409" s="546"/>
      <c r="U409" s="546"/>
      <c r="V409" s="546"/>
      <c r="W409" s="546"/>
      <c r="X409" s="546"/>
      <c r="Y409" s="185"/>
    </row>
    <row r="410" spans="10:25" x14ac:dyDescent="0.2">
      <c r="J410" s="546"/>
      <c r="K410" s="546"/>
      <c r="L410" s="546"/>
      <c r="M410" s="546"/>
      <c r="N410" s="546"/>
      <c r="O410" s="546"/>
      <c r="P410" s="546"/>
      <c r="Q410" s="546"/>
      <c r="R410" s="546"/>
      <c r="S410" s="546"/>
      <c r="T410" s="546"/>
      <c r="U410" s="546"/>
      <c r="V410" s="546"/>
      <c r="W410" s="546"/>
      <c r="X410" s="546"/>
      <c r="Y410" s="185"/>
    </row>
    <row r="411" spans="10:25" x14ac:dyDescent="0.2">
      <c r="J411" s="546"/>
      <c r="K411" s="546"/>
      <c r="L411" s="546"/>
      <c r="M411" s="546"/>
      <c r="N411" s="546"/>
      <c r="O411" s="546"/>
      <c r="P411" s="546"/>
      <c r="Q411" s="546"/>
      <c r="R411" s="546"/>
      <c r="S411" s="546"/>
      <c r="T411" s="546"/>
      <c r="U411" s="546"/>
      <c r="V411" s="546"/>
      <c r="W411" s="546"/>
      <c r="X411" s="546"/>
      <c r="Y411" s="185"/>
    </row>
    <row r="412" spans="10:25" x14ac:dyDescent="0.2">
      <c r="J412" s="546"/>
      <c r="K412" s="546"/>
      <c r="L412" s="546"/>
      <c r="M412" s="546"/>
      <c r="N412" s="546"/>
      <c r="O412" s="546"/>
      <c r="P412" s="546"/>
      <c r="Q412" s="546"/>
      <c r="R412" s="546"/>
      <c r="S412" s="546"/>
      <c r="T412" s="546"/>
      <c r="U412" s="546"/>
      <c r="V412" s="546"/>
      <c r="W412" s="546"/>
      <c r="X412" s="546"/>
      <c r="Y412" s="185"/>
    </row>
    <row r="413" spans="10:25" x14ac:dyDescent="0.2">
      <c r="J413" s="546"/>
      <c r="K413" s="546"/>
      <c r="L413" s="546"/>
      <c r="M413" s="546"/>
      <c r="N413" s="546"/>
      <c r="O413" s="546"/>
      <c r="P413" s="546"/>
      <c r="Q413" s="546"/>
      <c r="R413" s="546"/>
      <c r="S413" s="546"/>
      <c r="T413" s="546"/>
      <c r="U413" s="546"/>
      <c r="V413" s="546"/>
      <c r="W413" s="546"/>
      <c r="X413" s="546"/>
      <c r="Y413" s="185"/>
    </row>
    <row r="414" spans="10:25" x14ac:dyDescent="0.2">
      <c r="J414" s="546"/>
      <c r="K414" s="546"/>
      <c r="L414" s="546"/>
      <c r="M414" s="546"/>
      <c r="N414" s="546"/>
      <c r="O414" s="546"/>
      <c r="P414" s="546"/>
      <c r="Q414" s="546"/>
      <c r="R414" s="546"/>
      <c r="S414" s="546"/>
      <c r="T414" s="546"/>
      <c r="U414" s="546"/>
      <c r="V414" s="546"/>
      <c r="W414" s="546"/>
      <c r="X414" s="546"/>
      <c r="Y414" s="185"/>
    </row>
    <row r="415" spans="10:25" x14ac:dyDescent="0.2">
      <c r="J415" s="546"/>
      <c r="K415" s="546"/>
      <c r="L415" s="546"/>
      <c r="M415" s="546"/>
      <c r="N415" s="546"/>
      <c r="O415" s="546"/>
      <c r="P415" s="546"/>
      <c r="Q415" s="546"/>
      <c r="R415" s="546"/>
      <c r="S415" s="546"/>
      <c r="T415" s="546"/>
      <c r="U415" s="546"/>
      <c r="V415" s="546"/>
      <c r="W415" s="546"/>
      <c r="X415" s="546"/>
      <c r="Y415" s="185"/>
    </row>
    <row r="416" spans="10:25" x14ac:dyDescent="0.2">
      <c r="J416" s="546"/>
      <c r="K416" s="546"/>
      <c r="L416" s="546"/>
      <c r="M416" s="546"/>
      <c r="N416" s="546"/>
      <c r="O416" s="546"/>
      <c r="P416" s="546"/>
      <c r="Q416" s="546"/>
      <c r="R416" s="546"/>
      <c r="S416" s="546"/>
      <c r="T416" s="546"/>
      <c r="U416" s="546"/>
      <c r="V416" s="546"/>
      <c r="W416" s="546"/>
      <c r="X416" s="546"/>
      <c r="Y416" s="185"/>
    </row>
    <row r="417" spans="10:25" x14ac:dyDescent="0.2">
      <c r="J417" s="546"/>
      <c r="K417" s="546"/>
      <c r="L417" s="546"/>
      <c r="M417" s="546"/>
      <c r="N417" s="546"/>
      <c r="O417" s="546"/>
      <c r="P417" s="546"/>
      <c r="Q417" s="546"/>
      <c r="R417" s="546"/>
      <c r="S417" s="546"/>
      <c r="T417" s="546"/>
      <c r="U417" s="546"/>
      <c r="V417" s="546"/>
      <c r="W417" s="546"/>
      <c r="X417" s="546"/>
      <c r="Y417" s="185"/>
    </row>
    <row r="418" spans="10:25" x14ac:dyDescent="0.2">
      <c r="J418" s="546"/>
      <c r="K418" s="546"/>
      <c r="L418" s="546"/>
      <c r="M418" s="546"/>
      <c r="N418" s="546"/>
      <c r="O418" s="546"/>
      <c r="P418" s="546"/>
      <c r="Q418" s="546"/>
      <c r="R418" s="546"/>
      <c r="S418" s="546"/>
      <c r="T418" s="546"/>
      <c r="U418" s="546"/>
      <c r="V418" s="546"/>
      <c r="W418" s="546"/>
      <c r="X418" s="546"/>
      <c r="Y418" s="185"/>
    </row>
    <row r="419" spans="10:25" x14ac:dyDescent="0.2">
      <c r="J419" s="546"/>
      <c r="K419" s="546"/>
      <c r="L419" s="546"/>
      <c r="M419" s="546"/>
      <c r="N419" s="546"/>
      <c r="O419" s="546"/>
      <c r="P419" s="546"/>
      <c r="Q419" s="546"/>
      <c r="R419" s="546"/>
      <c r="S419" s="546"/>
      <c r="T419" s="546"/>
      <c r="U419" s="546"/>
      <c r="V419" s="546"/>
      <c r="W419" s="546"/>
      <c r="X419" s="546"/>
      <c r="Y419" s="185"/>
    </row>
    <row r="420" spans="10:25" x14ac:dyDescent="0.2">
      <c r="J420" s="546"/>
      <c r="K420" s="546"/>
      <c r="L420" s="546"/>
      <c r="M420" s="546"/>
      <c r="N420" s="546"/>
      <c r="O420" s="546"/>
      <c r="P420" s="546"/>
      <c r="Q420" s="546"/>
      <c r="R420" s="546"/>
      <c r="S420" s="546"/>
      <c r="T420" s="546"/>
      <c r="U420" s="546"/>
      <c r="V420" s="546"/>
      <c r="W420" s="546"/>
      <c r="X420" s="546"/>
      <c r="Y420" s="185"/>
    </row>
    <row r="421" spans="10:25" x14ac:dyDescent="0.2">
      <c r="J421" s="546"/>
      <c r="K421" s="546"/>
      <c r="L421" s="546"/>
      <c r="M421" s="546"/>
      <c r="N421" s="546"/>
      <c r="O421" s="546"/>
      <c r="P421" s="546"/>
      <c r="Q421" s="546"/>
      <c r="R421" s="546"/>
      <c r="S421" s="546"/>
      <c r="T421" s="546"/>
      <c r="U421" s="546"/>
      <c r="V421" s="546"/>
      <c r="W421" s="546"/>
      <c r="X421" s="546"/>
      <c r="Y421" s="185"/>
    </row>
    <row r="422" spans="10:25" x14ac:dyDescent="0.2">
      <c r="J422" s="546"/>
      <c r="K422" s="546"/>
      <c r="L422" s="546"/>
      <c r="M422" s="546"/>
      <c r="N422" s="546"/>
      <c r="O422" s="546"/>
      <c r="P422" s="546"/>
      <c r="Q422" s="546"/>
      <c r="R422" s="546"/>
      <c r="S422" s="546"/>
      <c r="T422" s="546"/>
      <c r="U422" s="546"/>
      <c r="V422" s="546"/>
      <c r="W422" s="546"/>
      <c r="X422" s="546"/>
      <c r="Y422" s="185"/>
    </row>
    <row r="423" spans="10:25" x14ac:dyDescent="0.2">
      <c r="J423" s="546"/>
      <c r="K423" s="546"/>
      <c r="L423" s="546"/>
      <c r="M423" s="546"/>
      <c r="N423" s="546"/>
      <c r="O423" s="546"/>
      <c r="P423" s="546"/>
      <c r="Q423" s="546"/>
      <c r="R423" s="546"/>
      <c r="S423" s="546"/>
      <c r="T423" s="546"/>
      <c r="U423" s="546"/>
      <c r="V423" s="546"/>
      <c r="W423" s="546"/>
      <c r="X423" s="546"/>
      <c r="Y423" s="185"/>
    </row>
    <row r="424" spans="10:25" x14ac:dyDescent="0.2">
      <c r="J424" s="546"/>
      <c r="K424" s="546"/>
      <c r="L424" s="546"/>
      <c r="M424" s="546"/>
      <c r="N424" s="546"/>
      <c r="O424" s="546"/>
      <c r="P424" s="546"/>
      <c r="Q424" s="546"/>
      <c r="R424" s="546"/>
      <c r="S424" s="546"/>
      <c r="T424" s="546"/>
      <c r="U424" s="546"/>
      <c r="V424" s="546"/>
      <c r="W424" s="546"/>
      <c r="X424" s="546"/>
      <c r="Y424" s="185"/>
    </row>
    <row r="425" spans="10:25" x14ac:dyDescent="0.2">
      <c r="J425" s="546"/>
      <c r="K425" s="546"/>
      <c r="L425" s="546"/>
      <c r="M425" s="546"/>
      <c r="N425" s="546"/>
      <c r="O425" s="546"/>
      <c r="P425" s="546"/>
      <c r="Q425" s="546"/>
      <c r="R425" s="546"/>
      <c r="S425" s="546"/>
      <c r="T425" s="546"/>
      <c r="U425" s="546"/>
      <c r="V425" s="546"/>
      <c r="W425" s="546"/>
      <c r="X425" s="546"/>
      <c r="Y425" s="185"/>
    </row>
    <row r="426" spans="10:25" x14ac:dyDescent="0.2">
      <c r="J426" s="546"/>
      <c r="K426" s="546"/>
      <c r="L426" s="546"/>
      <c r="M426" s="546"/>
      <c r="N426" s="546"/>
      <c r="O426" s="546"/>
      <c r="P426" s="546"/>
      <c r="Q426" s="546"/>
      <c r="R426" s="546"/>
      <c r="S426" s="546"/>
      <c r="T426" s="546"/>
      <c r="U426" s="546"/>
      <c r="V426" s="546"/>
      <c r="W426" s="546"/>
      <c r="X426" s="546"/>
      <c r="Y426" s="185"/>
    </row>
    <row r="427" spans="10:25" x14ac:dyDescent="0.2">
      <c r="J427" s="546"/>
      <c r="K427" s="546"/>
      <c r="L427" s="546"/>
      <c r="M427" s="546"/>
      <c r="N427" s="546"/>
      <c r="O427" s="546"/>
      <c r="P427" s="546"/>
      <c r="Q427" s="546"/>
      <c r="R427" s="546"/>
      <c r="S427" s="546"/>
      <c r="T427" s="546"/>
      <c r="U427" s="546"/>
      <c r="V427" s="546"/>
      <c r="W427" s="546"/>
      <c r="X427" s="546"/>
      <c r="Y427" s="185"/>
    </row>
    <row r="428" spans="10:25" x14ac:dyDescent="0.2">
      <c r="J428" s="546"/>
      <c r="K428" s="546"/>
      <c r="L428" s="546"/>
      <c r="M428" s="546"/>
      <c r="N428" s="546"/>
      <c r="O428" s="546"/>
      <c r="P428" s="546"/>
      <c r="Q428" s="546"/>
      <c r="R428" s="546"/>
      <c r="S428" s="546"/>
      <c r="T428" s="546"/>
      <c r="U428" s="546"/>
      <c r="V428" s="546"/>
      <c r="W428" s="546"/>
      <c r="X428" s="546"/>
      <c r="Y428" s="185"/>
    </row>
    <row r="429" spans="10:25" x14ac:dyDescent="0.2">
      <c r="J429" s="546"/>
      <c r="K429" s="546"/>
      <c r="L429" s="546"/>
      <c r="M429" s="546"/>
      <c r="N429" s="546"/>
      <c r="O429" s="546"/>
      <c r="P429" s="546"/>
      <c r="Q429" s="546"/>
      <c r="R429" s="546"/>
      <c r="S429" s="546"/>
      <c r="T429" s="546"/>
      <c r="U429" s="546"/>
      <c r="V429" s="546"/>
      <c r="W429" s="546"/>
      <c r="X429" s="546"/>
      <c r="Y429" s="185"/>
    </row>
    <row r="430" spans="10:25" x14ac:dyDescent="0.2">
      <c r="J430" s="546"/>
      <c r="K430" s="546"/>
      <c r="L430" s="546"/>
      <c r="M430" s="546"/>
      <c r="N430" s="546"/>
      <c r="O430" s="546"/>
      <c r="P430" s="546"/>
      <c r="Q430" s="546"/>
      <c r="R430" s="546"/>
      <c r="S430" s="546"/>
      <c r="T430" s="546"/>
      <c r="U430" s="546"/>
      <c r="V430" s="546"/>
      <c r="W430" s="546"/>
      <c r="X430" s="546"/>
      <c r="Y430" s="185"/>
    </row>
    <row r="431" spans="10:25" x14ac:dyDescent="0.2">
      <c r="J431" s="546"/>
      <c r="K431" s="546"/>
      <c r="L431" s="546"/>
      <c r="M431" s="546"/>
      <c r="N431" s="546"/>
      <c r="O431" s="546"/>
      <c r="P431" s="546"/>
      <c r="Q431" s="546"/>
      <c r="R431" s="546"/>
      <c r="S431" s="546"/>
      <c r="T431" s="546"/>
      <c r="U431" s="546"/>
      <c r="V431" s="546"/>
      <c r="W431" s="546"/>
      <c r="X431" s="546"/>
      <c r="Y431" s="185"/>
    </row>
    <row r="432" spans="10:25" x14ac:dyDescent="0.2">
      <c r="J432" s="546"/>
      <c r="K432" s="546"/>
      <c r="L432" s="546"/>
      <c r="M432" s="546"/>
      <c r="N432" s="546"/>
      <c r="O432" s="546"/>
      <c r="P432" s="546"/>
      <c r="Q432" s="546"/>
      <c r="R432" s="546"/>
      <c r="S432" s="546"/>
      <c r="T432" s="546"/>
      <c r="U432" s="546"/>
      <c r="V432" s="546"/>
      <c r="W432" s="546"/>
      <c r="X432" s="546"/>
      <c r="Y432" s="185"/>
    </row>
    <row r="433" spans="10:25" x14ac:dyDescent="0.2">
      <c r="J433" s="546"/>
      <c r="K433" s="546"/>
      <c r="L433" s="546"/>
      <c r="M433" s="546"/>
      <c r="N433" s="546"/>
      <c r="O433" s="546"/>
      <c r="P433" s="546"/>
      <c r="Q433" s="546"/>
      <c r="R433" s="546"/>
      <c r="S433" s="546"/>
      <c r="T433" s="546"/>
      <c r="U433" s="546"/>
      <c r="V433" s="546"/>
      <c r="W433" s="546"/>
      <c r="X433" s="546"/>
      <c r="Y433" s="185"/>
    </row>
    <row r="434" spans="10:25" x14ac:dyDescent="0.2">
      <c r="J434" s="546"/>
      <c r="K434" s="546"/>
      <c r="L434" s="546"/>
      <c r="M434" s="546"/>
      <c r="N434" s="546"/>
      <c r="O434" s="546"/>
      <c r="P434" s="546"/>
      <c r="Q434" s="546"/>
      <c r="R434" s="546"/>
      <c r="S434" s="546"/>
      <c r="T434" s="546"/>
      <c r="U434" s="546"/>
      <c r="V434" s="546"/>
      <c r="W434" s="546"/>
      <c r="X434" s="546"/>
      <c r="Y434" s="185"/>
    </row>
    <row r="435" spans="10:25" x14ac:dyDescent="0.2">
      <c r="J435" s="546"/>
      <c r="K435" s="546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6"/>
      <c r="Y435" s="185"/>
    </row>
    <row r="436" spans="10:25" x14ac:dyDescent="0.2">
      <c r="J436" s="546"/>
      <c r="K436" s="546"/>
      <c r="X436" s="546"/>
      <c r="Y436" s="185"/>
    </row>
    <row r="437" spans="10:25" x14ac:dyDescent="0.2">
      <c r="X437" s="185"/>
      <c r="Y437" s="185"/>
    </row>
    <row r="438" spans="10:25" x14ac:dyDescent="0.2">
      <c r="Y438" s="185"/>
    </row>
    <row r="439" spans="10:25" x14ac:dyDescent="0.2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int">
    <tabColor rgb="FF7030A0"/>
    <pageSetUpPr autoPageBreaks="0"/>
  </sheetPr>
  <dimension ref="A1:Q146"/>
  <sheetViews>
    <sheetView zoomScaleNormal="100" workbookViewId="0"/>
  </sheetViews>
  <sheetFormatPr defaultRowHeight="12.75" x14ac:dyDescent="0.2"/>
  <cols>
    <col min="1" max="1" width="3.140625" style="271" customWidth="1"/>
    <col min="2" max="16" width="5.7109375" style="271" customWidth="1"/>
    <col min="17" max="17" width="6.85546875" style="271" customWidth="1"/>
    <col min="18" max="20" width="5.7109375" style="271" customWidth="1"/>
    <col min="21" max="16384" width="9.140625" style="271"/>
  </cols>
  <sheetData>
    <row r="1" spans="1:17" x14ac:dyDescent="0.2">
      <c r="A1" s="578"/>
      <c r="B1" s="271" t="s">
        <v>1007</v>
      </c>
      <c r="D1" s="272">
        <f>_Bed</f>
        <v>0</v>
      </c>
      <c r="L1" s="271" t="s">
        <v>1008</v>
      </c>
      <c r="M1" s="915">
        <f ca="1">TODAY()</f>
        <v>42703</v>
      </c>
      <c r="N1" s="916"/>
      <c r="O1" s="273">
        <f ca="1">NOW()</f>
        <v>42703.010065625</v>
      </c>
      <c r="P1" s="273"/>
    </row>
    <row r="2" spans="1:17" ht="6.75" customHeight="1" x14ac:dyDescent="0.2"/>
    <row r="3" spans="1:17" x14ac:dyDescent="0.2">
      <c r="B3" s="274" t="str">
        <f>Afspraken1700!B10</f>
        <v>Medische Afspraken</v>
      </c>
      <c r="J3" s="271" t="s">
        <v>708</v>
      </c>
      <c r="M3" s="917">
        <f>_PatNum</f>
        <v>0</v>
      </c>
      <c r="N3" s="917"/>
      <c r="O3" s="275"/>
    </row>
    <row r="4" spans="1:17" x14ac:dyDescent="0.2">
      <c r="B4" s="274" t="str">
        <f>Afspraken1700!B11</f>
        <v>Afdeling Neonatologie (IC-HC-MC)</v>
      </c>
      <c r="J4" s="271" t="str">
        <f>Afspraken1700!G11</f>
        <v>Naam:</v>
      </c>
      <c r="M4" s="276" t="str">
        <f>Afspraken1700!I11</f>
        <v>Test,  Test</v>
      </c>
      <c r="N4" s="277"/>
      <c r="O4" s="275"/>
    </row>
    <row r="5" spans="1:17" x14ac:dyDescent="0.2">
      <c r="B5" s="274" t="str">
        <f>Afspraken1700!B12</f>
        <v>Divisie Obstetrie Neonatologie en Gynaecologie</v>
      </c>
      <c r="J5" s="271" t="str">
        <f>Afspraken1700!G12</f>
        <v>Geboortedatum:</v>
      </c>
      <c r="M5" s="918">
        <f>Afspraken1700!I12</f>
        <v>42280</v>
      </c>
      <c r="N5" s="918"/>
      <c r="O5" s="918"/>
      <c r="P5" s="918"/>
    </row>
    <row r="6" spans="1:17" ht="15" x14ac:dyDescent="0.2">
      <c r="A6" s="578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"&amp;Dag&amp;" dag(-en)"</f>
        <v>Leeftijd: 424 dag(-en)</v>
      </c>
      <c r="N6" s="279" t="s">
        <v>1009</v>
      </c>
      <c r="O6" s="279" t="str">
        <f>Afspraken1700!H13&amp;" weken en "&amp;Afspraken1700!J13&amp;" dagen"</f>
        <v>0 weken en 0 dagen</v>
      </c>
      <c r="Q6" s="279"/>
    </row>
    <row r="7" spans="1:17" ht="9" customHeight="1" x14ac:dyDescent="0.2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2">
      <c r="P8" s="283" t="s">
        <v>1010</v>
      </c>
      <c r="Q8" s="284"/>
    </row>
    <row r="9" spans="1:17" x14ac:dyDescent="0.2">
      <c r="B9" s="271" t="str">
        <f>Afspraken1700!B14</f>
        <v>Datum:</v>
      </c>
      <c r="D9" s="919">
        <f>Afspraken1700!C14</f>
        <v>42698</v>
      </c>
      <c r="E9" s="919"/>
      <c r="F9" s="916"/>
      <c r="I9" s="271" t="str">
        <f>Afspraken1700!G16</f>
        <v>Gewicht:</v>
      </c>
      <c r="K9" s="271" t="str">
        <f>Afspraken1700!H16</f>
        <v>10 kg</v>
      </c>
      <c r="P9" s="283" t="s">
        <v>1011</v>
      </c>
      <c r="Q9" s="284"/>
    </row>
    <row r="10" spans="1:17" x14ac:dyDescent="0.2">
      <c r="B10" s="271" t="str">
        <f>Afspraken1700!B15</f>
        <v>Bed:</v>
      </c>
      <c r="F10" s="271">
        <f>_Arts</f>
        <v>0</v>
      </c>
      <c r="I10" s="920" t="str">
        <f ca="1">"Leeftijd: "&amp;Afspraken1700!$H$15</f>
        <v>Leeftijd: 60 weken en 3 dag(-en)</v>
      </c>
      <c r="J10" s="916"/>
      <c r="K10" s="916"/>
      <c r="L10" s="916"/>
      <c r="M10" s="916"/>
      <c r="N10" s="916"/>
      <c r="O10" s="921"/>
      <c r="P10" s="283"/>
      <c r="Q10" s="284"/>
    </row>
    <row r="11" spans="1:17" x14ac:dyDescent="0.2">
      <c r="B11" s="281" t="s">
        <v>1012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2">
      <c r="P12" s="283"/>
      <c r="Q12" s="284"/>
    </row>
    <row r="13" spans="1:17" x14ac:dyDescent="0.2">
      <c r="B13" s="285" t="str">
        <f>Afspraken1700!B18</f>
        <v>Totale vochtintake</v>
      </c>
      <c r="C13" s="279"/>
      <c r="D13" s="279"/>
      <c r="E13" s="279"/>
      <c r="F13" s="286">
        <f ca="1">Afspraken1700!E18</f>
        <v>0</v>
      </c>
      <c r="G13" s="279" t="str">
        <f>Afspraken1700!F18</f>
        <v>ml/ kg/ 24 uur</v>
      </c>
      <c r="H13" s="279"/>
      <c r="I13" s="279"/>
      <c r="J13" s="271" t="str">
        <f ca="1">"= "&amp;Berekeningen1700!L47&amp;" ml"</f>
        <v>= 0 ml</v>
      </c>
      <c r="P13" s="283"/>
      <c r="Q13" s="284"/>
    </row>
    <row r="14" spans="1:17" x14ac:dyDescent="0.2">
      <c r="B14" s="285"/>
      <c r="C14" s="279"/>
      <c r="D14" s="279"/>
      <c r="E14" s="279"/>
      <c r="F14" s="286"/>
      <c r="G14" s="279"/>
      <c r="H14" s="279"/>
      <c r="I14" s="279"/>
      <c r="P14" s="620"/>
      <c r="Q14" s="621"/>
    </row>
    <row r="15" spans="1:17" x14ac:dyDescent="0.2">
      <c r="B15" s="285"/>
      <c r="C15" s="279"/>
      <c r="D15" s="279"/>
      <c r="E15" s="279"/>
      <c r="F15" s="286"/>
      <c r="G15" s="279"/>
      <c r="H15" s="279"/>
      <c r="I15" s="279"/>
      <c r="J15" s="277" t="s">
        <v>1746</v>
      </c>
      <c r="P15" s="620"/>
      <c r="Q15" s="621"/>
    </row>
    <row r="16" spans="1:17" x14ac:dyDescent="0.2">
      <c r="B16" s="274" t="str">
        <f>Afspraken1700!H21</f>
        <v>Voeding:</v>
      </c>
      <c r="E16" s="271">
        <f>INDEX(Pos,Berekeningen1700!D14,1)</f>
        <v>0</v>
      </c>
      <c r="I16" s="271" t="str">
        <f>IF(OR(J16&lt;&gt;0,J17&lt;&gt;0,J18&lt;&gt;0,J19&lt;&gt;0,J20&lt;&gt;0),"met","")</f>
        <v>met</v>
      </c>
      <c r="J16" s="271" t="str">
        <f>IF(Berekeningen1700!L52=0,"","BMF in MM")</f>
        <v/>
      </c>
      <c r="M16" s="277">
        <f>IF(J16&lt;&gt;0,Berekeningen1700!L52,0)</f>
        <v>0</v>
      </c>
      <c r="N16" s="271" t="str">
        <f>IF(M16&lt;&gt;0,"%","")</f>
        <v/>
      </c>
      <c r="P16" s="620"/>
      <c r="Q16" s="621"/>
    </row>
    <row r="17" spans="1:17" x14ac:dyDescent="0.2">
      <c r="B17" s="287" t="str">
        <f>Afspraken1700!D21</f>
        <v>Hoeveelheid:</v>
      </c>
      <c r="E17" s="276" t="str">
        <f>Afspraken1700!$E$21</f>
        <v/>
      </c>
      <c r="F17" s="271" t="str">
        <f>Afspraken1700!F21</f>
        <v>maal</v>
      </c>
      <c r="G17" s="277" t="str">
        <f>Afspraken1700!G21</f>
        <v/>
      </c>
      <c r="J17" s="271">
        <f>INDEX(lijstToevoegingenMMPrint,Berekeningen1700!B53,1)</f>
        <v>0</v>
      </c>
      <c r="M17" s="277">
        <f>IF(J17&lt;&gt;0,Berekeningen1700!L53,0)</f>
        <v>0</v>
      </c>
      <c r="N17" s="271" t="str">
        <f t="shared" ref="N17:N26" si="0">IF(M17&lt;&gt;0,"%","")</f>
        <v/>
      </c>
      <c r="P17" s="620"/>
      <c r="Q17" s="621"/>
    </row>
    <row r="18" spans="1:17" x14ac:dyDescent="0.2">
      <c r="C18" s="288" t="str">
        <f>IF(E18="","","en")</f>
        <v/>
      </c>
      <c r="E18" s="276" t="str">
        <f>IF(Afspraken1700!G22&lt;&gt;"0 ml",Afspraken1700!$E$22,"")</f>
        <v/>
      </c>
      <c r="F18" s="271" t="str">
        <f>IF(Afspraken1700!G22&lt;&gt;"0 ml",Afspraken1700!F22,"")</f>
        <v>maal</v>
      </c>
      <c r="G18" s="277" t="str">
        <f>IF(Afspraken1700!G22&lt;&gt;"0 ml",Afspraken1700!G22,"")</f>
        <v/>
      </c>
      <c r="J18" s="271">
        <f>INDEX(lijstToevoegingenMMPrint,Berekeningen1700!B54,1)</f>
        <v>0</v>
      </c>
      <c r="M18" s="277">
        <f>IF(J18&lt;&gt;0,Berekeningen1700!L54,0)</f>
        <v>0</v>
      </c>
      <c r="N18" s="271" t="str">
        <f t="shared" si="0"/>
        <v/>
      </c>
      <c r="P18" s="620"/>
      <c r="Q18" s="621"/>
    </row>
    <row r="19" spans="1:17" x14ac:dyDescent="0.2">
      <c r="J19" s="271">
        <f>INDEX(lijstToevoegingenMMPrint,Berekeningen1700!B55,1)</f>
        <v>0</v>
      </c>
      <c r="M19" s="277">
        <f>IF(J19&lt;&gt;0,Berekeningen1700!L55,0)</f>
        <v>0</v>
      </c>
      <c r="N19" s="271" t="str">
        <f t="shared" si="0"/>
        <v/>
      </c>
      <c r="P19" s="620"/>
      <c r="Q19" s="621"/>
    </row>
    <row r="20" spans="1:17" x14ac:dyDescent="0.2">
      <c r="B20" s="285"/>
      <c r="C20" s="279"/>
      <c r="D20" s="279"/>
      <c r="E20" s="279"/>
      <c r="F20" s="286"/>
      <c r="G20" s="279"/>
      <c r="H20" s="279"/>
      <c r="I20" s="279"/>
      <c r="J20" s="271">
        <f>INDEX(lijstToevoegingenMMPrint,Berekeningen1700!B56,1)</f>
        <v>0</v>
      </c>
      <c r="K20" s="279"/>
      <c r="L20" s="289"/>
      <c r="M20" s="277">
        <f>IF(J20&lt;&gt;0,Berekeningen1700!L56,0)</f>
        <v>0</v>
      </c>
      <c r="N20" s="271" t="str">
        <f t="shared" si="0"/>
        <v/>
      </c>
      <c r="P20" s="620"/>
      <c r="Q20" s="621"/>
    </row>
    <row r="21" spans="1:17" x14ac:dyDescent="0.2">
      <c r="B21" s="277"/>
      <c r="P21" s="283"/>
      <c r="Q21" s="284"/>
    </row>
    <row r="22" spans="1:17" x14ac:dyDescent="0.2">
      <c r="B22" s="277"/>
      <c r="I22" s="279"/>
      <c r="J22" s="277" t="s">
        <v>1747</v>
      </c>
      <c r="P22" s="620"/>
      <c r="Q22" s="621"/>
    </row>
    <row r="23" spans="1:17" x14ac:dyDescent="0.2">
      <c r="B23" s="277"/>
      <c r="I23" s="271" t="str">
        <f>IF(OR(J23&lt;&gt;0,J24&lt;&gt;0,J25&lt;&gt;0,J26&lt;&gt;0),"met","")</f>
        <v/>
      </c>
      <c r="J23" s="271">
        <f>INDEX(lijstToevoegingenKVPrint,Berekeningen1700!B58,1)</f>
        <v>0</v>
      </c>
      <c r="M23" s="277">
        <f>IF(J23&lt;&gt;0,Berekeningen1700!L58,0)</f>
        <v>0</v>
      </c>
      <c r="N23" s="271" t="str">
        <f t="shared" si="0"/>
        <v/>
      </c>
      <c r="P23" s="620"/>
      <c r="Q23" s="621"/>
    </row>
    <row r="24" spans="1:17" x14ac:dyDescent="0.2">
      <c r="B24" s="277"/>
      <c r="J24" s="271">
        <f>INDEX(lijstToevoegingenKVPrint,Berekeningen1700!B59,1)</f>
        <v>0</v>
      </c>
      <c r="M24" s="277">
        <f>IF(J24&lt;&gt;0,Berekeningen1700!L59,0)</f>
        <v>0</v>
      </c>
      <c r="N24" s="271" t="str">
        <f t="shared" si="0"/>
        <v/>
      </c>
      <c r="P24" s="620"/>
      <c r="Q24" s="621"/>
    </row>
    <row r="25" spans="1:17" x14ac:dyDescent="0.2">
      <c r="J25" s="271">
        <f>INDEX(lijstToevoegingenKVPrint,Berekeningen1700!B60,1)</f>
        <v>0</v>
      </c>
      <c r="M25" s="277">
        <f>IF(J25&lt;&gt;0,Berekeningen1700!L60,0)</f>
        <v>0</v>
      </c>
      <c r="N25" s="271" t="str">
        <f t="shared" si="0"/>
        <v/>
      </c>
      <c r="P25" s="283"/>
      <c r="Q25" s="284"/>
    </row>
    <row r="26" spans="1:17" x14ac:dyDescent="0.2">
      <c r="J26" s="271">
        <f>INDEX(lijstToevoegingenKVPrint,Berekeningen1700!B61,1)</f>
        <v>0</v>
      </c>
      <c r="M26" s="277">
        <f>IF(J26&lt;&gt;0,Berekeningen1700!L61,0)</f>
        <v>0</v>
      </c>
      <c r="N26" s="271" t="str">
        <f t="shared" si="0"/>
        <v/>
      </c>
      <c r="P26" s="283"/>
      <c r="Q26" s="284"/>
    </row>
    <row r="27" spans="1:17" x14ac:dyDescent="0.2">
      <c r="P27" s="283"/>
      <c r="Q27" s="284"/>
    </row>
    <row r="28" spans="1:17" x14ac:dyDescent="0.2">
      <c r="B28" s="290" t="str">
        <f>IF(Berekeningen1700!K14=1,"De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2">
      <c r="P29" s="283"/>
      <c r="Q29" s="284"/>
    </row>
    <row r="30" spans="1:17" x14ac:dyDescent="0.2">
      <c r="B30" s="274" t="str">
        <f>Afspraken1700!B28</f>
        <v>Infuus/parenterale voeding:</v>
      </c>
      <c r="G30" s="277">
        <f ca="1">Afspraken1700!E28</f>
        <v>0</v>
      </c>
      <c r="H30" s="271" t="str">
        <f>Afspraken1700!F28</f>
        <v>ml/ 24 uur</v>
      </c>
      <c r="O30" s="284"/>
      <c r="P30" s="279"/>
      <c r="Q30" s="284"/>
    </row>
    <row r="31" spans="1:17" x14ac:dyDescent="0.2">
      <c r="O31" s="284"/>
      <c r="P31" s="293" t="s">
        <v>1013</v>
      </c>
      <c r="Q31" s="284"/>
    </row>
    <row r="32" spans="1:17" ht="15.95" customHeight="1" x14ac:dyDescent="0.2">
      <c r="A32" s="271">
        <v>1</v>
      </c>
      <c r="B32" s="294" t="str">
        <f>IF(_ArtLijn&gt;0,Afspraken1700!B30,"")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IF(Afspraken1700!G30&lt;&gt; "0 ml/uur",Afspraken1700!G30,"")</f>
        <v/>
      </c>
      <c r="L32" s="294"/>
      <c r="M32" s="294"/>
      <c r="N32" s="294"/>
      <c r="O32" s="296"/>
      <c r="P32" s="297" t="str">
        <f>IF(B32="","",IF(Berekeningen1700!K18,"ja","nee"))</f>
        <v/>
      </c>
      <c r="Q32" s="298"/>
    </row>
    <row r="33" spans="1:17" ht="15.95" customHeight="1" x14ac:dyDescent="0.2">
      <c r="A33" s="271">
        <v>2</v>
      </c>
      <c r="B33" s="299">
        <f>INDEX(Medicamenten,Berekeningen1700!B20,1)</f>
        <v>0</v>
      </c>
      <c r="C33" s="294"/>
      <c r="D33" s="299"/>
      <c r="E33" s="300" t="str">
        <f>Afspraken1700!C32</f>
        <v/>
      </c>
      <c r="F33" s="299"/>
      <c r="G33" s="301" t="str">
        <f>Afspraken1700!D32</f>
        <v/>
      </c>
      <c r="H33" s="299"/>
      <c r="I33" s="302">
        <f>INDEX(Opl,Berekeningen1700!E20,1)</f>
        <v>0</v>
      </c>
      <c r="J33" s="299"/>
      <c r="K33" s="300" t="str">
        <f>Afspraken1700!G32</f>
        <v/>
      </c>
      <c r="L33" s="299"/>
      <c r="M33" s="303" t="str">
        <f>Afspraken1700!H32</f>
        <v/>
      </c>
      <c r="N33" s="304">
        <f>INDEX(Dos,Berekeningen1700!H20,1)</f>
        <v>0</v>
      </c>
      <c r="O33" s="305"/>
      <c r="P33" s="302" t="str">
        <f>IF(B33&lt;&gt;0,IF(Berekeningen1700!K20,"ja","nee"),"")</f>
        <v/>
      </c>
      <c r="Q33" s="306"/>
    </row>
    <row r="34" spans="1:17" ht="15.95" customHeight="1" x14ac:dyDescent="0.2">
      <c r="A34" s="271">
        <v>3</v>
      </c>
      <c r="B34" s="299">
        <f>INDEX(Medicamenten,Berekeningen1700!B21,1)</f>
        <v>0</v>
      </c>
      <c r="C34" s="294"/>
      <c r="D34" s="299"/>
      <c r="E34" s="300" t="str">
        <f>Afspraken1700!C33</f>
        <v/>
      </c>
      <c r="F34" s="299"/>
      <c r="G34" s="301" t="str">
        <f>Afspraken1700!D33</f>
        <v/>
      </c>
      <c r="H34" s="299"/>
      <c r="I34" s="302">
        <f>INDEX(Opl,Berekeningen1700!E21,1)</f>
        <v>0</v>
      </c>
      <c r="J34" s="299"/>
      <c r="K34" s="300" t="str">
        <f>Afspraken1700!G33</f>
        <v/>
      </c>
      <c r="L34" s="299"/>
      <c r="M34" s="303" t="str">
        <f>Afspraken1700!H33</f>
        <v/>
      </c>
      <c r="N34" s="304">
        <f>INDEX(Dos,Berekeningen1700!H21,1)</f>
        <v>0</v>
      </c>
      <c r="O34" s="305"/>
      <c r="P34" s="302" t="str">
        <f>IF(B34&lt;&gt;0,IF(Berekeningen1700!K21,"ja","nee"),"")</f>
        <v/>
      </c>
      <c r="Q34" s="298"/>
    </row>
    <row r="35" spans="1:17" ht="15.95" customHeight="1" x14ac:dyDescent="0.2">
      <c r="A35" s="271">
        <v>4</v>
      </c>
      <c r="B35" s="299">
        <f>INDEX(Medicamenten,Berekeningen1700!B22,1)</f>
        <v>0</v>
      </c>
      <c r="C35" s="294"/>
      <c r="D35" s="299"/>
      <c r="E35" s="300" t="str">
        <f>Afspraken1700!C34</f>
        <v/>
      </c>
      <c r="F35" s="299"/>
      <c r="G35" s="301" t="str">
        <f>Afspraken1700!D34</f>
        <v/>
      </c>
      <c r="H35" s="299"/>
      <c r="I35" s="302">
        <f>INDEX(Opl,Berekeningen1700!E22,1)</f>
        <v>0</v>
      </c>
      <c r="J35" s="299"/>
      <c r="K35" s="300" t="str">
        <f>Afspraken1700!G34</f>
        <v/>
      </c>
      <c r="L35" s="299"/>
      <c r="M35" s="303" t="str">
        <f>Afspraken1700!H34</f>
        <v/>
      </c>
      <c r="N35" s="304">
        <f>INDEX(Dos,Berekeningen1700!H22,1)</f>
        <v>0</v>
      </c>
      <c r="O35" s="305"/>
      <c r="P35" s="302" t="str">
        <f>IF(B35&lt;&gt;0,IF(Berekeningen1700!K22,"ja","nee"),"")</f>
        <v/>
      </c>
      <c r="Q35" s="306"/>
    </row>
    <row r="36" spans="1:17" ht="15.95" customHeight="1" x14ac:dyDescent="0.2">
      <c r="A36" s="271">
        <v>5</v>
      </c>
      <c r="B36" s="299">
        <f>INDEX(Medicamenten,Berekeningen1700!B23,1)</f>
        <v>0</v>
      </c>
      <c r="C36" s="294"/>
      <c r="D36" s="299"/>
      <c r="E36" s="300" t="str">
        <f>Afspraken1700!C35</f>
        <v/>
      </c>
      <c r="F36" s="299"/>
      <c r="G36" s="301" t="str">
        <f>Afspraken1700!D35</f>
        <v/>
      </c>
      <c r="H36" s="299"/>
      <c r="I36" s="302">
        <f>INDEX(Opl,Berekeningen1700!E23,1)</f>
        <v>0</v>
      </c>
      <c r="J36" s="299"/>
      <c r="K36" s="300" t="str">
        <f>Afspraken1700!G35</f>
        <v/>
      </c>
      <c r="L36" s="299"/>
      <c r="M36" s="303" t="str">
        <f>Afspraken1700!H35</f>
        <v/>
      </c>
      <c r="N36" s="304">
        <f>INDEX(Dos,Berekeningen1700!H23,1)</f>
        <v>0</v>
      </c>
      <c r="O36" s="305"/>
      <c r="P36" s="302" t="str">
        <f>IF(B36&lt;&gt;0,IF(Berekeningen1700!K23,"ja","nee"),"")</f>
        <v/>
      </c>
      <c r="Q36" s="298"/>
    </row>
    <row r="37" spans="1:17" ht="15.95" customHeight="1" x14ac:dyDescent="0.2">
      <c r="A37" s="271">
        <v>6</v>
      </c>
      <c r="B37" s="299">
        <f>INDEX(Medicamenten,Berekeningen1700!B24,1)</f>
        <v>0</v>
      </c>
      <c r="C37" s="294"/>
      <c r="D37" s="299"/>
      <c r="E37" s="300" t="str">
        <f>Afspraken1700!C36</f>
        <v/>
      </c>
      <c r="F37" s="299"/>
      <c r="G37" s="301" t="str">
        <f>Afspraken1700!D36</f>
        <v/>
      </c>
      <c r="H37" s="299"/>
      <c r="I37" s="302">
        <f>INDEX(Opl,Berekeningen1700!E24,1)</f>
        <v>0</v>
      </c>
      <c r="J37" s="299"/>
      <c r="K37" s="300" t="str">
        <f>Afspraken1700!G36</f>
        <v/>
      </c>
      <c r="L37" s="299"/>
      <c r="M37" s="303" t="str">
        <f>Afspraken1700!H36</f>
        <v/>
      </c>
      <c r="N37" s="304">
        <f>INDEX(Dos,Berekeningen1700!H24,1)</f>
        <v>0</v>
      </c>
      <c r="O37" s="305"/>
      <c r="P37" s="302" t="str">
        <f>IF(B37&lt;&gt;0,IF(Berekeningen1700!K24,"ja","nee"),"")</f>
        <v/>
      </c>
      <c r="Q37" s="306"/>
    </row>
    <row r="38" spans="1:17" ht="15.95" customHeight="1" x14ac:dyDescent="0.2">
      <c r="A38" s="271">
        <v>7</v>
      </c>
      <c r="B38" s="299">
        <f>INDEX(Medicamenten,Berekeningen1700!B25,1)</f>
        <v>0</v>
      </c>
      <c r="C38" s="294"/>
      <c r="D38" s="299"/>
      <c r="E38" s="300" t="str">
        <f>Afspraken1700!C37</f>
        <v/>
      </c>
      <c r="F38" s="299"/>
      <c r="G38" s="301" t="str">
        <f>Afspraken1700!D37</f>
        <v/>
      </c>
      <c r="H38" s="299"/>
      <c r="I38" s="302">
        <f>INDEX(Opl,Berekeningen1700!E25,1)</f>
        <v>0</v>
      </c>
      <c r="J38" s="299"/>
      <c r="K38" s="300" t="str">
        <f>Afspraken1700!G37</f>
        <v/>
      </c>
      <c r="L38" s="299"/>
      <c r="M38" s="303" t="str">
        <f>Afspraken1700!H37</f>
        <v/>
      </c>
      <c r="N38" s="304">
        <f>INDEX(Dos,Berekeningen1700!H25,1)</f>
        <v>0</v>
      </c>
      <c r="O38" s="305"/>
      <c r="P38" s="302" t="str">
        <f>IF(B38&lt;&gt;0,IF(Berekeningen1700!K25,"ja","nee"),"")</f>
        <v/>
      </c>
      <c r="Q38" s="298"/>
    </row>
    <row r="39" spans="1:17" ht="15.95" customHeight="1" x14ac:dyDescent="0.2">
      <c r="A39" s="271">
        <v>8</v>
      </c>
      <c r="B39" s="299">
        <f>INDEX(Medicamenten,Berekeningen1700!B26,1)</f>
        <v>0</v>
      </c>
      <c r="C39" s="294"/>
      <c r="D39" s="299"/>
      <c r="E39" s="300" t="str">
        <f>Afspraken1700!C38</f>
        <v/>
      </c>
      <c r="F39" s="299"/>
      <c r="G39" s="301" t="str">
        <f>Afspraken1700!D38</f>
        <v/>
      </c>
      <c r="H39" s="299"/>
      <c r="I39" s="302">
        <f>INDEX(Opl,Berekeningen1700!E26,1)</f>
        <v>0</v>
      </c>
      <c r="J39" s="299"/>
      <c r="K39" s="300" t="str">
        <f>Afspraken1700!G38</f>
        <v/>
      </c>
      <c r="L39" s="299"/>
      <c r="M39" s="303" t="str">
        <f>Afspraken1700!H38</f>
        <v/>
      </c>
      <c r="N39" s="304">
        <f>INDEX(Dos,Berekeningen1700!H26,1)</f>
        <v>0</v>
      </c>
      <c r="O39" s="305"/>
      <c r="P39" s="302" t="str">
        <f>IF(B39&lt;&gt;0,IF(Berekeningen1700!K26,"ja","nee"),"")</f>
        <v/>
      </c>
      <c r="Q39" s="306"/>
    </row>
    <row r="40" spans="1:17" ht="15.95" customHeight="1" x14ac:dyDescent="0.2">
      <c r="A40" s="271">
        <v>9</v>
      </c>
      <c r="B40" s="299">
        <f>INDEX(Medicamenten,Berekeningen1700!B27,1)</f>
        <v>0</v>
      </c>
      <c r="C40" s="294"/>
      <c r="D40" s="299"/>
      <c r="E40" s="300" t="str">
        <f>Afspraken1700!C39</f>
        <v/>
      </c>
      <c r="F40" s="299"/>
      <c r="G40" s="301" t="str">
        <f>Afspraken1700!D39</f>
        <v/>
      </c>
      <c r="H40" s="299"/>
      <c r="I40" s="302">
        <f>INDEX(Opl,Berekeningen1700!E27,1)</f>
        <v>0</v>
      </c>
      <c r="J40" s="299"/>
      <c r="K40" s="300" t="str">
        <f>Afspraken1700!G39</f>
        <v/>
      </c>
      <c r="L40" s="299"/>
      <c r="M40" s="303" t="str">
        <f>Afspraken1700!H39</f>
        <v/>
      </c>
      <c r="N40" s="304">
        <f>INDEX(Dos,Berekeningen1700!H27,1)</f>
        <v>0</v>
      </c>
      <c r="O40" s="305"/>
      <c r="P40" s="302" t="str">
        <f>IF(B40&lt;&gt;0,IF(Berekeningen1700!K27,"ja","nee"),"")</f>
        <v/>
      </c>
      <c r="Q40" s="298"/>
    </row>
    <row r="41" spans="1:17" ht="15.95" customHeight="1" x14ac:dyDescent="0.2">
      <c r="A41" s="271">
        <v>10</v>
      </c>
      <c r="B41" s="299">
        <f>INDEX(Medicamenten,Berekeningen1700!B28,1)</f>
        <v>0</v>
      </c>
      <c r="C41" s="294"/>
      <c r="D41" s="299"/>
      <c r="E41" s="300" t="str">
        <f>Afspraken1700!C40</f>
        <v/>
      </c>
      <c r="F41" s="299"/>
      <c r="G41" s="301" t="str">
        <f>Afspraken1700!D40</f>
        <v/>
      </c>
      <c r="H41" s="299"/>
      <c r="I41" s="302">
        <f>INDEX(Opl,Berekeningen1700!E28,1)</f>
        <v>0</v>
      </c>
      <c r="J41" s="299"/>
      <c r="K41" s="300" t="str">
        <f>Afspraken1700!G40</f>
        <v/>
      </c>
      <c r="L41" s="299"/>
      <c r="M41" s="303" t="str">
        <f>Afspraken1700!H40</f>
        <v/>
      </c>
      <c r="N41" s="304">
        <f>INDEX(Dos,Berekeningen1700!H28,1)</f>
        <v>0</v>
      </c>
      <c r="O41" s="305"/>
      <c r="P41" s="302" t="str">
        <f>IF(B41&lt;&gt;0,IF(Berekeningen1700!K28,"ja","nee"),"")</f>
        <v/>
      </c>
      <c r="Q41" s="306"/>
    </row>
    <row r="42" spans="1:17" ht="15.95" customHeight="1" x14ac:dyDescent="0.2">
      <c r="A42" s="271">
        <v>11</v>
      </c>
      <c r="B42" s="299" t="str">
        <f>IF(I42&lt;&gt;"",Afspraken1700!B42,"")</f>
        <v>Zijlijn 1</v>
      </c>
      <c r="C42" s="294"/>
      <c r="D42" s="299"/>
      <c r="E42" s="300"/>
      <c r="F42" s="299"/>
      <c r="G42" s="300"/>
      <c r="H42" s="299"/>
      <c r="I42" s="302">
        <f>IFERROR(INDEX(Opl,Berekeningen1700!E29,1),"")</f>
        <v>0</v>
      </c>
      <c r="J42" s="299"/>
      <c r="K42" s="300" t="str">
        <f>Afspraken1700!G42</f>
        <v/>
      </c>
      <c r="L42" s="299"/>
      <c r="M42" s="303"/>
      <c r="N42" s="299"/>
      <c r="O42" s="305"/>
      <c r="P42" s="302" t="str">
        <f>IF(B42&lt;&gt;"",IF(Berekeningen1700!K29,"ja","nee"),"")</f>
        <v>nee</v>
      </c>
      <c r="Q42" s="306"/>
    </row>
    <row r="43" spans="1:17" ht="15.95" customHeight="1" x14ac:dyDescent="0.2">
      <c r="A43" s="271">
        <v>12</v>
      </c>
      <c r="B43" s="299" t="str">
        <f>IF(I43&lt;&gt;"",Afspraken1700!B43,"")</f>
        <v>Zijlijn 2</v>
      </c>
      <c r="C43" s="294"/>
      <c r="D43" s="299"/>
      <c r="E43" s="300"/>
      <c r="F43" s="299"/>
      <c r="G43" s="300"/>
      <c r="H43" s="299"/>
      <c r="I43" s="302">
        <f>IFERROR(INDEX(Opl,Berekeningen1700!E30,1),"")</f>
        <v>0</v>
      </c>
      <c r="J43" s="299"/>
      <c r="K43" s="300" t="str">
        <f>Afspraken1700!G43</f>
        <v/>
      </c>
      <c r="L43" s="299"/>
      <c r="M43" s="303"/>
      <c r="N43" s="299"/>
      <c r="O43" s="305"/>
      <c r="P43" s="302" t="str">
        <f>IF(B43&lt;&gt;"",IF(Berekeningen1700!K30,"ja","nee"),"")</f>
        <v>nee</v>
      </c>
      <c r="Q43" s="306"/>
    </row>
    <row r="44" spans="1:17" ht="15.95" customHeight="1" x14ac:dyDescent="0.2">
      <c r="A44" s="271">
        <v>13</v>
      </c>
      <c r="B44" s="299" t="str">
        <f>IF(I44&lt;&gt;"",Afspraken1700!B44,"")</f>
        <v>Zijlijn 3</v>
      </c>
      <c r="C44" s="294"/>
      <c r="D44" s="299"/>
      <c r="E44" s="300"/>
      <c r="F44" s="299"/>
      <c r="G44" s="300"/>
      <c r="H44" s="299"/>
      <c r="I44" s="302">
        <f>IFERROR(INDEX(Opl,Berekeningen1700!E31,1),"")</f>
        <v>0</v>
      </c>
      <c r="J44" s="299"/>
      <c r="K44" s="300" t="str">
        <f>Afspraken1700!G44</f>
        <v/>
      </c>
      <c r="L44" s="299"/>
      <c r="M44" s="299"/>
      <c r="N44" s="299"/>
      <c r="O44" s="305"/>
      <c r="P44" s="302" t="str">
        <f>IF(B44&lt;&gt;"",IF(Berekeningen1700!K31,"ja","nee"),"")</f>
        <v>nee</v>
      </c>
      <c r="Q44" s="306"/>
    </row>
    <row r="45" spans="1:17" ht="15.95" customHeight="1" x14ac:dyDescent="0.2">
      <c r="A45" s="271">
        <v>14</v>
      </c>
      <c r="B45" s="299" t="str">
        <f>Afspraken1700!B45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2">
      <c r="A46" s="271">
        <v>15</v>
      </c>
      <c r="B46" s="299" t="str">
        <f>Afspraken1700!B46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2">
      <c r="A47" s="271">
        <v>16</v>
      </c>
      <c r="B47" s="299">
        <f>Afspraken1700!B48</f>
        <v>0</v>
      </c>
      <c r="C47" s="294"/>
      <c r="D47" s="299"/>
      <c r="E47" s="300"/>
      <c r="F47" s="299"/>
      <c r="G47" s="300" t="str">
        <f ca="1">Afspraken1700!E48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2">
      <c r="O48" s="284"/>
      <c r="P48" s="279"/>
      <c r="Q48" s="284"/>
    </row>
    <row r="49" spans="2:17" x14ac:dyDescent="0.2">
      <c r="B49" s="274" t="str">
        <f>Afspraken1700!B51</f>
        <v>Samenstelling</v>
      </c>
      <c r="F49" s="271" t="s">
        <v>1014</v>
      </c>
      <c r="I49" s="271" t="s">
        <v>1015</v>
      </c>
      <c r="L49" s="271" t="s">
        <v>1016</v>
      </c>
      <c r="P49" s="283"/>
      <c r="Q49" s="284"/>
    </row>
    <row r="50" spans="2:17" x14ac:dyDescent="0.2">
      <c r="F50" s="307" t="s">
        <v>1017</v>
      </c>
      <c r="G50" s="308"/>
      <c r="H50" s="309"/>
      <c r="I50" s="310" t="s">
        <v>1018</v>
      </c>
      <c r="J50" s="308"/>
      <c r="K50" s="311"/>
      <c r="L50" s="307" t="s">
        <v>1018</v>
      </c>
      <c r="M50" s="308"/>
      <c r="N50" s="311"/>
      <c r="P50" s="283"/>
      <c r="Q50" s="284"/>
    </row>
    <row r="51" spans="2:17" x14ac:dyDescent="0.2">
      <c r="B51" s="310" t="str">
        <f>Afspraken1700!B52</f>
        <v>NaCl 2,9%</v>
      </c>
      <c r="C51" s="312"/>
      <c r="D51" s="312"/>
      <c r="E51" s="309"/>
      <c r="F51" s="313" t="str">
        <f ca="1">Afspraken1700!E52</f>
        <v>0 ml</v>
      </c>
      <c r="G51" s="314"/>
      <c r="H51" s="315"/>
      <c r="I51" s="313"/>
      <c r="J51" s="314"/>
      <c r="K51" s="315"/>
      <c r="L51" s="313" t="str">
        <f>Afspraken1700!I52</f>
        <v/>
      </c>
      <c r="M51" s="314"/>
      <c r="N51" s="315"/>
      <c r="P51" s="316"/>
      <c r="Q51" s="298"/>
    </row>
    <row r="52" spans="2:17" x14ac:dyDescent="0.2">
      <c r="B52" s="310" t="str">
        <f>Afspraken1700!B53</f>
        <v>Kacetaat</v>
      </c>
      <c r="C52" s="312"/>
      <c r="D52" s="312"/>
      <c r="E52" s="309"/>
      <c r="F52" s="313" t="str">
        <f ca="1">Afspraken1700!E53</f>
        <v>0 ml</v>
      </c>
      <c r="G52" s="314"/>
      <c r="H52" s="315"/>
      <c r="I52" s="313"/>
      <c r="J52" s="314"/>
      <c r="K52" s="315"/>
      <c r="L52" s="313" t="str">
        <f>Afspraken1700!I53</f>
        <v/>
      </c>
      <c r="M52" s="314"/>
      <c r="N52" s="315"/>
      <c r="P52" s="317"/>
      <c r="Q52" s="306"/>
    </row>
    <row r="53" spans="2:17" x14ac:dyDescent="0.2">
      <c r="B53" s="310" t="str">
        <f>Afspraken1700!B54</f>
        <v>CaCl2</v>
      </c>
      <c r="C53" s="312"/>
      <c r="D53" s="312"/>
      <c r="E53" s="309"/>
      <c r="F53" s="313" t="str">
        <f ca="1">Afspraken1700!E54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x14ac:dyDescent="0.2">
      <c r="B54" s="310" t="str">
        <f>Afspraken1700!B55</f>
        <v>MgCl2</v>
      </c>
      <c r="C54" s="312"/>
      <c r="D54" s="312"/>
      <c r="E54" s="309"/>
      <c r="F54" s="313" t="str">
        <f ca="1">Afspraken1700!E55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x14ac:dyDescent="0.2">
      <c r="B55" s="310" t="str">
        <f>Afspraken1700!B56</f>
        <v>Soluvit</v>
      </c>
      <c r="C55" s="312"/>
      <c r="D55" s="312"/>
      <c r="E55" s="309"/>
      <c r="F55" s="313" t="str">
        <f ca="1">Afspraken1700!E56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x14ac:dyDescent="0.2">
      <c r="B56" s="310" t="str">
        <f>Afspraken1700!B57</f>
        <v>Primene</v>
      </c>
      <c r="C56" s="312"/>
      <c r="D56" s="312"/>
      <c r="E56" s="309"/>
      <c r="F56" s="313" t="str">
        <f ca="1">Afspraken1700!E57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x14ac:dyDescent="0.2">
      <c r="B57" s="310" t="str">
        <f>Afspraken1700!B58</f>
        <v>NICU-mix</v>
      </c>
      <c r="C57" s="312"/>
      <c r="D57" s="312"/>
      <c r="E57" s="309"/>
      <c r="F57" s="313"/>
      <c r="G57" s="314"/>
      <c r="H57" s="315"/>
      <c r="I57" s="313" t="str">
        <f>Afspraken1700!G58</f>
        <v/>
      </c>
      <c r="J57" s="314"/>
      <c r="K57" s="315"/>
      <c r="L57" s="313"/>
      <c r="M57" s="314"/>
      <c r="N57" s="315"/>
      <c r="P57" s="316"/>
      <c r="Q57" s="298"/>
    </row>
    <row r="58" spans="2:17" x14ac:dyDescent="0.2">
      <c r="B58" s="310" t="str">
        <f>Afspraken1700!B59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Afspraken1700!I59</f>
        <v/>
      </c>
      <c r="M58" s="314"/>
      <c r="N58" s="315"/>
      <c r="P58" s="317"/>
      <c r="Q58" s="306"/>
    </row>
    <row r="59" spans="2:17" x14ac:dyDescent="0.2">
      <c r="B59" s="310" t="str">
        <f>INDEX(Opl,Berekeningen1700!D45+1,1)</f>
        <v>glucose 10%</v>
      </c>
      <c r="C59" s="312"/>
      <c r="D59" s="312"/>
      <c r="E59" s="309"/>
      <c r="F59" s="313" t="str">
        <f>Afspraken1700!E60&amp;" "&amp;Afspraken1700!F60</f>
        <v>0 ml</v>
      </c>
      <c r="G59" s="314"/>
      <c r="H59" s="315"/>
      <c r="I59" s="313" t="str">
        <f>Afspraken1700!G60&amp;" "&amp;Afspraken1700!H60</f>
        <v xml:space="preserve"> </v>
      </c>
      <c r="J59" s="314"/>
      <c r="K59" s="315"/>
      <c r="L59" s="313" t="str">
        <f>Afspraken1700!I60&amp;" "&amp;Afspraken1700!J60</f>
        <v xml:space="preserve"> </v>
      </c>
      <c r="M59" s="314"/>
      <c r="N59" s="315"/>
      <c r="P59" s="318"/>
      <c r="Q59" s="319"/>
    </row>
    <row r="60" spans="2:17" ht="18.75" customHeight="1" x14ac:dyDescent="0.2">
      <c r="B60" s="274" t="str">
        <f>Afspraken1700!B19</f>
        <v>Fototherapie</v>
      </c>
      <c r="E60" s="277" t="str">
        <f>IF(Berekeningen1700!B15=1,"ja","nee")</f>
        <v>nee</v>
      </c>
      <c r="P60" s="279"/>
      <c r="Q60" s="279"/>
    </row>
    <row r="61" spans="2:17" x14ac:dyDescent="0.2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2">
      <c r="B62" s="281" t="str">
        <f>Afspraken1700!B2</f>
        <v>Intake</v>
      </c>
      <c r="C62" s="281"/>
      <c r="D62" s="281" t="str">
        <f>Afspraken1700!C2</f>
        <v>Intraveneus</v>
      </c>
      <c r="E62" s="281"/>
      <c r="F62" s="281" t="str">
        <f>Afspraken1700!D2</f>
        <v>Oraal</v>
      </c>
      <c r="G62" s="281"/>
      <c r="H62" s="281" t="str">
        <f>Afspraken1700!E2</f>
        <v>Totaal</v>
      </c>
      <c r="I62" s="281"/>
      <c r="J62" s="281"/>
      <c r="K62" s="281" t="s">
        <v>729</v>
      </c>
      <c r="L62" s="281"/>
      <c r="M62" s="281" t="str">
        <f>Afspraken1700!H2</f>
        <v>Intraveneus</v>
      </c>
      <c r="N62" s="281"/>
      <c r="O62" s="281" t="str">
        <f>Afspraken1700!I2</f>
        <v>Oraal</v>
      </c>
      <c r="P62" s="281"/>
      <c r="Q62" s="281" t="str">
        <f>Afspraken1700!J2</f>
        <v>Totaal</v>
      </c>
    </row>
    <row r="63" spans="2:17" x14ac:dyDescent="0.2">
      <c r="B63" s="271" t="str">
        <f>Afspraken1700!B3</f>
        <v>Volume</v>
      </c>
      <c r="D63" s="320" t="str">
        <f ca="1">Afspraken1700!C3</f>
        <v>0 ml/kg</v>
      </c>
      <c r="E63" s="320"/>
      <c r="F63" s="320" t="str">
        <f>Afspraken1700!D3</f>
        <v>0 ml/kg</v>
      </c>
      <c r="H63" s="320" t="str">
        <f ca="1">Afspraken1700!E3</f>
        <v>0 ml/kg  = 0 ml</v>
      </c>
      <c r="K63" s="271" t="str">
        <f>Afspraken1700!G3</f>
        <v>Natrium</v>
      </c>
      <c r="M63" s="320" t="str">
        <f ca="1">Afspraken1700!H3</f>
        <v>0 mmol/kg</v>
      </c>
      <c r="N63" s="320"/>
      <c r="O63" s="320" t="str">
        <f>Afspraken1700!I3</f>
        <v>0 mmol/kg</v>
      </c>
      <c r="Q63" s="320" t="str">
        <f ca="1">Afspraken1700!J3</f>
        <v>0 mmol/kg</v>
      </c>
    </row>
    <row r="64" spans="2:17" x14ac:dyDescent="0.2">
      <c r="B64" s="271" t="str">
        <f>Afspraken1700!B4</f>
        <v>Eiwit</v>
      </c>
      <c r="D64" s="320" t="str">
        <f ca="1">Afspraken1700!C4</f>
        <v>0 g/kg</v>
      </c>
      <c r="E64" s="320"/>
      <c r="F64" s="320" t="str">
        <f>Afspraken1700!D4</f>
        <v>0 g/kg</v>
      </c>
      <c r="H64" s="320" t="str">
        <f ca="1">Afspraken1700!E4</f>
        <v>0 g/kg</v>
      </c>
      <c r="K64" s="271" t="str">
        <f>Afspraken1700!G4</f>
        <v>Kalium</v>
      </c>
      <c r="M64" s="320" t="str">
        <f ca="1">Afspraken1700!H4</f>
        <v>0 mmol/kg</v>
      </c>
      <c r="N64" s="320"/>
      <c r="O64" s="320" t="str">
        <f>Afspraken1700!I4</f>
        <v>0 mmol/kg</v>
      </c>
      <c r="Q64" s="320" t="str">
        <f ca="1">Afspraken1700!J4</f>
        <v>0 mmol/kg</v>
      </c>
    </row>
    <row r="65" spans="2:17" x14ac:dyDescent="0.2">
      <c r="B65" s="271" t="str">
        <f>Afspraken1700!B5</f>
        <v>Vet</v>
      </c>
      <c r="D65" s="320" t="str">
        <f ca="1">Afspraken1700!C5</f>
        <v>0 g/kg</v>
      </c>
      <c r="E65" s="320"/>
      <c r="F65" s="320" t="str">
        <f>Afspraken1700!D5</f>
        <v>0 g/kg</v>
      </c>
      <c r="H65" s="320" t="str">
        <f ca="1">Afspraken1700!E5</f>
        <v>0 g/kg</v>
      </c>
      <c r="K65" s="271" t="str">
        <f>Afspraken1700!G5</f>
        <v>Calcium</v>
      </c>
      <c r="M65" s="320" t="str">
        <f ca="1">Afspraken1700!H5</f>
        <v>0 mmol/kg</v>
      </c>
      <c r="N65" s="320"/>
      <c r="O65" s="320" t="str">
        <f>Afspraken1700!I5</f>
        <v>0 mmol/kg</v>
      </c>
      <c r="Q65" s="320" t="str">
        <f ca="1">Afspraken1700!J5</f>
        <v>0 mmol/kg</v>
      </c>
    </row>
    <row r="66" spans="2:17" x14ac:dyDescent="0.2">
      <c r="B66" s="271" t="str">
        <f>Afspraken1700!B6</f>
        <v>Glucose</v>
      </c>
      <c r="D66" s="320" t="str">
        <f>Afspraken1700!C6</f>
        <v>0 mg/kg/min</v>
      </c>
      <c r="E66" s="320"/>
      <c r="F66" s="320" t="str">
        <f>Afspraken1700!D6</f>
        <v>0 mg/kg/min</v>
      </c>
      <c r="H66" s="320" t="str">
        <f>Afspraken1700!E6</f>
        <v>0 mg/kg/min</v>
      </c>
      <c r="K66" s="271" t="str">
        <f>Afspraken1700!G6</f>
        <v>Magnesium</v>
      </c>
      <c r="M66" s="320" t="str">
        <f ca="1">Afspraken1700!H6</f>
        <v>0 mmol/kg</v>
      </c>
      <c r="N66" s="320"/>
      <c r="O66" s="320" t="str">
        <f>Afspraken1700!I6</f>
        <v>0 mmol/kg</v>
      </c>
      <c r="Q66" s="320" t="str">
        <f ca="1">Afspraken1700!J6</f>
        <v>0 mmol/kg</v>
      </c>
    </row>
    <row r="67" spans="2:17" x14ac:dyDescent="0.2">
      <c r="B67" s="271" t="str">
        <f>Afspraken1700!B7</f>
        <v>Energie</v>
      </c>
      <c r="D67" s="320" t="str">
        <f ca="1">Afspraken1700!C7</f>
        <v>0 kcal/kg</v>
      </c>
      <c r="E67" s="320"/>
      <c r="F67" s="320" t="str">
        <f>Afspraken1700!D7</f>
        <v>0 kcal/kg</v>
      </c>
      <c r="H67" s="320" t="str">
        <f ca="1">Afspraken1700!E7</f>
        <v>0 kcal/kg</v>
      </c>
      <c r="K67" s="271" t="str">
        <f>Afspraken1700!G7</f>
        <v>Chloor</v>
      </c>
      <c r="M67" s="320" t="str">
        <f ca="1">Afspraken1700!H7</f>
        <v>0 mmol/kg</v>
      </c>
      <c r="N67" s="320"/>
      <c r="O67" s="320" t="str">
        <f>Afspraken1700!I7</f>
        <v>0 mmol/kg</v>
      </c>
      <c r="Q67" s="320" t="str">
        <f ca="1">Afspraken1700!J7</f>
        <v>0 mmol/kg</v>
      </c>
    </row>
    <row r="68" spans="2:17" x14ac:dyDescent="0.2">
      <c r="B68" s="271" t="str">
        <f>Afspraken1700!B8</f>
        <v>Vit D</v>
      </c>
      <c r="D68" s="320" t="str">
        <f ca="1">Afspraken1700!C8</f>
        <v>0 IE/ml</v>
      </c>
      <c r="E68" s="320"/>
      <c r="F68" s="320" t="str">
        <f>Afspraken1700!D8</f>
        <v>0 IE/ml</v>
      </c>
      <c r="H68" s="320" t="str">
        <f ca="1">Afspraken1700!E8</f>
        <v>0 IE/ml</v>
      </c>
      <c r="K68" s="271" t="str">
        <f>Afspraken1700!G8</f>
        <v>Fosfaat</v>
      </c>
      <c r="M68" s="320" t="str">
        <f>Afspraken1700!H8</f>
        <v>0 mmol/kg</v>
      </c>
      <c r="N68" s="320"/>
      <c r="O68" s="320" t="str">
        <f>Afspraken1700!I8</f>
        <v>0 mmol/kg</v>
      </c>
      <c r="Q68" s="320" t="str">
        <f>Afspraken1700!J8</f>
        <v>0 mmol/kg</v>
      </c>
    </row>
    <row r="70" spans="2:17" x14ac:dyDescent="0.2">
      <c r="B70" s="914" t="s">
        <v>247</v>
      </c>
      <c r="C70" s="914"/>
      <c r="D70" s="914"/>
      <c r="E70" s="914"/>
      <c r="F70" s="914"/>
      <c r="G70" s="914"/>
      <c r="H70" s="914"/>
      <c r="I70" s="914"/>
      <c r="J70" s="914"/>
      <c r="K70" s="914"/>
      <c r="L70" s="914"/>
      <c r="M70" s="914"/>
      <c r="N70" s="914"/>
      <c r="O70" s="914"/>
      <c r="P70" s="914"/>
      <c r="Q70" s="914"/>
    </row>
    <row r="71" spans="2:17" x14ac:dyDescent="0.2">
      <c r="B71" s="271" t="s">
        <v>771</v>
      </c>
      <c r="D71" s="271" t="str">
        <f>TRIM(Ber_Lab_Neo!B4&amp;" "&amp;Ber_Lab_Neo!B5&amp;" "&amp;Ber_Lab_Neo!B6&amp;" "&amp;Ber_Lab_Neo!B7&amp;" "&amp;Ber_Lab_Neo!B8&amp;" "&amp;Ber_Lab_Neo!B9&amp;" "&amp;Ber_Lab_Neo!B10&amp;" "&amp;Ber_Lab_Neo!B11&amp;" "&amp;Ber_Lab_Neo!B12&amp;" "&amp;Ber_Lab_Neo!B13&amp;" "&amp;Ber_Lab_Neo!B14&amp;" "&amp;Ber_Lab_Neo!B15&amp;" "&amp;Ber_Lab_Neo!B16&amp;" "&amp;Ber_Lab_Neo!B17&amp;" "&amp;Ber_Lab_Neo!B18&amp;" "&amp;Ber_Lab_Neo!B19&amp;" "&amp;Ber_Lab_Neo!B20&amp;" "&amp;Ber_Lab_Neo!B21&amp;" "&amp;Ber_Lab_Neo!B22&amp;" "&amp;Ber_Lab_Neo!B23&amp;" "&amp;Ber_Lab_Neo!B24&amp;" "&amp;Ber_Lab_Neo!B25&amp;" "&amp;Ber_Lab_Neo!B26&amp;" "&amp;Ber_Lab_Neo!B27&amp;" "&amp;Ber_Lab_Neo!B28&amp;" "&amp;Ber_Lab_Neo!B29&amp;" "&amp;Ber_Lab_Neo!B30&amp;" "&amp;Ber_Lab_Neo!B31&amp;" "&amp;Ber_Lab_Neo!B32&amp;" "&amp;Ber_Lab_Neo!B33&amp;" "&amp;Ber_Lab_Neo!B34&amp;" "&amp;Ber_Lab_Neo!B35)</f>
        <v/>
      </c>
      <c r="P71" s="279"/>
      <c r="Q71" s="279"/>
    </row>
    <row r="72" spans="2:17" x14ac:dyDescent="0.2">
      <c r="B72" s="271" t="s">
        <v>1343</v>
      </c>
      <c r="D72" s="271" t="str">
        <f>TRIM(Ber_Lab_Neo!D4&amp;" "&amp;Ber_Lab_Neo!D5&amp;" "&amp;Ber_Lab_Neo!D6&amp;" "&amp;Ber_Lab_Neo!D7&amp;" "&amp;Ber_Lab_Neo!D8&amp;" "&amp;Ber_Lab_Neo!D9&amp;" "&amp;Ber_Lab_Neo!D10&amp;" "&amp;Ber_Lab_Neo!D11&amp;" "&amp;Ber_Lab_Neo!D12&amp;" "&amp;Ber_Lab_Neo!D13&amp;" "&amp;Ber_Lab_Neo!D14&amp;" "&amp;Ber_Lab_Neo!D15&amp;" "&amp;Ber_Lab_Neo!D16&amp;" "&amp;Ber_Lab_Neo!D17&amp;" "&amp;Ber_Lab_Neo!D18&amp;" "&amp;Ber_Lab_Neo!D19&amp;" "&amp;Ber_Lab_Neo!D20&amp;" "&amp;Ber_Lab_Neo!D21&amp;" "&amp;Ber_Lab_Neo!D22&amp;" "&amp;Ber_Lab_Neo!D23&amp;" "&amp;Ber_Lab_Neo!D24&amp;" "&amp;Ber_Lab_Neo!D25&amp;" "&amp;Ber_Lab_Neo!D26&amp;" "&amp;Ber_Lab_Neo!D27&amp;" "&amp;Ber_Lab_Neo!D28&amp;" "&amp;Ber_Lab_Neo!D29&amp;" "&amp;Ber_Lab_Neo!D30&amp;" "&amp;Ber_Lab_Neo!D31&amp;" "&amp;Ber_Lab_Neo!D32&amp;" "&amp;Ber_Lab_Neo!D33&amp;" "&amp;Ber_Lab_Neo!D34)</f>
        <v/>
      </c>
      <c r="P72" s="279"/>
      <c r="Q72" s="279"/>
    </row>
    <row r="73" spans="2:17" x14ac:dyDescent="0.2">
      <c r="B73" s="271" t="s">
        <v>1344</v>
      </c>
      <c r="D73" s="271" t="str">
        <f>TRIM(Ber_Lab_Neo!F4&amp;" "&amp;Ber_Lab_Neo!F5&amp;" "&amp;Ber_Lab_Neo!F6&amp;" "&amp;Ber_Lab_Neo!F7&amp;" "&amp;Ber_Lab_Neo!F8&amp;" "&amp;Ber_Lab_Neo!F9&amp;" "&amp;Ber_Lab_Neo!F10&amp;" "&amp;Ber_Lab_Neo!F11&amp;" "&amp;Ber_Lab_Neo!F12&amp;" "&amp;Ber_Lab_Neo!F13&amp;" "&amp;Ber_Lab_Neo!F14&amp;" "&amp;Ber_Lab_Neo!F15&amp;" "&amp;Ber_Lab_Neo!F16&amp;" "&amp;Ber_Lab_Neo!F17&amp;" "&amp;Ber_Lab_Neo!F18&amp;" "&amp;Ber_Lab_Neo!F19&amp;" "&amp;Ber_Lab_Neo!F20&amp;" "&amp;Ber_Lab_Neo!F21&amp;" "&amp;Ber_Lab_Neo!F22&amp;" "&amp;Ber_Lab_Neo!F23&amp;" "&amp;Ber_Lab_Neo!F24&amp;" "&amp;Ber_Lab_Neo!F25&amp;" "&amp;Ber_Lab_Neo!F26&amp;" "&amp;Ber_Lab_Neo!F27&amp;" "&amp;Ber_Lab_Neo!F28&amp;" "&amp;Ber_Lab_Neo!F29&amp;" "&amp;Ber_Lab_Neo!F30&amp;" "&amp;Ber_Lab_Neo!F31&amp;" "&amp;Ber_Lab_Neo!F32&amp;" "&amp;Ber_Lab_Neo!F33&amp;" "&amp;Ber_Lab_Neo!F34)</f>
        <v/>
      </c>
      <c r="P73" s="279"/>
      <c r="Q73" s="279"/>
    </row>
    <row r="74" spans="2:17" x14ac:dyDescent="0.2">
      <c r="B74" s="271" t="s">
        <v>1345</v>
      </c>
      <c r="D74" s="271" t="str">
        <f>TRIM(Ber_Lab_Neo!H4&amp;" "&amp;Ber_Lab_Neo!H5&amp;" "&amp;Ber_Lab_Neo!H6&amp;" "&amp;Ber_Lab_Neo!H7&amp;" "&amp;Ber_Lab_Neo!H8&amp;" "&amp;Ber_Lab_Neo!H9&amp;" "&amp;Ber_Lab_Neo!H10&amp;" "&amp;Ber_Lab_Neo!H11&amp;" "&amp;Ber_Lab_Neo!H12&amp;" "&amp;Ber_Lab_Neo!H13&amp;" "&amp;Ber_Lab_Neo!H14&amp;" "&amp;Ber_Lab_Neo!H15&amp;" "&amp;Ber_Lab_Neo!H16&amp;" "&amp;Ber_Lab_Neo!H17&amp;" "&amp;Ber_Lab_Neo!H18&amp;" "&amp;Ber_Lab_Neo!H19&amp;" "&amp;Ber_Lab_Neo!H20&amp;" "&amp;Ber_Lab_Neo!H21&amp;" "&amp;Ber_Lab_Neo!H22&amp;" "&amp;Ber_Lab_Neo!H23&amp;" "&amp;Ber_Lab_Neo!H24&amp;" "&amp;Ber_Lab_Neo!H25&amp;" "&amp;Ber_Lab_Neo!H26&amp;" "&amp;Ber_Lab_Neo!H27&amp;" "&amp;Ber_Lab_Neo!H28&amp;" "&amp;Ber_Lab_Neo!H29&amp;" "&amp;Ber_Lab_Neo!H30&amp;" "&amp;Ber_Lab_Neo!H31&amp;" "&amp;Ber_Lab_Neo!H32&amp;" "&amp;Ber_Lab_Neo!H33&amp;" "&amp;Ber_Lab_Neo!H34)</f>
        <v/>
      </c>
      <c r="P74" s="279"/>
      <c r="Q74" s="279"/>
    </row>
    <row r="75" spans="2:17" x14ac:dyDescent="0.2">
      <c r="B75" s="271" t="s">
        <v>287</v>
      </c>
      <c r="D75" s="271" t="str">
        <f>TRIM(Ber_Lab_Neo!J4&amp;" "&amp;Ber_Lab_Neo!J5&amp;" "&amp;Ber_Lab_Neo!J6&amp;" "&amp;Ber_Lab_Neo!J7&amp;" "&amp;Ber_Lab_Neo!J8&amp;" "&amp;Ber_Lab_Neo!J9&amp;" "&amp;Ber_Lab_Neo!J10&amp;" "&amp;Ber_Lab_Neo!J11&amp;" "&amp;Ber_Lab_Neo!J12&amp;" "&amp;Ber_Lab_Neo!J13&amp;" "&amp;Ber_Lab_Neo!J14&amp;" "&amp;Ber_Lab_Neo!J15&amp;" "&amp;Ber_Lab_Neo!J16&amp;" "&amp;Ber_Lab_Neo!J17&amp;" "&amp;Ber_Lab_Neo!J18&amp;" "&amp;Ber_Lab_Neo!J19&amp;" "&amp;Ber_Lab_Neo!J20&amp;" "&amp;Ber_Lab_Neo!J21&amp;" "&amp;Ber_Lab_Neo!J22&amp;" "&amp;Ber_Lab_Neo!J23&amp;" "&amp;Ber_Lab_Neo!J24&amp;" "&amp;Ber_Lab_Neo!J25&amp;" "&amp;Ber_Lab_Neo!J26&amp;" "&amp;Ber_Lab_Neo!J27&amp;" "&amp;Ber_Lab_Neo!J28&amp;" "&amp;Ber_Lab_Neo!J29&amp;" "&amp;Ber_Lab_Neo!J30&amp;" "&amp;Ber_Lab_Neo!J31&amp;" "&amp;Ber_Lab_Neo!J32&amp;" "&amp;Ber_Lab_Neo!J33&amp;" "&amp;Ber_Lab_Neo!J34)</f>
        <v/>
      </c>
      <c r="P75" s="279"/>
      <c r="Q75" s="279"/>
    </row>
    <row r="76" spans="2:17" x14ac:dyDescent="0.2">
      <c r="B76" s="271" t="s">
        <v>1346</v>
      </c>
      <c r="D76" s="271" t="str">
        <f>TRIM(Ber_Lab_Neo!L4&amp;" "&amp;Ber_Lab_Neo!L5&amp;" "&amp;Ber_Lab_Neo!L6&amp;" "&amp;Ber_Lab_Neo!L7&amp;" "&amp;Ber_Lab_Neo!L8&amp;" "&amp;Ber_Lab_Neo!L9&amp;" "&amp;Ber_Lab_Neo!L10&amp;" "&amp;Ber_Lab_Neo!L11&amp;" "&amp;Ber_Lab_Neo!L12&amp;" "&amp;Ber_Lab_Neo!L13&amp;" "&amp;Ber_Lab_Neo!L14&amp;" "&amp;Ber_Lab_Neo!L15&amp;" "&amp;Ber_Lab_Neo!L16&amp;" "&amp;Ber_Lab_Neo!L17&amp;" "&amp;Ber_Lab_Neo!L18&amp;" "&amp;Ber_Lab_Neo!L19&amp;" "&amp;Ber_Lab_Neo!L20&amp;" "&amp;Ber_Lab_Neo!L21&amp;" "&amp;Ber_Lab_Neo!L22&amp;" "&amp;Ber_Lab_Neo!L23&amp;" "&amp;Ber_Lab_Neo!L24&amp;" "&amp;Ber_Lab_Neo!L25&amp;" "&amp;Ber_Lab_Neo!L26&amp;" "&amp;Ber_Lab_Neo!L27&amp;" "&amp;Ber_Lab_Neo!L28&amp;" "&amp;Ber_Lab_Neo!L29&amp;" "&amp;Ber_Lab_Neo!L30&amp;" "&amp;Ber_Lab_Neo!L31&amp;" "&amp;Ber_Lab_Neo!L32&amp;" "&amp;Ber_Lab_Neo!L33&amp;" "&amp;Ber_Lab_Neo!L34)</f>
        <v/>
      </c>
      <c r="P76" s="279"/>
      <c r="Q76" s="279"/>
    </row>
    <row r="77" spans="2:17" x14ac:dyDescent="0.2">
      <c r="B77" s="271" t="s">
        <v>1350</v>
      </c>
      <c r="D77" s="271" t="str">
        <f>TRIM(Ber_Lab_Neo!N4&amp;" "&amp;Ber_Lab_Neo!N5&amp;" "&amp;Ber_Lab_Neo!N6&amp;" "&amp;Ber_Lab_Neo!N7&amp;" "&amp;Ber_Lab_Neo!N8&amp;" "&amp;Ber_Lab_Neo!N9&amp;" "&amp;Ber_Lab_Neo!N10&amp;" "&amp;Ber_Lab_Neo!N11&amp;" "&amp;Ber_Lab_Neo!N12&amp;" "&amp;Ber_Lab_Neo!N13&amp;" "&amp;Ber_Lab_Neo!N14&amp;" "&amp;Ber_Lab_Neo!N15&amp;" "&amp;Ber_Lab_Neo!N16&amp;" "&amp;Ber_Lab_Neo!N17&amp;" "&amp;Ber_Lab_Neo!N18&amp;" "&amp;Ber_Lab_Neo!N19&amp;" "&amp;Ber_Lab_Neo!N20&amp;" "&amp;Ber_Lab_Neo!N21&amp;" "&amp;Ber_Lab_Neo!N22&amp;" "&amp;Ber_Lab_Neo!N23&amp;" "&amp;Ber_Lab_Neo!N24&amp;" "&amp;Ber_Lab_Neo!N25&amp;" "&amp;Ber_Lab_Neo!N26&amp;" "&amp;Ber_Lab_Neo!N27&amp;" "&amp;Ber_Lab_Neo!N28&amp;" "&amp;Ber_Lab_Neo!N29&amp;" "&amp;Ber_Lab_Neo!N30&amp;" "&amp;Ber_Lab_Neo!N31&amp;" "&amp;Ber_Lab_Neo!N32&amp;" "&amp;Ber_Lab_Neo!N33&amp;" "&amp;Ber_Lab_Neo!N34)</f>
        <v/>
      </c>
      <c r="P77" s="279"/>
      <c r="Q77" s="279"/>
    </row>
    <row r="78" spans="2:17" x14ac:dyDescent="0.2">
      <c r="B78" s="271" t="s">
        <v>597</v>
      </c>
      <c r="D78" s="271" t="str">
        <f>IF(LabNeoOpmerkingen=0,"",LabNeoOpmerkingen)</f>
        <v/>
      </c>
      <c r="P78" s="279"/>
      <c r="Q78" s="279"/>
    </row>
    <row r="79" spans="2:17" x14ac:dyDescent="0.2">
      <c r="P79" s="279"/>
      <c r="Q79" s="279"/>
    </row>
    <row r="80" spans="2:17" x14ac:dyDescent="0.2">
      <c r="P80" s="279"/>
      <c r="Q80" s="279"/>
    </row>
    <row r="81" spans="2:17" x14ac:dyDescent="0.2">
      <c r="B81" s="914" t="s">
        <v>132</v>
      </c>
      <c r="C81" s="914"/>
      <c r="D81" s="914"/>
      <c r="E81" s="914"/>
      <c r="F81" s="914"/>
      <c r="G81" s="914"/>
      <c r="H81" s="914"/>
      <c r="I81" s="914"/>
      <c r="J81" s="914"/>
      <c r="K81" s="914"/>
      <c r="L81" s="914"/>
      <c r="M81" s="914"/>
      <c r="N81" s="914"/>
      <c r="O81" s="914"/>
      <c r="P81" s="914"/>
      <c r="Q81" s="914"/>
    </row>
    <row r="82" spans="2:17" x14ac:dyDescent="0.2">
      <c r="B82" s="271" t="s">
        <v>1477</v>
      </c>
      <c r="D82" s="271" t="str">
        <f>IFERROR(LEFT(_Aanvullend_Controles,LEN(_Aanvullend_Controles)-3),"")</f>
        <v/>
      </c>
      <c r="P82" s="279"/>
      <c r="Q82" s="279"/>
    </row>
    <row r="83" spans="2:17" x14ac:dyDescent="0.2">
      <c r="B83" s="271" t="s">
        <v>1483</v>
      </c>
      <c r="D83" s="271" t="str">
        <f>IFERROR(LEFT(_Aanvullend_Onderzoek,LEN(_Aanvullend_Onderzoek)-3),"")</f>
        <v/>
      </c>
      <c r="P83" s="279"/>
      <c r="Q83" s="279"/>
    </row>
    <row r="84" spans="2:17" x14ac:dyDescent="0.2">
      <c r="B84" s="271" t="s">
        <v>1289</v>
      </c>
      <c r="D84" s="271" t="str">
        <f>IFERROR(LEFT(_Aanvullend_Kweken,LEN(_Aanvullend_Kweken)-3),"")</f>
        <v/>
      </c>
      <c r="P84" s="279"/>
      <c r="Q84" s="279"/>
    </row>
    <row r="85" spans="2:17" x14ac:dyDescent="0.2">
      <c r="B85" s="271" t="s">
        <v>1726</v>
      </c>
      <c r="D85" s="271" t="str">
        <f>IFERROR(LEFT(_Aanvullend_Instellingen,LEN(_Aanvullend_Instellingen)-3),"")</f>
        <v/>
      </c>
      <c r="P85" s="279"/>
      <c r="Q85" s="279"/>
    </row>
    <row r="86" spans="2:17" x14ac:dyDescent="0.2">
      <c r="B86" s="271" t="s">
        <v>1335</v>
      </c>
      <c r="D86" s="271" t="str">
        <f>IFERROR(LEFT(_Aanvullend_Overig,LEN(_Aanvullend_Overig)-3),"")</f>
        <v/>
      </c>
      <c r="P86" s="279"/>
      <c r="Q86" s="279"/>
    </row>
    <row r="87" spans="2:17" x14ac:dyDescent="0.2">
      <c r="P87" s="279"/>
      <c r="Q87" s="279"/>
    </row>
    <row r="88" spans="2:17" x14ac:dyDescent="0.2">
      <c r="P88" s="279"/>
      <c r="Q88" s="279"/>
    </row>
    <row r="89" spans="2:17" x14ac:dyDescent="0.2">
      <c r="P89" s="279"/>
      <c r="Q89" s="279"/>
    </row>
    <row r="90" spans="2:17" x14ac:dyDescent="0.2">
      <c r="P90" s="279"/>
      <c r="Q90" s="279"/>
    </row>
    <row r="91" spans="2:17" x14ac:dyDescent="0.2">
      <c r="P91" s="279"/>
      <c r="Q91" s="279"/>
    </row>
    <row r="92" spans="2:17" x14ac:dyDescent="0.2">
      <c r="P92" s="279"/>
      <c r="Q92" s="279"/>
    </row>
    <row r="93" spans="2:17" x14ac:dyDescent="0.2">
      <c r="P93" s="279"/>
      <c r="Q93" s="279"/>
    </row>
    <row r="94" spans="2:17" x14ac:dyDescent="0.2">
      <c r="P94" s="279"/>
      <c r="Q94" s="279"/>
    </row>
    <row r="95" spans="2:17" x14ac:dyDescent="0.2">
      <c r="P95" s="279"/>
      <c r="Q95" s="279"/>
    </row>
    <row r="96" spans="2:17" x14ac:dyDescent="0.2">
      <c r="P96" s="279"/>
      <c r="Q96" s="279"/>
    </row>
    <row r="97" spans="16:17" x14ac:dyDescent="0.2">
      <c r="P97" s="279"/>
      <c r="Q97" s="279"/>
    </row>
    <row r="98" spans="16:17" x14ac:dyDescent="0.2">
      <c r="P98" s="279"/>
      <c r="Q98" s="279"/>
    </row>
    <row r="99" spans="16:17" x14ac:dyDescent="0.2">
      <c r="P99" s="279"/>
      <c r="Q99" s="279"/>
    </row>
    <row r="100" spans="16:17" x14ac:dyDescent="0.2">
      <c r="P100" s="279"/>
      <c r="Q100" s="279"/>
    </row>
    <row r="101" spans="16:17" x14ac:dyDescent="0.2">
      <c r="P101" s="279"/>
      <c r="Q101" s="279"/>
    </row>
    <row r="102" spans="16:17" x14ac:dyDescent="0.2">
      <c r="P102" s="279"/>
      <c r="Q102" s="279"/>
    </row>
    <row r="103" spans="16:17" x14ac:dyDescent="0.2">
      <c r="P103" s="279"/>
      <c r="Q103" s="279"/>
    </row>
    <row r="104" spans="16:17" x14ac:dyDescent="0.2">
      <c r="P104" s="279"/>
      <c r="Q104" s="279"/>
    </row>
    <row r="105" spans="16:17" x14ac:dyDescent="0.2">
      <c r="P105" s="279"/>
      <c r="Q105" s="279"/>
    </row>
    <row r="106" spans="16:17" x14ac:dyDescent="0.2">
      <c r="P106" s="279"/>
      <c r="Q106" s="279"/>
    </row>
    <row r="107" spans="16:17" x14ac:dyDescent="0.2">
      <c r="P107" s="279"/>
      <c r="Q107" s="279"/>
    </row>
    <row r="108" spans="16:17" x14ac:dyDescent="0.2">
      <c r="P108" s="279"/>
      <c r="Q108" s="279"/>
    </row>
    <row r="109" spans="16:17" x14ac:dyDescent="0.2">
      <c r="P109" s="279"/>
      <c r="Q109" s="279"/>
    </row>
    <row r="110" spans="16:17" x14ac:dyDescent="0.2">
      <c r="P110" s="279"/>
      <c r="Q110" s="279"/>
    </row>
    <row r="111" spans="16:17" x14ac:dyDescent="0.2">
      <c r="P111" s="279"/>
      <c r="Q111" s="279"/>
    </row>
    <row r="112" spans="16:17" x14ac:dyDescent="0.2">
      <c r="P112" s="279"/>
      <c r="Q112" s="279"/>
    </row>
    <row r="113" spans="16:17" x14ac:dyDescent="0.2">
      <c r="P113" s="279"/>
      <c r="Q113" s="279"/>
    </row>
    <row r="114" spans="16:17" x14ac:dyDescent="0.2">
      <c r="P114" s="279"/>
      <c r="Q114" s="279"/>
    </row>
    <row r="115" spans="16:17" x14ac:dyDescent="0.2">
      <c r="P115" s="279"/>
      <c r="Q115" s="279"/>
    </row>
    <row r="116" spans="16:17" x14ac:dyDescent="0.2">
      <c r="P116" s="279"/>
      <c r="Q116" s="279"/>
    </row>
    <row r="117" spans="16:17" x14ac:dyDescent="0.2">
      <c r="P117" s="279"/>
      <c r="Q117" s="279"/>
    </row>
    <row r="118" spans="16:17" x14ac:dyDescent="0.2">
      <c r="P118" s="279"/>
      <c r="Q118" s="279"/>
    </row>
    <row r="119" spans="16:17" x14ac:dyDescent="0.2">
      <c r="P119" s="279"/>
      <c r="Q119" s="279"/>
    </row>
    <row r="120" spans="16:17" x14ac:dyDescent="0.2">
      <c r="P120" s="279"/>
      <c r="Q120" s="279"/>
    </row>
    <row r="121" spans="16:17" x14ac:dyDescent="0.2">
      <c r="P121" s="279"/>
      <c r="Q121" s="279"/>
    </row>
    <row r="122" spans="16:17" x14ac:dyDescent="0.2">
      <c r="P122" s="279"/>
      <c r="Q122" s="279"/>
    </row>
    <row r="123" spans="16:17" x14ac:dyDescent="0.2">
      <c r="P123" s="279"/>
      <c r="Q123" s="279"/>
    </row>
    <row r="124" spans="16:17" x14ac:dyDescent="0.2">
      <c r="P124" s="279"/>
      <c r="Q124" s="279"/>
    </row>
    <row r="125" spans="16:17" x14ac:dyDescent="0.2">
      <c r="P125" s="279"/>
      <c r="Q125" s="279"/>
    </row>
    <row r="126" spans="16:17" x14ac:dyDescent="0.2">
      <c r="P126" s="279"/>
      <c r="Q126" s="279"/>
    </row>
    <row r="127" spans="16:17" x14ac:dyDescent="0.2">
      <c r="P127" s="279"/>
      <c r="Q127" s="279"/>
    </row>
    <row r="128" spans="16:17" x14ac:dyDescent="0.2">
      <c r="P128" s="279"/>
      <c r="Q128" s="279"/>
    </row>
    <row r="129" spans="16:17" x14ac:dyDescent="0.2">
      <c r="P129" s="279"/>
      <c r="Q129" s="279"/>
    </row>
    <row r="130" spans="16:17" x14ac:dyDescent="0.2">
      <c r="P130" s="279"/>
      <c r="Q130" s="279"/>
    </row>
    <row r="131" spans="16:17" x14ac:dyDescent="0.2">
      <c r="P131" s="279"/>
      <c r="Q131" s="279"/>
    </row>
    <row r="132" spans="16:17" x14ac:dyDescent="0.2">
      <c r="P132" s="279"/>
      <c r="Q132" s="279"/>
    </row>
    <row r="133" spans="16:17" x14ac:dyDescent="0.2">
      <c r="P133" s="279"/>
      <c r="Q133" s="279"/>
    </row>
    <row r="134" spans="16:17" x14ac:dyDescent="0.2">
      <c r="P134" s="279"/>
      <c r="Q134" s="279"/>
    </row>
    <row r="135" spans="16:17" x14ac:dyDescent="0.2">
      <c r="P135" s="279"/>
      <c r="Q135" s="279"/>
    </row>
    <row r="136" spans="16:17" x14ac:dyDescent="0.2">
      <c r="P136" s="279"/>
      <c r="Q136" s="279"/>
    </row>
    <row r="137" spans="16:17" x14ac:dyDescent="0.2">
      <c r="P137" s="279"/>
      <c r="Q137" s="279"/>
    </row>
    <row r="138" spans="16:17" x14ac:dyDescent="0.2">
      <c r="P138" s="279"/>
      <c r="Q138" s="279"/>
    </row>
    <row r="139" spans="16:17" x14ac:dyDescent="0.2">
      <c r="P139" s="279"/>
      <c r="Q139" s="279"/>
    </row>
    <row r="140" spans="16:17" x14ac:dyDescent="0.2">
      <c r="P140" s="279"/>
      <c r="Q140" s="279"/>
    </row>
    <row r="141" spans="16:17" x14ac:dyDescent="0.2">
      <c r="P141" s="279"/>
      <c r="Q141" s="279"/>
    </row>
    <row r="142" spans="16:17" x14ac:dyDescent="0.2">
      <c r="P142" s="279"/>
      <c r="Q142" s="279"/>
    </row>
    <row r="143" spans="16:17" x14ac:dyDescent="0.2">
      <c r="P143" s="279"/>
      <c r="Q143" s="279"/>
    </row>
    <row r="144" spans="16:17" x14ac:dyDescent="0.2">
      <c r="P144" s="279"/>
      <c r="Q144" s="279"/>
    </row>
    <row r="145" spans="16:17" x14ac:dyDescent="0.2">
      <c r="P145" s="279"/>
      <c r="Q145" s="279"/>
    </row>
    <row r="146" spans="16:17" x14ac:dyDescent="0.2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potheek">
    <tabColor rgb="FF7030A0"/>
    <pageSetUpPr autoPageBreaks="0"/>
  </sheetPr>
  <dimension ref="A1:T73"/>
  <sheetViews>
    <sheetView topLeftCell="A10" zoomScaleNormal="100" workbookViewId="0"/>
  </sheetViews>
  <sheetFormatPr defaultRowHeight="12.75" x14ac:dyDescent="0.2"/>
  <cols>
    <col min="1" max="13" width="5.7109375" style="271" customWidth="1"/>
    <col min="14" max="15" width="11.28515625" style="271" bestFit="1" customWidth="1"/>
    <col min="16" max="17" width="5.7109375" style="271" customWidth="1"/>
    <col min="18" max="16384" width="9.140625" style="271"/>
  </cols>
  <sheetData>
    <row r="1" spans="1:20" x14ac:dyDescent="0.2">
      <c r="A1" s="578"/>
      <c r="B1" s="271" t="s">
        <v>1041</v>
      </c>
      <c r="H1" s="271" t="s">
        <v>1021</v>
      </c>
      <c r="J1" s="925">
        <f ca="1">TODAY()</f>
        <v>42703</v>
      </c>
      <c r="K1" s="925"/>
      <c r="L1" s="925"/>
      <c r="M1" s="271" t="s">
        <v>1004</v>
      </c>
      <c r="N1" s="293">
        <f>_Bed</f>
        <v>0</v>
      </c>
    </row>
    <row r="2" spans="1:20" x14ac:dyDescent="0.2">
      <c r="B2" s="271" t="s">
        <v>1020</v>
      </c>
      <c r="D2" s="277" t="str">
        <f>_VoorNaam&amp;" "&amp;_AchterNaam</f>
        <v>Test Test</v>
      </c>
      <c r="H2" s="271" t="s">
        <v>1024</v>
      </c>
      <c r="J2" s="277" t="str">
        <f>IF(_Arts&gt;0,_Arts,"")</f>
        <v/>
      </c>
      <c r="M2" s="271" t="s">
        <v>1022</v>
      </c>
      <c r="N2" s="926">
        <f ca="1">NOW()</f>
        <v>42703.010065625</v>
      </c>
      <c r="O2" s="926"/>
    </row>
    <row r="3" spans="1:20" x14ac:dyDescent="0.2">
      <c r="B3" s="271" t="s">
        <v>1023</v>
      </c>
      <c r="D3" s="277">
        <f>_Gewicht</f>
        <v>10</v>
      </c>
      <c r="E3" s="271" t="s">
        <v>1262</v>
      </c>
      <c r="J3" s="279"/>
      <c r="K3" s="279"/>
      <c r="L3" s="279"/>
      <c r="M3" s="271" t="s">
        <v>1042</v>
      </c>
    </row>
    <row r="4" spans="1:20" ht="9" customHeight="1" x14ac:dyDescent="0.2">
      <c r="H4" s="279"/>
      <c r="I4" s="279"/>
      <c r="J4" s="279"/>
      <c r="K4" s="279"/>
    </row>
    <row r="5" spans="1:20" ht="15.75" x14ac:dyDescent="0.25">
      <c r="A5" s="371">
        <v>1</v>
      </c>
      <c r="B5" s="372" t="str">
        <f>IF(WerkBrief!C26&lt;&gt;"zijlijn",WerkBrief!A26,"")</f>
        <v/>
      </c>
      <c r="C5" s="372"/>
      <c r="D5" s="373" t="str">
        <f>WerkBrief!C26</f>
        <v/>
      </c>
      <c r="E5" s="374"/>
      <c r="F5" s="375" t="str">
        <f>IF(WerkBrief!E26&lt;&gt;"",IF(D5&lt;&gt;"lidocaine",IF(WerkBrief!M28&lt;25,WerkBrief!E26*2,WerkBrief!E26),WerkBrief!E26*1.5),"")</f>
        <v/>
      </c>
      <c r="G5" s="374" t="str">
        <f>WerkBrief!F26</f>
        <v>mg</v>
      </c>
      <c r="H5" s="376" t="str">
        <f>WerkBrief!G26</f>
        <v>(</v>
      </c>
      <c r="I5" s="374" t="str">
        <f>WerkBrief!H26</f>
        <v/>
      </c>
      <c r="J5" s="374" t="str">
        <f>WerkBrief!I26</f>
        <v>mg=</v>
      </c>
      <c r="K5" s="374" t="str">
        <f>WerkBrief!J26</f>
        <v/>
      </c>
      <c r="L5" s="374" t="str">
        <f>WerkBrief!K26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75" x14ac:dyDescent="0.25">
      <c r="A6" s="607"/>
      <c r="B6" s="372"/>
      <c r="C6" s="372"/>
      <c r="D6" s="379" t="str">
        <f>WerkBrief!C28</f>
        <v/>
      </c>
      <c r="E6" s="380"/>
      <c r="F6" s="380" t="str">
        <f>WerkBrief!E28</f>
        <v/>
      </c>
      <c r="G6" s="380"/>
      <c r="H6" s="381"/>
      <c r="I6" s="380"/>
      <c r="J6" s="380" t="str">
        <f>WerkBrief!I27</f>
        <v>in</v>
      </c>
      <c r="K6" s="382" t="str">
        <f>IF(AND(D5&lt;&gt;"Nepresol (dihydralazine)",D5&lt;&gt;"Flolan (epoprostenol)"),WerkBrief!J27,"NaCl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75" x14ac:dyDescent="0.25">
      <c r="A7" s="371"/>
      <c r="B7" s="372"/>
      <c r="C7" s="372"/>
      <c r="D7" s="385" t="s">
        <v>1043</v>
      </c>
      <c r="E7" s="386"/>
      <c r="F7" s="387" t="str">
        <f>IF(D5&lt;&gt;"",INDEX(Medicamenten,Berekeningen!B20,2),"")</f>
        <v/>
      </c>
      <c r="G7" s="386"/>
      <c r="H7" s="386"/>
      <c r="I7" s="388"/>
      <c r="J7" s="388"/>
      <c r="K7" s="389" t="str">
        <f>WerkBrief!J28</f>
        <v>Totaal</v>
      </c>
      <c r="L7" s="388"/>
      <c r="M7" s="388"/>
      <c r="N7" s="390" t="str">
        <f>IF(B5&lt;&gt;"",IF(D5&lt;&gt;"lidocaine",IF(_OplHoev1700_1&lt;25,2*TRUNC(_OplHoev1700_1),TRUNC(_OplHoev1700_1)),TRUNC(_OplHoev1700_1*1.5)),"")</f>
        <v/>
      </c>
      <c r="O7" s="391" t="str">
        <f>IF(B5&lt;&gt;"",IF(D5&lt;&gt;"lidocaine",IF(_OplHoev1700_1&lt;25,(2*_OplHoev1700_1-N7)*100,(_OplHoev1700_1-N7)*100),1.5*_OplHoev1700_1-N7),"")</f>
        <v/>
      </c>
      <c r="P7" s="279"/>
      <c r="Q7" s="279"/>
      <c r="R7" s="279"/>
    </row>
    <row r="8" spans="1:20" ht="9.9499999999999993" customHeight="1" x14ac:dyDescent="0.25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75" x14ac:dyDescent="0.25">
      <c r="A9" s="371">
        <v>2</v>
      </c>
      <c r="B9" s="395" t="str">
        <f>IF(WerkBrief!C29&lt;&gt;"zijlijn",WerkBrief!A29,"")</f>
        <v/>
      </c>
      <c r="C9" s="395"/>
      <c r="D9" s="307" t="str">
        <f>WerkBrief!C29</f>
        <v/>
      </c>
      <c r="E9" s="308"/>
      <c r="F9" s="396" t="str">
        <f>IF(WerkBrief!E29&lt;&gt;"",IF(D9&lt;&gt;"lidocaine",IF(WerkBrief!M31&lt;25,WerkBrief!E29*2,WerkBrief!E29),WerkBrief!E29*1.5),"")</f>
        <v/>
      </c>
      <c r="G9" s="308" t="str">
        <f>WerkBrief!F29</f>
        <v>mg</v>
      </c>
      <c r="H9" s="397" t="str">
        <f>WerkBrief!G29</f>
        <v>(</v>
      </c>
      <c r="I9" s="308" t="str">
        <f>WerkBrief!H29</f>
        <v/>
      </c>
      <c r="J9" s="308" t="str">
        <f>WerkBrief!I29</f>
        <v>mg=</v>
      </c>
      <c r="K9" s="308" t="str">
        <f>WerkBrief!J29</f>
        <v/>
      </c>
      <c r="L9" s="308" t="str">
        <f>WerkBrief!K29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75" x14ac:dyDescent="0.25">
      <c r="A10" s="371"/>
      <c r="B10" s="395"/>
      <c r="C10" s="395"/>
      <c r="D10" s="400" t="str">
        <f>WerkBrief!C31</f>
        <v/>
      </c>
      <c r="E10" s="279"/>
      <c r="F10" s="279" t="str">
        <f>WerkBrief!E31</f>
        <v/>
      </c>
      <c r="G10" s="279"/>
      <c r="H10" s="401"/>
      <c r="I10" s="279"/>
      <c r="J10" s="279" t="str">
        <f>WerkBrief!I30</f>
        <v>in</v>
      </c>
      <c r="K10" s="286" t="str">
        <f>IF(AND(D9&lt;&gt;"Nepresol (dihydralazine)",D9&lt;&gt;"Flolan (epoprostenol)"),WerkBrief!J30,"NaCl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75" x14ac:dyDescent="0.25">
      <c r="A11" s="371"/>
      <c r="B11" s="395"/>
      <c r="C11" s="395"/>
      <c r="D11" s="402" t="s">
        <v>1043</v>
      </c>
      <c r="E11" s="403"/>
      <c r="F11" s="404" t="str">
        <f>IF(D9&lt;&gt;"",INDEX(Medicamenten,Berekeningen!B21,2),"")</f>
        <v/>
      </c>
      <c r="G11" s="403"/>
      <c r="H11" s="405"/>
      <c r="I11" s="406"/>
      <c r="J11" s="406"/>
      <c r="K11" s="407" t="str">
        <f>WerkBrief!J31</f>
        <v>Totaal</v>
      </c>
      <c r="L11" s="406"/>
      <c r="M11" s="406"/>
      <c r="N11" s="408" t="str">
        <f>IF(B9&lt;&gt;"",IF(D9&lt;&gt;"lidocaine",IF(_OplHoev1700_2&lt;25,2*TRUNC(_OplHoev1700_2),TRUNC(_OplHoev1700_2)),TRUNC(_OplHoev1700_2*1.5)),"")</f>
        <v/>
      </c>
      <c r="O11" s="409" t="str">
        <f>IF(B9&lt;&gt;"",IF(D9&lt;&gt;"lidocaine",IF(_OplHoev1700_2&lt;25,(2*_OplHoev1700_2-N11)*100,(_OplHoev1700_2-N11)*100),1.5*_OplHoev1700_2-N11),"")</f>
        <v/>
      </c>
      <c r="P11" s="279"/>
      <c r="Q11" s="279"/>
      <c r="R11" s="279"/>
    </row>
    <row r="12" spans="1:20" ht="9.9499999999999993" customHeight="1" x14ac:dyDescent="0.25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75" x14ac:dyDescent="0.25">
      <c r="A13" s="371">
        <v>3</v>
      </c>
      <c r="B13" s="372" t="str">
        <f>IF(WerkBrief!C32&lt;&gt;"zijlijn",WerkBrief!A32,"")</f>
        <v/>
      </c>
      <c r="C13" s="372"/>
      <c r="D13" s="373" t="str">
        <f>WerkBrief!C32</f>
        <v/>
      </c>
      <c r="E13" s="374"/>
      <c r="F13" s="375" t="str">
        <f>IF(WerkBrief!E32&lt;&gt;"",IF(D13&lt;&gt;"lidocaine",IF(WerkBrief!M34&lt;25,WerkBrief!E32*2,WerkBrief!E32),WerkBrief!E32*1.5),"")</f>
        <v/>
      </c>
      <c r="G13" s="374" t="str">
        <f>WerkBrief!F32</f>
        <v>mg</v>
      </c>
      <c r="H13" s="376" t="str">
        <f>WerkBrief!G32</f>
        <v>(</v>
      </c>
      <c r="I13" s="374" t="str">
        <f>WerkBrief!H32</f>
        <v/>
      </c>
      <c r="J13" s="374" t="str">
        <f>WerkBrief!I32</f>
        <v>mg=</v>
      </c>
      <c r="K13" s="374" t="str">
        <f>WerkBrief!J32</f>
        <v/>
      </c>
      <c r="L13" s="374" t="str">
        <f>WerkBrief!K32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75" x14ac:dyDescent="0.25">
      <c r="A14" s="371"/>
      <c r="B14" s="372"/>
      <c r="C14" s="372"/>
      <c r="D14" s="379" t="str">
        <f>WerkBrief!C34</f>
        <v/>
      </c>
      <c r="E14" s="380"/>
      <c r="F14" s="380" t="str">
        <f>WerkBrief!E34</f>
        <v/>
      </c>
      <c r="G14" s="380"/>
      <c r="H14" s="381"/>
      <c r="I14" s="380"/>
      <c r="J14" s="380" t="str">
        <f>WerkBrief!I33</f>
        <v>in</v>
      </c>
      <c r="K14" s="382" t="str">
        <f>IF(AND(D13&lt;&gt;"Nepresol (dihydralazine)",D13&lt;&gt;"Flolan (epoprostenol)"),WerkBrief!J33,"NaCl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75" x14ac:dyDescent="0.25">
      <c r="A15" s="371"/>
      <c r="B15" s="372"/>
      <c r="C15" s="372"/>
      <c r="D15" s="385" t="s">
        <v>1043</v>
      </c>
      <c r="E15" s="386"/>
      <c r="F15" s="387" t="str">
        <f>IF(D13&lt;&gt;"",INDEX(Medicamenten,Berekeningen!B22,2),"")</f>
        <v/>
      </c>
      <c r="G15" s="386"/>
      <c r="H15" s="388"/>
      <c r="I15" s="388"/>
      <c r="J15" s="388"/>
      <c r="K15" s="389" t="str">
        <f>WerkBrief!J34</f>
        <v>Totaal</v>
      </c>
      <c r="L15" s="388"/>
      <c r="M15" s="388"/>
      <c r="N15" s="390" t="str">
        <f>IF(B13&lt;&gt;"",IF(D13&lt;&gt;"lidocaine",IF(_OplHoev1700_3&lt;25,2*TRUNC(_OplHoev1700_3),TRUNC(_OplHoev1700_3)),TRUNC(_OplHoev1700_3*1.5)),"")</f>
        <v/>
      </c>
      <c r="O15" s="391" t="str">
        <f>IF(B13&lt;&gt;"",IF(D13&lt;&gt;"lidocaine",IF(_OplHoev1700_3&lt;25,(2*_OplHoev1700_3-N15)*100,(_OplHoev1700_3-N15)*100),1.5*_OplHoev1700_3-N15),"")</f>
        <v/>
      </c>
      <c r="P15" s="279"/>
      <c r="Q15" s="279"/>
      <c r="R15" s="279"/>
    </row>
    <row r="16" spans="1:20" ht="9.9499999999999993" customHeight="1" x14ac:dyDescent="0.25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75" x14ac:dyDescent="0.25">
      <c r="A17" s="371">
        <v>4</v>
      </c>
      <c r="B17" s="395" t="str">
        <f>IF(WerkBrief!C35&lt;&gt;"zijlijn",WerkBrief!A35,"")</f>
        <v/>
      </c>
      <c r="C17" s="395"/>
      <c r="D17" s="307" t="str">
        <f>WerkBrief!C35</f>
        <v/>
      </c>
      <c r="E17" s="308"/>
      <c r="F17" s="396" t="str">
        <f>IF(WerkBrief!E35&lt;&gt;"",IF(D17&lt;&gt;"lidocaine",IF(WerkBrief!M37&lt;25,WerkBrief!E35*2,WerkBrief!E35),WerkBrief!E35*1.5),"")</f>
        <v/>
      </c>
      <c r="G17" s="308" t="str">
        <f>WerkBrief!F35</f>
        <v>mg</v>
      </c>
      <c r="H17" s="397" t="str">
        <f>WerkBrief!G35</f>
        <v>(</v>
      </c>
      <c r="I17" s="308" t="str">
        <f>WerkBrief!H35</f>
        <v/>
      </c>
      <c r="J17" s="308" t="str">
        <f>WerkBrief!I35</f>
        <v>mg=</v>
      </c>
      <c r="K17" s="308" t="str">
        <f>WerkBrief!J35</f>
        <v/>
      </c>
      <c r="L17" s="308" t="str">
        <f>WerkBrief!K35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75" x14ac:dyDescent="0.25">
      <c r="A18" s="371"/>
      <c r="B18" s="395"/>
      <c r="C18" s="395"/>
      <c r="D18" s="400" t="str">
        <f>WerkBrief!C37</f>
        <v/>
      </c>
      <c r="E18" s="279"/>
      <c r="F18" s="279" t="str">
        <f>WerkBrief!E37</f>
        <v/>
      </c>
      <c r="G18" s="279"/>
      <c r="H18" s="401"/>
      <c r="I18" s="279"/>
      <c r="J18" s="279" t="str">
        <f>WerkBrief!I36</f>
        <v>in</v>
      </c>
      <c r="K18" s="286" t="str">
        <f>IF(AND(D17&lt;&gt;"Nepresol (dihydralazine)",D17&lt;&gt;"Flolan (epoprostenol)"),WerkBrief!J36,"NaCl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75" x14ac:dyDescent="0.25">
      <c r="A19" s="371"/>
      <c r="B19" s="395"/>
      <c r="C19" s="395"/>
      <c r="D19" s="402" t="s">
        <v>1043</v>
      </c>
      <c r="E19" s="403"/>
      <c r="F19" s="404" t="str">
        <f>IF(D17&lt;&gt;"",INDEX(Medicamenten,Berekeningen!B23,2),"")</f>
        <v/>
      </c>
      <c r="G19" s="403"/>
      <c r="H19" s="403"/>
      <c r="I19" s="406"/>
      <c r="J19" s="406"/>
      <c r="K19" s="407" t="str">
        <f>WerkBrief!J37</f>
        <v>Totaal</v>
      </c>
      <c r="L19" s="406"/>
      <c r="M19" s="406"/>
      <c r="N19" s="408" t="str">
        <f>IF(B17&lt;&gt;"",IF(D17&lt;&gt;"lidocaine",IF(_OplHoev1700_4&lt;25,2*TRUNC(_OplHoev1700_4),TRUNC(_OplHoev1700_4)),TRUNC(_OplHoev1700_4*1.5)),"")</f>
        <v/>
      </c>
      <c r="O19" s="409" t="str">
        <f>IF(B17&lt;&gt;"",IF(D17&lt;&gt;"lidocaine",IF(_OplHoev1700_4&lt;25,(2*_OplHoev1700_4-N19)*100,(_OplHoev1700_4-N19)*100),1.5*_OplHoev1700_4-N19),"")</f>
        <v/>
      </c>
      <c r="P19" s="279"/>
      <c r="Q19" s="279"/>
      <c r="R19" s="279"/>
    </row>
    <row r="20" spans="1:18" ht="9.9499999999999993" customHeight="1" x14ac:dyDescent="0.25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75" x14ac:dyDescent="0.25">
      <c r="A21" s="371">
        <v>5</v>
      </c>
      <c r="B21" s="372" t="str">
        <f>IF(WerkBrief!C38&lt;&gt;"zijlijn",WerkBrief!A38,"")</f>
        <v/>
      </c>
      <c r="C21" s="372"/>
      <c r="D21" s="373" t="str">
        <f>WerkBrief!C38</f>
        <v/>
      </c>
      <c r="E21" s="374"/>
      <c r="F21" s="375" t="str">
        <f>IF(WerkBrief!E38&lt;&gt;"",IF(D21&lt;&gt;"lidocaine",IF(WerkBrief!M40&lt;25,WerkBrief!E38*2,WerkBrief!E38),WerkBrief!E38*1.5),"")</f>
        <v/>
      </c>
      <c r="G21" s="374" t="str">
        <f>WerkBrief!F38</f>
        <v>mg</v>
      </c>
      <c r="H21" s="376" t="str">
        <f>WerkBrief!G38</f>
        <v>(</v>
      </c>
      <c r="I21" s="374" t="str">
        <f>WerkBrief!H38</f>
        <v/>
      </c>
      <c r="J21" s="374" t="str">
        <f>WerkBrief!I38</f>
        <v>mg=</v>
      </c>
      <c r="K21" s="374" t="str">
        <f>WerkBrief!J38</f>
        <v/>
      </c>
      <c r="L21" s="374" t="str">
        <f>WerkBrief!K38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75" x14ac:dyDescent="0.25">
      <c r="A22" s="371"/>
      <c r="B22" s="372"/>
      <c r="C22" s="372"/>
      <c r="D22" s="379" t="str">
        <f>WerkBrief!C40</f>
        <v/>
      </c>
      <c r="E22" s="380"/>
      <c r="F22" s="380" t="str">
        <f>WerkBrief!E40</f>
        <v/>
      </c>
      <c r="G22" s="380"/>
      <c r="H22" s="381"/>
      <c r="I22" s="380"/>
      <c r="J22" s="380" t="str">
        <f>WerkBrief!I39</f>
        <v>in</v>
      </c>
      <c r="K22" s="382" t="str">
        <f>IF(AND(D21&lt;&gt;"Nepresol (dihydralazine)",D21&lt;&gt;"Flolan (epoprostenol)"),WerkBrief!J39,"NaCl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75" x14ac:dyDescent="0.25">
      <c r="A23" s="371"/>
      <c r="B23" s="372"/>
      <c r="C23" s="372"/>
      <c r="D23" s="385" t="s">
        <v>1043</v>
      </c>
      <c r="E23" s="386"/>
      <c r="F23" s="387" t="str">
        <f>IF(D21&lt;&gt;"",INDEX(Medicamenten,Berekeningen!B24,2),"")</f>
        <v/>
      </c>
      <c r="G23" s="386"/>
      <c r="H23" s="414"/>
      <c r="I23" s="388"/>
      <c r="J23" s="388"/>
      <c r="K23" s="389" t="str">
        <f>WerkBrief!J40</f>
        <v>Totaal</v>
      </c>
      <c r="L23" s="388"/>
      <c r="M23" s="388"/>
      <c r="N23" s="390" t="str">
        <f>IF(B21&lt;&gt;"",IF(D21&lt;&gt;"lidocaine",IF(_OplHoev1700_5&lt;25,2*TRUNC(_OplHoev1700_5),TRUNC(_OplHoev1700_5)),TRUNC(_OplHoev1700_5*1.5)),"")</f>
        <v/>
      </c>
      <c r="O23" s="391" t="str">
        <f>IF(B21&lt;&gt;"",IF(D21&lt;&gt;"lidocaine",IF(_OplHoev1700_5&lt;25,(2*_OplHoev1700_5-N23)*100,(_OplHoev1700_5-N23)*100),1.5*_OplHoev1700_5-N23),"")</f>
        <v/>
      </c>
      <c r="P23" s="279"/>
      <c r="Q23" s="279"/>
      <c r="R23" s="279"/>
    </row>
    <row r="24" spans="1:18" ht="9.9499999999999993" customHeight="1" x14ac:dyDescent="0.25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75" x14ac:dyDescent="0.25">
      <c r="A25" s="371">
        <v>6</v>
      </c>
      <c r="B25" s="395" t="str">
        <f>IF(WerkBrief!C41&lt;&gt;"zijlijn",WerkBrief!A41,"")</f>
        <v/>
      </c>
      <c r="C25" s="395"/>
      <c r="D25" s="307" t="str">
        <f>WerkBrief!C41</f>
        <v/>
      </c>
      <c r="E25" s="308"/>
      <c r="F25" s="396" t="str">
        <f>IF(WerkBrief!E41&lt;&gt;"",IF(D25&lt;&gt;"lidocaine",IF(WerkBrief!M43&lt;25,WerkBrief!E41*2,WerkBrief!E41),WerkBrief!E41*1.5),"")</f>
        <v/>
      </c>
      <c r="G25" s="308" t="str">
        <f>WerkBrief!F41</f>
        <v>mg</v>
      </c>
      <c r="H25" s="397" t="str">
        <f>WerkBrief!G41</f>
        <v>(</v>
      </c>
      <c r="I25" s="308" t="str">
        <f>WerkBrief!H41</f>
        <v/>
      </c>
      <c r="J25" s="308" t="str">
        <f>WerkBrief!I41</f>
        <v>mg=</v>
      </c>
      <c r="K25" s="308" t="str">
        <f>WerkBrief!J41</f>
        <v/>
      </c>
      <c r="L25" s="308" t="str">
        <f>WerkBrief!K41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75" x14ac:dyDescent="0.25">
      <c r="A26" s="371"/>
      <c r="B26" s="395"/>
      <c r="C26" s="395"/>
      <c r="D26" s="400" t="str">
        <f>WerkBrief!C43</f>
        <v/>
      </c>
      <c r="E26" s="279"/>
      <c r="F26" s="279" t="str">
        <f>WerkBrief!E43</f>
        <v/>
      </c>
      <c r="G26" s="279"/>
      <c r="H26" s="401"/>
      <c r="I26" s="279"/>
      <c r="J26" s="279" t="str">
        <f>WerkBrief!I42</f>
        <v>in</v>
      </c>
      <c r="K26" s="286" t="str">
        <f>IF(AND(D25&lt;&gt;"Nepresol (dihydralazine)",D25&lt;&gt;"Flolan (epoprostenol)"),WerkBrief!J42,"NaCl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75" x14ac:dyDescent="0.25">
      <c r="A27" s="371"/>
      <c r="B27" s="395"/>
      <c r="C27" s="395"/>
      <c r="D27" s="402" t="s">
        <v>1043</v>
      </c>
      <c r="E27" s="403"/>
      <c r="F27" s="404" t="str">
        <f>IF(D25&lt;&gt;"",INDEX(Medicamenten,Berekeningen!B25,2),"")</f>
        <v/>
      </c>
      <c r="G27" s="403"/>
      <c r="H27" s="415"/>
      <c r="I27" s="406"/>
      <c r="J27" s="406"/>
      <c r="K27" s="407" t="str">
        <f>WerkBrief!J43</f>
        <v>Totaal</v>
      </c>
      <c r="L27" s="406"/>
      <c r="M27" s="406"/>
      <c r="N27" s="408" t="str">
        <f>IF(B25&lt;&gt;"",IF(D25&lt;&gt;"lidocaine",IF(_OplHoev1700_6&lt;25,2*TRUNC(_OplHoev1700_6),TRUNC(_OplHoev1700_6)),TRUNC(_OplHoev1700_6*1.5)),"")</f>
        <v/>
      </c>
      <c r="O27" s="409" t="str">
        <f>IF(B25&lt;&gt;"",IF(D25&lt;&gt;"lidocaine",IF(_OplHoev1700_6&lt;25,(2*_OplHoev1700_6-N27)*100,(_OplHoev1700_6-N27)*100),1.5*_OplHoev1700_6-N27),"")</f>
        <v/>
      </c>
      <c r="P27" s="279"/>
      <c r="Q27" s="279"/>
      <c r="R27" s="279"/>
    </row>
    <row r="28" spans="1:18" ht="9.9499999999999993" customHeight="1" x14ac:dyDescent="0.25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75" x14ac:dyDescent="0.25">
      <c r="A29" s="371">
        <v>7</v>
      </c>
      <c r="B29" s="372" t="str">
        <f>IF(WerkBrief!C44&lt;&gt;"zijlijn",WerkBrief!A44,"")</f>
        <v/>
      </c>
      <c r="C29" s="372"/>
      <c r="D29" s="373" t="str">
        <f>WerkBrief!C44</f>
        <v/>
      </c>
      <c r="E29" s="374"/>
      <c r="F29" s="375" t="str">
        <f>IF(WerkBrief!E44&lt;&gt;"",IF(D29&lt;&gt;"lidocaine",IF(WerkBrief!M46&lt;25,WerkBrief!E44*2,WerkBrief!E44),WerkBrief!E44*1.5),"")</f>
        <v/>
      </c>
      <c r="G29" s="374" t="str">
        <f>WerkBrief!F44</f>
        <v>mg</v>
      </c>
      <c r="H29" s="376" t="str">
        <f>WerkBrief!G44</f>
        <v>(</v>
      </c>
      <c r="I29" s="374" t="str">
        <f>WerkBrief!H44</f>
        <v/>
      </c>
      <c r="J29" s="374" t="str">
        <f>WerkBrief!I44</f>
        <v>mg=</v>
      </c>
      <c r="K29" s="374" t="str">
        <f>WerkBrief!J44</f>
        <v/>
      </c>
      <c r="L29" s="374" t="str">
        <f>WerkBrief!K44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75" x14ac:dyDescent="0.25">
      <c r="A30" s="371"/>
      <c r="B30" s="372"/>
      <c r="C30" s="372"/>
      <c r="D30" s="379" t="str">
        <f>WerkBrief!C46</f>
        <v/>
      </c>
      <c r="E30" s="380"/>
      <c r="F30" s="380" t="str">
        <f>WerkBrief!E46</f>
        <v/>
      </c>
      <c r="G30" s="380"/>
      <c r="H30" s="381"/>
      <c r="I30" s="380"/>
      <c r="J30" s="380" t="str">
        <f>WerkBrief!I45</f>
        <v>in</v>
      </c>
      <c r="K30" s="382" t="str">
        <f>IF(AND(D29&lt;&gt;"Nepresol (dihydralazine)",D29&lt;&gt;"Flolan (epoprostenol)"),WerkBrief!J45,"NaCl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75" x14ac:dyDescent="0.25">
      <c r="A31" s="371"/>
      <c r="B31" s="372"/>
      <c r="C31" s="372"/>
      <c r="D31" s="385" t="s">
        <v>1043</v>
      </c>
      <c r="E31" s="386"/>
      <c r="F31" s="386" t="str">
        <f>IF(D29&lt;&gt;"",INDEX(Medicamenten,Berekeningen!B26,2),"")</f>
        <v/>
      </c>
      <c r="G31" s="386"/>
      <c r="H31" s="388"/>
      <c r="I31" s="388"/>
      <c r="J31" s="388"/>
      <c r="K31" s="389" t="str">
        <f>WerkBrief!J46</f>
        <v>Totaal</v>
      </c>
      <c r="L31" s="388"/>
      <c r="M31" s="388"/>
      <c r="N31" s="390" t="str">
        <f>IF(B29&lt;&gt;"",IF(D29&lt;&gt;"lidocaine",IF(_OplHoev1700_7&lt;25,2*TRUNC(_OplHoev1700_7),TRUNC(_OplHoev1700_7)),TRUNC(_OplHoev1700_7*1.5)),"")</f>
        <v/>
      </c>
      <c r="O31" s="391" t="str">
        <f>IF(B29&lt;&gt;"",IF(D29&lt;&gt;"lidocaine",IF(_OplHoev1700_7&lt;25,(2*_OplHoev1700_7-N31)*100,(_OplHoev1700_7-N31)*100),1.5*_OplHoev1700_7-N31),"")</f>
        <v/>
      </c>
      <c r="P31" s="279"/>
      <c r="Q31" s="279"/>
      <c r="R31" s="279"/>
    </row>
    <row r="32" spans="1:18" ht="9.9499999999999993" customHeight="1" x14ac:dyDescent="0.25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75" x14ac:dyDescent="0.25">
      <c r="A33" s="371">
        <v>8</v>
      </c>
      <c r="B33" s="395" t="str">
        <f>IF(WerkBrief!C47&lt;&gt;"zijlijn",WerkBrief!A47,"")</f>
        <v/>
      </c>
      <c r="C33" s="395"/>
      <c r="D33" s="307" t="str">
        <f>WerkBrief!C47</f>
        <v/>
      </c>
      <c r="E33" s="308"/>
      <c r="F33" s="396" t="str">
        <f>IF(WerkBrief!E47&lt;&gt;"",IF(D33&lt;&gt;"lidocaine",IF(WerkBrief!M49&lt;25,WerkBrief!E47*2,WerkBrief!E47),WerkBrief!E47*1.5),"")</f>
        <v/>
      </c>
      <c r="G33" s="308" t="str">
        <f>WerkBrief!F47</f>
        <v>mg</v>
      </c>
      <c r="H33" s="397" t="str">
        <f>WerkBrief!G47</f>
        <v>(</v>
      </c>
      <c r="I33" s="308" t="str">
        <f>WerkBrief!H47</f>
        <v/>
      </c>
      <c r="J33" s="308" t="str">
        <f>WerkBrief!I47</f>
        <v>mg=</v>
      </c>
      <c r="K33" s="308" t="str">
        <f>WerkBrief!J47</f>
        <v/>
      </c>
      <c r="L33" s="308" t="str">
        <f>WerkBrief!K47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75" x14ac:dyDescent="0.25">
      <c r="A34" s="371"/>
      <c r="B34" s="395"/>
      <c r="C34" s="395"/>
      <c r="D34" s="400" t="str">
        <f>WerkBrief!C49</f>
        <v/>
      </c>
      <c r="E34" s="279"/>
      <c r="F34" s="279" t="str">
        <f>WerkBrief!E49</f>
        <v/>
      </c>
      <c r="G34" s="279"/>
      <c r="H34" s="401"/>
      <c r="I34" s="279"/>
      <c r="J34" s="279" t="str">
        <f>WerkBrief!I48</f>
        <v>in</v>
      </c>
      <c r="K34" s="286" t="str">
        <f>IF(AND(D33&lt;&gt;"Nepresol (dihydralazine)",D33&lt;&gt;"Flolan (epoprostenol)"),WerkBrief!J48,"NaCl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75" x14ac:dyDescent="0.25">
      <c r="A35" s="371"/>
      <c r="B35" s="395"/>
      <c r="C35" s="395"/>
      <c r="D35" s="402" t="s">
        <v>1043</v>
      </c>
      <c r="E35" s="403"/>
      <c r="F35" s="403" t="str">
        <f>IF(D33&lt;&gt;"",INDEX(Medicamenten,Berekeningen!B27,2),"")</f>
        <v/>
      </c>
      <c r="G35" s="403"/>
      <c r="H35" s="406"/>
      <c r="I35" s="406"/>
      <c r="J35" s="406"/>
      <c r="K35" s="407" t="str">
        <f>WerkBrief!J49</f>
        <v>Totaal</v>
      </c>
      <c r="L35" s="406"/>
      <c r="M35" s="406"/>
      <c r="N35" s="408" t="str">
        <f>IF(B33&lt;&gt;"",IF(D33&lt;&gt;"lidocaine",IF(_OplHoev1700_8&lt;25,2*TRUNC(_OplHoev1700_8),TRUNC(_OplHoev1700_8)),TRUNC(_OplHoev1700_8*1.5)),"")</f>
        <v/>
      </c>
      <c r="O35" s="409" t="str">
        <f>IF(B33&lt;&gt;"",IF(D33&lt;&gt;"lidocaine",IF(_OplHoev1700_8&lt;25,(2*_OplHoev1700_8-N35)*100,(_OplHoev1700_8-N35)*100),1.5*_OplHoev1700_8-N35),"")</f>
        <v/>
      </c>
      <c r="P35" s="279"/>
      <c r="Q35" s="279"/>
      <c r="R35" s="279"/>
    </row>
    <row r="36" spans="1:18" ht="9.9499999999999993" customHeight="1" x14ac:dyDescent="0.25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75" x14ac:dyDescent="0.25">
      <c r="A37" s="371">
        <v>9</v>
      </c>
      <c r="B37" s="372" t="str">
        <f>IF(WerkBrief!C50&lt;&gt;"zijlijn",WerkBrief!A50,"")</f>
        <v/>
      </c>
      <c r="C37" s="372"/>
      <c r="D37" s="373" t="str">
        <f>WerkBrief!C50</f>
        <v/>
      </c>
      <c r="E37" s="374"/>
      <c r="F37" s="375" t="str">
        <f>IF(WerkBrief!E50&lt;&gt;"",IF(D37&lt;&gt;"lidocaine",IF(WerkBrief!M52&lt;25,WerkBrief!E50*2,WerkBrief!E50),WerkBrief!E50*1.5),"")</f>
        <v/>
      </c>
      <c r="G37" s="374" t="str">
        <f>WerkBrief!F50</f>
        <v>mg</v>
      </c>
      <c r="H37" s="376" t="str">
        <f>WerkBrief!G50</f>
        <v>(</v>
      </c>
      <c r="I37" s="374" t="str">
        <f>WerkBrief!H50</f>
        <v/>
      </c>
      <c r="J37" s="374" t="str">
        <f>WerkBrief!I50</f>
        <v>mg=</v>
      </c>
      <c r="K37" s="374" t="str">
        <f>WerkBrief!J50</f>
        <v/>
      </c>
      <c r="L37" s="374" t="str">
        <f>WerkBrief!K50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75" x14ac:dyDescent="0.25">
      <c r="A38" s="371"/>
      <c r="B38" s="372"/>
      <c r="C38" s="372"/>
      <c r="D38" s="379" t="str">
        <f>WerkBrief!C52</f>
        <v/>
      </c>
      <c r="E38" s="380"/>
      <c r="F38" s="380" t="str">
        <f>WerkBrief!E52</f>
        <v/>
      </c>
      <c r="G38" s="380"/>
      <c r="H38" s="381"/>
      <c r="I38" s="380"/>
      <c r="J38" s="380" t="str">
        <f>WerkBrief!I51</f>
        <v>in</v>
      </c>
      <c r="K38" s="382" t="str">
        <f>IF(AND(D37&lt;&gt;"Nepresol (dihydralazine)",D37&lt;&gt;"Flolan (epoprostenol)"),WerkBrief!J51,"NaCl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75" x14ac:dyDescent="0.25">
      <c r="A39" s="371"/>
      <c r="B39" s="372"/>
      <c r="C39" s="372"/>
      <c r="D39" s="385" t="s">
        <v>1043</v>
      </c>
      <c r="E39" s="386"/>
      <c r="F39" s="386" t="str">
        <f>IF(D37&lt;&gt;"",INDEX(Medicamenten,Berekeningen!B28,2),"")</f>
        <v/>
      </c>
      <c r="G39" s="386"/>
      <c r="H39" s="388"/>
      <c r="I39" s="388"/>
      <c r="J39" s="388"/>
      <c r="K39" s="389" t="str">
        <f>WerkBrief!J52</f>
        <v>Totaal</v>
      </c>
      <c r="L39" s="388"/>
      <c r="M39" s="388"/>
      <c r="N39" s="390" t="str">
        <f>IF(B37&lt;&gt;"",IF(D37&lt;&gt;"lidocaine",IF(_OplHoev1700_9&lt;25,2*TRUNC(_OplHoev1700_9),TRUNC(_OplHoev1700_9)),TRUNC(_OplHoev1700_9*1.5)),"")</f>
        <v/>
      </c>
      <c r="O39" s="391" t="str">
        <f>IF(B37&lt;&gt;"",IF(D37&lt;&gt;"lidocaine",IF(_OplHoev1700_9&lt;25,(2*_OplHoev1700_9-N39)*100,(_OplHoev1700_9-N39)*100),1.5*_OplHoev1700_9-N39),"")</f>
        <v/>
      </c>
      <c r="P39" s="279"/>
      <c r="Q39" s="279"/>
      <c r="R39" s="279"/>
    </row>
    <row r="40" spans="1:18" ht="9.75" customHeight="1" x14ac:dyDescent="0.2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4.25" x14ac:dyDescent="0.2">
      <c r="A41" s="371">
        <v>10</v>
      </c>
      <c r="B41" s="310" t="str">
        <f>Print!B45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4.25" x14ac:dyDescent="0.2">
      <c r="A42" s="371">
        <v>11</v>
      </c>
      <c r="B42" s="310" t="str">
        <f>Print!B46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4.25" x14ac:dyDescent="0.2">
      <c r="A43" s="371">
        <v>12</v>
      </c>
      <c r="B43" s="310">
        <f>Print!B47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2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2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2">
      <c r="A47" s="923">
        <f ca="1">TODAY()</f>
        <v>42703</v>
      </c>
      <c r="B47" s="923"/>
      <c r="C47" s="320" t="str">
        <f>"Bed "&amp;_Bed</f>
        <v>Bed 0</v>
      </c>
      <c r="E47" s="320">
        <v>1</v>
      </c>
      <c r="G47" s="923">
        <f ca="1">TODAY()</f>
        <v>42703</v>
      </c>
      <c r="H47" s="923"/>
      <c r="I47" s="320" t="str">
        <f>"Bed "&amp;_Bed</f>
        <v>Bed 0</v>
      </c>
      <c r="K47" s="320">
        <v>2</v>
      </c>
      <c r="M47" s="923">
        <f ca="1">TODAY()</f>
        <v>42703</v>
      </c>
      <c r="N47" s="924"/>
      <c r="O47" s="320" t="str">
        <f>"Bed "&amp;_Bed</f>
        <v>Bed 0</v>
      </c>
      <c r="Q47" s="320">
        <v>3</v>
      </c>
    </row>
    <row r="48" spans="1:18" ht="9.9499999999999993" customHeight="1" x14ac:dyDescent="0.2">
      <c r="A48" s="419" t="str">
        <f>IF(D5&lt;&gt;"",_VoorNaam&amp;" "&amp;_AchterNaam,"")</f>
        <v/>
      </c>
      <c r="B48" s="320"/>
      <c r="C48" s="320"/>
      <c r="E48" s="320"/>
      <c r="F48" s="320"/>
      <c r="G48" s="419" t="str">
        <f>IF(D9&lt;&gt;"",_VoorNaam&amp;" "&amp;_AchterNaam,"")</f>
        <v/>
      </c>
      <c r="H48" s="320"/>
      <c r="I48" s="320"/>
      <c r="J48" s="320"/>
      <c r="K48" s="320"/>
      <c r="L48" s="320"/>
      <c r="M48" s="419" t="str">
        <f>IF(D13&lt;&gt;"",_VoorNaam&amp;" "&amp;_AchterNaam,"")</f>
        <v/>
      </c>
      <c r="N48" s="320"/>
      <c r="O48" s="320"/>
      <c r="P48" s="320"/>
      <c r="Q48" s="320"/>
    </row>
    <row r="49" spans="1:18" ht="9.9499999999999993" customHeight="1" x14ac:dyDescent="0.2">
      <c r="A49" s="320" t="str">
        <f>IF(D5&lt;&gt;"",D5&amp;" "&amp;WerkBrief!E26&amp;" "&amp;G5,"")</f>
        <v/>
      </c>
      <c r="B49" s="320"/>
      <c r="C49" s="320"/>
      <c r="E49" s="320"/>
      <c r="F49" s="320"/>
      <c r="G49" s="320" t="str">
        <f>IF(D9&lt;&gt;"",D9&amp;" "&amp;WerkBrief!E29&amp;" "&amp;G9,"")</f>
        <v/>
      </c>
      <c r="H49" s="320"/>
      <c r="I49" s="320"/>
      <c r="K49" s="320"/>
      <c r="L49" s="320"/>
      <c r="M49" s="320" t="str">
        <f>IF(D13&lt;&gt;"",D13&amp;" "&amp;WerkBrief!E32&amp;" "&amp;G13,"")</f>
        <v/>
      </c>
      <c r="N49" s="320"/>
      <c r="O49" s="320"/>
      <c r="Q49" s="320"/>
    </row>
    <row r="50" spans="1:18" ht="9.9499999999999993" customHeight="1" x14ac:dyDescent="0.2">
      <c r="A50" s="420" t="str">
        <f>Print!G33&amp;" "&amp;K6</f>
        <v xml:space="preserve"> </v>
      </c>
      <c r="B50" s="420"/>
      <c r="C50" s="420"/>
      <c r="D50" s="320" t="str">
        <f>IF(_OplHoev1700_1&gt;0,"("&amp;N7-_OplHoev1700_1&amp;" ml extra)","")</f>
        <v/>
      </c>
      <c r="E50" s="420"/>
      <c r="F50" s="320"/>
      <c r="G50" s="320" t="str">
        <f>Print!G34&amp;" "&amp;K10</f>
        <v xml:space="preserve"> </v>
      </c>
      <c r="H50" s="320"/>
      <c r="I50" s="320"/>
      <c r="J50" s="320" t="str">
        <f>IF(_OplHoev1700_2&gt;0,"("&amp;N11-_OplHoev1700_2&amp;" ml extra)","")</f>
        <v/>
      </c>
      <c r="K50" s="320"/>
      <c r="L50" s="320"/>
      <c r="M50" s="320" t="str">
        <f>Print!G35&amp;" "&amp;K14</f>
        <v xml:space="preserve"> </v>
      </c>
      <c r="N50" s="320"/>
      <c r="O50" s="320"/>
      <c r="P50" s="320" t="str">
        <f>IF(_OplHoev1700_3&gt;0,"("&amp;N15-_OplHoev1700_3&amp;" ml extra)","")</f>
        <v/>
      </c>
      <c r="Q50" s="320"/>
    </row>
    <row r="51" spans="1:18" ht="9.9499999999999993" customHeight="1" x14ac:dyDescent="0.2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9.9499999999999993" customHeight="1" x14ac:dyDescent="0.2">
      <c r="A52" s="320"/>
      <c r="B52" s="320"/>
      <c r="D52" s="320" t="str">
        <f>"Exp: "</f>
        <v xml:space="preserve">Exp: </v>
      </c>
      <c r="E52" s="922">
        <f ca="1">TODAY()+1</f>
        <v>42704</v>
      </c>
      <c r="F52" s="922"/>
      <c r="G52" s="320"/>
      <c r="H52" s="320"/>
      <c r="I52" s="320"/>
      <c r="J52" s="320" t="str">
        <f>"Exp: "</f>
        <v xml:space="preserve">Exp: </v>
      </c>
      <c r="K52" s="922">
        <f ca="1">TODAY()+1</f>
        <v>42704</v>
      </c>
      <c r="L52" s="922"/>
      <c r="M52" s="320"/>
      <c r="N52" s="320"/>
      <c r="O52" s="320"/>
      <c r="P52" s="320" t="str">
        <f>"Exp: "</f>
        <v xml:space="preserve">Exp: </v>
      </c>
      <c r="Q52" s="922">
        <f ca="1">TODAY()+1</f>
        <v>42704</v>
      </c>
      <c r="R52" s="922"/>
    </row>
    <row r="53" spans="1:18" ht="9.9499999999999993" customHeight="1" x14ac:dyDescent="0.2"/>
    <row r="54" spans="1:18" ht="9.9499999999999993" customHeight="1" x14ac:dyDescent="0.2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9.9499999999999993" customHeight="1" x14ac:dyDescent="0.2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9.9499999999999993" customHeight="1" x14ac:dyDescent="0.2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2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2">
      <c r="A58" s="923">
        <f ca="1">TODAY()</f>
        <v>42703</v>
      </c>
      <c r="B58" s="924"/>
      <c r="C58" s="320" t="str">
        <f>"Bed "&amp;_Bed</f>
        <v>Bed 0</v>
      </c>
      <c r="D58" s="320"/>
      <c r="E58" s="320">
        <v>4</v>
      </c>
      <c r="F58" s="320"/>
      <c r="G58" s="923">
        <f ca="1">TODAY()</f>
        <v>42703</v>
      </c>
      <c r="H58" s="924"/>
      <c r="I58" s="320" t="str">
        <f>"Bed "&amp;_Bed</f>
        <v>Bed 0</v>
      </c>
      <c r="J58" s="320"/>
      <c r="K58" s="320">
        <v>5</v>
      </c>
      <c r="L58" s="320"/>
      <c r="M58" s="923">
        <f ca="1">TODAY()</f>
        <v>42703</v>
      </c>
      <c r="N58" s="924"/>
      <c r="O58" s="320" t="str">
        <f>"Bed "&amp;_Bed</f>
        <v>Bed 0</v>
      </c>
      <c r="P58" s="320"/>
      <c r="Q58" s="320">
        <v>6</v>
      </c>
    </row>
    <row r="59" spans="1:18" ht="9.9499999999999993" customHeight="1" x14ac:dyDescent="0.2">
      <c r="A59" s="419" t="str">
        <f>IF(D17&lt;&gt;"",_VoorNaam&amp;" "&amp;_AchterNaam,"")</f>
        <v/>
      </c>
      <c r="B59" s="320"/>
      <c r="C59" s="320"/>
      <c r="D59" s="320"/>
      <c r="E59" s="320"/>
      <c r="F59" s="320"/>
      <c r="G59" s="419" t="str">
        <f>IF(D21&lt;&gt;"",_VoorNaam&amp;" "&amp;_AchterNaam,"")</f>
        <v/>
      </c>
      <c r="H59" s="320"/>
      <c r="I59" s="320"/>
      <c r="J59" s="320"/>
      <c r="K59" s="320"/>
      <c r="L59" s="320"/>
      <c r="M59" s="419" t="str">
        <f>IF(D25&lt;&gt;"",_VoorNaam&amp;" "&amp;_AchterNaam,"")</f>
        <v/>
      </c>
      <c r="N59" s="320"/>
      <c r="O59" s="320"/>
      <c r="P59" s="320"/>
      <c r="Q59" s="320"/>
    </row>
    <row r="60" spans="1:18" ht="9.9499999999999993" customHeight="1" x14ac:dyDescent="0.2">
      <c r="A60" s="320" t="str">
        <f>IF(D17&lt;&gt;"",D17&amp;" "&amp;WerkBrief!E35&amp;" "&amp;G17,"")</f>
        <v/>
      </c>
      <c r="B60" s="320"/>
      <c r="C60" s="320"/>
      <c r="E60" s="320"/>
      <c r="F60" s="320"/>
      <c r="G60" s="320" t="str">
        <f>IF(D21&lt;&gt;"",D21&amp;" "&amp;WerkBrief!E38&amp;" "&amp;G21,"")</f>
        <v/>
      </c>
      <c r="H60" s="320"/>
      <c r="I60" s="320"/>
      <c r="K60" s="320"/>
      <c r="L60" s="320"/>
      <c r="M60" s="320" t="str">
        <f>IF(D25&lt;&gt;"",D25&amp;" "&amp;WerkBrief!E41&amp;" "&amp;G25,"")</f>
        <v/>
      </c>
      <c r="N60" s="320"/>
      <c r="O60" s="320"/>
      <c r="Q60" s="320"/>
    </row>
    <row r="61" spans="1:18" ht="9.9499999999999993" customHeight="1" x14ac:dyDescent="0.2">
      <c r="A61" s="320" t="str">
        <f>Print!G36&amp;" "&amp;K18</f>
        <v xml:space="preserve"> </v>
      </c>
      <c r="B61" s="320"/>
      <c r="C61" s="320"/>
      <c r="D61" s="320" t="str">
        <f>IF(_OplHoev1700_4&gt;0,"("&amp;N19-_OplHoev1700_4&amp;" ml extra)","")</f>
        <v/>
      </c>
      <c r="E61" s="320"/>
      <c r="F61" s="320"/>
      <c r="G61" s="320" t="str">
        <f>Print!G37&amp;" "&amp;K22</f>
        <v xml:space="preserve"> </v>
      </c>
      <c r="H61" s="320"/>
      <c r="I61" s="320"/>
      <c r="J61" s="320" t="str">
        <f>IF(_OplHoev1700_5&gt;0,"("&amp;N23-_OplHoev1700_5&amp;" ml extra)","")</f>
        <v/>
      </c>
      <c r="K61" s="320"/>
      <c r="L61" s="320"/>
      <c r="M61" s="320" t="str">
        <f>Print!G38&amp;" "&amp;K26</f>
        <v xml:space="preserve"> </v>
      </c>
      <c r="N61" s="320"/>
      <c r="O61" s="320"/>
      <c r="P61" s="320" t="str">
        <f>IF(_OplHoev1700_6&gt;0,"("&amp;N27-_OplHoev1700_6&amp;" ml extra)","")</f>
        <v/>
      </c>
      <c r="Q61" s="320"/>
    </row>
    <row r="62" spans="1:18" ht="9.9499999999999993" customHeight="1" x14ac:dyDescent="0.2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9.9499999999999993" customHeight="1" x14ac:dyDescent="0.2">
      <c r="A63" s="320"/>
      <c r="B63" s="320"/>
      <c r="C63" s="320"/>
      <c r="D63" s="320" t="str">
        <f>"Exp: "</f>
        <v xml:space="preserve">Exp: </v>
      </c>
      <c r="E63" s="922">
        <f ca="1">TODAY()+1</f>
        <v>42704</v>
      </c>
      <c r="F63" s="922"/>
      <c r="G63" s="320"/>
      <c r="H63" s="320"/>
      <c r="I63" s="320"/>
      <c r="J63" s="320" t="str">
        <f>"Exp: "</f>
        <v xml:space="preserve">Exp: </v>
      </c>
      <c r="K63" s="922">
        <f ca="1">TODAY()+1</f>
        <v>42704</v>
      </c>
      <c r="L63" s="922"/>
      <c r="M63" s="320"/>
      <c r="N63" s="320"/>
      <c r="O63" s="320"/>
      <c r="P63" s="320" t="str">
        <f>"Exp: "</f>
        <v xml:space="preserve">Exp: </v>
      </c>
      <c r="Q63" s="922">
        <f ca="1">TODAY()+1</f>
        <v>42704</v>
      </c>
      <c r="R63" s="922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823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iderNeo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>
    <tabColor rgb="FF00B0F0"/>
  </sheetPr>
  <dimension ref="A1:FIO153"/>
  <sheetViews>
    <sheetView topLeftCell="A16" zoomScaleNormal="100" workbookViewId="0">
      <selection activeCell="C22" sqref="C2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579" t="s">
        <v>607</v>
      </c>
      <c r="B1" s="235" t="s">
        <v>910</v>
      </c>
      <c r="C1" s="234" t="str">
        <f>AfsprakenCMV!F2&amp;" geb: "&amp;TEXT(AfsprakenCMV!F3,"dd-mmm-jj")&amp;". Gewicht: "&amp;ROUND(Gewicht/10,1)&amp;" kg"</f>
        <v>Test, Test geb: 03-okt-15. Gewicht: 10 kg</v>
      </c>
    </row>
    <row r="2" spans="1:3 4305:4305" x14ac:dyDescent="0.2">
      <c r="A2" t="s">
        <v>607</v>
      </c>
      <c r="B2" s="236" t="s">
        <v>911</v>
      </c>
      <c r="C2" s="234" t="str">
        <f>_AchterNaam</f>
        <v>Test</v>
      </c>
      <c r="FIO2">
        <v>30</v>
      </c>
    </row>
    <row r="3" spans="1:3 4305:4305" x14ac:dyDescent="0.2">
      <c r="A3" t="s">
        <v>607</v>
      </c>
      <c r="B3" s="236" t="s">
        <v>912</v>
      </c>
      <c r="C3" s="234" t="str">
        <f>_VoorNaam</f>
        <v>Test</v>
      </c>
    </row>
    <row r="4" spans="1:3 4305:4305" x14ac:dyDescent="0.2">
      <c r="A4" t="s">
        <v>607</v>
      </c>
      <c r="B4" s="236" t="s">
        <v>913</v>
      </c>
      <c r="C4" s="234" t="str">
        <f>TEXT(AfsprakenCMV!F3,"dd-mmm-jj")</f>
        <v>03-okt-15</v>
      </c>
    </row>
    <row r="5" spans="1:3 4305:4305" x14ac:dyDescent="0.2">
      <c r="A5" t="s">
        <v>607</v>
      </c>
      <c r="B5" s="236" t="s">
        <v>914</v>
      </c>
      <c r="C5" s="22">
        <f>PatNummer</f>
        <v>123456</v>
      </c>
    </row>
    <row r="6" spans="1:3 4305:4305" x14ac:dyDescent="0.2">
      <c r="A6" s="579" t="s">
        <v>930</v>
      </c>
      <c r="B6" s="236" t="s">
        <v>910</v>
      </c>
      <c r="C6" t="str">
        <f>IF(AfsprakenCMV!C51&lt;&gt;0,AfsprakenCMV!C51&amp;" "&amp;AfsprakenCMV!E51&amp;" "&amp;AfsprakenCMV!F51&amp;" "&amp;AfsprakenCMV!G51&amp;", totaal "&amp;AfsprakenCMV!J51&amp;" "&amp;AfsprakenCMV!I51,"")</f>
        <v/>
      </c>
    </row>
    <row r="7" spans="1:3 4305:4305" x14ac:dyDescent="0.2">
      <c r="A7" t="s">
        <v>930</v>
      </c>
      <c r="B7" s="236" t="s">
        <v>911</v>
      </c>
      <c r="C7" t="str">
        <f>IF(AfsprakenCMV!C52&lt;&gt;0,AfsprakenCMV!C52&amp;" "&amp;AfsprakenCMV!E52&amp;" "&amp;AfsprakenCMV!F52&amp;" "&amp;AfsprakenCMV!G52&amp;", totaal "&amp;AfsprakenCMV!J52&amp;" "&amp;AfsprakenCMV!I52,"")</f>
        <v/>
      </c>
    </row>
    <row r="8" spans="1:3 4305:4305" x14ac:dyDescent="0.2">
      <c r="A8" t="s">
        <v>930</v>
      </c>
      <c r="B8" s="236" t="s">
        <v>912</v>
      </c>
      <c r="C8" t="str">
        <f>IF(AfsprakenCMV!C53&lt;&gt;0,AfsprakenCMV!C53&amp;" "&amp;AfsprakenCMV!E53&amp;" "&amp;AfsprakenCMV!F53&amp;" "&amp;AfsprakenCMV!G53&amp;", totaal "&amp;AfsprakenCMV!J53&amp;" "&amp;AfsprakenCMV!I53,"")</f>
        <v/>
      </c>
    </row>
    <row r="9" spans="1:3 4305:4305" x14ac:dyDescent="0.2">
      <c r="A9" t="s">
        <v>930</v>
      </c>
      <c r="B9" s="235" t="s">
        <v>913</v>
      </c>
      <c r="C9" t="str">
        <f>IF(AfsprakenCMV!C54&lt;&gt;0,AfsprakenCMV!C54&amp;" "&amp;AfsprakenCMV!E54&amp;" "&amp;AfsprakenCMV!F54&amp;" "&amp;AfsprakenCMV!G54&amp;", totaal "&amp;AfsprakenCMV!J54&amp;" "&amp;AfsprakenCMV!I54,"")</f>
        <v/>
      </c>
    </row>
    <row r="10" spans="1:3 4305:4305" x14ac:dyDescent="0.2">
      <c r="A10" t="s">
        <v>930</v>
      </c>
      <c r="B10" s="235" t="s">
        <v>914</v>
      </c>
      <c r="C10" t="str">
        <f>IF(AfsprakenCMV!C55&lt;&gt;0,AfsprakenCMV!C55&amp;" "&amp;AfsprakenCMV!E55&amp;" "&amp;AfsprakenCMV!F55&amp;" "&amp;AfsprakenCMV!G55&amp;", totaal "&amp;AfsprakenCMV!J55&amp;" "&amp;AfsprakenCMV!I55,"")</f>
        <v/>
      </c>
    </row>
    <row r="11" spans="1:3 4305:4305" x14ac:dyDescent="0.2">
      <c r="A11" t="s">
        <v>930</v>
      </c>
      <c r="B11" s="235" t="s">
        <v>915</v>
      </c>
      <c r="C11" t="str">
        <f>IF(AfsprakenCMV!C56&lt;&gt;0,AfsprakenCMV!C56&amp;" "&amp;AfsprakenCMV!E56&amp;" "&amp;AfsprakenCMV!F56&amp;" "&amp;AfsprakenCMV!G56&amp;", totaal "&amp;AfsprakenCMV!J56&amp;" "&amp;AfsprakenCMV!I56,"")</f>
        <v/>
      </c>
    </row>
    <row r="12" spans="1:3 4305:4305" x14ac:dyDescent="0.2">
      <c r="A12" t="s">
        <v>930</v>
      </c>
      <c r="B12" s="235" t="s">
        <v>916</v>
      </c>
      <c r="C12" t="str">
        <f>IF(AfsprakenCMV!C57&lt;&gt;0,AfsprakenCMV!C57&amp;" "&amp;AfsprakenCMV!E57&amp;" "&amp;AfsprakenCMV!F57&amp;" "&amp;AfsprakenCMV!G57&amp;", totaal "&amp;AfsprakenCMV!J57&amp;" "&amp;AfsprakenCMV!I57,"")</f>
        <v/>
      </c>
    </row>
    <row r="13" spans="1:3 4305:4305" x14ac:dyDescent="0.2">
      <c r="A13" t="s">
        <v>930</v>
      </c>
      <c r="B13" s="235" t="s">
        <v>917</v>
      </c>
      <c r="C13" t="str">
        <f>IF(AfsprakenCMV!C58&lt;&gt;0,AfsprakenCMV!C58&amp;" "&amp;AfsprakenCMV!E58&amp;" "&amp;AfsprakenCMV!F58&amp;" "&amp;AfsprakenCMV!G58&amp;", totaal "&amp;AfsprakenCMV!J58&amp;" "&amp;AfsprakenCMV!I58,"")</f>
        <v/>
      </c>
    </row>
    <row r="14" spans="1:3 4305:4305" x14ac:dyDescent="0.2">
      <c r="A14" t="s">
        <v>930</v>
      </c>
      <c r="B14" s="235" t="s">
        <v>918</v>
      </c>
      <c r="C14" t="str">
        <f>IF(AfsprakenCMV!C59&lt;&gt;0,AfsprakenCMV!C59&amp;" "&amp;AfsprakenCMV!E59&amp;" "&amp;AfsprakenCMV!F59&amp;" "&amp;AfsprakenCMV!G59&amp;", totaal "&amp;AfsprakenCMV!J59&amp;" "&amp;AfsprakenCMV!I59,"")</f>
        <v/>
      </c>
    </row>
    <row r="15" spans="1:3 4305:4305" x14ac:dyDescent="0.2">
      <c r="A15" t="s">
        <v>930</v>
      </c>
      <c r="B15" s="235">
        <v>10</v>
      </c>
      <c r="C15" t="str">
        <f>IF(AfsprakenCMV!C60&lt;&gt;0,AfsprakenCMV!C60&amp;" "&amp;AfsprakenCMV!E60&amp;" "&amp;AfsprakenCMV!F60&amp;" "&amp;AfsprakenCMV!G60&amp;", totaal "&amp;AfsprakenCMV!J60&amp;" "&amp;AfsprakenCMV!I60,"")</f>
        <v/>
      </c>
    </row>
    <row r="16" spans="1:3 4305:4305" x14ac:dyDescent="0.2">
      <c r="A16" t="s">
        <v>930</v>
      </c>
      <c r="B16" s="235">
        <v>11</v>
      </c>
      <c r="C16" t="str">
        <f>IF(AfsprakenCMV!C61&lt;&gt;0,AfsprakenCMV!C61&amp;" "&amp;AfsprakenCMV!E61&amp;" "&amp;AfsprakenCMV!F61&amp;" "&amp;AfsprakenCMV!G61&amp;", totaal "&amp;AfsprakenCMV!J61&amp;" "&amp;AfsprakenCMV!I61,"")</f>
        <v/>
      </c>
    </row>
    <row r="17" spans="1:6" x14ac:dyDescent="0.2">
      <c r="A17" t="s">
        <v>930</v>
      </c>
      <c r="B17" s="235">
        <v>12</v>
      </c>
      <c r="C17" t="str">
        <f>IF(AfsprakenCMV!C62&lt;&gt;0,AfsprakenCMV!C62&amp;" "&amp;AfsprakenCMV!E62&amp;" "&amp;AfsprakenCMV!F62&amp;" "&amp;AfsprakenCMV!G62&amp;", totaal "&amp;AfsprakenCMV!J62&amp;" "&amp;AfsprakenCMV!I62,"")</f>
        <v/>
      </c>
    </row>
    <row r="18" spans="1:6" x14ac:dyDescent="0.2">
      <c r="A18" t="s">
        <v>930</v>
      </c>
      <c r="B18" s="235">
        <v>13</v>
      </c>
      <c r="C18" t="str">
        <f>IF(AfsprakenCMV!C63&lt;&gt;0,AfsprakenCMV!C63&amp;" "&amp;AfsprakenCMV!E63&amp;" "&amp;AfsprakenCMV!F63&amp;" "&amp;AfsprakenCMV!G63&amp;", totaal "&amp;AfsprakenCMV!J63&amp;" "&amp;AfsprakenCMV!I63,"")</f>
        <v/>
      </c>
    </row>
    <row r="19" spans="1:6" x14ac:dyDescent="0.2">
      <c r="A19" t="s">
        <v>930</v>
      </c>
      <c r="B19" s="235">
        <v>14</v>
      </c>
      <c r="C19" t="str">
        <f>IF(AfsprakenCMV!C64&lt;&gt;0,AfsprakenCMV!C64&amp;" "&amp;AfsprakenCMV!E64&amp;" "&amp;AfsprakenCMV!F64&amp;" "&amp;AfsprakenCMV!G64&amp;", totaal "&amp;AfsprakenCMV!J64&amp;" "&amp;AfsprakenCMV!I64,"")</f>
        <v/>
      </c>
    </row>
    <row r="20" spans="1:6" x14ac:dyDescent="0.2">
      <c r="A20" t="s">
        <v>930</v>
      </c>
      <c r="B20" s="235">
        <v>15</v>
      </c>
      <c r="C20" t="str">
        <f>IF(AfsprakenCMV!C65&lt;&gt;0,AfsprakenCMV!C65&amp;" "&amp;AfsprakenCMV!E65&amp;" "&amp;AfsprakenCMV!F65&amp;" "&amp;AfsprakenCMV!G65&amp;", totaal "&amp;AfsprakenCMV!J65&amp;" "&amp;AfsprakenCMV!I65,"")</f>
        <v/>
      </c>
    </row>
    <row r="21" spans="1:6" x14ac:dyDescent="0.2">
      <c r="A21" t="s">
        <v>930</v>
      </c>
      <c r="B21" s="235">
        <v>16</v>
      </c>
      <c r="C21" t="str">
        <f>IF(ber_Opm!C4&lt;&gt;0,AfsprakenCMV!C67&amp;" "&amp;ber_Opm!C4,"")</f>
        <v/>
      </c>
    </row>
    <row r="22" spans="1:6" x14ac:dyDescent="0.2">
      <c r="A22" t="s">
        <v>931</v>
      </c>
      <c r="B22" s="235" t="s">
        <v>910</v>
      </c>
      <c r="C22" t="str">
        <f>ber_Med_disc!AC2</f>
        <v/>
      </c>
    </row>
    <row r="23" spans="1:6" x14ac:dyDescent="0.2">
      <c r="A23" t="s">
        <v>931</v>
      </c>
      <c r="B23" s="235" t="s">
        <v>911</v>
      </c>
      <c r="C23" t="str">
        <f>ber_Med_disc!AC3</f>
        <v/>
      </c>
    </row>
    <row r="24" spans="1:6" x14ac:dyDescent="0.2">
      <c r="A24" t="s">
        <v>931</v>
      </c>
      <c r="B24" s="235" t="s">
        <v>912</v>
      </c>
      <c r="C24" t="str">
        <f>ber_Med_disc!AC4</f>
        <v/>
      </c>
    </row>
    <row r="25" spans="1:6" x14ac:dyDescent="0.2">
      <c r="A25" t="s">
        <v>931</v>
      </c>
      <c r="B25" s="235" t="s">
        <v>913</v>
      </c>
      <c r="C25" t="str">
        <f>ber_Med_disc!AC5</f>
        <v/>
      </c>
    </row>
    <row r="26" spans="1:6" x14ac:dyDescent="0.2">
      <c r="A26" t="s">
        <v>931</v>
      </c>
      <c r="B26" s="235" t="s">
        <v>914</v>
      </c>
      <c r="C26" t="str">
        <f>ber_Med_disc!AC6</f>
        <v/>
      </c>
    </row>
    <row r="27" spans="1:6" x14ac:dyDescent="0.2">
      <c r="A27" t="s">
        <v>931</v>
      </c>
      <c r="B27" s="235" t="s">
        <v>915</v>
      </c>
      <c r="C27" t="str">
        <f>ber_Med_disc!AC7</f>
        <v/>
      </c>
    </row>
    <row r="28" spans="1:6" x14ac:dyDescent="0.2">
      <c r="A28" t="s">
        <v>931</v>
      </c>
      <c r="B28" s="235" t="s">
        <v>916</v>
      </c>
      <c r="C28" t="str">
        <f>ber_Med_disc!AC8</f>
        <v/>
      </c>
    </row>
    <row r="29" spans="1:6" x14ac:dyDescent="0.2">
      <c r="A29" t="s">
        <v>931</v>
      </c>
      <c r="B29" s="235" t="s">
        <v>917</v>
      </c>
      <c r="C29" t="str">
        <f>ber_Med_disc!AC9</f>
        <v/>
      </c>
      <c r="E29" s="517"/>
      <c r="F29" s="520"/>
    </row>
    <row r="30" spans="1:6" x14ac:dyDescent="0.2">
      <c r="A30" t="s">
        <v>931</v>
      </c>
      <c r="B30" s="235" t="s">
        <v>918</v>
      </c>
      <c r="C30" t="str">
        <f>ber_Med_disc!AC10</f>
        <v/>
      </c>
    </row>
    <row r="31" spans="1:6" x14ac:dyDescent="0.2">
      <c r="A31" t="s">
        <v>931</v>
      </c>
      <c r="B31" s="235">
        <v>10</v>
      </c>
      <c r="C31" t="str">
        <f>ber_Med_disc!AC11</f>
        <v/>
      </c>
    </row>
    <row r="32" spans="1:6" x14ac:dyDescent="0.2">
      <c r="A32" t="s">
        <v>931</v>
      </c>
      <c r="B32" s="235">
        <v>11</v>
      </c>
      <c r="C32" t="str">
        <f>ber_Med_disc!AC12</f>
        <v/>
      </c>
    </row>
    <row r="33" spans="1:7" x14ac:dyDescent="0.2">
      <c r="A33" t="s">
        <v>931</v>
      </c>
      <c r="B33" s="235">
        <v>12</v>
      </c>
      <c r="C33" t="str">
        <f>ber_Med_disc!AC13</f>
        <v/>
      </c>
    </row>
    <row r="34" spans="1:7" x14ac:dyDescent="0.2">
      <c r="A34" t="s">
        <v>931</v>
      </c>
      <c r="B34" s="235">
        <v>13</v>
      </c>
      <c r="C34" t="str">
        <f>ber_Med_disc!AC14</f>
        <v/>
      </c>
    </row>
    <row r="35" spans="1:7" x14ac:dyDescent="0.2">
      <c r="A35" t="s">
        <v>931</v>
      </c>
      <c r="B35" s="235">
        <v>14</v>
      </c>
      <c r="C35" t="str">
        <f>ber_Med_disc!AC15</f>
        <v/>
      </c>
    </row>
    <row r="36" spans="1:7" x14ac:dyDescent="0.2">
      <c r="A36" t="s">
        <v>931</v>
      </c>
      <c r="B36" s="235">
        <v>15</v>
      </c>
      <c r="C36" t="str">
        <f>ber_Med_disc!AC16</f>
        <v/>
      </c>
    </row>
    <row r="37" spans="1:7" x14ac:dyDescent="0.2">
      <c r="A37" t="s">
        <v>931</v>
      </c>
      <c r="B37" s="235">
        <v>16</v>
      </c>
      <c r="C37" t="str">
        <f>ber_Med_disc!AC17</f>
        <v/>
      </c>
    </row>
    <row r="38" spans="1:7" x14ac:dyDescent="0.2">
      <c r="A38" t="s">
        <v>931</v>
      </c>
      <c r="B38" s="235">
        <v>17</v>
      </c>
      <c r="C38" t="str">
        <f>ber_Med_disc!AC18</f>
        <v/>
      </c>
    </row>
    <row r="39" spans="1:7" x14ac:dyDescent="0.2">
      <c r="A39" t="s">
        <v>931</v>
      </c>
      <c r="B39" s="235">
        <v>18</v>
      </c>
      <c r="C39" t="str">
        <f>ber_Med_disc!AC19</f>
        <v/>
      </c>
    </row>
    <row r="40" spans="1:7" x14ac:dyDescent="0.2">
      <c r="A40" t="s">
        <v>931</v>
      </c>
      <c r="B40" s="235">
        <v>19</v>
      </c>
      <c r="C40" t="str">
        <f>ber_Med_disc!AC20</f>
        <v/>
      </c>
    </row>
    <row r="41" spans="1:7" x14ac:dyDescent="0.2">
      <c r="A41" t="s">
        <v>931</v>
      </c>
      <c r="B41" s="235">
        <v>20</v>
      </c>
      <c r="C41" t="str">
        <f>ber_Med_disc!AC21</f>
        <v/>
      </c>
    </row>
    <row r="42" spans="1:7" x14ac:dyDescent="0.2">
      <c r="A42" s="517" t="s">
        <v>931</v>
      </c>
      <c r="B42" s="520">
        <v>21</v>
      </c>
      <c r="C42" s="517" t="str">
        <f>ber_Med_disc!AC22</f>
        <v/>
      </c>
      <c r="F42" s="517"/>
      <c r="G42" s="517"/>
    </row>
    <row r="43" spans="1:7" x14ac:dyDescent="0.2">
      <c r="A43" s="517" t="s">
        <v>931</v>
      </c>
      <c r="B43" s="520">
        <v>22</v>
      </c>
      <c r="C43" s="517" t="str">
        <f>ber_Med_disc!AC23</f>
        <v/>
      </c>
      <c r="F43" s="517"/>
      <c r="G43" s="517"/>
    </row>
    <row r="44" spans="1:7" s="517" customFormat="1" x14ac:dyDescent="0.2">
      <c r="A44" s="517" t="s">
        <v>931</v>
      </c>
      <c r="B44" s="520">
        <v>23</v>
      </c>
      <c r="C44" s="517" t="str">
        <f>ber_Med_disc!AC24</f>
        <v/>
      </c>
      <c r="D44"/>
      <c r="E44"/>
    </row>
    <row r="45" spans="1:7" x14ac:dyDescent="0.2">
      <c r="A45" s="517" t="s">
        <v>931</v>
      </c>
      <c r="B45" s="520">
        <v>24</v>
      </c>
      <c r="C45" s="517" t="str">
        <f>ber_Med_disc!AC25</f>
        <v/>
      </c>
      <c r="F45" s="517"/>
      <c r="G45" s="517"/>
    </row>
    <row r="46" spans="1:7" x14ac:dyDescent="0.2">
      <c r="A46" s="517" t="s">
        <v>931</v>
      </c>
      <c r="B46" s="520">
        <v>25</v>
      </c>
      <c r="C46" s="517" t="str">
        <f>ber_Med_disc!AC26</f>
        <v/>
      </c>
    </row>
    <row r="47" spans="1:7" x14ac:dyDescent="0.2">
      <c r="A47" s="517" t="s">
        <v>931</v>
      </c>
      <c r="B47" s="520">
        <v>26</v>
      </c>
      <c r="C47" s="517" t="str">
        <f>ber_Med_disc!AC27</f>
        <v/>
      </c>
    </row>
    <row r="48" spans="1:7" x14ac:dyDescent="0.2">
      <c r="A48" s="517" t="s">
        <v>931</v>
      </c>
      <c r="B48" s="520">
        <v>27</v>
      </c>
      <c r="C48" s="517" t="str">
        <f>ber_Med_disc!AC28</f>
        <v/>
      </c>
    </row>
    <row r="49" spans="1:5" x14ac:dyDescent="0.2">
      <c r="A49" s="517" t="s">
        <v>931</v>
      </c>
      <c r="B49" s="520">
        <v>28</v>
      </c>
      <c r="C49" s="517" t="str">
        <f>ber_Med_disc!AC29</f>
        <v/>
      </c>
    </row>
    <row r="50" spans="1:5" x14ac:dyDescent="0.2">
      <c r="A50" s="517" t="s">
        <v>931</v>
      </c>
      <c r="B50" s="520">
        <v>29</v>
      </c>
      <c r="C50" s="517" t="str">
        <f>ber_Med_disc!AC30</f>
        <v/>
      </c>
    </row>
    <row r="51" spans="1:5" x14ac:dyDescent="0.2">
      <c r="A51" s="517" t="s">
        <v>931</v>
      </c>
      <c r="B51" s="520">
        <v>30</v>
      </c>
      <c r="C51" s="517" t="str">
        <f>ber_Med_disc!AC31</f>
        <v/>
      </c>
    </row>
    <row r="52" spans="1:5" x14ac:dyDescent="0.2">
      <c r="A52" s="518" t="s">
        <v>1659</v>
      </c>
      <c r="B52" s="520" t="s">
        <v>910</v>
      </c>
      <c r="C52" s="517" t="str">
        <f>IF('Aanvullende afspraken Ped'!C41="","",CONCATENATE('Aanvullende afspraken Ped'!B41,": ",'Aanvullende afspraken Ped'!C41))</f>
        <v/>
      </c>
      <c r="D52" s="517"/>
      <c r="E52" s="518"/>
    </row>
    <row r="53" spans="1:5" x14ac:dyDescent="0.2">
      <c r="A53" s="518" t="s">
        <v>1659</v>
      </c>
      <c r="B53" s="520" t="s">
        <v>911</v>
      </c>
      <c r="C53" s="517" t="str">
        <f>IF('Aanvullende afspraken Ped'!C42="","",CONCATENATE('Aanvullende afspraken Ped'!B42,": ",'Aanvullende afspraken Ped'!C42))</f>
        <v/>
      </c>
      <c r="D53" s="517"/>
      <c r="E53" s="518"/>
    </row>
    <row r="54" spans="1:5" x14ac:dyDescent="0.2">
      <c r="A54" s="518" t="s">
        <v>1659</v>
      </c>
      <c r="B54" s="520" t="s">
        <v>912</v>
      </c>
      <c r="C54" s="517" t="str">
        <f>IF('Aanvullende afspraken Ped'!C43="","",CONCATENATE('Aanvullende afspraken Ped'!B43,": ",'Aanvullende afspraken Ped'!C43))</f>
        <v/>
      </c>
      <c r="D54" s="517"/>
      <c r="E54" s="518"/>
    </row>
    <row r="55" spans="1:5" x14ac:dyDescent="0.2">
      <c r="A55" s="518" t="s">
        <v>1659</v>
      </c>
      <c r="B55" s="520" t="s">
        <v>913</v>
      </c>
      <c r="C55" s="517" t="str">
        <f>IF('Aanvullende afspraken Ped'!C44="","",CONCATENATE('Aanvullende afspraken Ped'!B44,": ",'Aanvullende afspraken Ped'!C44))</f>
        <v/>
      </c>
      <c r="D55" s="517"/>
      <c r="E55" s="518"/>
    </row>
    <row r="56" spans="1:5" x14ac:dyDescent="0.2">
      <c r="A56" t="s">
        <v>932</v>
      </c>
      <c r="B56" s="235" t="s">
        <v>910</v>
      </c>
      <c r="C56" t="str">
        <f>IF(AfsprakenCMV!C39&lt;&gt;0,AfsprakenCMV!C39,"")</f>
        <v/>
      </c>
    </row>
    <row r="57" spans="1:5" x14ac:dyDescent="0.2">
      <c r="A57" t="s">
        <v>932</v>
      </c>
      <c r="B57" s="235" t="s">
        <v>911</v>
      </c>
      <c r="C57" t="str">
        <f>IF(AfsprakenCMV!C40&lt;&gt;0,AfsprakenCMV!C40,"")</f>
        <v/>
      </c>
    </row>
    <row r="58" spans="1:5" x14ac:dyDescent="0.2">
      <c r="A58" t="s">
        <v>932</v>
      </c>
      <c r="B58" s="235" t="s">
        <v>912</v>
      </c>
      <c r="C58" t="str">
        <f>IF(AfsprakenCMV!C41&lt;&gt;0,AfsprakenCMV!C41,"")</f>
        <v/>
      </c>
    </row>
    <row r="59" spans="1:5" x14ac:dyDescent="0.2">
      <c r="A59" t="s">
        <v>932</v>
      </c>
      <c r="B59" s="235" t="s">
        <v>913</v>
      </c>
      <c r="C59" t="str">
        <f>IF(AfsprakenCMV!C42&lt;&gt;0,AfsprakenCMV!C42,"")</f>
        <v/>
      </c>
    </row>
    <row r="60" spans="1:5" x14ac:dyDescent="0.2">
      <c r="A60" t="s">
        <v>932</v>
      </c>
      <c r="B60" s="235" t="s">
        <v>914</v>
      </c>
      <c r="C60" t="str">
        <f>IF(AfsprakenCMV!C43&lt;&gt;0,AfsprakenCMV!C43,"")</f>
        <v/>
      </c>
    </row>
    <row r="61" spans="1:5" x14ac:dyDescent="0.2">
      <c r="A61" t="s">
        <v>932</v>
      </c>
      <c r="B61" s="235" t="s">
        <v>915</v>
      </c>
      <c r="C61" t="str">
        <f>IF(AfsprakenCMV!C44&lt;&gt;0,AfsprakenCMV!C44,"")</f>
        <v/>
      </c>
    </row>
    <row r="62" spans="1:5" x14ac:dyDescent="0.2">
      <c r="A62" t="s">
        <v>932</v>
      </c>
      <c r="B62" s="235" t="s">
        <v>916</v>
      </c>
      <c r="C62" t="str">
        <f>IF(AfsprakenCMV!D67&lt;&gt;0,"Opmerkingen: "&amp;AfsprakenCMV!D67,"")</f>
        <v/>
      </c>
    </row>
    <row r="63" spans="1:5" s="517" customFormat="1" x14ac:dyDescent="0.2">
      <c r="A63" s="518" t="s">
        <v>27</v>
      </c>
      <c r="B63" s="521" t="s">
        <v>910</v>
      </c>
      <c r="C63" s="517" t="str">
        <f>IF(ber_Infusen!D2&gt;1,"Pacemaker: "&amp;INDEX(tblPacemakerPositie,ber_Infusen!D2)&amp;", Modus:"&amp;INDEX(tblPacemakerModus,ber_Infusen!E2)&amp;"; Frequentie:"&amp;ber_Infusen!G1&amp;", Atriale output:"&amp;ber_Infusen!G2&amp;", Ventr. Output:"&amp;ber_Infusen!G3&amp;", AV interval:"&amp;ber_Infusen!G4&amp;", Atriale sens.:"&amp;ber_Infusen!G5&amp;", Ventr. sens.:"&amp;ber_Infusen!G6,"")</f>
        <v/>
      </c>
    </row>
    <row r="64" spans="1:5" x14ac:dyDescent="0.2">
      <c r="A64" t="s">
        <v>933</v>
      </c>
      <c r="B64" s="235" t="s">
        <v>910</v>
      </c>
      <c r="C64" t="str">
        <f>IF(AfsprakenCMV!G6&lt;&gt;"",AfsprakenCMV!G6&amp;": ","")&amp;IF(AfsprakenCMV!C7&lt;&gt;0,AfsprakenCMV!C7&amp;" ","")&amp;AfsprakenCMV!G7&amp;IF(AfsprakenCMV!D8&lt;&gt;""," "&amp;AfsprakenCMV!D8,"")&amp;IF(AfsprakenCMV!D9&lt;&gt;""," en "&amp;AfsprakenCMV!D9,"")&amp;IF(AfsprakenCMV!D10&lt;&gt;""," en "&amp;AfsprakenCMV!D10,"")</f>
        <v xml:space="preserve">Enteraal voeding:  </v>
      </c>
    </row>
    <row r="65" spans="1:3" x14ac:dyDescent="0.2">
      <c r="A65" t="s">
        <v>933</v>
      </c>
      <c r="B65" s="235" t="s">
        <v>911</v>
      </c>
      <c r="C65" t="str">
        <f>IF(AfsprakenCMV!D12&lt;&gt;0,"Opmerkingen: "&amp;AfsprakenCMV!D12,"")</f>
        <v/>
      </c>
    </row>
    <row r="66" spans="1:3" x14ac:dyDescent="0.2">
      <c r="A66" t="s">
        <v>933</v>
      </c>
      <c r="B66" s="235" t="s">
        <v>912</v>
      </c>
      <c r="C66" t="str">
        <f>IF(AfsprakenCMV!E70&lt;&gt;"",AfsprakenCMV!D70&amp;": "&amp;AfsprakenCMV!E70,"")&amp;IF(AfsprakenCMV!F71&lt;&gt;""," met "&amp;AfsprakenCMV!D71&amp;" "&amp;AfsprakenCMV!F71,"")&amp;IF(AfsprakenCMV!F73&lt;&gt;"",", "&amp;AfsprakenCMV!D73&amp;" "&amp;AfsprakenCMV!F73,"")&amp;IF(AfsprakenCMV!F74&lt;&gt;"",", "&amp;AfsprakenCMV!D74&amp;" "&amp;AfsprakenCMV!F74,"")&amp;IF(AfsprakenCMV!F75&lt;&gt; "",", "&amp;AfsprakenCMV!D75&amp;" "&amp;AfsprakenCMV!F75,"")&amp;IF(AfsprakenCMV!E72&lt;&gt; "",", "&amp;AfsprakenCMV!D72&amp;" "&amp;AfsprakenCMV!E72,"")</f>
        <v/>
      </c>
    </row>
    <row r="67" spans="1:3" x14ac:dyDescent="0.2">
      <c r="A67" t="s">
        <v>933</v>
      </c>
      <c r="B67" s="235" t="s">
        <v>913</v>
      </c>
      <c r="C67" t="str">
        <f>IF(AfsprakenCMV!E77&lt;&gt;"",AfsprakenCMV!D77&amp;": "&amp;AfsprakenCMV!E77,"")&amp;IF(AfsprakenCMV!F78&lt;&gt;"",", "&amp;AfsprakenCMV!D78&amp;" "&amp;AfsprakenCMV!F78,"")&amp;IF(AfsprakenCMV!F79&lt;&gt;"",", "&amp;AfsprakenCMV!D79&amp;" "&amp;AfsprakenCMV!F79,"")&amp;IF(AfsprakenCMV!F80&lt;&gt;"",", "&amp;AfsprakenCMV!D80&amp;" "&amp;AfsprakenCMV!F80,"")&amp;IF(AfsprakenCMV!F81&lt;&gt;"",", "&amp;AfsprakenCMV!D81&amp;" "&amp;AfsprakenCMV!F81,"")&amp;IF(AfsprakenCMV!F82&lt;&gt;"",", "&amp;AfsprakenCMV!D82&amp;" "&amp;AfsprakenCMV!F82,"")&amp;IF(AfsprakenCMV!F83&lt;&gt;"",", "&amp;AfsprakenCMV!D83&amp;" "&amp;AfsprakenCMV!F83,"")</f>
        <v/>
      </c>
    </row>
    <row r="68" spans="1:3" x14ac:dyDescent="0.2">
      <c r="A68" t="s">
        <v>933</v>
      </c>
      <c r="B68" s="235" t="s">
        <v>914</v>
      </c>
      <c r="C68" t="str">
        <f>IF(AfsprakenCMV!E85&lt;&gt;" ",AfsprakenCMV!D85&amp;": "&amp;AfsprakenCMV!E85,"")</f>
        <v/>
      </c>
    </row>
    <row r="69" spans="1:3" x14ac:dyDescent="0.2">
      <c r="A69" t="s">
        <v>933</v>
      </c>
      <c r="B69" s="235" t="s">
        <v>915</v>
      </c>
      <c r="C69" t="str">
        <f>IF(AfsprakenCMV!E87&lt;&gt;"",AfsprakenCMV!D87&amp;": "&amp;AfsprakenCMV!E87,"")&amp;IF(AfsprakenCMV!F88&lt;&gt;"",",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70" spans="1:3" x14ac:dyDescent="0.2">
      <c r="A70" t="s">
        <v>933</v>
      </c>
      <c r="B70" s="235" t="s">
        <v>916</v>
      </c>
      <c r="C70" t="str">
        <f>IF(AfsprakenCMV!I70&lt;&gt;"",AfsprakenCMV!H70&amp;": "&amp;AfsprakenCMV!I70,"")&amp;IF(AfsprakenCMV!J71&lt;&gt;"",", "&amp;AfsprakenCMV!H71&amp;" "&amp;AfsprakenCMV!J71,"")&amp;IF(AfsprakenCMV!J72&lt;&gt;"",", "&amp;AfsprakenCMV!H72&amp;" "&amp;AfsprakenCMV!J72,"")&amp;IF(AfsprakenCMV!J73&lt;&gt;"",", "&amp;AfsprakenCMV!H73&amp;" "&amp;AfsprakenCMV!J73,"")</f>
        <v/>
      </c>
    </row>
    <row r="71" spans="1:3" x14ac:dyDescent="0.2">
      <c r="A71" t="s">
        <v>933</v>
      </c>
      <c r="B71" s="236" t="s">
        <v>917</v>
      </c>
      <c r="C71" t="str">
        <f>IF(Intake!D32&lt;&gt;0,"Opmerkingen: "&amp;Intake!D32,"")</f>
        <v/>
      </c>
    </row>
    <row r="72" spans="1:3" x14ac:dyDescent="0.2">
      <c r="A72" t="s">
        <v>286</v>
      </c>
      <c r="B72" s="235" t="s">
        <v>910</v>
      </c>
      <c r="C72" t="str">
        <f>IF(AfsprakenCMV!D15&lt;&gt;"",AfsprakenCMV!C15&amp;": "&amp;AfsprakenCMV!D15,"")</f>
        <v/>
      </c>
    </row>
    <row r="73" spans="1:3" x14ac:dyDescent="0.2">
      <c r="A73" t="s">
        <v>286</v>
      </c>
      <c r="B73" s="235" t="s">
        <v>911</v>
      </c>
      <c r="C73" t="str">
        <f>IF(AfsprakenCMV!D16&lt;&gt;"",AfsprakenCMV!C16&amp;": "&amp;AfsprakenCMV!D16,"")</f>
        <v>14:00 uur: A</v>
      </c>
    </row>
    <row r="74" spans="1:3" x14ac:dyDescent="0.2">
      <c r="A74" t="s">
        <v>286</v>
      </c>
      <c r="B74" s="235" t="s">
        <v>912</v>
      </c>
      <c r="C74" t="str">
        <f>IF(AfsprakenCMV!D17&lt;&gt;"",AfsprakenCMV!C17&amp;": "&amp;AfsprakenCMV!D17,"")</f>
        <v/>
      </c>
    </row>
    <row r="75" spans="1:3" x14ac:dyDescent="0.2">
      <c r="A75" t="s">
        <v>286</v>
      </c>
      <c r="B75" s="235" t="s">
        <v>913</v>
      </c>
      <c r="C75" t="str">
        <f>IF(AfsprakenCMV!D18&lt;&gt;"",AfsprakenCMV!C18&amp;": "&amp;AfsprakenCMV!D18,"")</f>
        <v/>
      </c>
    </row>
    <row r="76" spans="1:3" x14ac:dyDescent="0.2">
      <c r="A76" t="s">
        <v>286</v>
      </c>
      <c r="B76" s="235" t="s">
        <v>914</v>
      </c>
      <c r="C76" t="str">
        <f>IF(AfsprakenCMV!D19&lt;&gt;"",AfsprakenCMV!C19&amp;": "&amp;AfsprakenCMV!D19,"")</f>
        <v/>
      </c>
    </row>
    <row r="77" spans="1:3" x14ac:dyDescent="0.2">
      <c r="A77" t="s">
        <v>286</v>
      </c>
      <c r="B77" s="235" t="s">
        <v>915</v>
      </c>
      <c r="C77" t="str">
        <f>IF(AfsprakenCMV!D20&lt;&gt;0,AfsprakenCMV!C20&amp;": "&amp;AfsprakenCMV!D20,"")</f>
        <v/>
      </c>
    </row>
    <row r="78" spans="1:3" x14ac:dyDescent="0.2">
      <c r="A78" t="s">
        <v>729</v>
      </c>
      <c r="B78" s="235" t="s">
        <v>910</v>
      </c>
      <c r="C78" t="str">
        <f>AfsprakenCMV!C96&amp;": "&amp;AfsprakenCMV!D96</f>
        <v>Vocht: 0 ml/kg</v>
      </c>
    </row>
    <row r="79" spans="1:3" x14ac:dyDescent="0.2">
      <c r="A79" t="s">
        <v>729</v>
      </c>
      <c r="B79" s="235" t="s">
        <v>911</v>
      </c>
      <c r="C79" t="str">
        <f>AfsprakenCMV!C97&amp;": "&amp;AfsprakenCMV!D97</f>
        <v>Eiwit: 0  gram/kg</v>
      </c>
    </row>
    <row r="80" spans="1:3" x14ac:dyDescent="0.2">
      <c r="A80" t="s">
        <v>729</v>
      </c>
      <c r="B80" s="235" t="s">
        <v>912</v>
      </c>
      <c r="C80" t="str">
        <f>AfsprakenCMV!C98&amp;": "&amp;AfsprakenCMV!D98</f>
        <v>Glucose/KH: 0 g/kg</v>
      </c>
    </row>
    <row r="81" spans="1:3" x14ac:dyDescent="0.2">
      <c r="A81" t="s">
        <v>729</v>
      </c>
      <c r="B81" s="235" t="s">
        <v>913</v>
      </c>
      <c r="C81" t="str">
        <f>AfsprakenCMV!E96&amp;": "&amp;AfsprakenCMV!F96</f>
        <v>Calorieen: 0 kCal/kg</v>
      </c>
    </row>
    <row r="82" spans="1:3" x14ac:dyDescent="0.2">
      <c r="A82" t="s">
        <v>729</v>
      </c>
      <c r="B82" s="235" t="s">
        <v>914</v>
      </c>
      <c r="C82" t="str">
        <f>AfsprakenCMV!E97&amp;": "&amp;AfsprakenCMV!F97</f>
        <v>Vet: 0 gram/kg</v>
      </c>
    </row>
    <row r="83" spans="1:3" x14ac:dyDescent="0.2">
      <c r="A83" t="s">
        <v>729</v>
      </c>
      <c r="B83" s="235" t="s">
        <v>915</v>
      </c>
      <c r="C83" t="str">
        <f>AfsprakenCMV!G96&amp;": "&amp;AfsprakenCMV!H96</f>
        <v>Kalium: 0 mmol/kg</v>
      </c>
    </row>
    <row r="84" spans="1:3" x14ac:dyDescent="0.2">
      <c r="A84" t="s">
        <v>729</v>
      </c>
      <c r="B84" s="235" t="s">
        <v>916</v>
      </c>
      <c r="C84" t="str">
        <f>AfsprakenCMV!G97&amp;": "&amp;AfsprakenCMV!H97</f>
        <v>Calcium: 0 mmol/kg</v>
      </c>
    </row>
    <row r="85" spans="1:3" x14ac:dyDescent="0.2">
      <c r="A85" t="s">
        <v>729</v>
      </c>
      <c r="B85" s="235" t="s">
        <v>917</v>
      </c>
      <c r="C85" t="str">
        <f>AfsprakenCMV!G98&amp;": "&amp;AfsprakenCMV!H98</f>
        <v>Magnesium: 0 mmol/kg</v>
      </c>
    </row>
    <row r="86" spans="1:3" x14ac:dyDescent="0.2">
      <c r="A86" t="s">
        <v>729</v>
      </c>
      <c r="B86" s="235" t="s">
        <v>918</v>
      </c>
      <c r="C86" t="str">
        <f>AfsprakenCMV!I96&amp;": "&amp;AfsprakenCMV!J96</f>
        <v>Natrium : 0 mmol/kg</v>
      </c>
    </row>
    <row r="87" spans="1:3" x14ac:dyDescent="0.2">
      <c r="A87" t="s">
        <v>729</v>
      </c>
      <c r="B87" s="235">
        <v>10</v>
      </c>
      <c r="C87" t="str">
        <f>AfsprakenCMV!I97&amp;": "&amp;AfsprakenCMV!J97</f>
        <v>Fosfaat: 0 mmol/kg</v>
      </c>
    </row>
    <row r="88" spans="1:3" x14ac:dyDescent="0.2">
      <c r="A88" s="518" t="s">
        <v>1263</v>
      </c>
      <c r="B88" s="517">
        <v>6</v>
      </c>
      <c r="C88" s="519" t="str">
        <f ca="1">Afspraken!H15</f>
        <v>60 weken en 3 dag(-en)</v>
      </c>
    </row>
    <row r="89" spans="1:3" x14ac:dyDescent="0.2">
      <c r="A89" s="518" t="s">
        <v>2287</v>
      </c>
      <c r="B89" s="520" t="s">
        <v>910</v>
      </c>
      <c r="C89" t="str">
        <f>IF(Berekeningen!B20&gt;1,INDEX(Medicamenten,Berekeningen!B20, 1)&amp;" "&amp;Afspraken!C32&amp;" "&amp;Afspraken!D32&amp;" "&amp; INDEX(Opl,Berekeningen!E20,1)&amp;" " &amp; Afspraken!G32&amp;" (="&amp;Afspraken!H32&amp;" "&amp;Afspraken!I32&amp;"), inlooptijd: "&amp;Afspraken!N32,"")</f>
        <v/>
      </c>
    </row>
    <row r="90" spans="1:3" x14ac:dyDescent="0.2">
      <c r="A90" s="518" t="s">
        <v>2287</v>
      </c>
      <c r="B90" s="520" t="s">
        <v>911</v>
      </c>
      <c r="C90" s="517" t="str">
        <f>IF(Berekeningen!B21&gt;1,INDEX(Medicamenten,Berekeningen!B21, 1)&amp;" "&amp;Afspraken!C33&amp;" "&amp;Afspraken!D33&amp;" "&amp; INDEX(Opl,Berekeningen!E21,1)&amp;" " &amp; Afspraken!G33&amp;" (="&amp;Afspraken!H33&amp;" "&amp;Afspraken!I33&amp;"), inlooptijd: "&amp;Afspraken!N33,"")</f>
        <v/>
      </c>
    </row>
    <row r="91" spans="1:3" x14ac:dyDescent="0.2">
      <c r="A91" s="518" t="s">
        <v>2287</v>
      </c>
      <c r="B91" s="520" t="s">
        <v>912</v>
      </c>
      <c r="C91" s="517" t="str">
        <f>IF(Berekeningen!B22&gt;1,INDEX(Medicamenten,Berekeningen!B22, 1)&amp;" "&amp;Afspraken!C34&amp;" "&amp;Afspraken!D34&amp;" "&amp; INDEX(Opl,Berekeningen!E22,1)&amp;" " &amp; Afspraken!G34&amp;" (="&amp;Afspraken!H34&amp;" "&amp;Afspraken!I34&amp;"), inlooptijd: "&amp;Afspraken!N34,"")</f>
        <v/>
      </c>
    </row>
    <row r="92" spans="1:3" x14ac:dyDescent="0.2">
      <c r="A92" s="518" t="s">
        <v>2287</v>
      </c>
      <c r="B92" s="520" t="s">
        <v>913</v>
      </c>
      <c r="C92" s="517" t="str">
        <f>IF(Berekeningen!B23&gt;1,INDEX(Medicamenten,Berekeningen!B23, 1)&amp;" "&amp;Afspraken!C35&amp;" "&amp;Afspraken!D35&amp;" "&amp; INDEX(Opl,Berekeningen!E23,1)&amp;" " &amp; Afspraken!G35&amp;" (="&amp;Afspraken!H35&amp;" "&amp;Afspraken!I35&amp;"), inlooptijd: "&amp;Afspraken!N35,"")</f>
        <v/>
      </c>
    </row>
    <row r="93" spans="1:3" x14ac:dyDescent="0.2">
      <c r="A93" s="518" t="s">
        <v>2287</v>
      </c>
      <c r="B93" s="520" t="s">
        <v>914</v>
      </c>
      <c r="C93" s="517" t="str">
        <f>IF(Berekeningen!B24&gt;1,INDEX(Medicamenten,Berekeningen!B24, 1)&amp;" "&amp;Afspraken!C36&amp;" "&amp;Afspraken!D36&amp;" "&amp; INDEX(Opl,Berekeningen!E24,1)&amp;" " &amp; Afspraken!G36&amp;" (="&amp;Afspraken!H36&amp;" "&amp;Afspraken!I36&amp;"), inlooptijd: "&amp;Afspraken!N36,"")</f>
        <v/>
      </c>
    </row>
    <row r="94" spans="1:3" x14ac:dyDescent="0.2">
      <c r="A94" s="518" t="s">
        <v>2287</v>
      </c>
      <c r="B94" s="520" t="s">
        <v>915</v>
      </c>
      <c r="C94" s="517" t="str">
        <f>IF(Berekeningen!B25&gt;1,INDEX(Medicamenten,Berekeningen!B25, 1)&amp;" "&amp;Afspraken!C37&amp;" "&amp;Afspraken!D37&amp;" "&amp; INDEX(Opl,Berekeningen!E25,1)&amp;" " &amp; Afspraken!G37&amp;" (="&amp;Afspraken!H37&amp;" "&amp;Afspraken!I37&amp;"), inlooptijd: "&amp;Afspraken!N37,"")</f>
        <v/>
      </c>
    </row>
    <row r="95" spans="1:3" x14ac:dyDescent="0.2">
      <c r="A95" s="518" t="s">
        <v>2287</v>
      </c>
      <c r="B95" s="520" t="s">
        <v>916</v>
      </c>
      <c r="C95" s="517" t="str">
        <f>IF(Berekeningen!B26&gt;1,INDEX(Medicamenten,Berekeningen!B26, 1)&amp;" "&amp;Afspraken!C38&amp;" "&amp;Afspraken!D38&amp;" "&amp; INDEX(Opl,Berekeningen!E26,1)&amp;" " &amp; Afspraken!G38&amp;" (="&amp;Afspraken!H38&amp;" "&amp;Afspraken!I38&amp;"), inlooptijd: "&amp;Afspraken!N38,"")</f>
        <v/>
      </c>
    </row>
    <row r="96" spans="1:3" x14ac:dyDescent="0.2">
      <c r="A96" s="518" t="s">
        <v>2287</v>
      </c>
      <c r="B96" s="520" t="s">
        <v>917</v>
      </c>
      <c r="C96" s="517" t="str">
        <f>IF(Berekeningen!B27&gt;1,INDEX(Medicamenten,Berekeningen!B27, 1)&amp;" "&amp;Afspraken!C39&amp;" "&amp;Afspraken!D39&amp;" "&amp; INDEX(Opl,Berekeningen!E27,1)&amp;" " &amp; Afspraken!G39&amp;" (="&amp;Afspraken!H39&amp;" "&amp;Afspraken!I39&amp;"), inlooptijd: "&amp;Afspraken!N39,"")</f>
        <v/>
      </c>
    </row>
    <row r="97" spans="1:7" x14ac:dyDescent="0.2">
      <c r="A97" s="518" t="s">
        <v>2287</v>
      </c>
      <c r="B97" s="520" t="s">
        <v>918</v>
      </c>
      <c r="C97" s="517" t="str">
        <f>IF(Berekeningen!B28&gt;1,INDEX(Medicamenten,Berekeningen!B28, 1)&amp;" "&amp;Afspraken!C40&amp;" "&amp;Afspraken!D40&amp;" "&amp; INDEX(Opl,Berekeningen!E28,1)&amp;" " &amp; Afspraken!G40&amp;" (="&amp;Afspraken!H40&amp;" "&amp;Afspraken!I40&amp;"), inlooptijd: "&amp;Afspraken!N40,"")</f>
        <v/>
      </c>
    </row>
    <row r="98" spans="1:7" x14ac:dyDescent="0.2">
      <c r="A98" s="518" t="s">
        <v>2287</v>
      </c>
      <c r="B98" s="520" t="s">
        <v>1266</v>
      </c>
      <c r="C98" s="517" t="str">
        <f>IF(Berekeningen!B32="","",Berekeningen!B32)</f>
        <v/>
      </c>
    </row>
    <row r="99" spans="1:7" x14ac:dyDescent="0.2">
      <c r="A99" s="518" t="s">
        <v>2287</v>
      </c>
      <c r="B99" s="520" t="s">
        <v>1267</v>
      </c>
      <c r="C99" s="517" t="str">
        <f>IF(Berekeningen!B33="","",Berekeningen!B33)</f>
        <v/>
      </c>
    </row>
    <row r="100" spans="1:7" x14ac:dyDescent="0.2">
      <c r="A100" s="518" t="s">
        <v>2287</v>
      </c>
      <c r="B100" s="520" t="s">
        <v>1268</v>
      </c>
      <c r="C100" s="517" t="str">
        <f>IF(Berekeningen!E29&lt;&gt;0, Afspraken!B42&amp;": "&amp; INDEX(Opl,Berekeningen!$E29,1)&amp;" " &amp; Afspraken!G42,"")</f>
        <v/>
      </c>
    </row>
    <row r="101" spans="1:7" x14ac:dyDescent="0.2">
      <c r="A101" s="518" t="s">
        <v>2287</v>
      </c>
      <c r="B101" s="520" t="s">
        <v>1491</v>
      </c>
      <c r="C101" s="517" t="str">
        <f>IF(Berekeningen!E30&lt;&gt;0, Afspraken!B43&amp;": "&amp; INDEX(Opl,Berekeningen!$E30,1)&amp;" " &amp; Afspraken!G43,"")</f>
        <v/>
      </c>
    </row>
    <row r="102" spans="1:7" x14ac:dyDescent="0.2">
      <c r="A102" s="518" t="s">
        <v>2287</v>
      </c>
      <c r="B102" s="520" t="s">
        <v>1492</v>
      </c>
      <c r="C102" s="517" t="str">
        <f>IF(Berekeningen!E31&lt;&gt;0, Afspraken!B44&amp;": "&amp; INDEX(Opl,Berekeningen!$E31,1)&amp;" " &amp; Afspraken!G44,"")</f>
        <v/>
      </c>
    </row>
    <row r="103" spans="1:7" x14ac:dyDescent="0.2">
      <c r="A103" s="518" t="s">
        <v>2287</v>
      </c>
      <c r="B103" s="520" t="s">
        <v>1999</v>
      </c>
      <c r="C103" s="517" t="str">
        <f>IF(_WerkbriefActueelIntravasaleToegangStand&lt;&gt;"",CONCATENATE(_WerkbriefActueelIntravasaleToegangTekst," ",_WerkbriefActueelIntravasaleToegangStand, " ml/uur"),"")</f>
        <v/>
      </c>
    </row>
    <row r="104" spans="1:7" x14ac:dyDescent="0.2">
      <c r="A104" s="518" t="s">
        <v>2287</v>
      </c>
      <c r="B104" s="520" t="s">
        <v>2275</v>
      </c>
      <c r="C104" s="517" t="str">
        <f ca="1">IF(Berekeningen!C35&lt;&gt;0,CONCATENATE(INDEX(lijstIntralipidSmof,SelectedIntralipidSmof)," ",ROUNDUP(Berekeningen!C35/24,1)," ml/uur"),"")</f>
        <v/>
      </c>
    </row>
    <row r="105" spans="1:7" x14ac:dyDescent="0.2">
      <c r="A105" s="518" t="s">
        <v>2287</v>
      </c>
      <c r="B105" s="520" t="s">
        <v>2276</v>
      </c>
      <c r="C105" s="517" t="str">
        <f ca="1">IF(_WerkbriefActueelTPNStand&lt;&gt;"",CONCATENATE("TPN: ",_WerkbriefActueelTPNStand, " ml/uur"),"")</f>
        <v/>
      </c>
      <c r="D105" s="517"/>
    </row>
    <row r="106" spans="1:7" x14ac:dyDescent="0.2">
      <c r="A106" s="518" t="s">
        <v>2287</v>
      </c>
      <c r="B106" s="520" t="s">
        <v>2277</v>
      </c>
      <c r="C106" s="517" t="str">
        <f ca="1">IF(_WerkbriefActueelTPNStand&lt;&gt;"",CONCATENATE("TPN Totaal: ",_WerkbriefActueelTPNTotaalGeheel,",", _WerkbriefActueelTPNTotaalBreuk, " ml"),"")</f>
        <v/>
      </c>
      <c r="D106" s="517"/>
    </row>
    <row r="107" spans="1:7" s="517" customFormat="1" x14ac:dyDescent="0.2">
      <c r="A107" s="518" t="s">
        <v>2287</v>
      </c>
      <c r="B107" s="520" t="s">
        <v>2278</v>
      </c>
      <c r="C107" s="517" t="str">
        <f ca="1">IF(OR(_WerkbriefActueelTPNNaClGeheel&lt;&gt;"",_WerkbriefActueelTPNNaClBreuk&lt;&gt;""),CONCATENATE(_WerkbriefActueelTPNNaCLTekst," ",_WerkbriefActueelTPNNaClGeheel,",", _WerkbriefActueelTPNNaClBreuk, " ml"),"")</f>
        <v/>
      </c>
      <c r="E107"/>
    </row>
    <row r="108" spans="1:7" s="517" customFormat="1" x14ac:dyDescent="0.2">
      <c r="A108" s="518" t="s">
        <v>2287</v>
      </c>
      <c r="B108" s="520" t="s">
        <v>2279</v>
      </c>
      <c r="C108" s="517" t="str">
        <f ca="1">IF(OR(_WerkbriefActueelTPNKacetaatGeheel&lt;&gt;"",_WerkbriefActueelTPNKacetaatBreuk&lt;&gt;""),CONCATENATE(_WerkbriefActueelTPNKacetaatTekst," ",_WerkbriefActueelTPNKacetaatGeheel,",", _WerkbriefActueelTPNKacetaatBreuk, " ml"),"")</f>
        <v/>
      </c>
      <c r="E108"/>
    </row>
    <row r="109" spans="1:7" s="517" customFormat="1" x14ac:dyDescent="0.2">
      <c r="A109" s="518" t="s">
        <v>2287</v>
      </c>
      <c r="B109" s="520" t="s">
        <v>2280</v>
      </c>
      <c r="C109" s="517" t="str">
        <f ca="1">IF(OR(_WerkbriefActueelTPNCaClGeheel&lt;&gt;"",_WerkbriefActueelTPNCaClBreuk&lt;&gt;""),CONCATENATE(_WerkbriefActueelTPNCaClTekst," ",_WerkbriefActueelTPNCaClGeheel,",", _WerkbriefActueelTPNCaClBreuk, " ml"),"")</f>
        <v/>
      </c>
      <c r="E109"/>
      <c r="F109"/>
      <c r="G109"/>
    </row>
    <row r="110" spans="1:7" s="517" customFormat="1" x14ac:dyDescent="0.2">
      <c r="A110" s="518" t="s">
        <v>2287</v>
      </c>
      <c r="B110" s="520" t="s">
        <v>2281</v>
      </c>
      <c r="C110" s="517" t="str">
        <f ca="1">IF(OR(_WerkbriefActueelTPNMgClGeheel&lt;&gt;"",_WerkbriefActueelTPNMgClBreuk&lt;&gt;""),CONCATENATE(_WerkbriefActueelTPNMgClTekst," ",_WerkbriefActueelTPNMgClGeheel,",", _WerkbriefActueelTPNMgClBreuk, " ml"),"")</f>
        <v/>
      </c>
      <c r="E110"/>
    </row>
    <row r="111" spans="1:7" s="517" customFormat="1" x14ac:dyDescent="0.2">
      <c r="A111" s="518" t="s">
        <v>2287</v>
      </c>
      <c r="B111" s="520" t="s">
        <v>2282</v>
      </c>
      <c r="C111" s="517" t="str">
        <f ca="1">IF(OR(_WerkbriefActueelTPNSoluvitGeheel&lt;&gt;"",_WerkbriefActueelTPNSoluvitBreuk&lt;&gt;""),CONCATENATE(_WerkbriefActueelTPNSoluvitTekst," ",_WerkbriefActueelTPNSoluvitGeheel,",", _WerkbriefActueelTPNSoluvitBreuk, " ml"),"")</f>
        <v/>
      </c>
      <c r="E111"/>
    </row>
    <row r="112" spans="1:7" s="517" customFormat="1" x14ac:dyDescent="0.2">
      <c r="A112" s="518" t="s">
        <v>2287</v>
      </c>
      <c r="B112" s="520" t="s">
        <v>2283</v>
      </c>
      <c r="C112" s="517" t="str">
        <f ca="1">IF(OR(_WerkbriefActueelTPNPrimeneGeheel&lt;&gt;"",_WerkbriefActueelTPNPrimeneBreuk&lt;&gt;""),CONCATENATE(_WerkbriefActueelTPNPrimeneTekst," ",_WerkbriefActueelTPNPrimeneGeheel,",", _WerkbriefActueelTPNPrimeneBreuk, " ml"),"")</f>
        <v/>
      </c>
      <c r="E112"/>
    </row>
    <row r="113" spans="1:7" x14ac:dyDescent="0.2">
      <c r="A113" s="518" t="s">
        <v>2287</v>
      </c>
      <c r="B113" s="520" t="s">
        <v>2284</v>
      </c>
      <c r="C113" s="517" t="str">
        <f>IF(OR(_WerkbriefActueelTPNNICUmixGeheel&lt;&gt;"",_WerkbriefActueelTPNNICUmixBreuk&lt;&gt;""),CONCATENATE(_WerkbriefActueelTPNNICUmixTekst," ",_WerkbriefActueelTPNNICUmixGeheel,",", _WerkbriefActueelTPNNICUmixBreuk, " ml"),"")</f>
        <v/>
      </c>
      <c r="D113" s="517"/>
      <c r="F113" s="517"/>
      <c r="G113" s="517"/>
    </row>
    <row r="114" spans="1:7" x14ac:dyDescent="0.2">
      <c r="A114" s="518" t="s">
        <v>2287</v>
      </c>
      <c r="B114" s="520" t="s">
        <v>2285</v>
      </c>
      <c r="C114" s="517" t="str">
        <f>IF(OR(_WerkbriefActueelTPNSamBGeheel&lt;&gt;"",_WerkbriefActueelTPNSamBBreuk&lt;&gt;""),CONCATENATE(_WerkbriefActueelTPNSamBTekst," ",_WerkbriefActueelTPNSamBGeheel,",", _WerkbriefActueelTPNSamBBreuk, " ml"),"")</f>
        <v/>
      </c>
      <c r="D114" s="517"/>
      <c r="F114" s="517"/>
      <c r="G114" s="517"/>
    </row>
    <row r="115" spans="1:7" x14ac:dyDescent="0.2">
      <c r="A115" s="518" t="s">
        <v>2287</v>
      </c>
      <c r="B115" s="520" t="s">
        <v>2286</v>
      </c>
      <c r="C115" s="517" t="str">
        <f>IF(OR(_WerkbriefActueelTPNGlucGeheel&lt;&gt;"",_WerkbriefActueelTPNGlucBreuk&lt;&gt;""),CONCATENATE(_WerkbriefActueelTPNGlucTekst," ",_WerkbriefActueelTPNGlucGeheel,",", ROUND(_WerkbriefActueelTPNGlucBreuk,2), " ml"),"")</f>
        <v/>
      </c>
      <c r="D115" s="517"/>
      <c r="F115" s="517"/>
      <c r="G115" s="517"/>
    </row>
    <row r="116" spans="1:7" s="517" customFormat="1" x14ac:dyDescent="0.2">
      <c r="A116" s="518" t="s">
        <v>2288</v>
      </c>
      <c r="B116" s="520" t="s">
        <v>910</v>
      </c>
      <c r="C116" s="517" t="str">
        <f>IF(_NeoVoeding2&lt;&gt;"",_NeoVoeding2,"")</f>
        <v/>
      </c>
      <c r="D116"/>
      <c r="E116"/>
    </row>
    <row r="117" spans="1:7" s="517" customFormat="1" x14ac:dyDescent="0.2">
      <c r="A117" s="518" t="s">
        <v>2288</v>
      </c>
      <c r="B117" s="520" t="s">
        <v>911</v>
      </c>
      <c r="C117" s="517" t="str">
        <f>IF(_NeoVoeding3&lt;&gt;"",_NeoVoeding3,"")</f>
        <v/>
      </c>
      <c r="D117"/>
      <c r="E117"/>
    </row>
    <row r="118" spans="1:7" x14ac:dyDescent="0.2">
      <c r="A118" s="518" t="s">
        <v>2288</v>
      </c>
      <c r="B118" s="520" t="s">
        <v>912</v>
      </c>
      <c r="C118" s="517" t="str">
        <f>IF(_NeoVoeding4&lt;&gt;"",_NeoVoeding4,"")</f>
        <v/>
      </c>
    </row>
    <row r="119" spans="1:7" x14ac:dyDescent="0.2">
      <c r="A119" s="518" t="s">
        <v>2288</v>
      </c>
      <c r="B119" s="520" t="s">
        <v>913</v>
      </c>
      <c r="C119" s="517" t="str">
        <f>IF(_NeoVoeding5&lt;&gt;"",_NeoVoeding5,"")</f>
        <v/>
      </c>
    </row>
    <row r="120" spans="1:7" s="517" customFormat="1" x14ac:dyDescent="0.2">
      <c r="A120" s="518" t="s">
        <v>2288</v>
      </c>
      <c r="B120" s="520" t="s">
        <v>914</v>
      </c>
      <c r="C120" s="517" t="str">
        <f>IF(_NeoVoeding6&lt;&gt;"",_NeoVoeding6,"")</f>
        <v/>
      </c>
    </row>
    <row r="121" spans="1:7" x14ac:dyDescent="0.2">
      <c r="A121" s="518" t="s">
        <v>2288</v>
      </c>
      <c r="B121" s="520" t="s">
        <v>915</v>
      </c>
      <c r="C121" s="517" t="str">
        <f>IF(_NeoVoeding7&lt;&gt;"",_NeoVoeding7,"")</f>
        <v/>
      </c>
      <c r="D121" s="517"/>
      <c r="E121" s="517"/>
    </row>
    <row r="122" spans="1:7" x14ac:dyDescent="0.2">
      <c r="A122" s="518" t="s">
        <v>2288</v>
      </c>
      <c r="B122" s="520" t="s">
        <v>916</v>
      </c>
      <c r="C122" s="517" t="str">
        <f>IF(_NeoVoeding8&lt;&gt;"",_NeoVoeding8,"")</f>
        <v/>
      </c>
      <c r="D122" s="517"/>
      <c r="E122" s="517"/>
    </row>
    <row r="123" spans="1:7" x14ac:dyDescent="0.2">
      <c r="A123" s="518" t="s">
        <v>2288</v>
      </c>
      <c r="B123" s="520" t="s">
        <v>917</v>
      </c>
      <c r="C123" s="517" t="str">
        <f>IF(_NeoVoeding9&lt;&gt;"",_NeoVoeding9,"")</f>
        <v/>
      </c>
      <c r="D123" s="517"/>
      <c r="E123" s="517"/>
    </row>
    <row r="124" spans="1:7" s="517" customFormat="1" x14ac:dyDescent="0.2">
      <c r="A124" s="518" t="s">
        <v>2288</v>
      </c>
      <c r="B124" s="520" t="s">
        <v>918</v>
      </c>
      <c r="C124" s="517" t="str">
        <f>IF(_NeoVoeding10&lt;&gt;"",_NeoVoeding10,"")</f>
        <v/>
      </c>
      <c r="F124"/>
      <c r="G124"/>
    </row>
    <row r="125" spans="1:7" x14ac:dyDescent="0.2">
      <c r="A125" s="518" t="s">
        <v>2288</v>
      </c>
      <c r="B125" s="520" t="s">
        <v>1266</v>
      </c>
      <c r="C125" s="517" t="str">
        <f>IF(_NeoVoeding11&lt;&gt;"",_NeoVoeding11,"")</f>
        <v/>
      </c>
      <c r="D125" s="517"/>
      <c r="E125" s="517"/>
    </row>
    <row r="126" spans="1:7" x14ac:dyDescent="0.2">
      <c r="A126" s="518" t="s">
        <v>2288</v>
      </c>
      <c r="B126" s="520" t="s">
        <v>1267</v>
      </c>
      <c r="C126" s="517" t="str">
        <f>IF(_NeoVoeding12&lt;&gt;"",_NeoVoeding12,"")</f>
        <v/>
      </c>
      <c r="D126" s="517"/>
      <c r="E126" s="517"/>
    </row>
    <row r="127" spans="1:7" x14ac:dyDescent="0.2">
      <c r="A127" s="518" t="s">
        <v>2288</v>
      </c>
      <c r="B127" s="520" t="s">
        <v>1268</v>
      </c>
      <c r="C127" s="517" t="str">
        <f>IF(_NeoVoeding13&lt;&gt;"",_NeoVoeding13,"")</f>
        <v/>
      </c>
      <c r="D127" s="517"/>
      <c r="E127" s="517"/>
      <c r="F127" s="517"/>
      <c r="G127" s="517"/>
    </row>
    <row r="128" spans="1:7" x14ac:dyDescent="0.2">
      <c r="A128" s="518" t="s">
        <v>1336</v>
      </c>
      <c r="B128" s="520" t="s">
        <v>910</v>
      </c>
      <c r="C128" t="str">
        <f>IF('Aanvullende afspraken Neo'!C45="","",CONCATENATE('Aanvullende afspraken Neo'!B45,": ",'Aanvullende afspraken Neo'!C45))</f>
        <v/>
      </c>
      <c r="E128" s="518"/>
    </row>
    <row r="129" spans="1:5" x14ac:dyDescent="0.2">
      <c r="A129" s="518" t="s">
        <v>1336</v>
      </c>
      <c r="B129" s="520" t="s">
        <v>911</v>
      </c>
      <c r="C129" s="517" t="str">
        <f>IF('Aanvullende afspraken Neo'!C46="","",CONCATENATE('Aanvullende afspraken Neo'!B46,": ",'Aanvullende afspraken Neo'!C46))</f>
        <v/>
      </c>
      <c r="E129" s="518"/>
    </row>
    <row r="130" spans="1:5" s="517" customFormat="1" x14ac:dyDescent="0.2">
      <c r="A130" s="518" t="s">
        <v>1336</v>
      </c>
      <c r="B130" s="520" t="s">
        <v>912</v>
      </c>
      <c r="C130" s="517" t="str">
        <f>IF('Aanvullende afspraken Neo'!C47="","",CONCATENATE('Aanvullende afspraken Neo'!B47,": ",'Aanvullende afspraken Neo'!C47))</f>
        <v/>
      </c>
      <c r="E130" s="518"/>
    </row>
    <row r="131" spans="1:5" s="517" customFormat="1" x14ac:dyDescent="0.2">
      <c r="A131" s="518" t="s">
        <v>1336</v>
      </c>
      <c r="B131" s="520" t="s">
        <v>913</v>
      </c>
      <c r="C131" s="517" t="str">
        <f>IF('Aanvullende afspraken Neo'!C48="","",CONCATENATE('Aanvullende afspraken Neo'!B48,": ",'Aanvullende afspraken Neo'!C48))</f>
        <v/>
      </c>
      <c r="D131"/>
      <c r="E131" s="518"/>
    </row>
    <row r="132" spans="1:5" x14ac:dyDescent="0.2">
      <c r="A132" s="518" t="s">
        <v>1336</v>
      </c>
      <c r="B132" s="520" t="s">
        <v>914</v>
      </c>
      <c r="C132" s="517" t="str">
        <f>IF('Aanvullende afspraken Neo'!C49="","",CONCATENATE('Aanvullende afspraken Neo'!B49,": ",'Aanvullende afspraken Neo'!C49))</f>
        <v/>
      </c>
      <c r="E132" s="518"/>
    </row>
    <row r="133" spans="1:5" x14ac:dyDescent="0.2">
      <c r="A133" s="517" t="s">
        <v>1264</v>
      </c>
      <c r="B133" s="520" t="s">
        <v>910</v>
      </c>
      <c r="C133" s="517" t="str">
        <f>IF(Afspraken!D65&lt;&gt;"",Afspraken!C65&amp;": "&amp;Afspraken!D65,"")</f>
        <v/>
      </c>
    </row>
    <row r="134" spans="1:5" x14ac:dyDescent="0.2">
      <c r="A134" s="517" t="s">
        <v>1264</v>
      </c>
      <c r="B134" s="520" t="s">
        <v>911</v>
      </c>
      <c r="C134" s="517" t="str">
        <f>IF(Afspraken!D66&lt;&gt;"",Afspraken!C66&amp;": "&amp;Afspraken!D66,"")</f>
        <v/>
      </c>
    </row>
    <row r="135" spans="1:5" x14ac:dyDescent="0.2">
      <c r="A135" s="517" t="s">
        <v>1264</v>
      </c>
      <c r="B135" s="520" t="s">
        <v>912</v>
      </c>
      <c r="C135" s="517" t="str">
        <f>IF(Afspraken!D67&lt;&gt;"",Afspraken!C67&amp;": "&amp;Afspraken!D67,"")</f>
        <v/>
      </c>
    </row>
    <row r="136" spans="1:5" x14ac:dyDescent="0.2">
      <c r="A136" s="517" t="s">
        <v>1264</v>
      </c>
      <c r="B136" s="520" t="s">
        <v>913</v>
      </c>
      <c r="C136" s="517" t="str">
        <f>IF(Afspraken!D68&lt;&gt;"",Afspraken!C68&amp;": "&amp;Afspraken!D68,"")</f>
        <v/>
      </c>
    </row>
    <row r="137" spans="1:5" x14ac:dyDescent="0.2">
      <c r="A137" s="517" t="s">
        <v>1264</v>
      </c>
      <c r="B137" s="520" t="s">
        <v>914</v>
      </c>
      <c r="C137" s="517" t="str">
        <f>IF(Afspraken!D69&lt;&gt;"",Afspraken!C69&amp;": "&amp;Afspraken!D69,"")</f>
        <v/>
      </c>
      <c r="D137" s="517"/>
      <c r="E137" s="517"/>
    </row>
    <row r="138" spans="1:5" x14ac:dyDescent="0.2">
      <c r="A138" s="517" t="s">
        <v>1264</v>
      </c>
      <c r="B138" s="520" t="s">
        <v>915</v>
      </c>
      <c r="C138" s="517" t="str">
        <f>IF(Afspraken!D70&lt;&gt;"",Afspraken!C70&amp;": "&amp;Afspraken!D70,"")</f>
        <v/>
      </c>
    </row>
    <row r="139" spans="1:5" x14ac:dyDescent="0.2">
      <c r="A139" s="517" t="s">
        <v>1264</v>
      </c>
      <c r="B139" s="520" t="s">
        <v>916</v>
      </c>
      <c r="C139" s="517" t="str">
        <f>IF(Afspraken!D71&lt;&gt;"",Afspraken!C71&amp;" "&amp;Afspraken!D71,"")</f>
        <v/>
      </c>
    </row>
    <row r="140" spans="1:5" x14ac:dyDescent="0.2">
      <c r="A140" s="517" t="s">
        <v>1264</v>
      </c>
      <c r="B140" s="520" t="s">
        <v>917</v>
      </c>
      <c r="C140" s="517" t="str">
        <f>IF(Afspraken!D72&lt;&gt;"",Afspraken!C72&amp;" "&amp;Afspraken!D72,"")</f>
        <v/>
      </c>
      <c r="D140" s="517"/>
      <c r="E140" s="517"/>
    </row>
    <row r="141" spans="1:5" x14ac:dyDescent="0.2">
      <c r="A141" s="517" t="s">
        <v>1264</v>
      </c>
      <c r="B141" s="520" t="s">
        <v>918</v>
      </c>
      <c r="C141" s="517" t="str">
        <f>IF(Afspraken!D73&lt;&gt;"",Afspraken!C73&amp;" "&amp;Afspraken!D73,"")</f>
        <v/>
      </c>
      <c r="D141" s="517"/>
      <c r="E141" s="517"/>
    </row>
    <row r="142" spans="1:5" x14ac:dyDescent="0.2">
      <c r="A142" s="517" t="s">
        <v>1265</v>
      </c>
      <c r="B142" s="520" t="s">
        <v>910</v>
      </c>
      <c r="C142" s="518" t="str">
        <f ca="1">CONCATENATE(Afspraken!B3,"        : ",Afspraken!$C$2," - ",Afspraken!C3,"; ",Afspraken!$D$2," - ",Afspraken!D3,"; ",Afspraken!$E$2," - ",Afspraken!E3,";")</f>
        <v>Volume        : Intraveneus - 0 ml/kg; Oraal - 0 ml/kg; Totaal - 0 ml/kg  = 0 ml;</v>
      </c>
    </row>
    <row r="143" spans="1:5" x14ac:dyDescent="0.2">
      <c r="A143" s="517" t="s">
        <v>1265</v>
      </c>
      <c r="B143" s="520" t="s">
        <v>911</v>
      </c>
      <c r="C143" s="518" t="str">
        <f ca="1">CONCATENATE(Afspraken!B4,"            : ",Afspraken!C2," - ",Afspraken!C4,"; ",Afspraken!$D$2," - ",Afspraken!D4,"; ",Afspraken!$E$2," - ",Afspraken!E4,";")</f>
        <v>Eiwit            : Intraveneus - 0 g/kg; Oraal - 0 g/kg; Totaal - 0 g/kg;</v>
      </c>
    </row>
    <row r="144" spans="1:5" x14ac:dyDescent="0.2">
      <c r="A144" s="517" t="s">
        <v>1265</v>
      </c>
      <c r="B144" s="520" t="s">
        <v>912</v>
      </c>
      <c r="C144" s="518" t="str">
        <f ca="1">CONCATENATE(Afspraken!B5,"              : ",Afspraken!$C$2," - ",Afspraken!C5,"; ",Afspraken!$D$2," - ",Afspraken!D5,"; ",Afspraken!$E$2," - ",Afspraken!E5,";")</f>
        <v>Vet              : Intraveneus - 0 g/kg; Oraal - 0 g/kg; Totaal - 0 g/kg;</v>
      </c>
    </row>
    <row r="145" spans="1:3" x14ac:dyDescent="0.2">
      <c r="A145" s="517" t="s">
        <v>1265</v>
      </c>
      <c r="B145" s="520" t="s">
        <v>913</v>
      </c>
      <c r="C145" s="518" t="str">
        <f>CONCATENATE(Afspraken!B6,"       : ",Afspraken!$C$2," - ",Afspraken!C6,"; ",Afspraken!$D$2," - ",Afspraken!D6,"; ",Afspraken!$E$2," - ",Afspraken!E6,";")</f>
        <v>Glucose       : Intraveneus - 0 mg/kg/min; Oraal - 0 mg/kg/min; Totaal - 0 mg/kg/min;</v>
      </c>
    </row>
    <row r="146" spans="1:3" x14ac:dyDescent="0.2">
      <c r="A146" s="517" t="s">
        <v>1265</v>
      </c>
      <c r="B146" s="520" t="s">
        <v>914</v>
      </c>
      <c r="C146" s="518" t="str">
        <f ca="1">CONCATENATE(Afspraken!B7,"        : ",Afspraken!$C$2," - ",Afspraken!C7,"; ",Afspraken!$D$2," - ",Afspraken!D7,"; ",Afspraken!$E$2," - ",Afspraken!E7,";")</f>
        <v>Energie        : Intraveneus - 0 kcal/kg; Oraal - 0 kcal/kg; Totaal - 0 kcal/kg;</v>
      </c>
    </row>
    <row r="147" spans="1:3" x14ac:dyDescent="0.2">
      <c r="A147" s="517" t="s">
        <v>1265</v>
      </c>
      <c r="B147" s="520" t="s">
        <v>915</v>
      </c>
      <c r="C147" s="518" t="str">
        <f ca="1">CONCATENATE(Afspraken!B8,"            : ",Afspraken!$C$2," - ",Afspraken!C8,"; ",Afspraken!$D$2," - ",Afspraken!D8,"; ",Afspraken!$E$2," - ",Afspraken!E8,";")</f>
        <v>Vit D            : Intraveneus - 0 IE; Oraal - 0 IE; Totaal - 0 IE;</v>
      </c>
    </row>
    <row r="148" spans="1:3" x14ac:dyDescent="0.2">
      <c r="A148" s="517" t="s">
        <v>1265</v>
      </c>
      <c r="B148" s="520" t="s">
        <v>916</v>
      </c>
      <c r="C148" s="518" t="str">
        <f ca="1">CONCATENATE(Afspraken!G3,"        : ",Afspraken!$H$2," - ",Afspraken!H3,"; ",Afspraken!$I$2," - ",Afspraken!I3,"; ",Afspraken!$J$2," - ",Afspraken!J3,";")</f>
        <v>Natrium        : Intraveneus - 0 mmol/kg; Oraal - 0 mmol/kg; Totaal - 0 mmol/kg;</v>
      </c>
    </row>
    <row r="149" spans="1:3" x14ac:dyDescent="0.2">
      <c r="A149" s="517" t="s">
        <v>1265</v>
      </c>
      <c r="B149" s="520" t="s">
        <v>917</v>
      </c>
      <c r="C149" s="518" t="str">
        <f ca="1">CONCATENATE(Afspraken!G4,"         : ",Afspraken!$H$2," - ",Afspraken!H4,"; ",Afspraken!$I$2," - ",Afspraken!I4,"; ",Afspraken!$J$2," - ",Afspraken!J4,";")</f>
        <v>Kalium         : Intraveneus - 0 mmol/kg; Oraal - 0 mmol/kg; Totaal - 0 mmol/kg;</v>
      </c>
    </row>
    <row r="150" spans="1:3" x14ac:dyDescent="0.2">
      <c r="A150" s="517" t="s">
        <v>1265</v>
      </c>
      <c r="B150" s="520" t="s">
        <v>918</v>
      </c>
      <c r="C150" s="518" t="str">
        <f ca="1">CONCATENATE(Afspraken!G5,"       : ",Afspraken!$H$2," - ",Afspraken!H5,"; ",Afspraken!$I$2," - ",Afspraken!I5,"; ",Afspraken!$J$2," - ",Afspraken!J5,";")</f>
        <v>Calcium       : Intraveneus - 0 mmol/kg; Oraal - 0 mmol/kg; Totaal - 0 mmol/kg;</v>
      </c>
    </row>
    <row r="151" spans="1:3" x14ac:dyDescent="0.2">
      <c r="A151" s="517" t="s">
        <v>1265</v>
      </c>
      <c r="B151" s="521" t="s">
        <v>1266</v>
      </c>
      <c r="C151" s="518" t="str">
        <f ca="1">CONCATENATE(Afspraken!G6,"  : ",Afspraken!$H$2," - ",Afspraken!H6,"; ",Afspraken!$I$2," - ",Afspraken!I6,"; ",Afspraken!$J$2," - ",Afspraken!J6,";")</f>
        <v>Magnesium  : Intraveneus - 0 mmol/kg; Oraal - 0 mmol/kg; Totaal - 0 mmol/kg;</v>
      </c>
    </row>
    <row r="152" spans="1:3" x14ac:dyDescent="0.2">
      <c r="A152" s="517" t="s">
        <v>1265</v>
      </c>
      <c r="B152" s="521" t="s">
        <v>1267</v>
      </c>
      <c r="C152" s="518" t="str">
        <f ca="1">CONCATENATE(Afspraken!G7,"          : ",Afspraken!$H$2," - ",Afspraken!H7,"; ",Afspraken!$I$2," - ",Afspraken!I7,"; ",Afspraken!$J$2," - ",Afspraken!J7,";")</f>
        <v>Chloor          : Intraveneus - 0 mmol/kg; Oraal - 0 mmol/kg; Totaal - 0 mmol/kg;</v>
      </c>
    </row>
    <row r="153" spans="1:3" x14ac:dyDescent="0.2">
      <c r="A153" s="517" t="s">
        <v>1265</v>
      </c>
      <c r="B153" s="521" t="s">
        <v>1268</v>
      </c>
      <c r="C153" s="518" t="str">
        <f>CONCATENATE(Afspraken!G8,"         : ",Afspraken!$H$2," - ",Afspraken!H8,"; ",Afspraken!$I$2," - ",Afspraken!I8,"; ",Afspraken!$J$2," - ",Afspraken!J8,";")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T1440"/>
  <sheetViews>
    <sheetView zoomScaleNormal="100" workbookViewId="0">
      <pane xSplit="1" ySplit="1" topLeftCell="B556" activePane="bottomRight" state="frozen"/>
      <selection activeCell="A650" sqref="A650"/>
      <selection pane="topRight" activeCell="A650" sqref="A650"/>
      <selection pane="bottomLeft" activeCell="A650" sqref="A650"/>
      <selection pane="bottomRight" activeCell="C474" sqref="C474:C484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0.28515625" customWidth="1"/>
    <col min="7" max="7" width="18.5703125" customWidth="1"/>
  </cols>
  <sheetData>
    <row r="1" spans="1:20" x14ac:dyDescent="0.2">
      <c r="A1" s="579" t="s">
        <v>356</v>
      </c>
      <c r="B1" t="s">
        <v>357</v>
      </c>
      <c r="C1" t="s">
        <v>513</v>
      </c>
      <c r="T1" t="s">
        <v>2679</v>
      </c>
    </row>
    <row r="2" spans="1:20" x14ac:dyDescent="0.2">
      <c r="A2" t="s">
        <v>971</v>
      </c>
      <c r="B2" s="517" t="s">
        <v>2420</v>
      </c>
      <c r="C2" t="s">
        <v>563</v>
      </c>
    </row>
    <row r="3" spans="1:20" x14ac:dyDescent="0.2">
      <c r="A3" t="s">
        <v>972</v>
      </c>
      <c r="B3" s="517" t="s">
        <v>2421</v>
      </c>
      <c r="C3" t="s">
        <v>564</v>
      </c>
    </row>
    <row r="4" spans="1:20" x14ac:dyDescent="0.2">
      <c r="A4" t="s">
        <v>451</v>
      </c>
      <c r="B4" s="517">
        <v>42535</v>
      </c>
      <c r="C4">
        <v>42370</v>
      </c>
    </row>
    <row r="5" spans="1:20" x14ac:dyDescent="0.2">
      <c r="A5" t="s">
        <v>758</v>
      </c>
      <c r="B5" s="517" t="b">
        <v>0</v>
      </c>
      <c r="C5" t="b">
        <v>0</v>
      </c>
    </row>
    <row r="6" spans="1:20" x14ac:dyDescent="0.2">
      <c r="A6" t="s">
        <v>759</v>
      </c>
      <c r="B6" s="517"/>
    </row>
    <row r="7" spans="1:20" x14ac:dyDescent="0.2">
      <c r="A7" s="579" t="s">
        <v>569</v>
      </c>
      <c r="B7" s="517" t="b">
        <v>1</v>
      </c>
      <c r="C7" t="b">
        <v>1</v>
      </c>
    </row>
    <row r="8" spans="1:20" x14ac:dyDescent="0.2">
      <c r="A8" t="s">
        <v>78</v>
      </c>
      <c r="B8">
        <v>1</v>
      </c>
    </row>
    <row r="9" spans="1:20" x14ac:dyDescent="0.2">
      <c r="A9" t="s">
        <v>79</v>
      </c>
    </row>
    <row r="10" spans="1:20" x14ac:dyDescent="0.2">
      <c r="A10" t="s">
        <v>80</v>
      </c>
    </row>
    <row r="11" spans="1:20" x14ac:dyDescent="0.2">
      <c r="A11" t="s">
        <v>81</v>
      </c>
    </row>
    <row r="12" spans="1:20" x14ac:dyDescent="0.2">
      <c r="A12" t="s">
        <v>21</v>
      </c>
    </row>
    <row r="13" spans="1:20" x14ac:dyDescent="0.2">
      <c r="A13" t="s">
        <v>22</v>
      </c>
    </row>
    <row r="14" spans="1:20" x14ac:dyDescent="0.2">
      <c r="A14" t="s">
        <v>704</v>
      </c>
      <c r="G14" s="517"/>
    </row>
    <row r="15" spans="1:20" x14ac:dyDescent="0.2">
      <c r="A15" t="s">
        <v>705</v>
      </c>
    </row>
    <row r="16" spans="1:20" x14ac:dyDescent="0.2">
      <c r="A16" t="s">
        <v>706</v>
      </c>
    </row>
    <row r="17" spans="1:2" x14ac:dyDescent="0.2">
      <c r="A17" t="s">
        <v>707</v>
      </c>
    </row>
    <row r="18" spans="1:2" x14ac:dyDescent="0.2">
      <c r="A18" t="s">
        <v>456</v>
      </c>
    </row>
    <row r="19" spans="1:2" x14ac:dyDescent="0.2">
      <c r="A19" t="s">
        <v>457</v>
      </c>
      <c r="B19">
        <v>1</v>
      </c>
    </row>
    <row r="20" spans="1:2" x14ac:dyDescent="0.2">
      <c r="A20" t="s">
        <v>458</v>
      </c>
    </row>
    <row r="21" spans="1:2" x14ac:dyDescent="0.2">
      <c r="A21" s="517" t="s">
        <v>2563</v>
      </c>
    </row>
    <row r="22" spans="1:2" x14ac:dyDescent="0.2">
      <c r="A22" s="517" t="s">
        <v>2564</v>
      </c>
    </row>
    <row r="23" spans="1:2" x14ac:dyDescent="0.2">
      <c r="A23" s="517" t="s">
        <v>2565</v>
      </c>
    </row>
    <row r="24" spans="1:2" x14ac:dyDescent="0.2">
      <c r="A24" s="517" t="s">
        <v>2566</v>
      </c>
    </row>
    <row r="25" spans="1:2" x14ac:dyDescent="0.2">
      <c r="A25" s="517" t="s">
        <v>2567</v>
      </c>
    </row>
    <row r="26" spans="1:2" x14ac:dyDescent="0.2">
      <c r="A26" s="517" t="s">
        <v>2568</v>
      </c>
    </row>
    <row r="27" spans="1:2" x14ac:dyDescent="0.2">
      <c r="A27" s="517" t="s">
        <v>2569</v>
      </c>
    </row>
    <row r="28" spans="1:2" x14ac:dyDescent="0.2">
      <c r="A28" s="517" t="s">
        <v>2570</v>
      </c>
    </row>
    <row r="29" spans="1:2" x14ac:dyDescent="0.2">
      <c r="A29" s="517" t="s">
        <v>2571</v>
      </c>
    </row>
    <row r="30" spans="1:2" x14ac:dyDescent="0.2">
      <c r="A30" s="517" t="s">
        <v>2572</v>
      </c>
    </row>
    <row r="31" spans="1:2" x14ac:dyDescent="0.2">
      <c r="A31" t="s">
        <v>459</v>
      </c>
      <c r="B31">
        <v>2</v>
      </c>
    </row>
    <row r="32" spans="1:2" x14ac:dyDescent="0.2">
      <c r="A32" t="s">
        <v>57</v>
      </c>
      <c r="B32">
        <v>1</v>
      </c>
    </row>
    <row r="33" spans="1:7" x14ac:dyDescent="0.2">
      <c r="A33" t="s">
        <v>58</v>
      </c>
      <c r="B33">
        <v>3</v>
      </c>
    </row>
    <row r="34" spans="1:7" x14ac:dyDescent="0.2">
      <c r="A34" t="s">
        <v>59</v>
      </c>
    </row>
    <row r="35" spans="1:7" x14ac:dyDescent="0.2">
      <c r="A35" t="s">
        <v>60</v>
      </c>
    </row>
    <row r="36" spans="1:7" x14ac:dyDescent="0.2">
      <c r="A36" t="s">
        <v>61</v>
      </c>
    </row>
    <row r="37" spans="1:7" x14ac:dyDescent="0.2">
      <c r="A37" t="s">
        <v>135</v>
      </c>
    </row>
    <row r="38" spans="1:7" x14ac:dyDescent="0.2">
      <c r="A38" t="s">
        <v>136</v>
      </c>
      <c r="B38" t="s">
        <v>365</v>
      </c>
    </row>
    <row r="39" spans="1:7" x14ac:dyDescent="0.2">
      <c r="A39" t="s">
        <v>137</v>
      </c>
    </row>
    <row r="40" spans="1:7" x14ac:dyDescent="0.2">
      <c r="A40" t="s">
        <v>138</v>
      </c>
    </row>
    <row r="41" spans="1:7" x14ac:dyDescent="0.2">
      <c r="A41" t="s">
        <v>139</v>
      </c>
      <c r="G41" s="517"/>
    </row>
    <row r="42" spans="1:7" x14ac:dyDescent="0.2">
      <c r="A42" t="s">
        <v>140</v>
      </c>
    </row>
    <row r="43" spans="1:7" x14ac:dyDescent="0.2">
      <c r="A43" t="s">
        <v>141</v>
      </c>
    </row>
    <row r="44" spans="1:7" x14ac:dyDescent="0.2">
      <c r="A44" t="s">
        <v>142</v>
      </c>
    </row>
    <row r="45" spans="1:7" x14ac:dyDescent="0.2">
      <c r="A45" t="s">
        <v>143</v>
      </c>
    </row>
    <row r="46" spans="1:7" x14ac:dyDescent="0.2">
      <c r="A46" t="s">
        <v>144</v>
      </c>
    </row>
    <row r="47" spans="1:7" x14ac:dyDescent="0.2">
      <c r="A47" t="s">
        <v>145</v>
      </c>
    </row>
    <row r="48" spans="1:7" x14ac:dyDescent="0.2">
      <c r="A48" t="s">
        <v>146</v>
      </c>
    </row>
    <row r="49" spans="1:2" x14ac:dyDescent="0.2">
      <c r="A49" t="s">
        <v>147</v>
      </c>
      <c r="B49" t="s">
        <v>365</v>
      </c>
    </row>
    <row r="50" spans="1:2" x14ac:dyDescent="0.2">
      <c r="A50" t="s">
        <v>148</v>
      </c>
    </row>
    <row r="51" spans="1:2" x14ac:dyDescent="0.2">
      <c r="A51" s="517" t="s">
        <v>2553</v>
      </c>
    </row>
    <row r="52" spans="1:2" x14ac:dyDescent="0.2">
      <c r="A52" s="517" t="s">
        <v>2554</v>
      </c>
    </row>
    <row r="53" spans="1:2" x14ac:dyDescent="0.2">
      <c r="A53" s="517" t="s">
        <v>2555</v>
      </c>
    </row>
    <row r="54" spans="1:2" x14ac:dyDescent="0.2">
      <c r="A54" s="517" t="s">
        <v>2556</v>
      </c>
    </row>
    <row r="55" spans="1:2" x14ac:dyDescent="0.2">
      <c r="A55" s="517" t="s">
        <v>2557</v>
      </c>
    </row>
    <row r="56" spans="1:2" x14ac:dyDescent="0.2">
      <c r="A56" s="517" t="s">
        <v>2558</v>
      </c>
    </row>
    <row r="57" spans="1:2" x14ac:dyDescent="0.2">
      <c r="A57" s="517" t="s">
        <v>2559</v>
      </c>
    </row>
    <row r="58" spans="1:2" x14ac:dyDescent="0.2">
      <c r="A58" s="517" t="s">
        <v>2560</v>
      </c>
    </row>
    <row r="59" spans="1:2" x14ac:dyDescent="0.2">
      <c r="A59" s="517" t="s">
        <v>2561</v>
      </c>
    </row>
    <row r="60" spans="1:2" x14ac:dyDescent="0.2">
      <c r="A60" s="517" t="s">
        <v>2562</v>
      </c>
    </row>
    <row r="61" spans="1:2" x14ac:dyDescent="0.2">
      <c r="A61" t="s">
        <v>149</v>
      </c>
      <c r="B61" t="s">
        <v>366</v>
      </c>
    </row>
    <row r="62" spans="1:2" x14ac:dyDescent="0.2">
      <c r="A62" t="s">
        <v>150</v>
      </c>
      <c r="B62" t="s">
        <v>365</v>
      </c>
    </row>
    <row r="63" spans="1:2" x14ac:dyDescent="0.2">
      <c r="A63" t="s">
        <v>151</v>
      </c>
      <c r="B63" t="s">
        <v>365</v>
      </c>
    </row>
    <row r="64" spans="1:2" x14ac:dyDescent="0.2">
      <c r="A64" t="s">
        <v>152</v>
      </c>
    </row>
    <row r="65" spans="1:3" x14ac:dyDescent="0.2">
      <c r="A65" t="s">
        <v>484</v>
      </c>
    </row>
    <row r="66" spans="1:3" x14ac:dyDescent="0.2">
      <c r="A66" t="s">
        <v>485</v>
      </c>
    </row>
    <row r="67" spans="1:3" x14ac:dyDescent="0.2">
      <c r="A67" t="s">
        <v>506</v>
      </c>
    </row>
    <row r="68" spans="1:3" x14ac:dyDescent="0.2">
      <c r="A68" t="s">
        <v>302</v>
      </c>
      <c r="B68">
        <v>1</v>
      </c>
      <c r="C68">
        <v>1</v>
      </c>
    </row>
    <row r="69" spans="1:3" x14ac:dyDescent="0.2">
      <c r="A69" t="s">
        <v>303</v>
      </c>
    </row>
    <row r="70" spans="1:3" x14ac:dyDescent="0.2">
      <c r="A70" t="s">
        <v>304</v>
      </c>
    </row>
    <row r="71" spans="1:3" x14ac:dyDescent="0.2">
      <c r="A71" t="s">
        <v>305</v>
      </c>
    </row>
    <row r="72" spans="1:3" x14ac:dyDescent="0.2">
      <c r="A72" t="s">
        <v>573</v>
      </c>
      <c r="B72" s="517">
        <v>29.8</v>
      </c>
      <c r="C72">
        <v>100</v>
      </c>
    </row>
    <row r="73" spans="1:3" x14ac:dyDescent="0.2">
      <c r="A73" t="s">
        <v>292</v>
      </c>
      <c r="B73" s="517">
        <v>1</v>
      </c>
      <c r="C73">
        <v>1</v>
      </c>
    </row>
    <row r="74" spans="1:3" x14ac:dyDescent="0.2">
      <c r="A74" t="s">
        <v>293</v>
      </c>
      <c r="B74" s="517">
        <v>1</v>
      </c>
      <c r="C74">
        <v>1</v>
      </c>
    </row>
    <row r="75" spans="1:3" x14ac:dyDescent="0.2">
      <c r="A75" t="s">
        <v>294</v>
      </c>
      <c r="B75" s="517">
        <v>1</v>
      </c>
      <c r="C75">
        <v>1</v>
      </c>
    </row>
    <row r="76" spans="1:3" x14ac:dyDescent="0.2">
      <c r="A76" t="s">
        <v>295</v>
      </c>
      <c r="B76" s="517">
        <v>1</v>
      </c>
      <c r="C76">
        <v>1</v>
      </c>
    </row>
    <row r="77" spans="1:3" x14ac:dyDescent="0.2">
      <c r="A77" t="s">
        <v>296</v>
      </c>
      <c r="B77" s="517">
        <v>1</v>
      </c>
      <c r="C77">
        <v>1</v>
      </c>
    </row>
    <row r="78" spans="1:3" x14ac:dyDescent="0.2">
      <c r="A78" t="s">
        <v>764</v>
      </c>
      <c r="B78" s="517">
        <v>1</v>
      </c>
      <c r="C78">
        <v>1</v>
      </c>
    </row>
    <row r="79" spans="1:3" x14ac:dyDescent="0.2">
      <c r="A79" t="s">
        <v>280</v>
      </c>
      <c r="B79" s="517" t="b">
        <v>0</v>
      </c>
      <c r="C79" t="b">
        <v>0</v>
      </c>
    </row>
    <row r="80" spans="1:3" x14ac:dyDescent="0.2">
      <c r="A80" t="s">
        <v>740</v>
      </c>
    </row>
    <row r="81" spans="1:3" x14ac:dyDescent="0.2">
      <c r="A81" t="s">
        <v>281</v>
      </c>
    </row>
    <row r="82" spans="1:3" x14ac:dyDescent="0.2">
      <c r="A82" t="s">
        <v>741</v>
      </c>
    </row>
    <row r="83" spans="1:3" x14ac:dyDescent="0.2">
      <c r="A83" t="s">
        <v>306</v>
      </c>
      <c r="B83">
        <v>1</v>
      </c>
      <c r="C83">
        <v>1</v>
      </c>
    </row>
    <row r="84" spans="1:3" x14ac:dyDescent="0.2">
      <c r="A84" t="s">
        <v>307</v>
      </c>
    </row>
    <row r="85" spans="1:3" x14ac:dyDescent="0.2">
      <c r="A85" t="s">
        <v>308</v>
      </c>
    </row>
    <row r="86" spans="1:3" x14ac:dyDescent="0.2">
      <c r="A86" t="s">
        <v>309</v>
      </c>
    </row>
    <row r="87" spans="1:3" x14ac:dyDescent="0.2">
      <c r="A87" t="s">
        <v>643</v>
      </c>
      <c r="B87" t="b">
        <v>0</v>
      </c>
      <c r="C87" t="b">
        <v>0</v>
      </c>
    </row>
    <row r="88" spans="1:3" x14ac:dyDescent="0.2">
      <c r="A88" t="s">
        <v>65</v>
      </c>
    </row>
    <row r="89" spans="1:3" x14ac:dyDescent="0.2">
      <c r="A89" t="s">
        <v>1353</v>
      </c>
      <c r="C89">
        <v>1</v>
      </c>
    </row>
    <row r="90" spans="1:3" x14ac:dyDescent="0.2">
      <c r="A90" t="s">
        <v>1354</v>
      </c>
    </row>
    <row r="91" spans="1:3" x14ac:dyDescent="0.2">
      <c r="A91" t="s">
        <v>1355</v>
      </c>
    </row>
    <row r="92" spans="1:3" x14ac:dyDescent="0.2">
      <c r="A92" t="s">
        <v>1356</v>
      </c>
    </row>
    <row r="93" spans="1:3" x14ac:dyDescent="0.2">
      <c r="A93" t="s">
        <v>1357</v>
      </c>
    </row>
    <row r="94" spans="1:3" x14ac:dyDescent="0.2">
      <c r="A94" t="s">
        <v>1358</v>
      </c>
    </row>
    <row r="95" spans="1:3" x14ac:dyDescent="0.2">
      <c r="A95" t="s">
        <v>1359</v>
      </c>
    </row>
    <row r="96" spans="1:3" x14ac:dyDescent="0.2">
      <c r="A96" t="s">
        <v>1360</v>
      </c>
    </row>
    <row r="97" spans="1:1" x14ac:dyDescent="0.2">
      <c r="A97" t="s">
        <v>1361</v>
      </c>
    </row>
    <row r="98" spans="1:1" x14ac:dyDescent="0.2">
      <c r="A98" t="s">
        <v>1362</v>
      </c>
    </row>
    <row r="99" spans="1:1" x14ac:dyDescent="0.2">
      <c r="A99" t="s">
        <v>1363</v>
      </c>
    </row>
    <row r="100" spans="1:1" x14ac:dyDescent="0.2">
      <c r="A100" t="s">
        <v>1364</v>
      </c>
    </row>
    <row r="101" spans="1:1" x14ac:dyDescent="0.2">
      <c r="A101" t="s">
        <v>1365</v>
      </c>
    </row>
    <row r="102" spans="1:1" x14ac:dyDescent="0.2">
      <c r="A102" t="s">
        <v>1366</v>
      </c>
    </row>
    <row r="103" spans="1:1" x14ac:dyDescent="0.2">
      <c r="A103" t="s">
        <v>1367</v>
      </c>
    </row>
    <row r="104" spans="1:1" x14ac:dyDescent="0.2">
      <c r="A104" t="s">
        <v>1368</v>
      </c>
    </row>
    <row r="105" spans="1:1" x14ac:dyDescent="0.2">
      <c r="A105" t="s">
        <v>1369</v>
      </c>
    </row>
    <row r="106" spans="1:1" x14ac:dyDescent="0.2">
      <c r="A106" t="s">
        <v>1370</v>
      </c>
    </row>
    <row r="107" spans="1:1" x14ac:dyDescent="0.2">
      <c r="A107" t="s">
        <v>1371</v>
      </c>
    </row>
    <row r="108" spans="1:1" x14ac:dyDescent="0.2">
      <c r="A108" t="s">
        <v>1372</v>
      </c>
    </row>
    <row r="109" spans="1:1" x14ac:dyDescent="0.2">
      <c r="A109" t="s">
        <v>1451</v>
      </c>
    </row>
    <row r="110" spans="1:1" x14ac:dyDescent="0.2">
      <c r="A110" t="s">
        <v>1452</v>
      </c>
    </row>
    <row r="111" spans="1:1" x14ac:dyDescent="0.2">
      <c r="A111" t="s">
        <v>1373</v>
      </c>
    </row>
    <row r="112" spans="1:1" x14ac:dyDescent="0.2">
      <c r="A112" t="s">
        <v>1453</v>
      </c>
    </row>
    <row r="113" spans="1:1" x14ac:dyDescent="0.2">
      <c r="A113" t="s">
        <v>1454</v>
      </c>
    </row>
    <row r="114" spans="1:1" x14ac:dyDescent="0.2">
      <c r="A114" t="s">
        <v>1374</v>
      </c>
    </row>
    <row r="115" spans="1:1" x14ac:dyDescent="0.2">
      <c r="A115" t="s">
        <v>1375</v>
      </c>
    </row>
    <row r="116" spans="1:1" x14ac:dyDescent="0.2">
      <c r="A116" t="s">
        <v>1376</v>
      </c>
    </row>
    <row r="117" spans="1:1" x14ac:dyDescent="0.2">
      <c r="A117" t="s">
        <v>1377</v>
      </c>
    </row>
    <row r="118" spans="1:1" x14ac:dyDescent="0.2">
      <c r="A118" t="s">
        <v>1378</v>
      </c>
    </row>
    <row r="119" spans="1:1" x14ac:dyDescent="0.2">
      <c r="A119" t="s">
        <v>1379</v>
      </c>
    </row>
    <row r="120" spans="1:1" x14ac:dyDescent="0.2">
      <c r="A120" t="s">
        <v>1380</v>
      </c>
    </row>
    <row r="121" spans="1:1" x14ac:dyDescent="0.2">
      <c r="A121" t="s">
        <v>1381</v>
      </c>
    </row>
    <row r="122" spans="1:1" x14ac:dyDescent="0.2">
      <c r="A122" t="s">
        <v>1382</v>
      </c>
    </row>
    <row r="123" spans="1:1" x14ac:dyDescent="0.2">
      <c r="A123" t="s">
        <v>1383</v>
      </c>
    </row>
    <row r="124" spans="1:1" x14ac:dyDescent="0.2">
      <c r="A124" t="s">
        <v>1384</v>
      </c>
    </row>
    <row r="125" spans="1:1" x14ac:dyDescent="0.2">
      <c r="A125" t="s">
        <v>1385</v>
      </c>
    </row>
    <row r="126" spans="1:1" x14ac:dyDescent="0.2">
      <c r="A126" t="s">
        <v>1386</v>
      </c>
    </row>
    <row r="127" spans="1:1" x14ac:dyDescent="0.2">
      <c r="A127" t="s">
        <v>1387</v>
      </c>
    </row>
    <row r="128" spans="1:1" x14ac:dyDescent="0.2">
      <c r="A128" t="s">
        <v>1388</v>
      </c>
    </row>
    <row r="129" spans="1:1" x14ac:dyDescent="0.2">
      <c r="A129" t="s">
        <v>1389</v>
      </c>
    </row>
    <row r="130" spans="1:1" x14ac:dyDescent="0.2">
      <c r="A130" t="s">
        <v>1390</v>
      </c>
    </row>
    <row r="131" spans="1:1" x14ac:dyDescent="0.2">
      <c r="A131" t="s">
        <v>1391</v>
      </c>
    </row>
    <row r="132" spans="1:1" x14ac:dyDescent="0.2">
      <c r="A132" t="s">
        <v>1392</v>
      </c>
    </row>
    <row r="133" spans="1:1" x14ac:dyDescent="0.2">
      <c r="A133" t="s">
        <v>1393</v>
      </c>
    </row>
    <row r="134" spans="1:1" x14ac:dyDescent="0.2">
      <c r="A134" t="s">
        <v>1394</v>
      </c>
    </row>
    <row r="135" spans="1:1" x14ac:dyDescent="0.2">
      <c r="A135" t="s">
        <v>1395</v>
      </c>
    </row>
    <row r="136" spans="1:1" x14ac:dyDescent="0.2">
      <c r="A136" t="s">
        <v>1396</v>
      </c>
    </row>
    <row r="137" spans="1:1" x14ac:dyDescent="0.2">
      <c r="A137" t="s">
        <v>1397</v>
      </c>
    </row>
    <row r="138" spans="1:1" x14ac:dyDescent="0.2">
      <c r="A138" t="s">
        <v>1398</v>
      </c>
    </row>
    <row r="139" spans="1:1" x14ac:dyDescent="0.2">
      <c r="A139" t="s">
        <v>1399</v>
      </c>
    </row>
    <row r="140" spans="1:1" x14ac:dyDescent="0.2">
      <c r="A140" t="s">
        <v>1447</v>
      </c>
    </row>
    <row r="141" spans="1:1" x14ac:dyDescent="0.2">
      <c r="A141" t="s">
        <v>1448</v>
      </c>
    </row>
    <row r="142" spans="1:1" x14ac:dyDescent="0.2">
      <c r="A142" t="s">
        <v>1400</v>
      </c>
    </row>
    <row r="143" spans="1:1" x14ac:dyDescent="0.2">
      <c r="A143" t="s">
        <v>1449</v>
      </c>
    </row>
    <row r="144" spans="1:1" x14ac:dyDescent="0.2">
      <c r="A144" t="s">
        <v>1450</v>
      </c>
    </row>
    <row r="145" spans="1:1" x14ac:dyDescent="0.2">
      <c r="A145" t="s">
        <v>1401</v>
      </c>
    </row>
    <row r="146" spans="1:1" x14ac:dyDescent="0.2">
      <c r="A146" t="s">
        <v>1402</v>
      </c>
    </row>
    <row r="147" spans="1:1" x14ac:dyDescent="0.2">
      <c r="A147" t="s">
        <v>1403</v>
      </c>
    </row>
    <row r="148" spans="1:1" x14ac:dyDescent="0.2">
      <c r="A148" t="s">
        <v>1404</v>
      </c>
    </row>
    <row r="149" spans="1:1" x14ac:dyDescent="0.2">
      <c r="A149" t="s">
        <v>1405</v>
      </c>
    </row>
    <row r="150" spans="1:1" x14ac:dyDescent="0.2">
      <c r="A150" t="s">
        <v>1406</v>
      </c>
    </row>
    <row r="151" spans="1:1" x14ac:dyDescent="0.2">
      <c r="A151" t="s">
        <v>1407</v>
      </c>
    </row>
    <row r="152" spans="1:1" x14ac:dyDescent="0.2">
      <c r="A152" t="s">
        <v>1408</v>
      </c>
    </row>
    <row r="153" spans="1:1" x14ac:dyDescent="0.2">
      <c r="A153" t="s">
        <v>1409</v>
      </c>
    </row>
    <row r="154" spans="1:1" x14ac:dyDescent="0.2">
      <c r="A154" t="s">
        <v>1410</v>
      </c>
    </row>
    <row r="155" spans="1:1" x14ac:dyDescent="0.2">
      <c r="A155" t="s">
        <v>1411</v>
      </c>
    </row>
    <row r="156" spans="1:1" x14ac:dyDescent="0.2">
      <c r="A156" t="s">
        <v>1412</v>
      </c>
    </row>
    <row r="157" spans="1:1" x14ac:dyDescent="0.2">
      <c r="A157" t="s">
        <v>1413</v>
      </c>
    </row>
    <row r="158" spans="1:1" x14ac:dyDescent="0.2">
      <c r="A158" t="s">
        <v>1414</v>
      </c>
    </row>
    <row r="159" spans="1:1" x14ac:dyDescent="0.2">
      <c r="A159" t="s">
        <v>1415</v>
      </c>
    </row>
    <row r="160" spans="1:1" x14ac:dyDescent="0.2">
      <c r="A160" t="s">
        <v>1416</v>
      </c>
    </row>
    <row r="161" spans="1:1" x14ac:dyDescent="0.2">
      <c r="A161" t="s">
        <v>1417</v>
      </c>
    </row>
    <row r="162" spans="1:1" x14ac:dyDescent="0.2">
      <c r="A162" t="s">
        <v>1418</v>
      </c>
    </row>
    <row r="163" spans="1:1" x14ac:dyDescent="0.2">
      <c r="A163" t="s">
        <v>1419</v>
      </c>
    </row>
    <row r="164" spans="1:1" x14ac:dyDescent="0.2">
      <c r="A164" t="s">
        <v>1420</v>
      </c>
    </row>
    <row r="165" spans="1:1" x14ac:dyDescent="0.2">
      <c r="A165" t="s">
        <v>1421</v>
      </c>
    </row>
    <row r="166" spans="1:1" x14ac:dyDescent="0.2">
      <c r="A166" t="s">
        <v>1422</v>
      </c>
    </row>
    <row r="167" spans="1:1" x14ac:dyDescent="0.2">
      <c r="A167" t="s">
        <v>1423</v>
      </c>
    </row>
    <row r="168" spans="1:1" x14ac:dyDescent="0.2">
      <c r="A168" t="s">
        <v>1424</v>
      </c>
    </row>
    <row r="169" spans="1:1" x14ac:dyDescent="0.2">
      <c r="A169" t="s">
        <v>1425</v>
      </c>
    </row>
    <row r="170" spans="1:1" x14ac:dyDescent="0.2">
      <c r="A170" t="s">
        <v>1426</v>
      </c>
    </row>
    <row r="171" spans="1:1" x14ac:dyDescent="0.2">
      <c r="A171" t="s">
        <v>1443</v>
      </c>
    </row>
    <row r="172" spans="1:1" x14ac:dyDescent="0.2">
      <c r="A172" t="s">
        <v>1444</v>
      </c>
    </row>
    <row r="173" spans="1:1" x14ac:dyDescent="0.2">
      <c r="A173" t="s">
        <v>1427</v>
      </c>
    </row>
    <row r="174" spans="1:1" x14ac:dyDescent="0.2">
      <c r="A174" t="s">
        <v>1445</v>
      </c>
    </row>
    <row r="175" spans="1:1" x14ac:dyDescent="0.2">
      <c r="A175" t="s">
        <v>1446</v>
      </c>
    </row>
    <row r="176" spans="1:1" x14ac:dyDescent="0.2">
      <c r="A176" t="s">
        <v>1428</v>
      </c>
    </row>
    <row r="177" spans="1:1" x14ac:dyDescent="0.2">
      <c r="A177" t="s">
        <v>1429</v>
      </c>
    </row>
    <row r="178" spans="1:1" x14ac:dyDescent="0.2">
      <c r="A178" t="s">
        <v>1430</v>
      </c>
    </row>
    <row r="179" spans="1:1" x14ac:dyDescent="0.2">
      <c r="A179" t="s">
        <v>1431</v>
      </c>
    </row>
    <row r="180" spans="1:1" x14ac:dyDescent="0.2">
      <c r="A180" t="s">
        <v>1432</v>
      </c>
    </row>
    <row r="181" spans="1:1" x14ac:dyDescent="0.2">
      <c r="A181" t="s">
        <v>1433</v>
      </c>
    </row>
    <row r="182" spans="1:1" x14ac:dyDescent="0.2">
      <c r="A182" t="s">
        <v>713</v>
      </c>
    </row>
    <row r="183" spans="1:1" x14ac:dyDescent="0.2">
      <c r="A183" t="s">
        <v>714</v>
      </c>
    </row>
    <row r="184" spans="1:1" x14ac:dyDescent="0.2">
      <c r="A184" t="s">
        <v>715</v>
      </c>
    </row>
    <row r="185" spans="1:1" x14ac:dyDescent="0.2">
      <c r="A185" t="s">
        <v>716</v>
      </c>
    </row>
    <row r="186" spans="1:1" x14ac:dyDescent="0.2">
      <c r="A186" t="s">
        <v>717</v>
      </c>
    </row>
    <row r="187" spans="1:1" x14ac:dyDescent="0.2">
      <c r="A187" t="s">
        <v>718</v>
      </c>
    </row>
    <row r="188" spans="1:1" x14ac:dyDescent="0.2">
      <c r="A188" t="s">
        <v>719</v>
      </c>
    </row>
    <row r="189" spans="1:1" x14ac:dyDescent="0.2">
      <c r="A189" t="s">
        <v>153</v>
      </c>
    </row>
    <row r="190" spans="1:1" x14ac:dyDescent="0.2">
      <c r="A190" t="s">
        <v>154</v>
      </c>
    </row>
    <row r="191" spans="1:1" x14ac:dyDescent="0.2">
      <c r="A191" t="s">
        <v>155</v>
      </c>
    </row>
    <row r="192" spans="1:1" x14ac:dyDescent="0.2">
      <c r="A192" t="s">
        <v>156</v>
      </c>
    </row>
    <row r="193" spans="1:1" x14ac:dyDescent="0.2">
      <c r="A193" t="s">
        <v>157</v>
      </c>
    </row>
    <row r="194" spans="1:1" x14ac:dyDescent="0.2">
      <c r="A194" t="s">
        <v>158</v>
      </c>
    </row>
    <row r="195" spans="1:1" x14ac:dyDescent="0.2">
      <c r="A195" t="s">
        <v>159</v>
      </c>
    </row>
    <row r="196" spans="1:1" x14ac:dyDescent="0.2">
      <c r="A196" t="s">
        <v>160</v>
      </c>
    </row>
    <row r="197" spans="1:1" x14ac:dyDescent="0.2">
      <c r="A197" s="517" t="s">
        <v>161</v>
      </c>
    </row>
    <row r="198" spans="1:1" x14ac:dyDescent="0.2">
      <c r="A198" s="517" t="s">
        <v>162</v>
      </c>
    </row>
    <row r="199" spans="1:1" x14ac:dyDescent="0.2">
      <c r="A199" s="517" t="s">
        <v>163</v>
      </c>
    </row>
    <row r="200" spans="1:1" x14ac:dyDescent="0.2">
      <c r="A200" s="517" t="s">
        <v>164</v>
      </c>
    </row>
    <row r="201" spans="1:1" x14ac:dyDescent="0.2">
      <c r="A201" s="517" t="s">
        <v>165</v>
      </c>
    </row>
    <row r="202" spans="1:1" x14ac:dyDescent="0.2">
      <c r="A202" s="517" t="s">
        <v>1439</v>
      </c>
    </row>
    <row r="203" spans="1:1" x14ac:dyDescent="0.2">
      <c r="A203" s="517" t="s">
        <v>1440</v>
      </c>
    </row>
    <row r="204" spans="1:1" x14ac:dyDescent="0.2">
      <c r="A204" s="517" t="s">
        <v>166</v>
      </c>
    </row>
    <row r="205" spans="1:1" x14ac:dyDescent="0.2">
      <c r="A205" s="517" t="s">
        <v>1441</v>
      </c>
    </row>
    <row r="206" spans="1:1" x14ac:dyDescent="0.2">
      <c r="A206" s="517" t="s">
        <v>1442</v>
      </c>
    </row>
    <row r="207" spans="1:1" x14ac:dyDescent="0.2">
      <c r="A207" s="517" t="s">
        <v>167</v>
      </c>
    </row>
    <row r="208" spans="1:1" x14ac:dyDescent="0.2">
      <c r="A208" s="517" t="s">
        <v>168</v>
      </c>
    </row>
    <row r="209" spans="1:1" x14ac:dyDescent="0.2">
      <c r="A209" s="517" t="s">
        <v>169</v>
      </c>
    </row>
    <row r="210" spans="1:1" x14ac:dyDescent="0.2">
      <c r="A210" s="517" t="s">
        <v>170</v>
      </c>
    </row>
    <row r="211" spans="1:1" x14ac:dyDescent="0.2">
      <c r="A211" s="517" t="s">
        <v>171</v>
      </c>
    </row>
    <row r="212" spans="1:1" x14ac:dyDescent="0.2">
      <c r="A212" s="517" t="s">
        <v>172</v>
      </c>
    </row>
    <row r="213" spans="1:1" x14ac:dyDescent="0.2">
      <c r="A213" s="517" t="s">
        <v>774</v>
      </c>
    </row>
    <row r="214" spans="1:1" x14ac:dyDescent="0.2">
      <c r="A214" s="517" t="s">
        <v>775</v>
      </c>
    </row>
    <row r="215" spans="1:1" x14ac:dyDescent="0.2">
      <c r="A215" s="517" t="s">
        <v>776</v>
      </c>
    </row>
    <row r="216" spans="1:1" x14ac:dyDescent="0.2">
      <c r="A216" s="517" t="s">
        <v>777</v>
      </c>
    </row>
    <row r="217" spans="1:1" x14ac:dyDescent="0.2">
      <c r="A217" s="517" t="s">
        <v>778</v>
      </c>
    </row>
    <row r="218" spans="1:1" x14ac:dyDescent="0.2">
      <c r="A218" t="s">
        <v>779</v>
      </c>
    </row>
    <row r="219" spans="1:1" x14ac:dyDescent="0.2">
      <c r="A219" t="s">
        <v>780</v>
      </c>
    </row>
    <row r="220" spans="1:1" x14ac:dyDescent="0.2">
      <c r="A220" t="s">
        <v>781</v>
      </c>
    </row>
    <row r="221" spans="1:1" x14ac:dyDescent="0.2">
      <c r="A221" t="s">
        <v>201</v>
      </c>
    </row>
    <row r="222" spans="1:1" x14ac:dyDescent="0.2">
      <c r="A222" t="s">
        <v>202</v>
      </c>
    </row>
    <row r="223" spans="1:1" x14ac:dyDescent="0.2">
      <c r="A223" t="s">
        <v>203</v>
      </c>
    </row>
    <row r="224" spans="1:1" x14ac:dyDescent="0.2">
      <c r="A224" t="s">
        <v>782</v>
      </c>
    </row>
    <row r="225" spans="1:1" x14ac:dyDescent="0.2">
      <c r="A225" t="s">
        <v>204</v>
      </c>
    </row>
    <row r="226" spans="1:1" x14ac:dyDescent="0.2">
      <c r="A226" t="s">
        <v>205</v>
      </c>
    </row>
    <row r="227" spans="1:1" x14ac:dyDescent="0.2">
      <c r="A227" t="s">
        <v>206</v>
      </c>
    </row>
    <row r="228" spans="1:1" x14ac:dyDescent="0.2">
      <c r="A228" t="s">
        <v>207</v>
      </c>
    </row>
    <row r="229" spans="1:1" x14ac:dyDescent="0.2">
      <c r="A229" t="s">
        <v>208</v>
      </c>
    </row>
    <row r="230" spans="1:1" x14ac:dyDescent="0.2">
      <c r="A230" t="s">
        <v>209</v>
      </c>
    </row>
    <row r="231" spans="1:1" x14ac:dyDescent="0.2">
      <c r="A231" t="s">
        <v>210</v>
      </c>
    </row>
    <row r="232" spans="1:1" x14ac:dyDescent="0.2">
      <c r="A232" t="s">
        <v>211</v>
      </c>
    </row>
    <row r="233" spans="1:1" x14ac:dyDescent="0.2">
      <c r="A233" t="s">
        <v>1434</v>
      </c>
    </row>
    <row r="234" spans="1:1" x14ac:dyDescent="0.2">
      <c r="A234" t="s">
        <v>1435</v>
      </c>
    </row>
    <row r="235" spans="1:1" x14ac:dyDescent="0.2">
      <c r="A235" t="s">
        <v>783</v>
      </c>
    </row>
    <row r="236" spans="1:1" x14ac:dyDescent="0.2">
      <c r="A236" t="s">
        <v>1436</v>
      </c>
    </row>
    <row r="237" spans="1:1" x14ac:dyDescent="0.2">
      <c r="A237" t="s">
        <v>1437</v>
      </c>
    </row>
    <row r="238" spans="1:1" x14ac:dyDescent="0.2">
      <c r="A238" t="s">
        <v>1438</v>
      </c>
    </row>
    <row r="239" spans="1:1" x14ac:dyDescent="0.2">
      <c r="A239" t="s">
        <v>288</v>
      </c>
    </row>
    <row r="240" spans="1:1" x14ac:dyDescent="0.2">
      <c r="A240" t="s">
        <v>289</v>
      </c>
    </row>
    <row r="241" spans="1:3" x14ac:dyDescent="0.2">
      <c r="A241" t="s">
        <v>290</v>
      </c>
    </row>
    <row r="242" spans="1:3" x14ac:dyDescent="0.2">
      <c r="A242" t="s">
        <v>291</v>
      </c>
    </row>
    <row r="243" spans="1:3" x14ac:dyDescent="0.2">
      <c r="A243" t="s">
        <v>605</v>
      </c>
    </row>
    <row r="244" spans="1:3" x14ac:dyDescent="0.2">
      <c r="A244" t="s">
        <v>606</v>
      </c>
    </row>
    <row r="245" spans="1:3" x14ac:dyDescent="0.2">
      <c r="A245" t="s">
        <v>266</v>
      </c>
      <c r="B245">
        <v>45</v>
      </c>
      <c r="C245">
        <v>80</v>
      </c>
    </row>
    <row r="246" spans="1:3" x14ac:dyDescent="0.2">
      <c r="A246" t="s">
        <v>701</v>
      </c>
      <c r="B246">
        <v>0</v>
      </c>
      <c r="C246">
        <v>0</v>
      </c>
    </row>
    <row r="247" spans="1:3" x14ac:dyDescent="0.2">
      <c r="A247" t="s">
        <v>75</v>
      </c>
      <c r="B247">
        <v>1</v>
      </c>
    </row>
    <row r="248" spans="1:3" x14ac:dyDescent="0.2">
      <c r="A248" t="s">
        <v>76</v>
      </c>
    </row>
    <row r="249" spans="1:3" x14ac:dyDescent="0.2">
      <c r="A249" t="s">
        <v>332</v>
      </c>
    </row>
    <row r="250" spans="1:3" x14ac:dyDescent="0.2">
      <c r="A250" t="s">
        <v>311</v>
      </c>
    </row>
    <row r="251" spans="1:3" x14ac:dyDescent="0.2">
      <c r="A251" t="s">
        <v>312</v>
      </c>
    </row>
    <row r="252" spans="1:3" x14ac:dyDescent="0.2">
      <c r="A252" t="s">
        <v>313</v>
      </c>
    </row>
    <row r="253" spans="1:3" x14ac:dyDescent="0.2">
      <c r="A253" t="s">
        <v>126</v>
      </c>
    </row>
    <row r="254" spans="1:3" x14ac:dyDescent="0.2">
      <c r="A254" t="s">
        <v>127</v>
      </c>
    </row>
    <row r="255" spans="1:3" x14ac:dyDescent="0.2">
      <c r="A255" t="s">
        <v>128</v>
      </c>
    </row>
    <row r="256" spans="1:3" x14ac:dyDescent="0.2">
      <c r="A256" t="s">
        <v>673</v>
      </c>
    </row>
    <row r="257" spans="1:7" x14ac:dyDescent="0.2">
      <c r="A257" t="s">
        <v>674</v>
      </c>
    </row>
    <row r="258" spans="1:7" x14ac:dyDescent="0.2">
      <c r="A258" t="s">
        <v>675</v>
      </c>
      <c r="B258">
        <v>1</v>
      </c>
    </row>
    <row r="259" spans="1:7" x14ac:dyDescent="0.2">
      <c r="A259" t="s">
        <v>676</v>
      </c>
    </row>
    <row r="260" spans="1:7" x14ac:dyDescent="0.2">
      <c r="A260" t="s">
        <v>677</v>
      </c>
      <c r="B260">
        <v>2</v>
      </c>
    </row>
    <row r="261" spans="1:7" x14ac:dyDescent="0.2">
      <c r="A261" t="s">
        <v>551</v>
      </c>
      <c r="B261">
        <v>1</v>
      </c>
    </row>
    <row r="262" spans="1:7" x14ac:dyDescent="0.2">
      <c r="A262" t="s">
        <v>552</v>
      </c>
      <c r="B262">
        <v>3</v>
      </c>
    </row>
    <row r="263" spans="1:7" x14ac:dyDescent="0.2">
      <c r="A263" t="s">
        <v>553</v>
      </c>
    </row>
    <row r="264" spans="1:7" x14ac:dyDescent="0.2">
      <c r="A264" t="s">
        <v>554</v>
      </c>
    </row>
    <row r="265" spans="1:7" x14ac:dyDescent="0.2">
      <c r="A265" t="s">
        <v>601</v>
      </c>
    </row>
    <row r="266" spans="1:7" x14ac:dyDescent="0.2">
      <c r="A266" t="s">
        <v>602</v>
      </c>
    </row>
    <row r="267" spans="1:7" x14ac:dyDescent="0.2">
      <c r="A267" t="s">
        <v>314</v>
      </c>
      <c r="B267">
        <v>0</v>
      </c>
      <c r="G267" s="517"/>
    </row>
    <row r="268" spans="1:7" x14ac:dyDescent="0.2">
      <c r="A268" t="s">
        <v>315</v>
      </c>
    </row>
    <row r="269" spans="1:7" x14ac:dyDescent="0.2">
      <c r="A269" t="s">
        <v>316</v>
      </c>
    </row>
    <row r="270" spans="1:7" x14ac:dyDescent="0.2">
      <c r="A270" t="s">
        <v>317</v>
      </c>
    </row>
    <row r="271" spans="1:7" x14ac:dyDescent="0.2">
      <c r="A271" t="s">
        <v>318</v>
      </c>
    </row>
    <row r="272" spans="1:7" x14ac:dyDescent="0.2">
      <c r="A272" t="s">
        <v>319</v>
      </c>
    </row>
    <row r="273" spans="1:4" x14ac:dyDescent="0.2">
      <c r="A273" t="s">
        <v>678</v>
      </c>
    </row>
    <row r="274" spans="1:4" x14ac:dyDescent="0.2">
      <c r="A274" t="s">
        <v>679</v>
      </c>
    </row>
    <row r="275" spans="1:4" x14ac:dyDescent="0.2">
      <c r="A275" t="s">
        <v>680</v>
      </c>
    </row>
    <row r="276" spans="1:4" x14ac:dyDescent="0.2">
      <c r="A276" t="s">
        <v>681</v>
      </c>
    </row>
    <row r="277" spans="1:4" x14ac:dyDescent="0.2">
      <c r="A277" t="s">
        <v>486</v>
      </c>
    </row>
    <row r="278" spans="1:4" x14ac:dyDescent="0.2">
      <c r="A278" t="s">
        <v>487</v>
      </c>
    </row>
    <row r="279" spans="1:4" x14ac:dyDescent="0.2">
      <c r="A279" t="s">
        <v>488</v>
      </c>
    </row>
    <row r="280" spans="1:4" x14ac:dyDescent="0.2">
      <c r="A280" s="517" t="s">
        <v>2603</v>
      </c>
    </row>
    <row r="281" spans="1:4" x14ac:dyDescent="0.2">
      <c r="A281" s="517" t="s">
        <v>2604</v>
      </c>
    </row>
    <row r="282" spans="1:4" s="517" customFormat="1" x14ac:dyDescent="0.2">
      <c r="A282" s="517" t="s">
        <v>2605</v>
      </c>
      <c r="B282"/>
      <c r="C282"/>
      <c r="D282"/>
    </row>
    <row r="283" spans="1:4" s="517" customFormat="1" x14ac:dyDescent="0.2">
      <c r="A283" s="517" t="s">
        <v>2606</v>
      </c>
      <c r="B283"/>
      <c r="C283"/>
      <c r="D283"/>
    </row>
    <row r="284" spans="1:4" s="517" customFormat="1" x14ac:dyDescent="0.2">
      <c r="A284" s="517" t="s">
        <v>2607</v>
      </c>
      <c r="B284"/>
      <c r="C284"/>
      <c r="D284"/>
    </row>
    <row r="285" spans="1:4" s="517" customFormat="1" x14ac:dyDescent="0.2">
      <c r="A285" s="517" t="s">
        <v>2608</v>
      </c>
      <c r="B285"/>
      <c r="C285"/>
      <c r="D285"/>
    </row>
    <row r="286" spans="1:4" s="517" customFormat="1" x14ac:dyDescent="0.2">
      <c r="A286" s="517" t="s">
        <v>2609</v>
      </c>
      <c r="B286"/>
      <c r="C286"/>
      <c r="D286"/>
    </row>
    <row r="287" spans="1:4" s="517" customFormat="1" x14ac:dyDescent="0.2">
      <c r="A287" s="517" t="s">
        <v>2610</v>
      </c>
      <c r="B287"/>
      <c r="C287"/>
      <c r="D287"/>
    </row>
    <row r="288" spans="1:4" s="517" customFormat="1" x14ac:dyDescent="0.2">
      <c r="A288" s="517" t="s">
        <v>2611</v>
      </c>
      <c r="B288"/>
      <c r="C288"/>
      <c r="D288"/>
    </row>
    <row r="289" spans="1:4" s="517" customFormat="1" x14ac:dyDescent="0.2">
      <c r="A289" s="517" t="s">
        <v>2612</v>
      </c>
      <c r="B289"/>
      <c r="C289"/>
      <c r="D289"/>
    </row>
    <row r="290" spans="1:4" s="517" customFormat="1" x14ac:dyDescent="0.2">
      <c r="A290" t="s">
        <v>897</v>
      </c>
      <c r="B290"/>
      <c r="C290"/>
      <c r="D290"/>
    </row>
    <row r="291" spans="1:4" s="517" customFormat="1" x14ac:dyDescent="0.2">
      <c r="A291" t="s">
        <v>342</v>
      </c>
      <c r="B291"/>
      <c r="C291"/>
      <c r="D291"/>
    </row>
    <row r="292" spans="1:4" x14ac:dyDescent="0.2">
      <c r="A292" t="s">
        <v>343</v>
      </c>
    </row>
    <row r="293" spans="1:4" x14ac:dyDescent="0.2">
      <c r="A293" t="s">
        <v>344</v>
      </c>
    </row>
    <row r="294" spans="1:4" x14ac:dyDescent="0.2">
      <c r="A294" t="s">
        <v>784</v>
      </c>
    </row>
    <row r="295" spans="1:4" x14ac:dyDescent="0.2">
      <c r="A295" t="s">
        <v>785</v>
      </c>
    </row>
    <row r="296" spans="1:4" x14ac:dyDescent="0.2">
      <c r="A296" t="s">
        <v>786</v>
      </c>
    </row>
    <row r="297" spans="1:4" x14ac:dyDescent="0.2">
      <c r="A297" t="s">
        <v>787</v>
      </c>
      <c r="B297">
        <v>1</v>
      </c>
      <c r="C297">
        <v>1</v>
      </c>
    </row>
    <row r="298" spans="1:4" x14ac:dyDescent="0.2">
      <c r="A298" t="s">
        <v>788</v>
      </c>
      <c r="B298">
        <v>1</v>
      </c>
      <c r="C298">
        <v>1</v>
      </c>
    </row>
    <row r="299" spans="1:4" x14ac:dyDescent="0.2">
      <c r="A299" t="s">
        <v>789</v>
      </c>
    </row>
    <row r="300" spans="1:4" x14ac:dyDescent="0.2">
      <c r="A300" t="s">
        <v>790</v>
      </c>
    </row>
    <row r="301" spans="1:4" x14ac:dyDescent="0.2">
      <c r="A301" t="s">
        <v>791</v>
      </c>
    </row>
    <row r="302" spans="1:4" x14ac:dyDescent="0.2">
      <c r="A302" t="s">
        <v>841</v>
      </c>
    </row>
    <row r="303" spans="1:4" x14ac:dyDescent="0.2">
      <c r="A303" t="s">
        <v>842</v>
      </c>
    </row>
    <row r="304" spans="1:4" x14ac:dyDescent="0.2">
      <c r="A304" t="s">
        <v>843</v>
      </c>
      <c r="B304">
        <v>1</v>
      </c>
      <c r="C304">
        <v>1</v>
      </c>
    </row>
    <row r="305" spans="1:4" x14ac:dyDescent="0.2">
      <c r="A305" t="s">
        <v>844</v>
      </c>
      <c r="B305">
        <v>1</v>
      </c>
      <c r="C305">
        <v>1</v>
      </c>
    </row>
    <row r="306" spans="1:4" x14ac:dyDescent="0.2">
      <c r="A306" t="s">
        <v>845</v>
      </c>
      <c r="B306">
        <v>1</v>
      </c>
      <c r="C306">
        <v>1</v>
      </c>
    </row>
    <row r="307" spans="1:4" x14ac:dyDescent="0.2">
      <c r="A307" t="s">
        <v>846</v>
      </c>
      <c r="B307">
        <v>1</v>
      </c>
      <c r="C307">
        <v>1</v>
      </c>
    </row>
    <row r="308" spans="1:4" x14ac:dyDescent="0.2">
      <c r="A308" t="s">
        <v>847</v>
      </c>
      <c r="B308">
        <v>1</v>
      </c>
      <c r="C308">
        <v>1</v>
      </c>
    </row>
    <row r="309" spans="1:4" x14ac:dyDescent="0.2">
      <c r="A309" t="s">
        <v>498</v>
      </c>
      <c r="B309">
        <v>1</v>
      </c>
      <c r="C309">
        <v>1</v>
      </c>
    </row>
    <row r="310" spans="1:4" x14ac:dyDescent="0.2">
      <c r="A310" t="s">
        <v>499</v>
      </c>
      <c r="B310">
        <v>1</v>
      </c>
      <c r="C310">
        <v>1</v>
      </c>
    </row>
    <row r="311" spans="1:4" x14ac:dyDescent="0.2">
      <c r="A311" t="s">
        <v>500</v>
      </c>
      <c r="B311">
        <v>1</v>
      </c>
      <c r="C311">
        <v>1</v>
      </c>
    </row>
    <row r="312" spans="1:4" x14ac:dyDescent="0.2">
      <c r="A312" s="517" t="s">
        <v>2019</v>
      </c>
      <c r="B312" s="517"/>
      <c r="C312" s="517"/>
      <c r="D312" s="517"/>
    </row>
    <row r="313" spans="1:4" x14ac:dyDescent="0.2">
      <c r="A313" s="517" t="s">
        <v>2020</v>
      </c>
      <c r="B313" s="517"/>
      <c r="C313" s="517"/>
      <c r="D313" s="517"/>
    </row>
    <row r="314" spans="1:4" x14ac:dyDescent="0.2">
      <c r="A314" s="517" t="s">
        <v>2021</v>
      </c>
      <c r="B314" s="517"/>
      <c r="C314" s="517"/>
      <c r="D314" s="517"/>
    </row>
    <row r="315" spans="1:4" x14ac:dyDescent="0.2">
      <c r="A315" s="517" t="s">
        <v>2022</v>
      </c>
      <c r="B315" s="517"/>
      <c r="C315" s="517"/>
      <c r="D315" s="517"/>
    </row>
    <row r="316" spans="1:4" x14ac:dyDescent="0.2">
      <c r="A316" s="517" t="s">
        <v>2023</v>
      </c>
      <c r="B316" s="517"/>
      <c r="C316" s="517"/>
      <c r="D316" s="517"/>
    </row>
    <row r="317" spans="1:4" x14ac:dyDescent="0.2">
      <c r="A317" s="517" t="s">
        <v>2024</v>
      </c>
      <c r="B317" s="517"/>
      <c r="C317" s="517"/>
      <c r="D317" s="517"/>
    </row>
    <row r="318" spans="1:4" x14ac:dyDescent="0.2">
      <c r="A318" s="517" t="s">
        <v>2025</v>
      </c>
      <c r="B318" s="517"/>
      <c r="C318" s="517"/>
      <c r="D318" s="517"/>
    </row>
    <row r="319" spans="1:4" x14ac:dyDescent="0.2">
      <c r="A319" s="517" t="s">
        <v>2026</v>
      </c>
      <c r="B319" s="517"/>
      <c r="C319" s="517"/>
      <c r="D319" s="517"/>
    </row>
    <row r="320" spans="1:4" x14ac:dyDescent="0.2">
      <c r="A320" s="517" t="s">
        <v>2027</v>
      </c>
      <c r="B320" s="517"/>
      <c r="C320" s="517"/>
      <c r="D320" s="517"/>
    </row>
    <row r="321" spans="1:4" x14ac:dyDescent="0.2">
      <c r="A321" s="517" t="s">
        <v>2028</v>
      </c>
      <c r="B321" s="517"/>
      <c r="C321" s="517"/>
      <c r="D321" s="517"/>
    </row>
    <row r="322" spans="1:4" x14ac:dyDescent="0.2">
      <c r="A322" t="s">
        <v>501</v>
      </c>
    </row>
    <row r="323" spans="1:4" x14ac:dyDescent="0.2">
      <c r="A323" t="s">
        <v>502</v>
      </c>
    </row>
    <row r="324" spans="1:4" x14ac:dyDescent="0.2">
      <c r="A324" t="s">
        <v>503</v>
      </c>
    </row>
    <row r="325" spans="1:4" x14ac:dyDescent="0.2">
      <c r="A325" t="s">
        <v>504</v>
      </c>
    </row>
    <row r="326" spans="1:4" x14ac:dyDescent="0.2">
      <c r="A326" t="s">
        <v>505</v>
      </c>
    </row>
    <row r="327" spans="1:4" s="517" customFormat="1" x14ac:dyDescent="0.2">
      <c r="A327" t="s">
        <v>760</v>
      </c>
      <c r="B327">
        <v>1</v>
      </c>
      <c r="C327">
        <v>1</v>
      </c>
      <c r="D327"/>
    </row>
    <row r="328" spans="1:4" s="517" customFormat="1" x14ac:dyDescent="0.2">
      <c r="A328" t="s">
        <v>761</v>
      </c>
      <c r="B328">
        <v>1</v>
      </c>
      <c r="C328">
        <v>1</v>
      </c>
      <c r="D328"/>
    </row>
    <row r="329" spans="1:4" s="517" customFormat="1" x14ac:dyDescent="0.2">
      <c r="A329" t="s">
        <v>762</v>
      </c>
      <c r="B329">
        <v>1</v>
      </c>
      <c r="C329">
        <v>1</v>
      </c>
      <c r="D329"/>
    </row>
    <row r="330" spans="1:4" s="517" customFormat="1" x14ac:dyDescent="0.2">
      <c r="A330" t="s">
        <v>670</v>
      </c>
      <c r="B330">
        <v>1</v>
      </c>
      <c r="C330">
        <v>1</v>
      </c>
      <c r="D330"/>
    </row>
    <row r="331" spans="1:4" s="517" customFormat="1" x14ac:dyDescent="0.2">
      <c r="A331" t="s">
        <v>742</v>
      </c>
      <c r="B331">
        <v>1</v>
      </c>
      <c r="C331">
        <v>1</v>
      </c>
      <c r="D331"/>
    </row>
    <row r="332" spans="1:4" s="517" customFormat="1" x14ac:dyDescent="0.2">
      <c r="A332" t="s">
        <v>743</v>
      </c>
      <c r="B332">
        <v>1</v>
      </c>
      <c r="C332">
        <v>1</v>
      </c>
      <c r="D332"/>
    </row>
    <row r="333" spans="1:4" s="517" customFormat="1" x14ac:dyDescent="0.2">
      <c r="A333" t="s">
        <v>744</v>
      </c>
      <c r="B333">
        <v>1</v>
      </c>
      <c r="C333">
        <v>1</v>
      </c>
      <c r="D333"/>
    </row>
    <row r="334" spans="1:4" s="517" customFormat="1" x14ac:dyDescent="0.2">
      <c r="A334" t="s">
        <v>745</v>
      </c>
      <c r="B334">
        <v>1</v>
      </c>
      <c r="C334">
        <v>1</v>
      </c>
      <c r="D334"/>
    </row>
    <row r="335" spans="1:4" s="517" customFormat="1" x14ac:dyDescent="0.2">
      <c r="A335" t="s">
        <v>668</v>
      </c>
      <c r="B335">
        <v>1</v>
      </c>
      <c r="C335">
        <v>1</v>
      </c>
      <c r="D335"/>
    </row>
    <row r="336" spans="1:4" s="517" customFormat="1" x14ac:dyDescent="0.2">
      <c r="A336" t="s">
        <v>669</v>
      </c>
      <c r="B336">
        <v>1</v>
      </c>
      <c r="C336">
        <v>1</v>
      </c>
      <c r="D336"/>
    </row>
    <row r="337" spans="1:3" x14ac:dyDescent="0.2">
      <c r="A337" t="s">
        <v>665</v>
      </c>
      <c r="B337">
        <v>1</v>
      </c>
      <c r="C337">
        <v>1</v>
      </c>
    </row>
    <row r="338" spans="1:3" x14ac:dyDescent="0.2">
      <c r="A338" t="s">
        <v>666</v>
      </c>
      <c r="B338">
        <v>1</v>
      </c>
      <c r="C338">
        <v>1</v>
      </c>
    </row>
    <row r="339" spans="1:3" x14ac:dyDescent="0.2">
      <c r="A339" t="s">
        <v>667</v>
      </c>
      <c r="B339">
        <v>1</v>
      </c>
      <c r="C339">
        <v>1</v>
      </c>
    </row>
    <row r="340" spans="1:3" x14ac:dyDescent="0.2">
      <c r="A340" t="s">
        <v>659</v>
      </c>
      <c r="B340">
        <v>1</v>
      </c>
      <c r="C340">
        <v>1</v>
      </c>
    </row>
    <row r="341" spans="1:3" x14ac:dyDescent="0.2">
      <c r="A341" t="s">
        <v>660</v>
      </c>
      <c r="B341">
        <v>1</v>
      </c>
      <c r="C341">
        <v>1</v>
      </c>
    </row>
    <row r="342" spans="1:3" x14ac:dyDescent="0.2">
      <c r="A342" t="s">
        <v>661</v>
      </c>
      <c r="B342">
        <v>1</v>
      </c>
      <c r="C342">
        <v>1</v>
      </c>
    </row>
    <row r="343" spans="1:3" x14ac:dyDescent="0.2">
      <c r="A343" t="s">
        <v>662</v>
      </c>
    </row>
    <row r="344" spans="1:3" x14ac:dyDescent="0.2">
      <c r="A344" t="s">
        <v>663</v>
      </c>
    </row>
    <row r="345" spans="1:3" x14ac:dyDescent="0.2">
      <c r="A345" t="s">
        <v>817</v>
      </c>
    </row>
    <row r="346" spans="1:3" x14ac:dyDescent="0.2">
      <c r="A346" t="s">
        <v>818</v>
      </c>
    </row>
    <row r="347" spans="1:3" x14ac:dyDescent="0.2">
      <c r="A347" t="s">
        <v>819</v>
      </c>
    </row>
    <row r="348" spans="1:3" x14ac:dyDescent="0.2">
      <c r="A348" t="s">
        <v>820</v>
      </c>
    </row>
    <row r="349" spans="1:3" x14ac:dyDescent="0.2">
      <c r="A349" t="s">
        <v>821</v>
      </c>
    </row>
    <row r="350" spans="1:3" x14ac:dyDescent="0.2">
      <c r="A350" t="s">
        <v>822</v>
      </c>
    </row>
    <row r="351" spans="1:3" x14ac:dyDescent="0.2">
      <c r="A351" t="s">
        <v>823</v>
      </c>
    </row>
    <row r="352" spans="1:3" x14ac:dyDescent="0.2">
      <c r="A352" t="s">
        <v>824</v>
      </c>
    </row>
    <row r="353" spans="1:9" x14ac:dyDescent="0.2">
      <c r="A353" t="s">
        <v>825</v>
      </c>
    </row>
    <row r="354" spans="1:9" x14ac:dyDescent="0.2">
      <c r="A354" t="s">
        <v>826</v>
      </c>
      <c r="F354" s="517"/>
      <c r="G354" s="517"/>
      <c r="H354" s="517"/>
      <c r="I354" s="517"/>
    </row>
    <row r="355" spans="1:9" x14ac:dyDescent="0.2">
      <c r="A355" t="s">
        <v>827</v>
      </c>
      <c r="F355" s="517"/>
      <c r="G355" s="517"/>
      <c r="H355" s="517"/>
      <c r="I355" s="517"/>
    </row>
    <row r="356" spans="1:9" x14ac:dyDescent="0.2">
      <c r="A356" t="s">
        <v>828</v>
      </c>
      <c r="F356" s="517"/>
      <c r="G356" s="517"/>
      <c r="H356" s="517"/>
      <c r="I356" s="517"/>
    </row>
    <row r="357" spans="1:9" x14ac:dyDescent="0.2">
      <c r="A357" s="518" t="s">
        <v>2009</v>
      </c>
      <c r="B357" s="517"/>
      <c r="C357" s="517"/>
      <c r="D357" s="517"/>
      <c r="F357" s="517"/>
      <c r="G357" s="517"/>
      <c r="H357" s="517"/>
      <c r="I357" s="517"/>
    </row>
    <row r="358" spans="1:9" x14ac:dyDescent="0.2">
      <c r="A358" s="518" t="s">
        <v>2010</v>
      </c>
      <c r="B358" s="517"/>
      <c r="C358" s="517"/>
      <c r="D358" s="517"/>
      <c r="F358" s="517"/>
      <c r="G358" s="517"/>
      <c r="H358" s="517"/>
      <c r="I358" s="517"/>
    </row>
    <row r="359" spans="1:9" x14ac:dyDescent="0.2">
      <c r="A359" s="517" t="s">
        <v>2011</v>
      </c>
      <c r="B359" s="517"/>
      <c r="C359" s="517"/>
      <c r="D359" s="517"/>
      <c r="F359" s="517"/>
      <c r="G359" s="517"/>
      <c r="H359" s="517"/>
      <c r="I359" s="517"/>
    </row>
    <row r="360" spans="1:9" x14ac:dyDescent="0.2">
      <c r="A360" s="517" t="s">
        <v>2012</v>
      </c>
      <c r="B360" s="517"/>
      <c r="C360" s="517"/>
      <c r="D360" s="517"/>
      <c r="F360" s="517"/>
      <c r="G360" s="517"/>
      <c r="H360" s="517"/>
      <c r="I360" s="517"/>
    </row>
    <row r="361" spans="1:9" x14ac:dyDescent="0.2">
      <c r="A361" s="517" t="s">
        <v>2013</v>
      </c>
      <c r="B361" s="517"/>
      <c r="C361" s="517"/>
      <c r="D361" s="517"/>
      <c r="F361" s="517"/>
      <c r="G361" s="517"/>
      <c r="H361" s="517"/>
      <c r="I361" s="517"/>
    </row>
    <row r="362" spans="1:9" x14ac:dyDescent="0.2">
      <c r="A362" s="518" t="s">
        <v>2014</v>
      </c>
      <c r="B362" s="517"/>
      <c r="C362" s="517"/>
      <c r="D362" s="517"/>
      <c r="F362" s="517"/>
      <c r="G362" s="517"/>
      <c r="H362" s="517"/>
      <c r="I362" s="517"/>
    </row>
    <row r="363" spans="1:9" x14ac:dyDescent="0.2">
      <c r="A363" s="517" t="s">
        <v>2015</v>
      </c>
      <c r="B363" s="517"/>
      <c r="C363" s="517"/>
      <c r="D363" s="517"/>
      <c r="F363" s="517"/>
      <c r="G363" s="517"/>
      <c r="H363" s="517"/>
      <c r="I363" s="517"/>
    </row>
    <row r="364" spans="1:9" x14ac:dyDescent="0.2">
      <c r="A364" s="518" t="s">
        <v>2016</v>
      </c>
      <c r="B364" s="517"/>
      <c r="C364" s="517"/>
      <c r="D364" s="517"/>
      <c r="F364" s="517"/>
      <c r="G364" s="517"/>
      <c r="H364" s="517"/>
      <c r="I364" s="517"/>
    </row>
    <row r="365" spans="1:9" x14ac:dyDescent="0.2">
      <c r="A365" s="517" t="s">
        <v>2017</v>
      </c>
      <c r="B365" s="517"/>
      <c r="C365" s="517"/>
      <c r="D365" s="517"/>
    </row>
    <row r="366" spans="1:9" x14ac:dyDescent="0.2">
      <c r="A366" s="518" t="s">
        <v>2018</v>
      </c>
      <c r="B366" s="517"/>
      <c r="C366" s="517"/>
      <c r="D366" s="517"/>
    </row>
    <row r="367" spans="1:9" x14ac:dyDescent="0.2">
      <c r="A367" t="s">
        <v>829</v>
      </c>
    </row>
    <row r="368" spans="1:9" x14ac:dyDescent="0.2">
      <c r="A368" t="s">
        <v>589</v>
      </c>
    </row>
    <row r="369" spans="1:4" x14ac:dyDescent="0.2">
      <c r="A369" t="s">
        <v>590</v>
      </c>
    </row>
    <row r="370" spans="1:4" x14ac:dyDescent="0.2">
      <c r="A370" t="s">
        <v>591</v>
      </c>
    </row>
    <row r="371" spans="1:4" x14ac:dyDescent="0.2">
      <c r="A371" t="s">
        <v>225</v>
      </c>
    </row>
    <row r="372" spans="1:4" x14ac:dyDescent="0.2">
      <c r="A372" t="s">
        <v>226</v>
      </c>
      <c r="B372" t="s">
        <v>2431</v>
      </c>
    </row>
    <row r="373" spans="1:4" x14ac:dyDescent="0.2">
      <c r="A373" t="s">
        <v>227</v>
      </c>
    </row>
    <row r="374" spans="1:4" x14ac:dyDescent="0.2">
      <c r="A374" t="s">
        <v>228</v>
      </c>
    </row>
    <row r="375" spans="1:4" x14ac:dyDescent="0.2">
      <c r="A375" t="s">
        <v>229</v>
      </c>
    </row>
    <row r="376" spans="1:4" x14ac:dyDescent="0.2">
      <c r="A376" t="s">
        <v>230</v>
      </c>
      <c r="D376">
        <v>50</v>
      </c>
    </row>
    <row r="377" spans="1:4" x14ac:dyDescent="0.2">
      <c r="A377" t="s">
        <v>592</v>
      </c>
      <c r="D377">
        <v>50</v>
      </c>
    </row>
    <row r="378" spans="1:4" x14ac:dyDescent="0.2">
      <c r="A378" t="s">
        <v>593</v>
      </c>
      <c r="D378">
        <v>50</v>
      </c>
    </row>
    <row r="379" spans="1:4" x14ac:dyDescent="0.2">
      <c r="A379" t="s">
        <v>594</v>
      </c>
      <c r="D379">
        <v>50</v>
      </c>
    </row>
    <row r="380" spans="1:4" x14ac:dyDescent="0.2">
      <c r="A380" t="s">
        <v>399</v>
      </c>
      <c r="D380">
        <v>50</v>
      </c>
    </row>
    <row r="381" spans="1:4" x14ac:dyDescent="0.2">
      <c r="A381" t="s">
        <v>400</v>
      </c>
      <c r="D381">
        <v>50</v>
      </c>
    </row>
    <row r="382" spans="1:4" x14ac:dyDescent="0.2">
      <c r="A382" t="s">
        <v>401</v>
      </c>
      <c r="D382">
        <v>50</v>
      </c>
    </row>
    <row r="383" spans="1:4" x14ac:dyDescent="0.2">
      <c r="A383" t="s">
        <v>402</v>
      </c>
      <c r="B383" t="s">
        <v>2432</v>
      </c>
      <c r="D383">
        <v>50</v>
      </c>
    </row>
    <row r="384" spans="1:4" x14ac:dyDescent="0.2">
      <c r="A384" t="s">
        <v>403</v>
      </c>
    </row>
    <row r="385" spans="1:7" x14ac:dyDescent="0.2">
      <c r="A385" s="517" t="s">
        <v>2523</v>
      </c>
      <c r="B385" s="517"/>
      <c r="C385" s="517"/>
      <c r="D385" s="517"/>
    </row>
    <row r="386" spans="1:7" x14ac:dyDescent="0.2">
      <c r="A386" s="517" t="s">
        <v>2524</v>
      </c>
      <c r="B386" s="517"/>
      <c r="C386" s="517"/>
      <c r="D386" s="517"/>
    </row>
    <row r="387" spans="1:7" x14ac:dyDescent="0.2">
      <c r="A387" s="517" t="s">
        <v>2525</v>
      </c>
      <c r="B387" s="517"/>
      <c r="C387" s="517"/>
      <c r="D387" s="517"/>
      <c r="G387" s="517"/>
    </row>
    <row r="388" spans="1:7" x14ac:dyDescent="0.2">
      <c r="A388" s="517" t="s">
        <v>2526</v>
      </c>
      <c r="B388" s="517"/>
      <c r="C388" s="517"/>
      <c r="D388" s="517"/>
    </row>
    <row r="389" spans="1:7" x14ac:dyDescent="0.2">
      <c r="A389" s="517" t="s">
        <v>2527</v>
      </c>
      <c r="B389" s="517"/>
      <c r="C389" s="517"/>
      <c r="D389" s="517"/>
    </row>
    <row r="390" spans="1:7" x14ac:dyDescent="0.2">
      <c r="A390" s="517" t="s">
        <v>2528</v>
      </c>
      <c r="B390" s="517"/>
      <c r="C390" s="517"/>
      <c r="D390" s="517"/>
    </row>
    <row r="391" spans="1:7" x14ac:dyDescent="0.2">
      <c r="A391" s="517" t="s">
        <v>2529</v>
      </c>
      <c r="B391" s="517"/>
      <c r="C391" s="517"/>
      <c r="D391" s="517"/>
    </row>
    <row r="392" spans="1:7" x14ac:dyDescent="0.2">
      <c r="A392" s="517" t="s">
        <v>2530</v>
      </c>
      <c r="B392" s="517"/>
      <c r="C392" s="517"/>
      <c r="D392" s="517"/>
    </row>
    <row r="393" spans="1:7" x14ac:dyDescent="0.2">
      <c r="A393" s="517" t="s">
        <v>2531</v>
      </c>
      <c r="B393" s="517"/>
      <c r="C393" s="517"/>
      <c r="D393" s="517"/>
    </row>
    <row r="394" spans="1:7" x14ac:dyDescent="0.2">
      <c r="A394" s="517" t="s">
        <v>2532</v>
      </c>
      <c r="B394" s="517"/>
      <c r="C394" s="517"/>
      <c r="D394" s="517"/>
    </row>
    <row r="395" spans="1:7" x14ac:dyDescent="0.2">
      <c r="A395" t="s">
        <v>404</v>
      </c>
      <c r="B395" t="s">
        <v>2433</v>
      </c>
      <c r="D395">
        <v>50</v>
      </c>
    </row>
    <row r="396" spans="1:7" x14ac:dyDescent="0.2">
      <c r="A396" t="s">
        <v>405</v>
      </c>
      <c r="B396" t="s">
        <v>2434</v>
      </c>
    </row>
    <row r="397" spans="1:7" x14ac:dyDescent="0.2">
      <c r="A397" t="s">
        <v>406</v>
      </c>
      <c r="B397" t="s">
        <v>2435</v>
      </c>
      <c r="D397">
        <v>50</v>
      </c>
    </row>
    <row r="398" spans="1:7" x14ac:dyDescent="0.2">
      <c r="A398" t="s">
        <v>407</v>
      </c>
    </row>
    <row r="399" spans="1:7" x14ac:dyDescent="0.2">
      <c r="A399" t="s">
        <v>408</v>
      </c>
      <c r="D399">
        <v>50</v>
      </c>
    </row>
    <row r="400" spans="1:7" x14ac:dyDescent="0.2">
      <c r="A400" t="s">
        <v>409</v>
      </c>
      <c r="D400">
        <v>50</v>
      </c>
    </row>
    <row r="401" spans="1:4" x14ac:dyDescent="0.2">
      <c r="A401" t="s">
        <v>410</v>
      </c>
      <c r="D401">
        <v>50</v>
      </c>
    </row>
    <row r="402" spans="1:4" x14ac:dyDescent="0.2">
      <c r="A402" t="s">
        <v>411</v>
      </c>
      <c r="B402">
        <v>0</v>
      </c>
      <c r="D402">
        <v>50</v>
      </c>
    </row>
    <row r="403" spans="1:4" x14ac:dyDescent="0.2">
      <c r="A403" t="s">
        <v>412</v>
      </c>
      <c r="D403">
        <v>50</v>
      </c>
    </row>
    <row r="404" spans="1:4" x14ac:dyDescent="0.2">
      <c r="A404" t="s">
        <v>413</v>
      </c>
      <c r="D404">
        <v>50</v>
      </c>
    </row>
    <row r="405" spans="1:4" x14ac:dyDescent="0.2">
      <c r="A405" t="s">
        <v>414</v>
      </c>
      <c r="D405">
        <v>50</v>
      </c>
    </row>
    <row r="406" spans="1:4" x14ac:dyDescent="0.2">
      <c r="A406" t="s">
        <v>415</v>
      </c>
      <c r="D406">
        <v>50</v>
      </c>
    </row>
    <row r="407" spans="1:4" x14ac:dyDescent="0.2">
      <c r="A407" t="s">
        <v>416</v>
      </c>
      <c r="D407">
        <v>50</v>
      </c>
    </row>
    <row r="408" spans="1:4" x14ac:dyDescent="0.2">
      <c r="A408" t="s">
        <v>417</v>
      </c>
      <c r="D408">
        <v>50</v>
      </c>
    </row>
    <row r="409" spans="1:4" x14ac:dyDescent="0.2">
      <c r="A409" t="s">
        <v>611</v>
      </c>
    </row>
    <row r="410" spans="1:4" x14ac:dyDescent="0.2">
      <c r="A410" t="s">
        <v>612</v>
      </c>
    </row>
    <row r="411" spans="1:4" x14ac:dyDescent="0.2">
      <c r="A411" t="s">
        <v>796</v>
      </c>
    </row>
    <row r="412" spans="1:4" x14ac:dyDescent="0.2">
      <c r="A412" t="s">
        <v>528</v>
      </c>
    </row>
    <row r="413" spans="1:4" x14ac:dyDescent="0.2">
      <c r="A413" t="s">
        <v>529</v>
      </c>
    </row>
    <row r="414" spans="1:4" x14ac:dyDescent="0.2">
      <c r="A414" t="s">
        <v>358</v>
      </c>
    </row>
    <row r="415" spans="1:4" x14ac:dyDescent="0.2">
      <c r="A415" s="517" t="s">
        <v>2593</v>
      </c>
    </row>
    <row r="416" spans="1:4" x14ac:dyDescent="0.2">
      <c r="A416" s="517" t="s">
        <v>2594</v>
      </c>
    </row>
    <row r="417" spans="1:2" x14ac:dyDescent="0.2">
      <c r="A417" s="517" t="s">
        <v>2595</v>
      </c>
    </row>
    <row r="418" spans="1:2" x14ac:dyDescent="0.2">
      <c r="A418" s="517" t="s">
        <v>2596</v>
      </c>
    </row>
    <row r="419" spans="1:2" x14ac:dyDescent="0.2">
      <c r="A419" s="517" t="s">
        <v>2597</v>
      </c>
    </row>
    <row r="420" spans="1:2" x14ac:dyDescent="0.2">
      <c r="A420" s="517" t="s">
        <v>2598</v>
      </c>
    </row>
    <row r="421" spans="1:2" x14ac:dyDescent="0.2">
      <c r="A421" s="517" t="s">
        <v>2599</v>
      </c>
    </row>
    <row r="422" spans="1:2" x14ac:dyDescent="0.2">
      <c r="A422" s="517" t="s">
        <v>2600</v>
      </c>
    </row>
    <row r="423" spans="1:2" x14ac:dyDescent="0.2">
      <c r="A423" s="517" t="s">
        <v>2601</v>
      </c>
    </row>
    <row r="424" spans="1:2" x14ac:dyDescent="0.2">
      <c r="A424" s="517" t="s">
        <v>2602</v>
      </c>
    </row>
    <row r="425" spans="1:2" x14ac:dyDescent="0.2">
      <c r="A425" t="s">
        <v>359</v>
      </c>
    </row>
    <row r="426" spans="1:2" x14ac:dyDescent="0.2">
      <c r="A426" t="s">
        <v>360</v>
      </c>
    </row>
    <row r="427" spans="1:2" x14ac:dyDescent="0.2">
      <c r="A427" t="s">
        <v>361</v>
      </c>
    </row>
    <row r="428" spans="1:2" x14ac:dyDescent="0.2">
      <c r="A428" t="s">
        <v>362</v>
      </c>
    </row>
    <row r="429" spans="1:2" x14ac:dyDescent="0.2">
      <c r="A429" t="s">
        <v>231</v>
      </c>
    </row>
    <row r="430" spans="1:2" x14ac:dyDescent="0.2">
      <c r="A430" t="s">
        <v>884</v>
      </c>
    </row>
    <row r="431" spans="1:2" x14ac:dyDescent="0.2">
      <c r="A431" t="s">
        <v>885</v>
      </c>
    </row>
    <row r="432" spans="1:2" x14ac:dyDescent="0.2">
      <c r="A432" t="s">
        <v>886</v>
      </c>
      <c r="B432">
        <v>0</v>
      </c>
    </row>
    <row r="433" spans="1:7" x14ac:dyDescent="0.2">
      <c r="A433" t="s">
        <v>887</v>
      </c>
      <c r="G433" s="517"/>
    </row>
    <row r="434" spans="1:7" x14ac:dyDescent="0.2">
      <c r="A434" t="s">
        <v>888</v>
      </c>
    </row>
    <row r="435" spans="1:7" x14ac:dyDescent="0.2">
      <c r="A435" t="s">
        <v>889</v>
      </c>
    </row>
    <row r="436" spans="1:7" x14ac:dyDescent="0.2">
      <c r="A436" t="s">
        <v>69</v>
      </c>
    </row>
    <row r="437" spans="1:7" x14ac:dyDescent="0.2">
      <c r="A437" t="s">
        <v>70</v>
      </c>
    </row>
    <row r="438" spans="1:7" x14ac:dyDescent="0.2">
      <c r="A438" t="s">
        <v>71</v>
      </c>
      <c r="G438" s="517"/>
    </row>
    <row r="439" spans="1:7" x14ac:dyDescent="0.2">
      <c r="A439" t="s">
        <v>72</v>
      </c>
    </row>
    <row r="440" spans="1:7" x14ac:dyDescent="0.2">
      <c r="A440" t="s">
        <v>73</v>
      </c>
    </row>
    <row r="441" spans="1:7" x14ac:dyDescent="0.2">
      <c r="A441" t="s">
        <v>74</v>
      </c>
    </row>
    <row r="442" spans="1:7" x14ac:dyDescent="0.2">
      <c r="A442" t="s">
        <v>279</v>
      </c>
    </row>
    <row r="443" spans="1:7" x14ac:dyDescent="0.2">
      <c r="A443" t="s">
        <v>133</v>
      </c>
    </row>
    <row r="444" spans="1:7" x14ac:dyDescent="0.2">
      <c r="A444" t="s">
        <v>134</v>
      </c>
    </row>
    <row r="445" spans="1:7" x14ac:dyDescent="0.2">
      <c r="A445" s="517" t="s">
        <v>2633</v>
      </c>
    </row>
    <row r="446" spans="1:7" x14ac:dyDescent="0.2">
      <c r="A446" s="517" t="s">
        <v>2634</v>
      </c>
    </row>
    <row r="447" spans="1:7" x14ac:dyDescent="0.2">
      <c r="A447" s="517" t="s">
        <v>2635</v>
      </c>
    </row>
    <row r="448" spans="1:7" x14ac:dyDescent="0.2">
      <c r="A448" s="517" t="s">
        <v>2636</v>
      </c>
    </row>
    <row r="449" spans="1:4" x14ac:dyDescent="0.2">
      <c r="A449" s="517" t="s">
        <v>2637</v>
      </c>
    </row>
    <row r="450" spans="1:4" x14ac:dyDescent="0.2">
      <c r="A450" s="517" t="s">
        <v>2638</v>
      </c>
    </row>
    <row r="451" spans="1:4" x14ac:dyDescent="0.2">
      <c r="A451" s="517" t="s">
        <v>2639</v>
      </c>
    </row>
    <row r="452" spans="1:4" x14ac:dyDescent="0.2">
      <c r="A452" s="517" t="s">
        <v>2640</v>
      </c>
    </row>
    <row r="453" spans="1:4" x14ac:dyDescent="0.2">
      <c r="A453" s="517" t="s">
        <v>2641</v>
      </c>
    </row>
    <row r="454" spans="1:4" s="517" customFormat="1" x14ac:dyDescent="0.2">
      <c r="A454" s="517" t="s">
        <v>2642</v>
      </c>
      <c r="B454"/>
      <c r="C454"/>
      <c r="D454"/>
    </row>
    <row r="455" spans="1:4" x14ac:dyDescent="0.2">
      <c r="A455" t="s">
        <v>52</v>
      </c>
    </row>
    <row r="456" spans="1:4" x14ac:dyDescent="0.2">
      <c r="A456" t="s">
        <v>53</v>
      </c>
    </row>
    <row r="457" spans="1:4" x14ac:dyDescent="0.2">
      <c r="A457" t="s">
        <v>651</v>
      </c>
    </row>
    <row r="458" spans="1:4" x14ac:dyDescent="0.2">
      <c r="A458" t="s">
        <v>652</v>
      </c>
    </row>
    <row r="459" spans="1:4" x14ac:dyDescent="0.2">
      <c r="A459" t="s">
        <v>653</v>
      </c>
    </row>
    <row r="460" spans="1:4" x14ac:dyDescent="0.2">
      <c r="A460" t="s">
        <v>604</v>
      </c>
    </row>
    <row r="461" spans="1:4" x14ac:dyDescent="0.2">
      <c r="A461" t="s">
        <v>640</v>
      </c>
    </row>
    <row r="462" spans="1:4" x14ac:dyDescent="0.2">
      <c r="A462" t="s">
        <v>524</v>
      </c>
      <c r="B462">
        <v>1</v>
      </c>
      <c r="C462">
        <v>1</v>
      </c>
    </row>
    <row r="463" spans="1:4" x14ac:dyDescent="0.2">
      <c r="A463" t="s">
        <v>525</v>
      </c>
      <c r="B463">
        <v>1</v>
      </c>
      <c r="C463">
        <v>1</v>
      </c>
    </row>
    <row r="464" spans="1:4" x14ac:dyDescent="0.2">
      <c r="A464" t="s">
        <v>526</v>
      </c>
      <c r="B464">
        <v>1</v>
      </c>
      <c r="C464">
        <v>1</v>
      </c>
    </row>
    <row r="465" spans="1:7" x14ac:dyDescent="0.2">
      <c r="A465" t="s">
        <v>527</v>
      </c>
      <c r="B465">
        <v>1</v>
      </c>
      <c r="C465">
        <v>1</v>
      </c>
    </row>
    <row r="466" spans="1:7" x14ac:dyDescent="0.2">
      <c r="A466" t="s">
        <v>808</v>
      </c>
      <c r="B466">
        <v>1</v>
      </c>
      <c r="C466">
        <v>1</v>
      </c>
      <c r="G466" s="517"/>
    </row>
    <row r="467" spans="1:7" x14ac:dyDescent="0.2">
      <c r="A467" t="s">
        <v>809</v>
      </c>
      <c r="B467">
        <v>1</v>
      </c>
      <c r="C467">
        <v>1</v>
      </c>
    </row>
    <row r="468" spans="1:7" x14ac:dyDescent="0.2">
      <c r="A468" t="s">
        <v>810</v>
      </c>
      <c r="B468">
        <v>1</v>
      </c>
      <c r="C468">
        <v>1</v>
      </c>
    </row>
    <row r="469" spans="1:7" x14ac:dyDescent="0.2">
      <c r="A469" t="s">
        <v>811</v>
      </c>
      <c r="B469">
        <v>1</v>
      </c>
      <c r="C469">
        <v>1</v>
      </c>
    </row>
    <row r="470" spans="1:7" x14ac:dyDescent="0.2">
      <c r="A470" t="s">
        <v>812</v>
      </c>
      <c r="B470">
        <v>1</v>
      </c>
      <c r="C470">
        <v>1</v>
      </c>
    </row>
    <row r="471" spans="1:7" x14ac:dyDescent="0.2">
      <c r="A471" t="s">
        <v>830</v>
      </c>
      <c r="B471">
        <v>1</v>
      </c>
      <c r="C471">
        <v>1</v>
      </c>
    </row>
    <row r="472" spans="1:7" x14ac:dyDescent="0.2">
      <c r="A472" t="s">
        <v>831</v>
      </c>
      <c r="B472">
        <v>1</v>
      </c>
      <c r="C472">
        <v>1</v>
      </c>
    </row>
    <row r="473" spans="1:7" x14ac:dyDescent="0.2">
      <c r="A473" t="s">
        <v>832</v>
      </c>
      <c r="B473">
        <v>5</v>
      </c>
      <c r="C473">
        <v>1</v>
      </c>
    </row>
    <row r="474" spans="1:7" x14ac:dyDescent="0.2">
      <c r="A474" t="s">
        <v>833</v>
      </c>
      <c r="B474">
        <v>1</v>
      </c>
      <c r="C474">
        <v>1</v>
      </c>
    </row>
    <row r="475" spans="1:7" x14ac:dyDescent="0.2">
      <c r="A475" s="517" t="s">
        <v>2573</v>
      </c>
      <c r="C475" s="517">
        <v>1</v>
      </c>
    </row>
    <row r="476" spans="1:7" x14ac:dyDescent="0.2">
      <c r="A476" s="517" t="s">
        <v>2574</v>
      </c>
      <c r="C476" s="517">
        <v>1</v>
      </c>
    </row>
    <row r="477" spans="1:7" x14ac:dyDescent="0.2">
      <c r="A477" s="517" t="s">
        <v>2575</v>
      </c>
      <c r="C477" s="517">
        <v>1</v>
      </c>
    </row>
    <row r="478" spans="1:7" x14ac:dyDescent="0.2">
      <c r="A478" s="517" t="s">
        <v>2576</v>
      </c>
      <c r="C478" s="517">
        <v>1</v>
      </c>
    </row>
    <row r="479" spans="1:7" x14ac:dyDescent="0.2">
      <c r="A479" s="517" t="s">
        <v>2577</v>
      </c>
      <c r="C479" s="517">
        <v>1</v>
      </c>
    </row>
    <row r="480" spans="1:7" x14ac:dyDescent="0.2">
      <c r="A480" s="517" t="s">
        <v>2578</v>
      </c>
      <c r="C480" s="517">
        <v>1</v>
      </c>
    </row>
    <row r="481" spans="1:3" x14ac:dyDescent="0.2">
      <c r="A481" s="517" t="s">
        <v>2579</v>
      </c>
      <c r="C481" s="517">
        <v>1</v>
      </c>
    </row>
    <row r="482" spans="1:3" x14ac:dyDescent="0.2">
      <c r="A482" s="517" t="s">
        <v>2580</v>
      </c>
      <c r="C482" s="517">
        <v>1</v>
      </c>
    </row>
    <row r="483" spans="1:3" x14ac:dyDescent="0.2">
      <c r="A483" s="517" t="s">
        <v>2581</v>
      </c>
      <c r="C483" s="517">
        <v>1</v>
      </c>
    </row>
    <row r="484" spans="1:3" x14ac:dyDescent="0.2">
      <c r="A484" s="517" t="s">
        <v>2582</v>
      </c>
      <c r="C484" s="517">
        <v>1</v>
      </c>
    </row>
    <row r="485" spans="1:3" x14ac:dyDescent="0.2">
      <c r="A485" t="s">
        <v>834</v>
      </c>
      <c r="B485">
        <v>9</v>
      </c>
      <c r="C485">
        <v>1</v>
      </c>
    </row>
    <row r="486" spans="1:3" x14ac:dyDescent="0.2">
      <c r="A486" t="s">
        <v>835</v>
      </c>
      <c r="B486">
        <v>7</v>
      </c>
      <c r="C486">
        <v>1</v>
      </c>
    </row>
    <row r="487" spans="1:3" x14ac:dyDescent="0.2">
      <c r="A487" t="s">
        <v>836</v>
      </c>
      <c r="B487">
        <v>5</v>
      </c>
      <c r="C487">
        <v>1</v>
      </c>
    </row>
    <row r="488" spans="1:3" x14ac:dyDescent="0.2">
      <c r="A488" t="s">
        <v>682</v>
      </c>
      <c r="B488">
        <v>1</v>
      </c>
      <c r="C488">
        <v>1</v>
      </c>
    </row>
    <row r="489" spans="1:3" x14ac:dyDescent="0.2">
      <c r="A489" t="s">
        <v>747</v>
      </c>
      <c r="B489">
        <v>1</v>
      </c>
      <c r="C489">
        <v>1</v>
      </c>
    </row>
    <row r="490" spans="1:3" x14ac:dyDescent="0.2">
      <c r="A490" t="s">
        <v>748</v>
      </c>
      <c r="B490">
        <v>1</v>
      </c>
      <c r="C490">
        <v>1</v>
      </c>
    </row>
    <row r="491" spans="1:3" x14ac:dyDescent="0.2">
      <c r="A491" t="s">
        <v>749</v>
      </c>
      <c r="B491">
        <v>1</v>
      </c>
      <c r="C491">
        <v>1</v>
      </c>
    </row>
    <row r="492" spans="1:3" x14ac:dyDescent="0.2">
      <c r="A492" t="s">
        <v>750</v>
      </c>
      <c r="B492" t="s">
        <v>2273</v>
      </c>
    </row>
    <row r="493" spans="1:3" x14ac:dyDescent="0.2">
      <c r="A493" t="s">
        <v>751</v>
      </c>
    </row>
    <row r="494" spans="1:3" x14ac:dyDescent="0.2">
      <c r="A494" t="s">
        <v>420</v>
      </c>
    </row>
    <row r="495" spans="1:3" x14ac:dyDescent="0.2">
      <c r="A495" t="s">
        <v>530</v>
      </c>
    </row>
    <row r="496" spans="1:3" x14ac:dyDescent="0.2">
      <c r="A496" t="s">
        <v>531</v>
      </c>
    </row>
    <row r="497" spans="1:2" x14ac:dyDescent="0.2">
      <c r="A497" t="s">
        <v>532</v>
      </c>
    </row>
    <row r="498" spans="1:2" x14ac:dyDescent="0.2">
      <c r="A498" t="s">
        <v>533</v>
      </c>
    </row>
    <row r="499" spans="1:2" x14ac:dyDescent="0.2">
      <c r="A499" t="s">
        <v>534</v>
      </c>
    </row>
    <row r="500" spans="1:2" x14ac:dyDescent="0.2">
      <c r="A500" t="s">
        <v>535</v>
      </c>
    </row>
    <row r="501" spans="1:2" x14ac:dyDescent="0.2">
      <c r="A501" t="s">
        <v>732</v>
      </c>
    </row>
    <row r="502" spans="1:2" x14ac:dyDescent="0.2">
      <c r="A502" t="s">
        <v>709</v>
      </c>
    </row>
    <row r="503" spans="1:2" x14ac:dyDescent="0.2">
      <c r="A503" t="s">
        <v>710</v>
      </c>
      <c r="B503" t="s">
        <v>2273</v>
      </c>
    </row>
    <row r="504" spans="1:2" x14ac:dyDescent="0.2">
      <c r="A504" t="s">
        <v>711</v>
      </c>
    </row>
    <row r="505" spans="1:2" x14ac:dyDescent="0.2">
      <c r="A505" s="517" t="s">
        <v>2583</v>
      </c>
    </row>
    <row r="506" spans="1:2" x14ac:dyDescent="0.2">
      <c r="A506" s="517" t="s">
        <v>2584</v>
      </c>
    </row>
    <row r="507" spans="1:2" x14ac:dyDescent="0.2">
      <c r="A507" s="517" t="s">
        <v>2585</v>
      </c>
    </row>
    <row r="508" spans="1:2" x14ac:dyDescent="0.2">
      <c r="A508" s="517" t="s">
        <v>2586</v>
      </c>
    </row>
    <row r="509" spans="1:2" x14ac:dyDescent="0.2">
      <c r="A509" s="517" t="s">
        <v>2587</v>
      </c>
    </row>
    <row r="510" spans="1:2" x14ac:dyDescent="0.2">
      <c r="A510" s="517" t="s">
        <v>2588</v>
      </c>
    </row>
    <row r="511" spans="1:2" x14ac:dyDescent="0.2">
      <c r="A511" s="517" t="s">
        <v>2589</v>
      </c>
    </row>
    <row r="512" spans="1:2" x14ac:dyDescent="0.2">
      <c r="A512" s="517" t="s">
        <v>2590</v>
      </c>
    </row>
    <row r="513" spans="1:3" x14ac:dyDescent="0.2">
      <c r="A513" s="517" t="s">
        <v>2591</v>
      </c>
    </row>
    <row r="514" spans="1:3" x14ac:dyDescent="0.2">
      <c r="A514" s="517" t="s">
        <v>2592</v>
      </c>
    </row>
    <row r="515" spans="1:3" x14ac:dyDescent="0.2">
      <c r="A515" t="s">
        <v>712</v>
      </c>
      <c r="B515" t="s">
        <v>2273</v>
      </c>
    </row>
    <row r="516" spans="1:3" x14ac:dyDescent="0.2">
      <c r="A516" t="s">
        <v>792</v>
      </c>
      <c r="B516" t="s">
        <v>2436</v>
      </c>
    </row>
    <row r="517" spans="1:3" x14ac:dyDescent="0.2">
      <c r="A517" t="s">
        <v>849</v>
      </c>
      <c r="B517" t="s">
        <v>2437</v>
      </c>
    </row>
    <row r="518" spans="1:3" x14ac:dyDescent="0.2">
      <c r="A518" t="s">
        <v>850</v>
      </c>
    </row>
    <row r="519" spans="1:3" x14ac:dyDescent="0.2">
      <c r="A519" t="s">
        <v>851</v>
      </c>
    </row>
    <row r="520" spans="1:3" x14ac:dyDescent="0.2">
      <c r="A520" t="s">
        <v>852</v>
      </c>
    </row>
    <row r="521" spans="1:3" x14ac:dyDescent="0.2">
      <c r="A521" t="s">
        <v>223</v>
      </c>
    </row>
    <row r="522" spans="1:3" x14ac:dyDescent="0.2">
      <c r="A522" t="s">
        <v>347</v>
      </c>
      <c r="B522" t="b">
        <v>0</v>
      </c>
      <c r="C522" t="b">
        <v>0</v>
      </c>
    </row>
    <row r="523" spans="1:3" x14ac:dyDescent="0.2">
      <c r="A523" t="s">
        <v>348</v>
      </c>
    </row>
    <row r="524" spans="1:3" x14ac:dyDescent="0.2">
      <c r="A524" t="s">
        <v>349</v>
      </c>
      <c r="B524" t="b">
        <v>0</v>
      </c>
      <c r="C524" t="b">
        <v>0</v>
      </c>
    </row>
    <row r="525" spans="1:3" x14ac:dyDescent="0.2">
      <c r="A525" t="s">
        <v>48</v>
      </c>
    </row>
    <row r="526" spans="1:3" x14ac:dyDescent="0.2">
      <c r="A526" t="s">
        <v>800</v>
      </c>
    </row>
    <row r="527" spans="1:3" x14ac:dyDescent="0.2">
      <c r="A527" t="s">
        <v>49</v>
      </c>
    </row>
    <row r="528" spans="1:3" x14ac:dyDescent="0.2">
      <c r="A528" t="s">
        <v>234</v>
      </c>
    </row>
    <row r="529" spans="1:7" x14ac:dyDescent="0.2">
      <c r="A529" s="518" t="s">
        <v>235</v>
      </c>
    </row>
    <row r="530" spans="1:7" x14ac:dyDescent="0.2">
      <c r="A530" t="s">
        <v>613</v>
      </c>
    </row>
    <row r="531" spans="1:7" x14ac:dyDescent="0.2">
      <c r="A531" t="s">
        <v>614</v>
      </c>
    </row>
    <row r="532" spans="1:7" x14ac:dyDescent="0.2">
      <c r="A532" t="s">
        <v>615</v>
      </c>
      <c r="G532" s="517"/>
    </row>
    <row r="533" spans="1:7" x14ac:dyDescent="0.2">
      <c r="A533" t="s">
        <v>321</v>
      </c>
    </row>
    <row r="534" spans="1:7" x14ac:dyDescent="0.2">
      <c r="A534" s="517" t="s">
        <v>1456</v>
      </c>
      <c r="B534" s="517"/>
      <c r="C534" s="517"/>
      <c r="D534" s="517"/>
    </row>
    <row r="535" spans="1:7" x14ac:dyDescent="0.2">
      <c r="A535" t="s">
        <v>322</v>
      </c>
    </row>
    <row r="536" spans="1:7" x14ac:dyDescent="0.2">
      <c r="A536" t="s">
        <v>323</v>
      </c>
    </row>
    <row r="537" spans="1:7" x14ac:dyDescent="0.2">
      <c r="A537" t="s">
        <v>324</v>
      </c>
    </row>
    <row r="538" spans="1:7" x14ac:dyDescent="0.2">
      <c r="A538" t="s">
        <v>325</v>
      </c>
    </row>
    <row r="539" spans="1:7" x14ac:dyDescent="0.2">
      <c r="A539" t="s">
        <v>452</v>
      </c>
    </row>
    <row r="540" spans="1:7" x14ac:dyDescent="0.2">
      <c r="A540" t="s">
        <v>350</v>
      </c>
    </row>
    <row r="541" spans="1:7" x14ac:dyDescent="0.2">
      <c r="A541" t="s">
        <v>351</v>
      </c>
    </row>
    <row r="542" spans="1:7" x14ac:dyDescent="0.2">
      <c r="A542" t="s">
        <v>352</v>
      </c>
    </row>
    <row r="543" spans="1:7" x14ac:dyDescent="0.2">
      <c r="A543" t="s">
        <v>328</v>
      </c>
      <c r="B543" t="s">
        <v>2438</v>
      </c>
    </row>
    <row r="544" spans="1:7" x14ac:dyDescent="0.2">
      <c r="A544" t="s">
        <v>329</v>
      </c>
    </row>
    <row r="545" spans="1:7" x14ac:dyDescent="0.2">
      <c r="A545" t="s">
        <v>671</v>
      </c>
      <c r="G545" s="517"/>
    </row>
    <row r="546" spans="1:7" x14ac:dyDescent="0.2">
      <c r="A546" t="s">
        <v>672</v>
      </c>
    </row>
    <row r="547" spans="1:7" x14ac:dyDescent="0.2">
      <c r="A547" t="s">
        <v>608</v>
      </c>
    </row>
    <row r="548" spans="1:7" x14ac:dyDescent="0.2">
      <c r="A548" t="s">
        <v>609</v>
      </c>
    </row>
    <row r="549" spans="1:7" x14ac:dyDescent="0.2">
      <c r="A549" t="s">
        <v>610</v>
      </c>
    </row>
    <row r="550" spans="1:7" x14ac:dyDescent="0.2">
      <c r="A550" t="s">
        <v>254</v>
      </c>
    </row>
    <row r="551" spans="1:7" x14ac:dyDescent="0.2">
      <c r="A551" t="s">
        <v>255</v>
      </c>
    </row>
    <row r="552" spans="1:7" x14ac:dyDescent="0.2">
      <c r="A552" t="s">
        <v>256</v>
      </c>
    </row>
    <row r="553" spans="1:7" x14ac:dyDescent="0.2">
      <c r="A553" t="s">
        <v>257</v>
      </c>
    </row>
    <row r="554" spans="1:7" x14ac:dyDescent="0.2">
      <c r="A554" t="s">
        <v>258</v>
      </c>
    </row>
    <row r="555" spans="1:7" x14ac:dyDescent="0.2">
      <c r="A555" t="s">
        <v>372</v>
      </c>
    </row>
    <row r="556" spans="1:7" x14ac:dyDescent="0.2">
      <c r="A556" s="517" t="s">
        <v>2623</v>
      </c>
      <c r="G556" s="517"/>
    </row>
    <row r="557" spans="1:7" x14ac:dyDescent="0.2">
      <c r="A557" s="517" t="s">
        <v>2624</v>
      </c>
      <c r="G557" s="517"/>
    </row>
    <row r="558" spans="1:7" x14ac:dyDescent="0.2">
      <c r="A558" s="517" t="s">
        <v>2625</v>
      </c>
      <c r="G558" s="517"/>
    </row>
    <row r="559" spans="1:7" x14ac:dyDescent="0.2">
      <c r="A559" s="517" t="s">
        <v>2626</v>
      </c>
      <c r="G559" s="517"/>
    </row>
    <row r="560" spans="1:7" x14ac:dyDescent="0.2">
      <c r="A560" s="517" t="s">
        <v>2627</v>
      </c>
      <c r="G560" s="517"/>
    </row>
    <row r="561" spans="1:7" x14ac:dyDescent="0.2">
      <c r="A561" s="517" t="s">
        <v>2628</v>
      </c>
      <c r="G561" s="517"/>
    </row>
    <row r="562" spans="1:7" x14ac:dyDescent="0.2">
      <c r="A562" s="517" t="s">
        <v>2629</v>
      </c>
      <c r="G562" s="517"/>
    </row>
    <row r="563" spans="1:7" x14ac:dyDescent="0.2">
      <c r="A563" s="517" t="s">
        <v>2630</v>
      </c>
      <c r="G563" s="517"/>
    </row>
    <row r="564" spans="1:7" x14ac:dyDescent="0.2">
      <c r="A564" s="517" t="s">
        <v>2631</v>
      </c>
      <c r="G564" s="517"/>
    </row>
    <row r="565" spans="1:7" x14ac:dyDescent="0.2">
      <c r="A565" s="517" t="s">
        <v>2632</v>
      </c>
    </row>
    <row r="566" spans="1:7" x14ac:dyDescent="0.2">
      <c r="A566" t="s">
        <v>367</v>
      </c>
      <c r="B566" t="s">
        <v>2439</v>
      </c>
    </row>
    <row r="567" spans="1:7" x14ac:dyDescent="0.2">
      <c r="A567" t="s">
        <v>368</v>
      </c>
    </row>
    <row r="568" spans="1:7" x14ac:dyDescent="0.2">
      <c r="A568" t="s">
        <v>369</v>
      </c>
    </row>
    <row r="569" spans="1:7" x14ac:dyDescent="0.2">
      <c r="A569" t="s">
        <v>370</v>
      </c>
    </row>
    <row r="570" spans="1:7" x14ac:dyDescent="0.2">
      <c r="A570" t="s">
        <v>371</v>
      </c>
    </row>
    <row r="571" spans="1:7" x14ac:dyDescent="0.2">
      <c r="A571" t="s">
        <v>623</v>
      </c>
    </row>
    <row r="572" spans="1:7" x14ac:dyDescent="0.2">
      <c r="A572" t="s">
        <v>730</v>
      </c>
    </row>
    <row r="573" spans="1:7" x14ac:dyDescent="0.2">
      <c r="A573" t="s">
        <v>448</v>
      </c>
      <c r="B573" s="22">
        <v>42635</v>
      </c>
      <c r="C573" s="22">
        <v>42370</v>
      </c>
    </row>
    <row r="574" spans="1:7" x14ac:dyDescent="0.2">
      <c r="A574" t="s">
        <v>770</v>
      </c>
      <c r="B574">
        <v>5190858</v>
      </c>
    </row>
    <row r="575" spans="1:7" x14ac:dyDescent="0.2">
      <c r="A575" t="s">
        <v>631</v>
      </c>
    </row>
    <row r="576" spans="1:7" x14ac:dyDescent="0.2">
      <c r="A576" t="s">
        <v>549</v>
      </c>
    </row>
    <row r="577" spans="1:2" x14ac:dyDescent="0.2">
      <c r="A577" t="s">
        <v>115</v>
      </c>
    </row>
    <row r="578" spans="1:2" x14ac:dyDescent="0.2">
      <c r="A578" t="s">
        <v>118</v>
      </c>
    </row>
    <row r="579" spans="1:2" x14ac:dyDescent="0.2">
      <c r="A579" t="s">
        <v>117</v>
      </c>
    </row>
    <row r="580" spans="1:2" x14ac:dyDescent="0.2">
      <c r="A580" t="s">
        <v>114</v>
      </c>
    </row>
    <row r="581" spans="1:2" x14ac:dyDescent="0.2">
      <c r="A581" t="s">
        <v>113</v>
      </c>
    </row>
    <row r="582" spans="1:2" x14ac:dyDescent="0.2">
      <c r="A582" t="s">
        <v>116</v>
      </c>
    </row>
    <row r="583" spans="1:2" x14ac:dyDescent="0.2">
      <c r="A583" t="s">
        <v>119</v>
      </c>
    </row>
    <row r="584" spans="1:2" x14ac:dyDescent="0.2">
      <c r="A584" t="s">
        <v>555</v>
      </c>
      <c r="B584">
        <v>954</v>
      </c>
    </row>
    <row r="585" spans="1:2" x14ac:dyDescent="0.2">
      <c r="A585" t="s">
        <v>556</v>
      </c>
    </row>
    <row r="586" spans="1:2" x14ac:dyDescent="0.2">
      <c r="A586" t="s">
        <v>557</v>
      </c>
    </row>
    <row r="587" spans="1:2" x14ac:dyDescent="0.2">
      <c r="A587" t="s">
        <v>558</v>
      </c>
    </row>
    <row r="588" spans="1:2" x14ac:dyDescent="0.2">
      <c r="A588" t="s">
        <v>863</v>
      </c>
    </row>
    <row r="589" spans="1:2" x14ac:dyDescent="0.2">
      <c r="A589" t="s">
        <v>864</v>
      </c>
    </row>
    <row r="590" spans="1:2" x14ac:dyDescent="0.2">
      <c r="A590" t="s">
        <v>865</v>
      </c>
    </row>
    <row r="591" spans="1:2" x14ac:dyDescent="0.2">
      <c r="A591" t="s">
        <v>866</v>
      </c>
    </row>
    <row r="592" spans="1:2" x14ac:dyDescent="0.2">
      <c r="A592" t="s">
        <v>511</v>
      </c>
    </row>
    <row r="593" spans="1:2" x14ac:dyDescent="0.2">
      <c r="A593" t="s">
        <v>793</v>
      </c>
    </row>
    <row r="594" spans="1:2" x14ac:dyDescent="0.2">
      <c r="A594" t="s">
        <v>794</v>
      </c>
    </row>
    <row r="595" spans="1:2" x14ac:dyDescent="0.2">
      <c r="A595" t="s">
        <v>795</v>
      </c>
      <c r="B595">
        <v>142</v>
      </c>
    </row>
    <row r="596" spans="1:2" x14ac:dyDescent="0.2">
      <c r="A596" t="s">
        <v>489</v>
      </c>
    </row>
    <row r="597" spans="1:2" x14ac:dyDescent="0.2">
      <c r="A597" s="517" t="s">
        <v>2613</v>
      </c>
    </row>
    <row r="598" spans="1:2" x14ac:dyDescent="0.2">
      <c r="A598" s="517" t="s">
        <v>2614</v>
      </c>
    </row>
    <row r="599" spans="1:2" x14ac:dyDescent="0.2">
      <c r="A599" s="517" t="s">
        <v>2615</v>
      </c>
    </row>
    <row r="600" spans="1:2" x14ac:dyDescent="0.2">
      <c r="A600" s="517" t="s">
        <v>2616</v>
      </c>
    </row>
    <row r="601" spans="1:2" x14ac:dyDescent="0.2">
      <c r="A601" s="517" t="s">
        <v>2617</v>
      </c>
    </row>
    <row r="602" spans="1:2" x14ac:dyDescent="0.2">
      <c r="A602" s="517" t="s">
        <v>2618</v>
      </c>
    </row>
    <row r="603" spans="1:2" x14ac:dyDescent="0.2">
      <c r="A603" s="517" t="s">
        <v>2619</v>
      </c>
    </row>
    <row r="604" spans="1:2" x14ac:dyDescent="0.2">
      <c r="A604" s="517" t="s">
        <v>2620</v>
      </c>
    </row>
    <row r="605" spans="1:2" x14ac:dyDescent="0.2">
      <c r="A605" s="517" t="s">
        <v>2621</v>
      </c>
    </row>
    <row r="606" spans="1:2" x14ac:dyDescent="0.2">
      <c r="A606" s="517" t="s">
        <v>2622</v>
      </c>
    </row>
    <row r="607" spans="1:2" x14ac:dyDescent="0.2">
      <c r="A607" t="s">
        <v>490</v>
      </c>
      <c r="B607">
        <v>1557</v>
      </c>
    </row>
    <row r="608" spans="1:2" x14ac:dyDescent="0.2">
      <c r="A608" t="s">
        <v>491</v>
      </c>
      <c r="B608">
        <v>1694</v>
      </c>
    </row>
    <row r="609" spans="1:3" x14ac:dyDescent="0.2">
      <c r="A609" t="s">
        <v>492</v>
      </c>
      <c r="B609">
        <v>1894</v>
      </c>
    </row>
    <row r="610" spans="1:3" x14ac:dyDescent="0.2">
      <c r="A610" t="s">
        <v>493</v>
      </c>
    </row>
    <row r="611" spans="1:3" x14ac:dyDescent="0.2">
      <c r="A611" t="s">
        <v>494</v>
      </c>
    </row>
    <row r="612" spans="1:3" x14ac:dyDescent="0.2">
      <c r="A612" t="s">
        <v>495</v>
      </c>
    </row>
    <row r="613" spans="1:3" x14ac:dyDescent="0.2">
      <c r="A613" t="s">
        <v>496</v>
      </c>
    </row>
    <row r="614" spans="1:3" x14ac:dyDescent="0.2">
      <c r="A614" t="s">
        <v>436</v>
      </c>
      <c r="B614" t="b">
        <v>0</v>
      </c>
      <c r="C614" t="b">
        <v>0</v>
      </c>
    </row>
    <row r="615" spans="1:3" x14ac:dyDescent="0.2">
      <c r="A615" t="s">
        <v>801</v>
      </c>
      <c r="B615">
        <v>1</v>
      </c>
      <c r="C615">
        <v>1</v>
      </c>
    </row>
    <row r="616" spans="1:3" x14ac:dyDescent="0.2">
      <c r="A616" t="s">
        <v>446</v>
      </c>
      <c r="B616">
        <v>1</v>
      </c>
      <c r="C616">
        <v>1</v>
      </c>
    </row>
    <row r="617" spans="1:3" x14ac:dyDescent="0.2">
      <c r="A617" t="s">
        <v>633</v>
      </c>
    </row>
    <row r="618" spans="1:3" x14ac:dyDescent="0.2">
      <c r="A618" t="s">
        <v>634</v>
      </c>
    </row>
    <row r="619" spans="1:3" x14ac:dyDescent="0.2">
      <c r="A619" t="s">
        <v>635</v>
      </c>
    </row>
    <row r="620" spans="1:3" x14ac:dyDescent="0.2">
      <c r="A620" t="s">
        <v>636</v>
      </c>
    </row>
    <row r="621" spans="1:3" x14ac:dyDescent="0.2">
      <c r="A621" t="s">
        <v>637</v>
      </c>
    </row>
    <row r="622" spans="1:3" x14ac:dyDescent="0.2">
      <c r="A622" t="s">
        <v>638</v>
      </c>
    </row>
    <row r="623" spans="1:3" x14ac:dyDescent="0.2">
      <c r="A623" t="s">
        <v>418</v>
      </c>
    </row>
    <row r="624" spans="1:3" x14ac:dyDescent="0.2">
      <c r="A624" t="s">
        <v>815</v>
      </c>
    </row>
    <row r="625" spans="1:3" x14ac:dyDescent="0.2">
      <c r="A625" t="s">
        <v>816</v>
      </c>
    </row>
    <row r="626" spans="1:3" x14ac:dyDescent="0.2">
      <c r="A626" t="s">
        <v>629</v>
      </c>
      <c r="B626">
        <v>0</v>
      </c>
      <c r="C626">
        <v>0</v>
      </c>
    </row>
    <row r="627" spans="1:3" x14ac:dyDescent="0.2">
      <c r="A627" t="s">
        <v>600</v>
      </c>
      <c r="B627">
        <v>1</v>
      </c>
      <c r="C627">
        <v>1</v>
      </c>
    </row>
    <row r="628" spans="1:3" x14ac:dyDescent="0.2">
      <c r="A628" t="s">
        <v>862</v>
      </c>
      <c r="B628">
        <v>1</v>
      </c>
      <c r="C628">
        <v>1</v>
      </c>
    </row>
    <row r="629" spans="1:3" x14ac:dyDescent="0.2">
      <c r="A629" t="s">
        <v>802</v>
      </c>
    </row>
    <row r="630" spans="1:3" x14ac:dyDescent="0.2">
      <c r="A630" t="s">
        <v>333</v>
      </c>
      <c r="B630">
        <v>10</v>
      </c>
    </row>
    <row r="631" spans="1:3" x14ac:dyDescent="0.2">
      <c r="A631" t="s">
        <v>334</v>
      </c>
    </row>
    <row r="632" spans="1:3" x14ac:dyDescent="0.2">
      <c r="A632" t="s">
        <v>335</v>
      </c>
    </row>
    <row r="633" spans="1:3" x14ac:dyDescent="0.2">
      <c r="A633" t="s">
        <v>336</v>
      </c>
    </row>
    <row r="634" spans="1:3" x14ac:dyDescent="0.2">
      <c r="A634" t="s">
        <v>337</v>
      </c>
    </row>
    <row r="635" spans="1:3" x14ac:dyDescent="0.2">
      <c r="A635" t="s">
        <v>338</v>
      </c>
    </row>
    <row r="636" spans="1:3" x14ac:dyDescent="0.2">
      <c r="A636" t="s">
        <v>339</v>
      </c>
    </row>
    <row r="637" spans="1:3" x14ac:dyDescent="0.2">
      <c r="A637" t="s">
        <v>340</v>
      </c>
    </row>
    <row r="638" spans="1:3" x14ac:dyDescent="0.2">
      <c r="A638" t="s">
        <v>341</v>
      </c>
    </row>
    <row r="639" spans="1:3" x14ac:dyDescent="0.2">
      <c r="A639" t="s">
        <v>28</v>
      </c>
    </row>
    <row r="640" spans="1:3" x14ac:dyDescent="0.2">
      <c r="A640" t="s">
        <v>29</v>
      </c>
    </row>
    <row r="641" spans="1:4" x14ac:dyDescent="0.2">
      <c r="A641" t="s">
        <v>30</v>
      </c>
      <c r="B641">
        <v>50</v>
      </c>
    </row>
    <row r="642" spans="1:4" x14ac:dyDescent="0.2">
      <c r="A642" t="s">
        <v>31</v>
      </c>
    </row>
    <row r="643" spans="1:4" x14ac:dyDescent="0.2">
      <c r="A643" t="s">
        <v>32</v>
      </c>
      <c r="B643">
        <v>0.5</v>
      </c>
    </row>
    <row r="644" spans="1:4" x14ac:dyDescent="0.2">
      <c r="A644" t="s">
        <v>33</v>
      </c>
      <c r="B644">
        <v>60</v>
      </c>
    </row>
    <row r="645" spans="1:4" x14ac:dyDescent="0.2">
      <c r="A645" t="s">
        <v>34</v>
      </c>
      <c r="B645">
        <v>50</v>
      </c>
    </row>
    <row r="646" spans="1:4" x14ac:dyDescent="0.2">
      <c r="A646" t="s">
        <v>35</v>
      </c>
    </row>
    <row r="647" spans="1:4" x14ac:dyDescent="0.2">
      <c r="A647" t="s">
        <v>36</v>
      </c>
    </row>
    <row r="648" spans="1:4" x14ac:dyDescent="0.2">
      <c r="A648" t="s">
        <v>37</v>
      </c>
    </row>
    <row r="649" spans="1:4" x14ac:dyDescent="0.2">
      <c r="A649" t="s">
        <v>38</v>
      </c>
    </row>
    <row r="650" spans="1:4" x14ac:dyDescent="0.2">
      <c r="A650" s="517" t="s">
        <v>2543</v>
      </c>
    </row>
    <row r="651" spans="1:4" x14ac:dyDescent="0.2">
      <c r="A651" s="517" t="s">
        <v>2544</v>
      </c>
    </row>
    <row r="652" spans="1:4" x14ac:dyDescent="0.2">
      <c r="A652" s="517" t="s">
        <v>2545</v>
      </c>
    </row>
    <row r="653" spans="1:4" x14ac:dyDescent="0.2">
      <c r="A653" s="517" t="s">
        <v>2546</v>
      </c>
    </row>
    <row r="654" spans="1:4" s="517" customFormat="1" x14ac:dyDescent="0.2">
      <c r="A654" s="517" t="s">
        <v>2547</v>
      </c>
      <c r="B654"/>
      <c r="C654"/>
      <c r="D654"/>
    </row>
    <row r="655" spans="1:4" x14ac:dyDescent="0.2">
      <c r="A655" s="517" t="s">
        <v>2548</v>
      </c>
    </row>
    <row r="656" spans="1:4" x14ac:dyDescent="0.2">
      <c r="A656" s="517" t="s">
        <v>2549</v>
      </c>
    </row>
    <row r="657" spans="1:4" x14ac:dyDescent="0.2">
      <c r="A657" s="517" t="s">
        <v>2550</v>
      </c>
    </row>
    <row r="658" spans="1:4" x14ac:dyDescent="0.2">
      <c r="A658" s="517" t="s">
        <v>2551</v>
      </c>
    </row>
    <row r="659" spans="1:4" s="517" customFormat="1" x14ac:dyDescent="0.2">
      <c r="A659" s="517" t="s">
        <v>2552</v>
      </c>
      <c r="B659"/>
      <c r="C659"/>
      <c r="D659"/>
    </row>
    <row r="660" spans="1:4" s="517" customFormat="1" x14ac:dyDescent="0.2">
      <c r="A660" t="s">
        <v>902</v>
      </c>
      <c r="B660">
        <v>1500</v>
      </c>
      <c r="C660">
        <v>1500</v>
      </c>
      <c r="D660"/>
    </row>
    <row r="661" spans="1:4" s="517" customFormat="1" x14ac:dyDescent="0.2">
      <c r="A661" t="s">
        <v>903</v>
      </c>
      <c r="B661">
        <v>1500</v>
      </c>
      <c r="C661">
        <v>1500</v>
      </c>
      <c r="D661"/>
    </row>
    <row r="662" spans="1:4" s="517" customFormat="1" x14ac:dyDescent="0.2">
      <c r="A662" t="s">
        <v>904</v>
      </c>
      <c r="B662">
        <v>1500</v>
      </c>
      <c r="C662">
        <v>1500</v>
      </c>
      <c r="D662"/>
    </row>
    <row r="663" spans="1:4" x14ac:dyDescent="0.2">
      <c r="A663" t="s">
        <v>905</v>
      </c>
      <c r="B663">
        <v>1500</v>
      </c>
      <c r="C663">
        <v>1500</v>
      </c>
    </row>
    <row r="664" spans="1:4" x14ac:dyDescent="0.2">
      <c r="A664" t="s">
        <v>16</v>
      </c>
      <c r="B664">
        <v>1500</v>
      </c>
      <c r="C664">
        <v>1500</v>
      </c>
    </row>
    <row r="665" spans="1:4" x14ac:dyDescent="0.2">
      <c r="A665" t="s">
        <v>17</v>
      </c>
      <c r="B665">
        <v>1500</v>
      </c>
      <c r="C665">
        <v>1500</v>
      </c>
    </row>
    <row r="666" spans="1:4" x14ac:dyDescent="0.2">
      <c r="A666" t="s">
        <v>18</v>
      </c>
      <c r="B666">
        <v>1500</v>
      </c>
      <c r="C666">
        <v>1500</v>
      </c>
    </row>
    <row r="667" spans="1:4" x14ac:dyDescent="0.2">
      <c r="A667" t="s">
        <v>19</v>
      </c>
      <c r="B667">
        <v>1500</v>
      </c>
      <c r="C667">
        <v>1500</v>
      </c>
    </row>
    <row r="668" spans="1:4" x14ac:dyDescent="0.2">
      <c r="A668" t="s">
        <v>20</v>
      </c>
      <c r="B668">
        <v>1500</v>
      </c>
      <c r="C668">
        <v>1500</v>
      </c>
    </row>
    <row r="669" spans="1:4" x14ac:dyDescent="0.2">
      <c r="A669" t="s">
        <v>380</v>
      </c>
      <c r="B669">
        <v>1500</v>
      </c>
      <c r="C669">
        <v>1500</v>
      </c>
    </row>
    <row r="670" spans="1:4" x14ac:dyDescent="0.2">
      <c r="A670" t="s">
        <v>381</v>
      </c>
      <c r="B670">
        <v>1500</v>
      </c>
      <c r="C670">
        <v>1500</v>
      </c>
    </row>
    <row r="671" spans="1:4" x14ac:dyDescent="0.2">
      <c r="A671" t="s">
        <v>382</v>
      </c>
      <c r="B671">
        <v>1500</v>
      </c>
      <c r="C671">
        <v>1500</v>
      </c>
    </row>
    <row r="672" spans="1:4" x14ac:dyDescent="0.2">
      <c r="A672" t="s">
        <v>43</v>
      </c>
      <c r="B672">
        <v>1500</v>
      </c>
      <c r="C672">
        <v>1500</v>
      </c>
    </row>
    <row r="673" spans="1:4" x14ac:dyDescent="0.2">
      <c r="A673" s="517" t="s">
        <v>2513</v>
      </c>
      <c r="B673" s="517">
        <v>1500</v>
      </c>
      <c r="C673" s="517">
        <v>1500</v>
      </c>
      <c r="D673" s="517"/>
    </row>
    <row r="674" spans="1:4" x14ac:dyDescent="0.2">
      <c r="A674" s="517" t="s">
        <v>2514</v>
      </c>
      <c r="B674" s="517">
        <v>1500</v>
      </c>
      <c r="C674" s="517">
        <v>1500</v>
      </c>
      <c r="D674" s="517"/>
    </row>
    <row r="675" spans="1:4" x14ac:dyDescent="0.2">
      <c r="A675" s="517" t="s">
        <v>2515</v>
      </c>
      <c r="B675" s="517">
        <v>1500</v>
      </c>
      <c r="C675" s="517">
        <v>1500</v>
      </c>
      <c r="D675" s="517"/>
    </row>
    <row r="676" spans="1:4" x14ac:dyDescent="0.2">
      <c r="A676" s="517" t="s">
        <v>2516</v>
      </c>
      <c r="B676" s="517">
        <v>1500</v>
      </c>
      <c r="C676" s="517">
        <v>1500</v>
      </c>
      <c r="D676" s="517"/>
    </row>
    <row r="677" spans="1:4" x14ac:dyDescent="0.2">
      <c r="A677" s="517" t="s">
        <v>2517</v>
      </c>
      <c r="B677" s="517">
        <v>1500</v>
      </c>
      <c r="C677" s="517">
        <v>1500</v>
      </c>
      <c r="D677" s="517"/>
    </row>
    <row r="678" spans="1:4" x14ac:dyDescent="0.2">
      <c r="A678" s="517" t="s">
        <v>2518</v>
      </c>
      <c r="B678" s="517">
        <v>1500</v>
      </c>
      <c r="C678" s="517">
        <v>1500</v>
      </c>
      <c r="D678" s="517"/>
    </row>
    <row r="679" spans="1:4" x14ac:dyDescent="0.2">
      <c r="A679" s="517" t="s">
        <v>2519</v>
      </c>
      <c r="B679" s="517">
        <v>1500</v>
      </c>
      <c r="C679" s="517">
        <v>1500</v>
      </c>
      <c r="D679" s="517"/>
    </row>
    <row r="680" spans="1:4" x14ac:dyDescent="0.2">
      <c r="A680" s="517" t="s">
        <v>2520</v>
      </c>
      <c r="B680" s="517">
        <v>1500</v>
      </c>
      <c r="C680" s="517">
        <v>1500</v>
      </c>
      <c r="D680" s="517"/>
    </row>
    <row r="681" spans="1:4" x14ac:dyDescent="0.2">
      <c r="A681" s="517" t="s">
        <v>2521</v>
      </c>
      <c r="B681" s="517">
        <v>1500</v>
      </c>
      <c r="C681" s="517">
        <v>1500</v>
      </c>
      <c r="D681" s="517"/>
    </row>
    <row r="682" spans="1:4" x14ac:dyDescent="0.2">
      <c r="A682" s="517" t="s">
        <v>2522</v>
      </c>
      <c r="B682" s="517">
        <v>1500</v>
      </c>
      <c r="C682" s="517">
        <v>1500</v>
      </c>
      <c r="D682" s="517"/>
    </row>
    <row r="683" spans="1:4" x14ac:dyDescent="0.2">
      <c r="A683" t="s">
        <v>44</v>
      </c>
      <c r="B683">
        <v>1500</v>
      </c>
      <c r="C683">
        <v>1500</v>
      </c>
    </row>
    <row r="684" spans="1:4" s="517" customFormat="1" x14ac:dyDescent="0.2">
      <c r="A684" t="s">
        <v>45</v>
      </c>
      <c r="B684">
        <v>1500</v>
      </c>
      <c r="C684">
        <v>1500</v>
      </c>
      <c r="D684"/>
    </row>
    <row r="685" spans="1:4" x14ac:dyDescent="0.2">
      <c r="A685" t="s">
        <v>46</v>
      </c>
      <c r="B685">
        <v>1500</v>
      </c>
      <c r="C685">
        <v>1500</v>
      </c>
    </row>
    <row r="686" spans="1:4" x14ac:dyDescent="0.2">
      <c r="A686" t="s">
        <v>559</v>
      </c>
      <c r="B686">
        <v>1500</v>
      </c>
      <c r="C686">
        <v>1500</v>
      </c>
    </row>
    <row r="687" spans="1:4" x14ac:dyDescent="0.2">
      <c r="A687" t="s">
        <v>560</v>
      </c>
      <c r="B687">
        <v>1500</v>
      </c>
      <c r="C687">
        <v>1500</v>
      </c>
    </row>
    <row r="688" spans="1:4" x14ac:dyDescent="0.2">
      <c r="A688" t="s">
        <v>561</v>
      </c>
      <c r="B688">
        <v>1500</v>
      </c>
      <c r="C688">
        <v>1500</v>
      </c>
    </row>
    <row r="689" spans="1:4" s="517" customFormat="1" x14ac:dyDescent="0.2">
      <c r="A689" t="s">
        <v>562</v>
      </c>
      <c r="B689">
        <v>1500</v>
      </c>
      <c r="C689">
        <v>1500</v>
      </c>
      <c r="D689"/>
    </row>
    <row r="690" spans="1:4" s="517" customFormat="1" x14ac:dyDescent="0.2">
      <c r="A690" t="s">
        <v>479</v>
      </c>
      <c r="B690">
        <v>1</v>
      </c>
      <c r="C690">
        <v>1</v>
      </c>
      <c r="D690"/>
    </row>
    <row r="691" spans="1:4" s="517" customFormat="1" x14ac:dyDescent="0.2">
      <c r="A691" t="s">
        <v>803</v>
      </c>
      <c r="B691"/>
      <c r="C691"/>
      <c r="D691"/>
    </row>
    <row r="692" spans="1:4" s="517" customFormat="1" x14ac:dyDescent="0.2">
      <c r="A692" t="s">
        <v>804</v>
      </c>
      <c r="B692" t="b">
        <v>0</v>
      </c>
      <c r="C692" t="b">
        <v>0</v>
      </c>
      <c r="D692"/>
    </row>
    <row r="693" spans="1:4" x14ac:dyDescent="0.2">
      <c r="A693" t="s">
        <v>805</v>
      </c>
      <c r="B693">
        <v>1</v>
      </c>
      <c r="C693">
        <v>1</v>
      </c>
    </row>
    <row r="694" spans="1:4" x14ac:dyDescent="0.2">
      <c r="A694" t="s">
        <v>310</v>
      </c>
      <c r="B694">
        <v>0</v>
      </c>
      <c r="C694">
        <v>0</v>
      </c>
    </row>
    <row r="695" spans="1:4" x14ac:dyDescent="0.2">
      <c r="A695" t="s">
        <v>702</v>
      </c>
    </row>
    <row r="696" spans="1:4" x14ac:dyDescent="0.2">
      <c r="A696" t="s">
        <v>703</v>
      </c>
    </row>
    <row r="697" spans="1:4" x14ac:dyDescent="0.2">
      <c r="A697" t="s">
        <v>453</v>
      </c>
    </row>
    <row r="698" spans="1:4" x14ac:dyDescent="0.2">
      <c r="A698" s="496" t="s">
        <v>971</v>
      </c>
      <c r="B698" s="496" t="s">
        <v>2420</v>
      </c>
      <c r="C698" s="496" t="s">
        <v>563</v>
      </c>
    </row>
    <row r="699" spans="1:4" x14ac:dyDescent="0.2">
      <c r="A699" s="496" t="s">
        <v>1117</v>
      </c>
      <c r="B699" s="496"/>
      <c r="C699" s="496"/>
    </row>
    <row r="700" spans="1:4" x14ac:dyDescent="0.2">
      <c r="A700" s="496" t="s">
        <v>1118</v>
      </c>
      <c r="B700" s="496">
        <v>0</v>
      </c>
      <c r="C700" s="496">
        <v>0</v>
      </c>
    </row>
    <row r="701" spans="1:4" x14ac:dyDescent="0.2">
      <c r="A701" s="496" t="s">
        <v>1119</v>
      </c>
      <c r="B701" s="496">
        <v>5000</v>
      </c>
      <c r="C701" s="496">
        <v>5000</v>
      </c>
    </row>
    <row r="702" spans="1:4" x14ac:dyDescent="0.2">
      <c r="A702" s="496" t="s">
        <v>1120</v>
      </c>
      <c r="B702" s="496">
        <v>2</v>
      </c>
      <c r="C702" s="496">
        <v>0</v>
      </c>
    </row>
    <row r="703" spans="1:4" x14ac:dyDescent="0.2">
      <c r="A703" s="496" t="s">
        <v>1121</v>
      </c>
      <c r="B703" s="496">
        <v>2</v>
      </c>
      <c r="C703" s="496">
        <v>1</v>
      </c>
    </row>
    <row r="704" spans="1:4" x14ac:dyDescent="0.2">
      <c r="A704" s="496" t="s">
        <v>1122</v>
      </c>
      <c r="B704" s="496">
        <v>1</v>
      </c>
      <c r="C704" s="496">
        <v>1</v>
      </c>
    </row>
    <row r="705" spans="1:3" x14ac:dyDescent="0.2">
      <c r="A705" s="496" t="s">
        <v>1123</v>
      </c>
      <c r="B705" s="496">
        <v>1</v>
      </c>
      <c r="C705" s="496">
        <v>1</v>
      </c>
    </row>
    <row r="706" spans="1:3" x14ac:dyDescent="0.2">
      <c r="A706" s="496" t="s">
        <v>1124</v>
      </c>
      <c r="B706" s="496">
        <v>1</v>
      </c>
      <c r="C706" s="496">
        <v>1</v>
      </c>
    </row>
    <row r="707" spans="1:3" x14ac:dyDescent="0.2">
      <c r="A707" s="496" t="s">
        <v>1125</v>
      </c>
      <c r="B707" s="496">
        <v>1</v>
      </c>
      <c r="C707" s="496">
        <v>1</v>
      </c>
    </row>
    <row r="708" spans="1:3" x14ac:dyDescent="0.2">
      <c r="A708" s="496" t="s">
        <v>1126</v>
      </c>
      <c r="B708" s="496">
        <v>1</v>
      </c>
      <c r="C708" s="496">
        <v>1</v>
      </c>
    </row>
    <row r="709" spans="1:3" x14ac:dyDescent="0.2">
      <c r="A709" s="496" t="s">
        <v>1127</v>
      </c>
      <c r="B709" s="496">
        <v>1</v>
      </c>
      <c r="C709" s="496">
        <v>1</v>
      </c>
    </row>
    <row r="710" spans="1:3" x14ac:dyDescent="0.2">
      <c r="A710" s="496" t="s">
        <v>1128</v>
      </c>
      <c r="B710" s="496">
        <v>1</v>
      </c>
      <c r="C710" s="496">
        <v>1</v>
      </c>
    </row>
    <row r="711" spans="1:3" x14ac:dyDescent="0.2">
      <c r="A711" s="496" t="s">
        <v>1129</v>
      </c>
      <c r="B711" s="496">
        <v>1</v>
      </c>
      <c r="C711" s="496">
        <v>1</v>
      </c>
    </row>
    <row r="712" spans="1:3" x14ac:dyDescent="0.2">
      <c r="A712" s="496" t="s">
        <v>1130</v>
      </c>
      <c r="B712" s="496">
        <v>1</v>
      </c>
      <c r="C712" s="496">
        <v>1</v>
      </c>
    </row>
    <row r="713" spans="1:3" x14ac:dyDescent="0.2">
      <c r="A713" s="496" t="s">
        <v>1131</v>
      </c>
      <c r="B713" s="496">
        <v>1</v>
      </c>
      <c r="C713" s="496">
        <v>1</v>
      </c>
    </row>
    <row r="714" spans="1:3" x14ac:dyDescent="0.2">
      <c r="A714" s="496" t="s">
        <v>1132</v>
      </c>
      <c r="B714" s="496">
        <v>0</v>
      </c>
      <c r="C714" s="496">
        <v>0</v>
      </c>
    </row>
    <row r="715" spans="1:3" x14ac:dyDescent="0.2">
      <c r="A715" s="496" t="s">
        <v>1133</v>
      </c>
      <c r="B715" s="496">
        <v>0</v>
      </c>
      <c r="C715" s="496">
        <v>0</v>
      </c>
    </row>
    <row r="716" spans="1:3" x14ac:dyDescent="0.2">
      <c r="A716" s="496" t="s">
        <v>1134</v>
      </c>
      <c r="B716" s="496">
        <v>0</v>
      </c>
      <c r="C716" s="496">
        <v>0</v>
      </c>
    </row>
    <row r="717" spans="1:3" x14ac:dyDescent="0.2">
      <c r="A717" s="496" t="s">
        <v>1135</v>
      </c>
      <c r="B717" s="496">
        <v>0</v>
      </c>
      <c r="C717" s="496">
        <v>0</v>
      </c>
    </row>
    <row r="718" spans="1:3" x14ac:dyDescent="0.2">
      <c r="A718" s="496" t="s">
        <v>1136</v>
      </c>
      <c r="B718" s="496">
        <v>0</v>
      </c>
      <c r="C718" s="496">
        <v>0</v>
      </c>
    </row>
    <row r="719" spans="1:3" x14ac:dyDescent="0.2">
      <c r="A719" s="496" t="s">
        <v>1137</v>
      </c>
      <c r="B719" s="496">
        <v>0</v>
      </c>
      <c r="C719" s="496">
        <v>0</v>
      </c>
    </row>
    <row r="720" spans="1:3" x14ac:dyDescent="0.2">
      <c r="A720" s="496" t="s">
        <v>1138</v>
      </c>
      <c r="B720" s="496">
        <v>0</v>
      </c>
      <c r="C720" s="496">
        <v>0</v>
      </c>
    </row>
    <row r="721" spans="1:3" x14ac:dyDescent="0.2">
      <c r="A721" s="496" t="s">
        <v>1139</v>
      </c>
      <c r="B721" s="496">
        <v>0</v>
      </c>
      <c r="C721" s="496">
        <v>0</v>
      </c>
    </row>
    <row r="722" spans="1:3" x14ac:dyDescent="0.2">
      <c r="A722" s="496" t="s">
        <v>1140</v>
      </c>
      <c r="B722" s="496">
        <v>0</v>
      </c>
      <c r="C722" s="496">
        <v>0</v>
      </c>
    </row>
    <row r="723" spans="1:3" x14ac:dyDescent="0.2">
      <c r="A723" s="496" t="s">
        <v>1141</v>
      </c>
      <c r="B723" s="496">
        <v>8</v>
      </c>
      <c r="C723" s="496">
        <v>0</v>
      </c>
    </row>
    <row r="724" spans="1:3" x14ac:dyDescent="0.2">
      <c r="A724" s="496" t="s">
        <v>1142</v>
      </c>
      <c r="B724" s="496">
        <v>0</v>
      </c>
      <c r="C724" s="496">
        <v>0</v>
      </c>
    </row>
    <row r="725" spans="1:3" x14ac:dyDescent="0.2">
      <c r="A725" s="496" t="s">
        <v>1143</v>
      </c>
      <c r="B725" s="497">
        <v>42607</v>
      </c>
      <c r="C725" s="497">
        <f>GebDatum</f>
        <v>42280</v>
      </c>
    </row>
    <row r="726" spans="1:3" x14ac:dyDescent="0.2">
      <c r="A726" s="496" t="s">
        <v>1144</v>
      </c>
      <c r="B726" s="496">
        <v>2.98</v>
      </c>
      <c r="C726" s="496">
        <v>10</v>
      </c>
    </row>
    <row r="727" spans="1:3" x14ac:dyDescent="0.2">
      <c r="A727" s="496" t="s">
        <v>1145</v>
      </c>
      <c r="B727" s="496">
        <v>200</v>
      </c>
      <c r="C727" s="496">
        <v>0</v>
      </c>
    </row>
    <row r="728" spans="1:3" x14ac:dyDescent="0.2">
      <c r="A728" s="496" t="s">
        <v>1146</v>
      </c>
      <c r="B728" s="496">
        <v>0</v>
      </c>
      <c r="C728" s="496">
        <v>0</v>
      </c>
    </row>
    <row r="729" spans="1:3" x14ac:dyDescent="0.2">
      <c r="A729" s="496" t="s">
        <v>1147</v>
      </c>
      <c r="B729" s="496">
        <v>5000</v>
      </c>
      <c r="C729" s="496">
        <v>5000</v>
      </c>
    </row>
    <row r="730" spans="1:3" x14ac:dyDescent="0.2">
      <c r="A730" s="496" t="s">
        <v>1148</v>
      </c>
      <c r="B730" s="496">
        <v>4984</v>
      </c>
      <c r="C730" s="496">
        <v>5000</v>
      </c>
    </row>
    <row r="731" spans="1:3" x14ac:dyDescent="0.2">
      <c r="A731" s="496" t="s">
        <v>1149</v>
      </c>
      <c r="B731" s="496">
        <v>5001</v>
      </c>
      <c r="C731" s="496">
        <v>5000</v>
      </c>
    </row>
    <row r="732" spans="1:3" x14ac:dyDescent="0.2">
      <c r="A732" s="496" t="s">
        <v>1150</v>
      </c>
      <c r="B732" s="496">
        <v>8</v>
      </c>
      <c r="C732" s="496">
        <v>1</v>
      </c>
    </row>
    <row r="733" spans="1:3" x14ac:dyDescent="0.2">
      <c r="A733" s="496" t="s">
        <v>1151</v>
      </c>
      <c r="B733" s="496">
        <v>9</v>
      </c>
      <c r="C733" s="496">
        <v>1</v>
      </c>
    </row>
    <row r="734" spans="1:3" x14ac:dyDescent="0.2">
      <c r="A734" s="496" t="s">
        <v>1152</v>
      </c>
      <c r="B734" s="496">
        <v>22</v>
      </c>
      <c r="C734" s="496">
        <v>1</v>
      </c>
    </row>
    <row r="735" spans="1:3" x14ac:dyDescent="0.2">
      <c r="A735" s="496" t="s">
        <v>1153</v>
      </c>
      <c r="B735" s="496">
        <v>1</v>
      </c>
      <c r="C735" s="496">
        <v>1</v>
      </c>
    </row>
    <row r="736" spans="1:3" x14ac:dyDescent="0.2">
      <c r="A736" s="496" t="s">
        <v>1154</v>
      </c>
      <c r="B736" s="496">
        <v>1</v>
      </c>
      <c r="C736" s="496">
        <v>1</v>
      </c>
    </row>
    <row r="737" spans="1:7" x14ac:dyDescent="0.2">
      <c r="A737" s="496" t="s">
        <v>1155</v>
      </c>
      <c r="B737" s="496">
        <v>1</v>
      </c>
      <c r="C737" s="496">
        <v>1</v>
      </c>
    </row>
    <row r="738" spans="1:7" x14ac:dyDescent="0.2">
      <c r="A738" s="496" t="s">
        <v>1156</v>
      </c>
      <c r="B738" s="496">
        <v>1</v>
      </c>
      <c r="C738" s="496">
        <v>1</v>
      </c>
      <c r="G738" s="517"/>
    </row>
    <row r="739" spans="1:7" x14ac:dyDescent="0.2">
      <c r="A739" s="496" t="s">
        <v>1157</v>
      </c>
      <c r="B739" s="496">
        <v>1</v>
      </c>
      <c r="C739" s="496">
        <v>1</v>
      </c>
      <c r="G739" s="517"/>
    </row>
    <row r="740" spans="1:7" x14ac:dyDescent="0.2">
      <c r="A740" s="496" t="s">
        <v>1158</v>
      </c>
      <c r="B740" s="496">
        <v>1</v>
      </c>
      <c r="C740" s="496">
        <v>1</v>
      </c>
      <c r="G740" s="517"/>
    </row>
    <row r="741" spans="1:7" x14ac:dyDescent="0.2">
      <c r="A741" s="496" t="s">
        <v>1159</v>
      </c>
      <c r="B741" s="496">
        <v>220</v>
      </c>
      <c r="C741" s="496">
        <v>0</v>
      </c>
      <c r="G741" s="517"/>
    </row>
    <row r="742" spans="1:7" x14ac:dyDescent="0.2">
      <c r="A742" s="496" t="s">
        <v>1160</v>
      </c>
      <c r="B742" s="496">
        <v>220</v>
      </c>
      <c r="C742" s="496">
        <v>0</v>
      </c>
      <c r="G742" s="517"/>
    </row>
    <row r="743" spans="1:7" x14ac:dyDescent="0.2">
      <c r="A743" s="496" t="s">
        <v>1161</v>
      </c>
      <c r="B743" s="496">
        <v>10</v>
      </c>
      <c r="C743" s="496">
        <v>0</v>
      </c>
      <c r="G743" s="517"/>
    </row>
    <row r="744" spans="1:7" x14ac:dyDescent="0.2">
      <c r="A744" s="496" t="s">
        <v>1162</v>
      </c>
      <c r="B744" s="496">
        <v>0</v>
      </c>
      <c r="C744" s="496">
        <v>0</v>
      </c>
      <c r="G744" s="517"/>
    </row>
    <row r="745" spans="1:7" x14ac:dyDescent="0.2">
      <c r="A745" s="496" t="s">
        <v>1163</v>
      </c>
      <c r="B745" s="496">
        <v>0</v>
      </c>
      <c r="C745" s="496">
        <v>0</v>
      </c>
      <c r="G745" s="517"/>
    </row>
    <row r="746" spans="1:7" x14ac:dyDescent="0.2">
      <c r="A746" s="496" t="s">
        <v>1164</v>
      </c>
      <c r="B746" s="496">
        <v>0</v>
      </c>
      <c r="C746" s="496">
        <v>0</v>
      </c>
      <c r="G746" s="517"/>
    </row>
    <row r="747" spans="1:7" x14ac:dyDescent="0.2">
      <c r="A747" s="496" t="s">
        <v>1165</v>
      </c>
      <c r="B747" s="496">
        <v>0</v>
      </c>
      <c r="C747" s="496">
        <v>0</v>
      </c>
      <c r="G747" s="517"/>
    </row>
    <row r="748" spans="1:7" x14ac:dyDescent="0.2">
      <c r="A748" s="496" t="s">
        <v>1166</v>
      </c>
      <c r="B748" s="496">
        <v>0</v>
      </c>
      <c r="C748" s="496">
        <v>0</v>
      </c>
      <c r="G748" s="517"/>
    </row>
    <row r="749" spans="1:7" x14ac:dyDescent="0.2">
      <c r="A749" s="496" t="s">
        <v>1167</v>
      </c>
      <c r="B749" s="496">
        <v>0</v>
      </c>
      <c r="C749" s="496">
        <v>0</v>
      </c>
    </row>
    <row r="750" spans="1:7" x14ac:dyDescent="0.2">
      <c r="A750" s="496" t="s">
        <v>1168</v>
      </c>
      <c r="B750" s="496"/>
      <c r="C750" s="496"/>
    </row>
    <row r="751" spans="1:7" x14ac:dyDescent="0.2">
      <c r="A751" s="496" t="s">
        <v>1169</v>
      </c>
      <c r="B751" s="496"/>
      <c r="C751" s="496"/>
    </row>
    <row r="752" spans="1:7" x14ac:dyDescent="0.2">
      <c r="A752" s="496" t="s">
        <v>1170</v>
      </c>
      <c r="B752" s="496">
        <v>5000</v>
      </c>
      <c r="C752" s="496">
        <v>5000</v>
      </c>
    </row>
    <row r="753" spans="1:3" x14ac:dyDescent="0.2">
      <c r="A753" s="496" t="s">
        <v>1171</v>
      </c>
      <c r="B753" s="496">
        <v>5001</v>
      </c>
      <c r="C753" s="496">
        <v>5000</v>
      </c>
    </row>
    <row r="754" spans="1:3" x14ac:dyDescent="0.2">
      <c r="A754" s="496" t="s">
        <v>1172</v>
      </c>
      <c r="B754" s="496">
        <v>5000</v>
      </c>
      <c r="C754" s="496">
        <v>5000</v>
      </c>
    </row>
    <row r="755" spans="1:3" x14ac:dyDescent="0.2">
      <c r="A755" s="496" t="s">
        <v>1173</v>
      </c>
      <c r="B755" s="496">
        <v>12</v>
      </c>
      <c r="C755" s="496">
        <v>0</v>
      </c>
    </row>
    <row r="756" spans="1:3" x14ac:dyDescent="0.2">
      <c r="A756" s="496" t="s">
        <v>1174</v>
      </c>
      <c r="B756" s="496">
        <v>12</v>
      </c>
      <c r="C756" s="496">
        <v>0</v>
      </c>
    </row>
    <row r="757" spans="1:3" x14ac:dyDescent="0.2">
      <c r="A757" s="496" t="s">
        <v>1175</v>
      </c>
      <c r="B757" s="496">
        <v>12</v>
      </c>
      <c r="C757" s="496">
        <v>0</v>
      </c>
    </row>
    <row r="758" spans="1:3" x14ac:dyDescent="0.2">
      <c r="A758" s="496" t="s">
        <v>1176</v>
      </c>
      <c r="B758" s="496">
        <v>0</v>
      </c>
      <c r="C758" s="496">
        <v>0</v>
      </c>
    </row>
    <row r="759" spans="1:3" x14ac:dyDescent="0.2">
      <c r="A759" s="496" t="s">
        <v>1177</v>
      </c>
      <c r="B759" s="496">
        <v>0</v>
      </c>
      <c r="C759" s="496">
        <v>0</v>
      </c>
    </row>
    <row r="760" spans="1:3" x14ac:dyDescent="0.2">
      <c r="A760" s="496" t="s">
        <v>1178</v>
      </c>
      <c r="B760" s="496">
        <v>0</v>
      </c>
      <c r="C760" s="496">
        <v>0</v>
      </c>
    </row>
    <row r="761" spans="1:3" x14ac:dyDescent="0.2">
      <c r="A761" s="496" t="s">
        <v>1179</v>
      </c>
      <c r="B761" s="496">
        <v>0</v>
      </c>
      <c r="C761" s="496">
        <v>0</v>
      </c>
    </row>
    <row r="762" spans="1:3" x14ac:dyDescent="0.2">
      <c r="A762" s="496" t="s">
        <v>1180</v>
      </c>
      <c r="B762" s="496">
        <v>0</v>
      </c>
      <c r="C762" s="496">
        <v>0</v>
      </c>
    </row>
    <row r="763" spans="1:3" x14ac:dyDescent="0.2">
      <c r="A763" s="496" t="s">
        <v>1181</v>
      </c>
      <c r="B763" s="496">
        <v>0</v>
      </c>
      <c r="C763" s="496">
        <v>0</v>
      </c>
    </row>
    <row r="764" spans="1:3" x14ac:dyDescent="0.2">
      <c r="A764" s="496" t="s">
        <v>1182</v>
      </c>
      <c r="B764" s="496">
        <v>3</v>
      </c>
      <c r="C764" s="496">
        <v>1</v>
      </c>
    </row>
    <row r="765" spans="1:3" x14ac:dyDescent="0.2">
      <c r="A765" s="496" t="s">
        <v>1183</v>
      </c>
      <c r="B765" s="496">
        <v>3</v>
      </c>
      <c r="C765" s="496">
        <v>1</v>
      </c>
    </row>
    <row r="766" spans="1:3" x14ac:dyDescent="0.2">
      <c r="A766" s="496" t="s">
        <v>1184</v>
      </c>
      <c r="B766" s="496">
        <v>3</v>
      </c>
      <c r="C766" s="496">
        <v>1</v>
      </c>
    </row>
    <row r="767" spans="1:3" x14ac:dyDescent="0.2">
      <c r="A767" s="496" t="s">
        <v>1185</v>
      </c>
      <c r="B767" s="496">
        <v>1</v>
      </c>
      <c r="C767" s="496">
        <v>1</v>
      </c>
    </row>
    <row r="768" spans="1:3" x14ac:dyDescent="0.2">
      <c r="A768" s="496" t="s">
        <v>1186</v>
      </c>
      <c r="B768" s="496">
        <v>1</v>
      </c>
      <c r="C768" s="496">
        <v>1</v>
      </c>
    </row>
    <row r="769" spans="1:4" x14ac:dyDescent="0.2">
      <c r="A769" s="496" t="s">
        <v>1187</v>
      </c>
      <c r="B769" s="496">
        <v>1</v>
      </c>
      <c r="C769" s="496">
        <v>1</v>
      </c>
    </row>
    <row r="770" spans="1:4" x14ac:dyDescent="0.2">
      <c r="A770" s="496" t="s">
        <v>1188</v>
      </c>
      <c r="B770" s="496">
        <v>1</v>
      </c>
      <c r="C770" s="496">
        <v>1</v>
      </c>
    </row>
    <row r="771" spans="1:4" x14ac:dyDescent="0.2">
      <c r="A771" s="496" t="s">
        <v>1189</v>
      </c>
      <c r="B771" s="496">
        <v>1</v>
      </c>
      <c r="C771" s="496">
        <v>1</v>
      </c>
    </row>
    <row r="772" spans="1:4" x14ac:dyDescent="0.2">
      <c r="A772" s="496" t="s">
        <v>1190</v>
      </c>
      <c r="B772" s="496">
        <v>1</v>
      </c>
      <c r="C772" s="496">
        <v>1</v>
      </c>
    </row>
    <row r="773" spans="1:4" x14ac:dyDescent="0.2">
      <c r="A773" s="496" t="s">
        <v>1191</v>
      </c>
      <c r="B773" s="496"/>
      <c r="C773" s="496"/>
    </row>
    <row r="774" spans="1:4" x14ac:dyDescent="0.2">
      <c r="A774" s="496" t="s">
        <v>2000</v>
      </c>
      <c r="B774" s="496">
        <v>1</v>
      </c>
      <c r="C774" s="496">
        <v>1</v>
      </c>
      <c r="D774" s="517"/>
    </row>
    <row r="775" spans="1:4" x14ac:dyDescent="0.2">
      <c r="A775" s="496" t="s">
        <v>2001</v>
      </c>
      <c r="B775" s="496">
        <v>1</v>
      </c>
      <c r="C775" s="496">
        <v>1</v>
      </c>
    </row>
    <row r="776" spans="1:4" x14ac:dyDescent="0.2">
      <c r="A776" s="496" t="s">
        <v>2002</v>
      </c>
      <c r="B776" s="496">
        <v>1</v>
      </c>
      <c r="C776" s="496">
        <v>1</v>
      </c>
    </row>
    <row r="777" spans="1:4" x14ac:dyDescent="0.2">
      <c r="A777" s="496" t="s">
        <v>2003</v>
      </c>
      <c r="B777" s="496">
        <v>1</v>
      </c>
      <c r="C777" s="496">
        <v>1</v>
      </c>
    </row>
    <row r="778" spans="1:4" x14ac:dyDescent="0.2">
      <c r="A778" s="496" t="s">
        <v>2004</v>
      </c>
      <c r="B778" s="496">
        <v>1</v>
      </c>
      <c r="C778" s="496">
        <v>1</v>
      </c>
    </row>
    <row r="779" spans="1:4" x14ac:dyDescent="0.2">
      <c r="A779" s="496" t="s">
        <v>2005</v>
      </c>
      <c r="B779" s="496">
        <v>1</v>
      </c>
      <c r="C779" s="496">
        <v>1</v>
      </c>
      <c r="D779" s="517"/>
    </row>
    <row r="780" spans="1:4" x14ac:dyDescent="0.2">
      <c r="A780" s="496" t="s">
        <v>2006</v>
      </c>
      <c r="B780" s="496">
        <v>1</v>
      </c>
      <c r="C780" s="496">
        <v>1</v>
      </c>
      <c r="D780" s="517"/>
    </row>
    <row r="781" spans="1:4" x14ac:dyDescent="0.2">
      <c r="A781" s="496" t="s">
        <v>2007</v>
      </c>
      <c r="B781" s="496">
        <v>1</v>
      </c>
      <c r="C781" s="496">
        <v>1</v>
      </c>
      <c r="D781" s="517"/>
    </row>
    <row r="782" spans="1:4" x14ac:dyDescent="0.2">
      <c r="A782" s="496" t="s">
        <v>2008</v>
      </c>
      <c r="B782" s="496">
        <v>1</v>
      </c>
      <c r="C782" s="496">
        <v>1</v>
      </c>
      <c r="D782" s="517"/>
    </row>
    <row r="783" spans="1:4" x14ac:dyDescent="0.2">
      <c r="A783" s="496" t="s">
        <v>1192</v>
      </c>
      <c r="B783" s="496">
        <v>5000</v>
      </c>
      <c r="C783" s="496">
        <v>5000</v>
      </c>
    </row>
    <row r="784" spans="1:4" x14ac:dyDescent="0.2">
      <c r="A784" s="496" t="s">
        <v>1193</v>
      </c>
      <c r="B784" s="496">
        <v>5000</v>
      </c>
      <c r="C784" s="496">
        <v>5000</v>
      </c>
    </row>
    <row r="785" spans="1:3" x14ac:dyDescent="0.2">
      <c r="A785" s="496" t="s">
        <v>1194</v>
      </c>
      <c r="B785" s="496">
        <v>5000</v>
      </c>
      <c r="C785" s="496">
        <v>5000</v>
      </c>
    </row>
    <row r="786" spans="1:3" x14ac:dyDescent="0.2">
      <c r="A786" s="496" t="s">
        <v>1195</v>
      </c>
      <c r="B786" s="496">
        <v>10</v>
      </c>
      <c r="C786" s="496">
        <v>0</v>
      </c>
    </row>
    <row r="787" spans="1:3" x14ac:dyDescent="0.2">
      <c r="A787" s="496" t="s">
        <v>1196</v>
      </c>
      <c r="B787" s="496">
        <v>10</v>
      </c>
      <c r="C787" s="496">
        <v>0</v>
      </c>
    </row>
    <row r="788" spans="1:3" x14ac:dyDescent="0.2">
      <c r="A788" s="496" t="s">
        <v>1197</v>
      </c>
      <c r="B788" s="496">
        <v>10</v>
      </c>
      <c r="C788" s="496">
        <v>0</v>
      </c>
    </row>
    <row r="789" spans="1:3" x14ac:dyDescent="0.2">
      <c r="A789" s="496" t="s">
        <v>1198</v>
      </c>
      <c r="B789" s="496">
        <v>0</v>
      </c>
      <c r="C789" s="496">
        <v>0</v>
      </c>
    </row>
    <row r="790" spans="1:3" x14ac:dyDescent="0.2">
      <c r="A790" s="496" t="s">
        <v>1199</v>
      </c>
      <c r="B790" s="496">
        <v>0</v>
      </c>
      <c r="C790" s="496">
        <v>0</v>
      </c>
    </row>
    <row r="791" spans="1:3" x14ac:dyDescent="0.2">
      <c r="A791" s="496" t="s">
        <v>1200</v>
      </c>
      <c r="B791" s="496">
        <v>0</v>
      </c>
      <c r="C791" s="496">
        <v>0</v>
      </c>
    </row>
    <row r="792" spans="1:3" x14ac:dyDescent="0.2">
      <c r="A792" s="496" t="s">
        <v>1201</v>
      </c>
      <c r="B792" s="496">
        <v>0</v>
      </c>
      <c r="C792" s="496">
        <v>0</v>
      </c>
    </row>
    <row r="793" spans="1:3" x14ac:dyDescent="0.2">
      <c r="A793" s="496" t="s">
        <v>1202</v>
      </c>
      <c r="B793" s="496">
        <v>0</v>
      </c>
      <c r="C793" s="496">
        <v>0</v>
      </c>
    </row>
    <row r="794" spans="1:3" x14ac:dyDescent="0.2">
      <c r="A794" s="496" t="s">
        <v>1203</v>
      </c>
      <c r="B794" s="496">
        <v>0</v>
      </c>
      <c r="C794" s="496">
        <v>0</v>
      </c>
    </row>
    <row r="795" spans="1:3" x14ac:dyDescent="0.2">
      <c r="A795" s="496" t="s">
        <v>1204</v>
      </c>
      <c r="B795" s="496">
        <v>220</v>
      </c>
      <c r="C795" s="496">
        <v>0</v>
      </c>
    </row>
    <row r="796" spans="1:3" x14ac:dyDescent="0.2">
      <c r="A796" s="496" t="s">
        <v>1205</v>
      </c>
      <c r="B796" s="496">
        <v>220</v>
      </c>
      <c r="C796" s="496">
        <v>0</v>
      </c>
    </row>
    <row r="797" spans="1:3" x14ac:dyDescent="0.2">
      <c r="A797" s="496" t="s">
        <v>1206</v>
      </c>
      <c r="B797" s="496">
        <v>10</v>
      </c>
      <c r="C797" s="496">
        <v>0</v>
      </c>
    </row>
    <row r="798" spans="1:3" x14ac:dyDescent="0.2">
      <c r="A798" s="496" t="s">
        <v>1207</v>
      </c>
      <c r="B798" s="496">
        <v>0</v>
      </c>
      <c r="C798" s="496">
        <v>0</v>
      </c>
    </row>
    <row r="799" spans="1:3" x14ac:dyDescent="0.2">
      <c r="A799" s="496" t="s">
        <v>1208</v>
      </c>
      <c r="B799" s="496">
        <v>0</v>
      </c>
      <c r="C799" s="496">
        <v>0</v>
      </c>
    </row>
    <row r="800" spans="1:3" x14ac:dyDescent="0.2">
      <c r="A800" s="496" t="s">
        <v>1209</v>
      </c>
      <c r="B800" s="496">
        <v>0</v>
      </c>
      <c r="C800" s="496">
        <v>0</v>
      </c>
    </row>
    <row r="801" spans="1:4" x14ac:dyDescent="0.2">
      <c r="A801" s="496" t="s">
        <v>1210</v>
      </c>
      <c r="B801" s="496">
        <v>0</v>
      </c>
      <c r="C801" s="496">
        <v>0</v>
      </c>
    </row>
    <row r="802" spans="1:4" x14ac:dyDescent="0.2">
      <c r="A802" s="496" t="s">
        <v>1211</v>
      </c>
      <c r="B802" s="496">
        <v>0</v>
      </c>
      <c r="C802" s="496">
        <v>0</v>
      </c>
    </row>
    <row r="803" spans="1:4" x14ac:dyDescent="0.2">
      <c r="A803" s="496" t="s">
        <v>1212</v>
      </c>
      <c r="B803" s="496">
        <v>0</v>
      </c>
      <c r="C803" s="496">
        <v>0</v>
      </c>
    </row>
    <row r="804" spans="1:4" x14ac:dyDescent="0.2">
      <c r="A804" s="496" t="s">
        <v>1680</v>
      </c>
      <c r="B804" s="496">
        <v>2</v>
      </c>
      <c r="C804" s="496">
        <v>2</v>
      </c>
      <c r="D804" s="517"/>
    </row>
    <row r="805" spans="1:4" x14ac:dyDescent="0.2">
      <c r="A805" s="496" t="s">
        <v>1213</v>
      </c>
      <c r="B805" s="496">
        <v>1</v>
      </c>
      <c r="C805" s="496">
        <v>1</v>
      </c>
    </row>
    <row r="806" spans="1:4" x14ac:dyDescent="0.2">
      <c r="A806" s="496" t="s">
        <v>1214</v>
      </c>
      <c r="B806" s="496">
        <v>1</v>
      </c>
      <c r="C806" s="496">
        <v>1</v>
      </c>
    </row>
    <row r="807" spans="1:4" x14ac:dyDescent="0.2">
      <c r="A807" s="496" t="s">
        <v>1215</v>
      </c>
      <c r="B807" s="496">
        <v>1</v>
      </c>
      <c r="C807" s="496">
        <v>1</v>
      </c>
    </row>
    <row r="808" spans="1:4" x14ac:dyDescent="0.2">
      <c r="A808" s="496" t="s">
        <v>1216</v>
      </c>
      <c r="B808" s="496">
        <v>1</v>
      </c>
      <c r="C808" s="496">
        <v>1</v>
      </c>
    </row>
    <row r="809" spans="1:4" x14ac:dyDescent="0.2">
      <c r="A809" s="496" t="s">
        <v>1681</v>
      </c>
      <c r="B809" s="496">
        <v>1</v>
      </c>
      <c r="C809" s="496">
        <v>1</v>
      </c>
      <c r="D809" s="517"/>
    </row>
    <row r="810" spans="1:4" x14ac:dyDescent="0.2">
      <c r="A810" s="496" t="s">
        <v>1682</v>
      </c>
      <c r="B810" s="496">
        <v>1</v>
      </c>
      <c r="C810" s="496">
        <v>1</v>
      </c>
      <c r="D810" s="517"/>
    </row>
    <row r="811" spans="1:4" x14ac:dyDescent="0.2">
      <c r="A811" s="496" t="s">
        <v>1683</v>
      </c>
      <c r="B811" s="496">
        <v>1</v>
      </c>
      <c r="C811" s="496">
        <v>1</v>
      </c>
      <c r="D811" s="517"/>
    </row>
    <row r="812" spans="1:4" x14ac:dyDescent="0.2">
      <c r="A812" s="496" t="s">
        <v>1684</v>
      </c>
      <c r="B812" s="496">
        <v>1</v>
      </c>
      <c r="C812" s="496">
        <v>1</v>
      </c>
      <c r="D812" s="517"/>
    </row>
    <row r="813" spans="1:4" s="517" customFormat="1" x14ac:dyDescent="0.2">
      <c r="A813" s="496" t="s">
        <v>1217</v>
      </c>
      <c r="B813" s="496">
        <v>2</v>
      </c>
      <c r="C813" s="496">
        <v>1</v>
      </c>
      <c r="D813"/>
    </row>
    <row r="814" spans="1:4" x14ac:dyDescent="0.2">
      <c r="A814" s="496" t="s">
        <v>1218</v>
      </c>
      <c r="B814" s="496" t="s">
        <v>2421</v>
      </c>
      <c r="C814" s="496" t="s">
        <v>564</v>
      </c>
    </row>
    <row r="815" spans="1:4" x14ac:dyDescent="0.2">
      <c r="A815" s="496" t="s">
        <v>1219</v>
      </c>
      <c r="B815" s="496">
        <v>35</v>
      </c>
      <c r="C815" s="496">
        <v>30</v>
      </c>
    </row>
    <row r="816" spans="1:4" s="517" customFormat="1" x14ac:dyDescent="0.2">
      <c r="A816" s="496" t="s">
        <v>1221</v>
      </c>
      <c r="B816" s="496">
        <v>2</v>
      </c>
      <c r="C816" s="496">
        <v>2</v>
      </c>
      <c r="D816"/>
    </row>
    <row r="817" spans="1:4" s="517" customFormat="1" x14ac:dyDescent="0.2">
      <c r="A817" s="496" t="s">
        <v>1222</v>
      </c>
      <c r="B817" s="271">
        <v>0</v>
      </c>
      <c r="C817" s="271">
        <v>0</v>
      </c>
      <c r="D817"/>
    </row>
    <row r="818" spans="1:4" x14ac:dyDescent="0.2">
      <c r="A818" s="496" t="s">
        <v>1223</v>
      </c>
      <c r="B818" s="271" t="b">
        <v>1</v>
      </c>
      <c r="C818" s="271" t="b">
        <v>0</v>
      </c>
    </row>
    <row r="819" spans="1:4" x14ac:dyDescent="0.2">
      <c r="A819" s="496" t="s">
        <v>1224</v>
      </c>
      <c r="B819" s="271">
        <v>2</v>
      </c>
      <c r="C819" s="271">
        <v>2</v>
      </c>
    </row>
    <row r="820" spans="1:4" x14ac:dyDescent="0.2">
      <c r="A820" s="496" t="s">
        <v>1225</v>
      </c>
      <c r="B820" s="271" t="b">
        <v>0</v>
      </c>
      <c r="C820" s="271" t="b">
        <v>0</v>
      </c>
    </row>
    <row r="821" spans="1:4" x14ac:dyDescent="0.2">
      <c r="A821" s="496" t="s">
        <v>1226</v>
      </c>
      <c r="B821" s="271" t="b">
        <v>1</v>
      </c>
      <c r="C821" s="271" t="b">
        <v>0</v>
      </c>
    </row>
    <row r="822" spans="1:4" s="517" customFormat="1" x14ac:dyDescent="0.2">
      <c r="A822" s="496" t="s">
        <v>1227</v>
      </c>
      <c r="B822" s="271" t="b">
        <v>0</v>
      </c>
      <c r="C822" s="271" t="b">
        <v>0</v>
      </c>
      <c r="D822"/>
    </row>
    <row r="823" spans="1:4" s="517" customFormat="1" x14ac:dyDescent="0.2">
      <c r="A823" s="496" t="s">
        <v>1228</v>
      </c>
      <c r="B823" s="271" t="b">
        <v>0</v>
      </c>
      <c r="C823" s="271" t="b">
        <v>0</v>
      </c>
      <c r="D823"/>
    </row>
    <row r="824" spans="1:4" x14ac:dyDescent="0.2">
      <c r="A824" s="496" t="s">
        <v>1229</v>
      </c>
      <c r="B824" s="271">
        <v>1</v>
      </c>
      <c r="C824" s="271">
        <v>0</v>
      </c>
    </row>
    <row r="825" spans="1:4" x14ac:dyDescent="0.2">
      <c r="A825" s="496" t="s">
        <v>1230</v>
      </c>
      <c r="B825" s="271">
        <v>0</v>
      </c>
      <c r="C825" s="271">
        <v>0</v>
      </c>
    </row>
    <row r="826" spans="1:4" x14ac:dyDescent="0.2">
      <c r="A826" s="496" t="s">
        <v>1231</v>
      </c>
      <c r="B826" s="271">
        <v>0</v>
      </c>
      <c r="C826" s="271">
        <v>0</v>
      </c>
    </row>
    <row r="827" spans="1:4" x14ac:dyDescent="0.2">
      <c r="A827" s="496" t="s">
        <v>1232</v>
      </c>
      <c r="B827" s="271">
        <v>0</v>
      </c>
      <c r="C827" s="271">
        <v>0</v>
      </c>
    </row>
    <row r="828" spans="1:4" x14ac:dyDescent="0.2">
      <c r="A828" s="496" t="s">
        <v>1233</v>
      </c>
      <c r="B828" s="271">
        <v>0</v>
      </c>
      <c r="C828" s="271">
        <v>0</v>
      </c>
    </row>
    <row r="829" spans="1:4" x14ac:dyDescent="0.2">
      <c r="A829" s="496" t="s">
        <v>1234</v>
      </c>
      <c r="B829" s="271">
        <v>0</v>
      </c>
      <c r="C829" s="271">
        <v>0</v>
      </c>
    </row>
    <row r="830" spans="1:4" x14ac:dyDescent="0.2">
      <c r="A830" t="s">
        <v>1457</v>
      </c>
      <c r="B830" t="s">
        <v>2440</v>
      </c>
    </row>
    <row r="831" spans="1:4" x14ac:dyDescent="0.2">
      <c r="A831" s="517" t="s">
        <v>1458</v>
      </c>
      <c r="B831" t="s">
        <v>2441</v>
      </c>
    </row>
    <row r="832" spans="1:4" x14ac:dyDescent="0.2">
      <c r="A832" s="517" t="s">
        <v>1459</v>
      </c>
      <c r="B832" t="s">
        <v>2442</v>
      </c>
    </row>
    <row r="833" spans="1:2" x14ac:dyDescent="0.2">
      <c r="A833" s="517" t="s">
        <v>1460</v>
      </c>
      <c r="B833" t="s">
        <v>2443</v>
      </c>
    </row>
    <row r="834" spans="1:2" x14ac:dyDescent="0.2">
      <c r="A834" s="517" t="s">
        <v>1461</v>
      </c>
      <c r="B834" t="s">
        <v>2444</v>
      </c>
    </row>
    <row r="835" spans="1:2" x14ac:dyDescent="0.2">
      <c r="A835" s="517" t="s">
        <v>1462</v>
      </c>
    </row>
    <row r="836" spans="1:2" x14ac:dyDescent="0.2">
      <c r="A836" s="517" t="s">
        <v>1463</v>
      </c>
    </row>
    <row r="837" spans="1:2" x14ac:dyDescent="0.2">
      <c r="A837" s="517" t="s">
        <v>1464</v>
      </c>
    </row>
    <row r="838" spans="1:2" x14ac:dyDescent="0.2">
      <c r="A838" s="517" t="s">
        <v>1465</v>
      </c>
    </row>
    <row r="839" spans="1:2" x14ac:dyDescent="0.2">
      <c r="A839" s="517" t="s">
        <v>1466</v>
      </c>
    </row>
    <row r="840" spans="1:2" x14ac:dyDescent="0.2">
      <c r="A840" s="517" t="s">
        <v>1467</v>
      </c>
    </row>
    <row r="841" spans="1:2" x14ac:dyDescent="0.2">
      <c r="A841" s="517" t="s">
        <v>1468</v>
      </c>
    </row>
    <row r="842" spans="1:2" x14ac:dyDescent="0.2">
      <c r="A842" s="517" t="s">
        <v>1469</v>
      </c>
    </row>
    <row r="843" spans="1:2" x14ac:dyDescent="0.2">
      <c r="A843" s="517" t="s">
        <v>1470</v>
      </c>
    </row>
    <row r="844" spans="1:2" x14ac:dyDescent="0.2">
      <c r="A844" s="517" t="s">
        <v>1471</v>
      </c>
    </row>
    <row r="845" spans="1:2" x14ac:dyDescent="0.2">
      <c r="A845" s="517" t="s">
        <v>1472</v>
      </c>
    </row>
    <row r="846" spans="1:2" x14ac:dyDescent="0.2">
      <c r="A846" s="517" t="s">
        <v>1473</v>
      </c>
    </row>
    <row r="847" spans="1:2" x14ac:dyDescent="0.2">
      <c r="A847" s="517" t="s">
        <v>1474</v>
      </c>
    </row>
    <row r="848" spans="1:2" x14ac:dyDescent="0.2">
      <c r="A848" s="517" t="s">
        <v>1475</v>
      </c>
    </row>
    <row r="849" spans="1:4" x14ac:dyDescent="0.2">
      <c r="A849" s="517" t="s">
        <v>1476</v>
      </c>
    </row>
    <row r="850" spans="1:4" x14ac:dyDescent="0.2">
      <c r="A850" s="517" t="s">
        <v>2533</v>
      </c>
      <c r="B850" s="517"/>
      <c r="C850" s="517"/>
      <c r="D850" s="517"/>
    </row>
    <row r="851" spans="1:4" x14ac:dyDescent="0.2">
      <c r="A851" s="517" t="s">
        <v>2534</v>
      </c>
      <c r="B851" s="517"/>
      <c r="C851" s="517"/>
      <c r="D851" s="517"/>
    </row>
    <row r="852" spans="1:4" x14ac:dyDescent="0.2">
      <c r="A852" s="517" t="s">
        <v>2535</v>
      </c>
      <c r="B852" s="517"/>
      <c r="C852" s="517"/>
      <c r="D852" s="517"/>
    </row>
    <row r="853" spans="1:4" x14ac:dyDescent="0.2">
      <c r="A853" s="517" t="s">
        <v>2536</v>
      </c>
      <c r="B853" s="517"/>
      <c r="C853" s="517"/>
      <c r="D853" s="517"/>
    </row>
    <row r="854" spans="1:4" x14ac:dyDescent="0.2">
      <c r="A854" s="517" t="s">
        <v>2537</v>
      </c>
      <c r="B854" s="517"/>
      <c r="C854" s="517"/>
      <c r="D854" s="517"/>
    </row>
    <row r="855" spans="1:4" x14ac:dyDescent="0.2">
      <c r="A855" s="517" t="s">
        <v>2538</v>
      </c>
      <c r="B855" s="517"/>
      <c r="C855" s="517"/>
      <c r="D855" s="517"/>
    </row>
    <row r="856" spans="1:4" x14ac:dyDescent="0.2">
      <c r="A856" s="517" t="s">
        <v>2539</v>
      </c>
      <c r="B856" s="517"/>
      <c r="C856" s="517"/>
      <c r="D856" s="517"/>
    </row>
    <row r="857" spans="1:4" x14ac:dyDescent="0.2">
      <c r="A857" s="517" t="s">
        <v>2540</v>
      </c>
      <c r="B857" s="517"/>
      <c r="C857" s="517"/>
      <c r="D857" s="517"/>
    </row>
    <row r="858" spans="1:4" x14ac:dyDescent="0.2">
      <c r="A858" s="517" t="s">
        <v>2541</v>
      </c>
      <c r="B858" s="517"/>
      <c r="C858" s="517"/>
      <c r="D858" s="517"/>
    </row>
    <row r="859" spans="1:4" x14ac:dyDescent="0.2">
      <c r="A859" s="517" t="s">
        <v>2542</v>
      </c>
      <c r="B859" s="517"/>
      <c r="C859" s="517"/>
      <c r="D859" s="517"/>
    </row>
    <row r="860" spans="1:4" x14ac:dyDescent="0.2">
      <c r="A860" t="s">
        <v>1781</v>
      </c>
    </row>
    <row r="861" spans="1:4" x14ac:dyDescent="0.2">
      <c r="A861" t="s">
        <v>1782</v>
      </c>
    </row>
    <row r="862" spans="1:4" x14ac:dyDescent="0.2">
      <c r="A862" t="s">
        <v>1783</v>
      </c>
    </row>
    <row r="863" spans="1:4" x14ac:dyDescent="0.2">
      <c r="A863" t="s">
        <v>1784</v>
      </c>
    </row>
    <row r="864" spans="1:4" x14ac:dyDescent="0.2">
      <c r="A864" t="s">
        <v>1785</v>
      </c>
    </row>
    <row r="865" spans="1:4" x14ac:dyDescent="0.2">
      <c r="A865" t="s">
        <v>1786</v>
      </c>
    </row>
    <row r="866" spans="1:4" x14ac:dyDescent="0.2">
      <c r="A866" t="s">
        <v>1787</v>
      </c>
    </row>
    <row r="867" spans="1:4" x14ac:dyDescent="0.2">
      <c r="A867" t="s">
        <v>1788</v>
      </c>
    </row>
    <row r="868" spans="1:4" x14ac:dyDescent="0.2">
      <c r="A868" t="s">
        <v>1789</v>
      </c>
    </row>
    <row r="869" spans="1:4" x14ac:dyDescent="0.2">
      <c r="A869" t="s">
        <v>1790</v>
      </c>
    </row>
    <row r="870" spans="1:4" x14ac:dyDescent="0.2">
      <c r="A870" t="s">
        <v>1791</v>
      </c>
    </row>
    <row r="871" spans="1:4" x14ac:dyDescent="0.2">
      <c r="A871" t="s">
        <v>1792</v>
      </c>
    </row>
    <row r="872" spans="1:4" x14ac:dyDescent="0.2">
      <c r="A872" t="s">
        <v>1793</v>
      </c>
    </row>
    <row r="873" spans="1:4" x14ac:dyDescent="0.2">
      <c r="A873" t="s">
        <v>1794</v>
      </c>
    </row>
    <row r="874" spans="1:4" x14ac:dyDescent="0.2">
      <c r="A874" t="s">
        <v>1795</v>
      </c>
    </row>
    <row r="875" spans="1:4" x14ac:dyDescent="0.2">
      <c r="A875" t="s">
        <v>1796</v>
      </c>
    </row>
    <row r="876" spans="1:4" s="517" customFormat="1" x14ac:dyDescent="0.2">
      <c r="A876" t="s">
        <v>1797</v>
      </c>
      <c r="B876"/>
      <c r="C876"/>
      <c r="D876"/>
    </row>
    <row r="877" spans="1:4" x14ac:dyDescent="0.2">
      <c r="A877" t="s">
        <v>1798</v>
      </c>
    </row>
    <row r="878" spans="1:4" x14ac:dyDescent="0.2">
      <c r="A878" t="s">
        <v>1799</v>
      </c>
    </row>
    <row r="879" spans="1:4" x14ac:dyDescent="0.2">
      <c r="A879" t="s">
        <v>1800</v>
      </c>
    </row>
    <row r="880" spans="1:4" x14ac:dyDescent="0.2">
      <c r="A880" t="s">
        <v>1801</v>
      </c>
    </row>
    <row r="881" spans="1:4" x14ac:dyDescent="0.2">
      <c r="A881" t="s">
        <v>1802</v>
      </c>
    </row>
    <row r="882" spans="1:4" x14ac:dyDescent="0.2">
      <c r="A882" t="s">
        <v>1803</v>
      </c>
    </row>
    <row r="883" spans="1:4" x14ac:dyDescent="0.2">
      <c r="A883" t="s">
        <v>1804</v>
      </c>
    </row>
    <row r="884" spans="1:4" x14ac:dyDescent="0.2">
      <c r="A884" t="s">
        <v>1805</v>
      </c>
    </row>
    <row r="885" spans="1:4" x14ac:dyDescent="0.2">
      <c r="A885" t="s">
        <v>1806</v>
      </c>
    </row>
    <row r="886" spans="1:4" x14ac:dyDescent="0.2">
      <c r="A886" t="s">
        <v>1807</v>
      </c>
    </row>
    <row r="887" spans="1:4" x14ac:dyDescent="0.2">
      <c r="A887" t="s">
        <v>1808</v>
      </c>
    </row>
    <row r="888" spans="1:4" s="517" customFormat="1" x14ac:dyDescent="0.2">
      <c r="A888" t="s">
        <v>1809</v>
      </c>
      <c r="B888"/>
      <c r="C888"/>
      <c r="D888"/>
    </row>
    <row r="889" spans="1:4" x14ac:dyDescent="0.2">
      <c r="A889" t="s">
        <v>1810</v>
      </c>
    </row>
    <row r="890" spans="1:4" x14ac:dyDescent="0.2">
      <c r="A890" t="s">
        <v>1811</v>
      </c>
    </row>
    <row r="891" spans="1:4" x14ac:dyDescent="0.2">
      <c r="A891" t="s">
        <v>1812</v>
      </c>
    </row>
    <row r="892" spans="1:4" x14ac:dyDescent="0.2">
      <c r="A892" t="s">
        <v>1813</v>
      </c>
    </row>
    <row r="893" spans="1:4" x14ac:dyDescent="0.2">
      <c r="A893" t="s">
        <v>1814</v>
      </c>
    </row>
    <row r="894" spans="1:4" x14ac:dyDescent="0.2">
      <c r="A894" t="s">
        <v>1815</v>
      </c>
    </row>
    <row r="895" spans="1:4" x14ac:dyDescent="0.2">
      <c r="A895" t="s">
        <v>1816</v>
      </c>
    </row>
    <row r="896" spans="1:4" x14ac:dyDescent="0.2">
      <c r="A896" t="s">
        <v>1817</v>
      </c>
    </row>
    <row r="897" spans="1:1" x14ac:dyDescent="0.2">
      <c r="A897" t="s">
        <v>1818</v>
      </c>
    </row>
    <row r="898" spans="1:1" x14ac:dyDescent="0.2">
      <c r="A898" t="s">
        <v>1819</v>
      </c>
    </row>
    <row r="899" spans="1:1" x14ac:dyDescent="0.2">
      <c r="A899" t="s">
        <v>1820</v>
      </c>
    </row>
    <row r="900" spans="1:1" x14ac:dyDescent="0.2">
      <c r="A900" t="s">
        <v>1821</v>
      </c>
    </row>
    <row r="901" spans="1:1" x14ac:dyDescent="0.2">
      <c r="A901" t="s">
        <v>1822</v>
      </c>
    </row>
    <row r="902" spans="1:1" x14ac:dyDescent="0.2">
      <c r="A902" t="s">
        <v>1823</v>
      </c>
    </row>
    <row r="903" spans="1:1" x14ac:dyDescent="0.2">
      <c r="A903" t="s">
        <v>1824</v>
      </c>
    </row>
    <row r="904" spans="1:1" x14ac:dyDescent="0.2">
      <c r="A904" t="s">
        <v>1825</v>
      </c>
    </row>
    <row r="905" spans="1:1" x14ac:dyDescent="0.2">
      <c r="A905" t="s">
        <v>1826</v>
      </c>
    </row>
    <row r="906" spans="1:1" x14ac:dyDescent="0.2">
      <c r="A906" t="s">
        <v>1827</v>
      </c>
    </row>
    <row r="907" spans="1:1" x14ac:dyDescent="0.2">
      <c r="A907" t="s">
        <v>1828</v>
      </c>
    </row>
    <row r="908" spans="1:1" x14ac:dyDescent="0.2">
      <c r="A908" t="s">
        <v>1829</v>
      </c>
    </row>
    <row r="909" spans="1:1" x14ac:dyDescent="0.2">
      <c r="A909" t="s">
        <v>1830</v>
      </c>
    </row>
    <row r="910" spans="1:1" x14ac:dyDescent="0.2">
      <c r="A910" t="s">
        <v>1831</v>
      </c>
    </row>
    <row r="911" spans="1:1" x14ac:dyDescent="0.2">
      <c r="A911" t="s">
        <v>1832</v>
      </c>
    </row>
    <row r="912" spans="1:1" x14ac:dyDescent="0.2">
      <c r="A912" t="s">
        <v>1833</v>
      </c>
    </row>
    <row r="913" spans="1:1" x14ac:dyDescent="0.2">
      <c r="A913" t="s">
        <v>1834</v>
      </c>
    </row>
    <row r="914" spans="1:1" x14ac:dyDescent="0.2">
      <c r="A914" t="s">
        <v>1835</v>
      </c>
    </row>
    <row r="915" spans="1:1" x14ac:dyDescent="0.2">
      <c r="A915" t="s">
        <v>1836</v>
      </c>
    </row>
    <row r="916" spans="1:1" x14ac:dyDescent="0.2">
      <c r="A916" t="s">
        <v>1837</v>
      </c>
    </row>
    <row r="917" spans="1:1" x14ac:dyDescent="0.2">
      <c r="A917" t="s">
        <v>1838</v>
      </c>
    </row>
    <row r="918" spans="1:1" x14ac:dyDescent="0.2">
      <c r="A918" t="s">
        <v>1839</v>
      </c>
    </row>
    <row r="919" spans="1:1" x14ac:dyDescent="0.2">
      <c r="A919" t="s">
        <v>1840</v>
      </c>
    </row>
    <row r="920" spans="1:1" x14ac:dyDescent="0.2">
      <c r="A920" t="s">
        <v>1841</v>
      </c>
    </row>
    <row r="921" spans="1:1" x14ac:dyDescent="0.2">
      <c r="A921" t="s">
        <v>1842</v>
      </c>
    </row>
    <row r="922" spans="1:1" x14ac:dyDescent="0.2">
      <c r="A922" t="s">
        <v>1843</v>
      </c>
    </row>
    <row r="923" spans="1:1" x14ac:dyDescent="0.2">
      <c r="A923" t="s">
        <v>1844</v>
      </c>
    </row>
    <row r="924" spans="1:1" x14ac:dyDescent="0.2">
      <c r="A924" t="s">
        <v>1845</v>
      </c>
    </row>
    <row r="925" spans="1:1" x14ac:dyDescent="0.2">
      <c r="A925" t="s">
        <v>1846</v>
      </c>
    </row>
    <row r="926" spans="1:1" x14ac:dyDescent="0.2">
      <c r="A926" t="s">
        <v>1847</v>
      </c>
    </row>
    <row r="927" spans="1:1" x14ac:dyDescent="0.2">
      <c r="A927" t="s">
        <v>1848</v>
      </c>
    </row>
    <row r="928" spans="1:1" x14ac:dyDescent="0.2">
      <c r="A928" t="s">
        <v>1849</v>
      </c>
    </row>
    <row r="929" spans="1:4" x14ac:dyDescent="0.2">
      <c r="A929" t="s">
        <v>1850</v>
      </c>
    </row>
    <row r="930" spans="1:4" x14ac:dyDescent="0.2">
      <c r="A930" t="s">
        <v>1851</v>
      </c>
    </row>
    <row r="931" spans="1:4" x14ac:dyDescent="0.2">
      <c r="A931" t="s">
        <v>1852</v>
      </c>
    </row>
    <row r="932" spans="1:4" x14ac:dyDescent="0.2">
      <c r="A932" t="s">
        <v>1853</v>
      </c>
    </row>
    <row r="933" spans="1:4" x14ac:dyDescent="0.2">
      <c r="A933" t="s">
        <v>1854</v>
      </c>
    </row>
    <row r="934" spans="1:4" x14ac:dyDescent="0.2">
      <c r="A934" t="s">
        <v>1855</v>
      </c>
    </row>
    <row r="935" spans="1:4" x14ac:dyDescent="0.2">
      <c r="A935" t="s">
        <v>1856</v>
      </c>
    </row>
    <row r="936" spans="1:4" x14ac:dyDescent="0.2">
      <c r="A936" t="s">
        <v>1857</v>
      </c>
    </row>
    <row r="937" spans="1:4" s="517" customFormat="1" x14ac:dyDescent="0.2">
      <c r="A937" t="s">
        <v>1858</v>
      </c>
      <c r="B937"/>
      <c r="C937"/>
      <c r="D937"/>
    </row>
    <row r="938" spans="1:4" x14ac:dyDescent="0.2">
      <c r="A938" t="s">
        <v>1859</v>
      </c>
    </row>
    <row r="939" spans="1:4" x14ac:dyDescent="0.2">
      <c r="A939" t="s">
        <v>1860</v>
      </c>
    </row>
    <row r="940" spans="1:4" x14ac:dyDescent="0.2">
      <c r="A940" t="s">
        <v>1861</v>
      </c>
    </row>
    <row r="941" spans="1:4" x14ac:dyDescent="0.2">
      <c r="A941" t="s">
        <v>1862</v>
      </c>
    </row>
    <row r="942" spans="1:4" x14ac:dyDescent="0.2">
      <c r="A942" t="s">
        <v>1863</v>
      </c>
      <c r="B942" t="b">
        <v>1</v>
      </c>
    </row>
    <row r="943" spans="1:4" x14ac:dyDescent="0.2">
      <c r="A943" s="517" t="s">
        <v>2417</v>
      </c>
      <c r="B943" s="517"/>
      <c r="C943" s="517"/>
      <c r="D943" s="517"/>
    </row>
    <row r="944" spans="1:4" x14ac:dyDescent="0.2">
      <c r="A944" t="s">
        <v>1864</v>
      </c>
    </row>
    <row r="945" spans="1:4" x14ac:dyDescent="0.2">
      <c r="A945" t="s">
        <v>1865</v>
      </c>
      <c r="B945" t="b">
        <v>1</v>
      </c>
    </row>
    <row r="946" spans="1:4" x14ac:dyDescent="0.2">
      <c r="A946" s="517" t="s">
        <v>2268</v>
      </c>
      <c r="B946" s="517">
        <v>1</v>
      </c>
      <c r="C946" s="517"/>
      <c r="D946" s="517"/>
    </row>
    <row r="947" spans="1:4" x14ac:dyDescent="0.2">
      <c r="A947" s="518" t="s">
        <v>2269</v>
      </c>
      <c r="B947" s="517"/>
      <c r="C947" s="517"/>
      <c r="D947" s="517"/>
    </row>
    <row r="948" spans="1:4" x14ac:dyDescent="0.2">
      <c r="A948" t="s">
        <v>1866</v>
      </c>
      <c r="B948" t="b">
        <v>1</v>
      </c>
    </row>
    <row r="949" spans="1:4" x14ac:dyDescent="0.2">
      <c r="A949" t="s">
        <v>1867</v>
      </c>
    </row>
    <row r="950" spans="1:4" x14ac:dyDescent="0.2">
      <c r="A950" t="s">
        <v>1868</v>
      </c>
    </row>
    <row r="951" spans="1:4" x14ac:dyDescent="0.2">
      <c r="A951" t="s">
        <v>1869</v>
      </c>
      <c r="B951" t="b">
        <v>1</v>
      </c>
    </row>
    <row r="952" spans="1:4" x14ac:dyDescent="0.2">
      <c r="A952" s="518" t="s">
        <v>2270</v>
      </c>
      <c r="B952" s="517"/>
      <c r="C952" s="517"/>
      <c r="D952" s="517"/>
    </row>
    <row r="953" spans="1:4" x14ac:dyDescent="0.2">
      <c r="A953" s="518" t="s">
        <v>2271</v>
      </c>
      <c r="B953" s="517"/>
      <c r="C953" s="517"/>
      <c r="D953" s="517"/>
    </row>
    <row r="954" spans="1:4" x14ac:dyDescent="0.2">
      <c r="A954" t="s">
        <v>1870</v>
      </c>
    </row>
    <row r="955" spans="1:4" x14ac:dyDescent="0.2">
      <c r="A955" t="s">
        <v>1871</v>
      </c>
    </row>
    <row r="956" spans="1:4" x14ac:dyDescent="0.2">
      <c r="A956" t="s">
        <v>1872</v>
      </c>
    </row>
    <row r="957" spans="1:4" x14ac:dyDescent="0.2">
      <c r="A957" t="s">
        <v>1873</v>
      </c>
    </row>
    <row r="958" spans="1:4" x14ac:dyDescent="0.2">
      <c r="A958" t="s">
        <v>1874</v>
      </c>
    </row>
    <row r="959" spans="1:4" x14ac:dyDescent="0.2">
      <c r="A959" t="s">
        <v>1875</v>
      </c>
    </row>
    <row r="960" spans="1:4" x14ac:dyDescent="0.2">
      <c r="A960" t="s">
        <v>1876</v>
      </c>
    </row>
    <row r="961" spans="1:1" x14ac:dyDescent="0.2">
      <c r="A961" t="s">
        <v>1877</v>
      </c>
    </row>
    <row r="962" spans="1:1" x14ac:dyDescent="0.2">
      <c r="A962" t="s">
        <v>1878</v>
      </c>
    </row>
    <row r="963" spans="1:1" x14ac:dyDescent="0.2">
      <c r="A963" t="s">
        <v>1879</v>
      </c>
    </row>
    <row r="964" spans="1:1" x14ac:dyDescent="0.2">
      <c r="A964" t="s">
        <v>1880</v>
      </c>
    </row>
    <row r="965" spans="1:1" x14ac:dyDescent="0.2">
      <c r="A965" t="s">
        <v>1881</v>
      </c>
    </row>
    <row r="966" spans="1:1" x14ac:dyDescent="0.2">
      <c r="A966" t="s">
        <v>1882</v>
      </c>
    </row>
    <row r="967" spans="1:1" x14ac:dyDescent="0.2">
      <c r="A967" t="s">
        <v>1883</v>
      </c>
    </row>
    <row r="968" spans="1:1" x14ac:dyDescent="0.2">
      <c r="A968" t="s">
        <v>1884</v>
      </c>
    </row>
    <row r="969" spans="1:1" x14ac:dyDescent="0.2">
      <c r="A969" t="s">
        <v>1885</v>
      </c>
    </row>
    <row r="970" spans="1:1" x14ac:dyDescent="0.2">
      <c r="A970" t="s">
        <v>1886</v>
      </c>
    </row>
    <row r="971" spans="1:1" x14ac:dyDescent="0.2">
      <c r="A971" t="s">
        <v>1887</v>
      </c>
    </row>
    <row r="972" spans="1:1" x14ac:dyDescent="0.2">
      <c r="A972" t="s">
        <v>1888</v>
      </c>
    </row>
    <row r="973" spans="1:1" x14ac:dyDescent="0.2">
      <c r="A973" t="s">
        <v>1889</v>
      </c>
    </row>
    <row r="974" spans="1:1" x14ac:dyDescent="0.2">
      <c r="A974" t="s">
        <v>1890</v>
      </c>
    </row>
    <row r="975" spans="1:1" x14ac:dyDescent="0.2">
      <c r="A975" t="s">
        <v>1891</v>
      </c>
    </row>
    <row r="976" spans="1:1" x14ac:dyDescent="0.2">
      <c r="A976" t="s">
        <v>1892</v>
      </c>
    </row>
    <row r="977" spans="1:2" x14ac:dyDescent="0.2">
      <c r="A977" t="s">
        <v>1893</v>
      </c>
    </row>
    <row r="978" spans="1:2" x14ac:dyDescent="0.2">
      <c r="A978" t="s">
        <v>1894</v>
      </c>
    </row>
    <row r="979" spans="1:2" x14ac:dyDescent="0.2">
      <c r="A979" t="s">
        <v>1895</v>
      </c>
      <c r="B979" t="b">
        <v>1</v>
      </c>
    </row>
    <row r="980" spans="1:2" x14ac:dyDescent="0.2">
      <c r="A980" t="s">
        <v>1896</v>
      </c>
    </row>
    <row r="981" spans="1:2" x14ac:dyDescent="0.2">
      <c r="A981" t="s">
        <v>1897</v>
      </c>
    </row>
    <row r="982" spans="1:2" x14ac:dyDescent="0.2">
      <c r="A982" t="s">
        <v>1898</v>
      </c>
    </row>
    <row r="983" spans="1:2" x14ac:dyDescent="0.2">
      <c r="A983" t="s">
        <v>1899</v>
      </c>
    </row>
    <row r="984" spans="1:2" x14ac:dyDescent="0.2">
      <c r="A984" t="s">
        <v>1900</v>
      </c>
      <c r="B984" t="b">
        <v>1</v>
      </c>
    </row>
    <row r="985" spans="1:2" x14ac:dyDescent="0.2">
      <c r="A985" t="s">
        <v>1901</v>
      </c>
    </row>
    <row r="986" spans="1:2" x14ac:dyDescent="0.2">
      <c r="A986" t="s">
        <v>1902</v>
      </c>
    </row>
    <row r="987" spans="1:2" x14ac:dyDescent="0.2">
      <c r="A987" t="s">
        <v>1903</v>
      </c>
    </row>
    <row r="988" spans="1:2" x14ac:dyDescent="0.2">
      <c r="A988" t="s">
        <v>1904</v>
      </c>
    </row>
    <row r="989" spans="1:2" x14ac:dyDescent="0.2">
      <c r="A989" t="s">
        <v>1905</v>
      </c>
    </row>
    <row r="990" spans="1:2" x14ac:dyDescent="0.2">
      <c r="A990" t="s">
        <v>1906</v>
      </c>
    </row>
    <row r="991" spans="1:2" x14ac:dyDescent="0.2">
      <c r="A991" t="s">
        <v>1907</v>
      </c>
    </row>
    <row r="992" spans="1:2" x14ac:dyDescent="0.2">
      <c r="A992" t="s">
        <v>1908</v>
      </c>
    </row>
    <row r="993" spans="1:4" x14ac:dyDescent="0.2">
      <c r="A993" t="s">
        <v>1909</v>
      </c>
      <c r="B993" t="b">
        <v>1</v>
      </c>
    </row>
    <row r="994" spans="1:4" x14ac:dyDescent="0.2">
      <c r="A994" t="s">
        <v>1910</v>
      </c>
    </row>
    <row r="995" spans="1:4" x14ac:dyDescent="0.2">
      <c r="A995" t="s">
        <v>1911</v>
      </c>
      <c r="B995" t="b">
        <v>1</v>
      </c>
    </row>
    <row r="996" spans="1:4" x14ac:dyDescent="0.2">
      <c r="A996" t="s">
        <v>1912</v>
      </c>
    </row>
    <row r="997" spans="1:4" x14ac:dyDescent="0.2">
      <c r="A997" t="s">
        <v>1913</v>
      </c>
    </row>
    <row r="998" spans="1:4" x14ac:dyDescent="0.2">
      <c r="A998" t="s">
        <v>1914</v>
      </c>
    </row>
    <row r="999" spans="1:4" x14ac:dyDescent="0.2">
      <c r="A999" t="s">
        <v>1915</v>
      </c>
    </row>
    <row r="1000" spans="1:4" x14ac:dyDescent="0.2">
      <c r="A1000" t="s">
        <v>1916</v>
      </c>
    </row>
    <row r="1001" spans="1:4" x14ac:dyDescent="0.2">
      <c r="A1001" t="s">
        <v>1917</v>
      </c>
    </row>
    <row r="1002" spans="1:4" x14ac:dyDescent="0.2">
      <c r="A1002" t="s">
        <v>1918</v>
      </c>
    </row>
    <row r="1003" spans="1:4" x14ac:dyDescent="0.2">
      <c r="A1003" t="s">
        <v>1919</v>
      </c>
    </row>
    <row r="1004" spans="1:4" x14ac:dyDescent="0.2">
      <c r="A1004" t="s">
        <v>1920</v>
      </c>
    </row>
    <row r="1005" spans="1:4" x14ac:dyDescent="0.2">
      <c r="A1005" t="s">
        <v>1921</v>
      </c>
      <c r="B1005" t="b">
        <v>1</v>
      </c>
    </row>
    <row r="1006" spans="1:4" x14ac:dyDescent="0.2">
      <c r="A1006" s="517" t="s">
        <v>2272</v>
      </c>
      <c r="B1006" s="517">
        <v>6</v>
      </c>
      <c r="C1006" s="517"/>
      <c r="D1006" s="517"/>
    </row>
    <row r="1007" spans="1:4" x14ac:dyDescent="0.2">
      <c r="A1007" t="s">
        <v>1922</v>
      </c>
    </row>
    <row r="1008" spans="1:4" x14ac:dyDescent="0.2">
      <c r="A1008" t="s">
        <v>1923</v>
      </c>
      <c r="B1008" t="b">
        <v>0</v>
      </c>
    </row>
    <row r="1009" spans="1:4" x14ac:dyDescent="0.2">
      <c r="A1009" t="s">
        <v>1924</v>
      </c>
      <c r="B1009" t="b">
        <v>1</v>
      </c>
    </row>
    <row r="1010" spans="1:4" x14ac:dyDescent="0.2">
      <c r="A1010" t="s">
        <v>1925</v>
      </c>
      <c r="B1010" t="b">
        <v>1</v>
      </c>
    </row>
    <row r="1011" spans="1:4" x14ac:dyDescent="0.2">
      <c r="A1011" t="s">
        <v>1926</v>
      </c>
    </row>
    <row r="1012" spans="1:4" x14ac:dyDescent="0.2">
      <c r="A1012" t="s">
        <v>1927</v>
      </c>
      <c r="B1012" t="b">
        <v>1</v>
      </c>
    </row>
    <row r="1013" spans="1:4" x14ac:dyDescent="0.2">
      <c r="A1013" t="s">
        <v>1928</v>
      </c>
    </row>
    <row r="1014" spans="1:4" x14ac:dyDescent="0.2">
      <c r="A1014" t="s">
        <v>1929</v>
      </c>
      <c r="B1014" t="b">
        <v>1</v>
      </c>
    </row>
    <row r="1015" spans="1:4" x14ac:dyDescent="0.2">
      <c r="A1015" t="s">
        <v>1930</v>
      </c>
    </row>
    <row r="1016" spans="1:4" x14ac:dyDescent="0.2">
      <c r="A1016" t="s">
        <v>1931</v>
      </c>
    </row>
    <row r="1017" spans="1:4" x14ac:dyDescent="0.2">
      <c r="A1017" t="s">
        <v>1932</v>
      </c>
    </row>
    <row r="1018" spans="1:4" x14ac:dyDescent="0.2">
      <c r="A1018" s="517" t="s">
        <v>2418</v>
      </c>
      <c r="B1018" s="517">
        <v>3</v>
      </c>
      <c r="C1018" s="517"/>
      <c r="D1018" s="517"/>
    </row>
    <row r="1019" spans="1:4" x14ac:dyDescent="0.2">
      <c r="A1019" t="s">
        <v>1933</v>
      </c>
    </row>
    <row r="1020" spans="1:4" x14ac:dyDescent="0.2">
      <c r="A1020" t="s">
        <v>1934</v>
      </c>
    </row>
    <row r="1021" spans="1:4" x14ac:dyDescent="0.2">
      <c r="A1021" t="s">
        <v>1935</v>
      </c>
    </row>
    <row r="1022" spans="1:4" x14ac:dyDescent="0.2">
      <c r="A1022" t="s">
        <v>1936</v>
      </c>
    </row>
    <row r="1023" spans="1:4" x14ac:dyDescent="0.2">
      <c r="A1023" t="s">
        <v>1937</v>
      </c>
      <c r="B1023">
        <v>3</v>
      </c>
    </row>
    <row r="1024" spans="1:4" x14ac:dyDescent="0.2">
      <c r="A1024" t="s">
        <v>1938</v>
      </c>
      <c r="B1024">
        <v>20</v>
      </c>
    </row>
    <row r="1025" spans="1:2" x14ac:dyDescent="0.2">
      <c r="A1025" t="s">
        <v>1939</v>
      </c>
    </row>
    <row r="1026" spans="1:2" x14ac:dyDescent="0.2">
      <c r="A1026" t="s">
        <v>1940</v>
      </c>
    </row>
    <row r="1027" spans="1:2" x14ac:dyDescent="0.2">
      <c r="A1027" t="s">
        <v>1941</v>
      </c>
    </row>
    <row r="1028" spans="1:2" x14ac:dyDescent="0.2">
      <c r="A1028" t="s">
        <v>1942</v>
      </c>
    </row>
    <row r="1029" spans="1:2" x14ac:dyDescent="0.2">
      <c r="A1029" t="s">
        <v>1943</v>
      </c>
    </row>
    <row r="1030" spans="1:2" x14ac:dyDescent="0.2">
      <c r="A1030" t="s">
        <v>1944</v>
      </c>
    </row>
    <row r="1031" spans="1:2" x14ac:dyDescent="0.2">
      <c r="A1031" t="s">
        <v>1945</v>
      </c>
    </row>
    <row r="1032" spans="1:2" x14ac:dyDescent="0.2">
      <c r="A1032" t="s">
        <v>1946</v>
      </c>
    </row>
    <row r="1033" spans="1:2" x14ac:dyDescent="0.2">
      <c r="A1033" t="s">
        <v>1947</v>
      </c>
    </row>
    <row r="1034" spans="1:2" x14ac:dyDescent="0.2">
      <c r="A1034" t="s">
        <v>1948</v>
      </c>
      <c r="B1034">
        <v>50</v>
      </c>
    </row>
    <row r="1035" spans="1:2" x14ac:dyDescent="0.2">
      <c r="A1035" t="s">
        <v>1949</v>
      </c>
    </row>
    <row r="1036" spans="1:2" x14ac:dyDescent="0.2">
      <c r="A1036" s="518" t="s">
        <v>2029</v>
      </c>
    </row>
    <row r="1037" spans="1:2" x14ac:dyDescent="0.2">
      <c r="A1037" s="518" t="s">
        <v>2030</v>
      </c>
    </row>
    <row r="1038" spans="1:2" x14ac:dyDescent="0.2">
      <c r="A1038" s="518" t="s">
        <v>2031</v>
      </c>
    </row>
    <row r="1039" spans="1:2" x14ac:dyDescent="0.2">
      <c r="A1039" s="518" t="s">
        <v>2032</v>
      </c>
    </row>
    <row r="1040" spans="1:2" x14ac:dyDescent="0.2">
      <c r="A1040" s="518" t="s">
        <v>2033</v>
      </c>
    </row>
    <row r="1041" spans="1:1" x14ac:dyDescent="0.2">
      <c r="A1041" s="518" t="s">
        <v>2034</v>
      </c>
    </row>
    <row r="1042" spans="1:1" x14ac:dyDescent="0.2">
      <c r="A1042" s="518" t="s">
        <v>2035</v>
      </c>
    </row>
    <row r="1043" spans="1:1" x14ac:dyDescent="0.2">
      <c r="A1043" s="518" t="s">
        <v>2036</v>
      </c>
    </row>
    <row r="1044" spans="1:1" x14ac:dyDescent="0.2">
      <c r="A1044" s="518" t="s">
        <v>2037</v>
      </c>
    </row>
    <row r="1045" spans="1:1" x14ac:dyDescent="0.2">
      <c r="A1045" s="518" t="s">
        <v>2038</v>
      </c>
    </row>
    <row r="1046" spans="1:1" x14ac:dyDescent="0.2">
      <c r="A1046" s="518" t="s">
        <v>2039</v>
      </c>
    </row>
    <row r="1047" spans="1:1" x14ac:dyDescent="0.2">
      <c r="A1047" s="518" t="s">
        <v>2040</v>
      </c>
    </row>
    <row r="1048" spans="1:1" x14ac:dyDescent="0.2">
      <c r="A1048" s="518" t="s">
        <v>2041</v>
      </c>
    </row>
    <row r="1049" spans="1:1" x14ac:dyDescent="0.2">
      <c r="A1049" s="518" t="s">
        <v>2042</v>
      </c>
    </row>
    <row r="1050" spans="1:1" x14ac:dyDescent="0.2">
      <c r="A1050" s="518" t="s">
        <v>2043</v>
      </c>
    </row>
    <row r="1051" spans="1:1" x14ac:dyDescent="0.2">
      <c r="A1051" s="518" t="s">
        <v>2044</v>
      </c>
    </row>
    <row r="1052" spans="1:1" x14ac:dyDescent="0.2">
      <c r="A1052" s="518" t="s">
        <v>2045</v>
      </c>
    </row>
    <row r="1053" spans="1:1" x14ac:dyDescent="0.2">
      <c r="A1053" s="518" t="s">
        <v>2046</v>
      </c>
    </row>
    <row r="1054" spans="1:1" x14ac:dyDescent="0.2">
      <c r="A1054" s="518" t="s">
        <v>2047</v>
      </c>
    </row>
    <row r="1055" spans="1:1" x14ac:dyDescent="0.2">
      <c r="A1055" s="518" t="s">
        <v>2048</v>
      </c>
    </row>
    <row r="1056" spans="1:1" x14ac:dyDescent="0.2">
      <c r="A1056" s="518" t="s">
        <v>2049</v>
      </c>
    </row>
    <row r="1057" spans="1:4" x14ac:dyDescent="0.2">
      <c r="A1057" s="518" t="s">
        <v>2050</v>
      </c>
    </row>
    <row r="1058" spans="1:4" x14ac:dyDescent="0.2">
      <c r="A1058" s="518" t="s">
        <v>2051</v>
      </c>
    </row>
    <row r="1059" spans="1:4" x14ac:dyDescent="0.2">
      <c r="A1059" s="518" t="s">
        <v>2052</v>
      </c>
    </row>
    <row r="1060" spans="1:4" x14ac:dyDescent="0.2">
      <c r="A1060" s="518" t="s">
        <v>2053</v>
      </c>
    </row>
    <row r="1061" spans="1:4" x14ac:dyDescent="0.2">
      <c r="A1061" s="518" t="s">
        <v>2054</v>
      </c>
    </row>
    <row r="1062" spans="1:4" x14ac:dyDescent="0.2">
      <c r="A1062" s="518" t="s">
        <v>2055</v>
      </c>
    </row>
    <row r="1063" spans="1:4" x14ac:dyDescent="0.2">
      <c r="A1063" s="518" t="s">
        <v>2056</v>
      </c>
    </row>
    <row r="1064" spans="1:4" x14ac:dyDescent="0.2">
      <c r="A1064" s="518" t="s">
        <v>2057</v>
      </c>
    </row>
    <row r="1065" spans="1:4" x14ac:dyDescent="0.2">
      <c r="A1065" s="518" t="s">
        <v>2058</v>
      </c>
    </row>
    <row r="1066" spans="1:4" x14ac:dyDescent="0.2">
      <c r="A1066" s="518" t="s">
        <v>2059</v>
      </c>
    </row>
    <row r="1067" spans="1:4" x14ac:dyDescent="0.2">
      <c r="A1067" s="518" t="s">
        <v>2184</v>
      </c>
      <c r="B1067" s="517"/>
      <c r="C1067" s="517"/>
      <c r="D1067" s="517"/>
    </row>
    <row r="1068" spans="1:4" x14ac:dyDescent="0.2">
      <c r="A1068" s="518" t="s">
        <v>2060</v>
      </c>
    </row>
    <row r="1069" spans="1:4" x14ac:dyDescent="0.2">
      <c r="A1069" s="518" t="s">
        <v>2061</v>
      </c>
    </row>
    <row r="1070" spans="1:4" x14ac:dyDescent="0.2">
      <c r="A1070" s="518" t="s">
        <v>2062</v>
      </c>
    </row>
    <row r="1071" spans="1:4" x14ac:dyDescent="0.2">
      <c r="A1071" s="518" t="s">
        <v>2063</v>
      </c>
    </row>
    <row r="1072" spans="1:4" x14ac:dyDescent="0.2">
      <c r="A1072" s="518" t="s">
        <v>2064</v>
      </c>
    </row>
    <row r="1073" spans="1:1" x14ac:dyDescent="0.2">
      <c r="A1073" s="518" t="s">
        <v>2065</v>
      </c>
    </row>
    <row r="1074" spans="1:1" x14ac:dyDescent="0.2">
      <c r="A1074" s="518" t="s">
        <v>2066</v>
      </c>
    </row>
    <row r="1075" spans="1:1" x14ac:dyDescent="0.2">
      <c r="A1075" s="518" t="s">
        <v>2067</v>
      </c>
    </row>
    <row r="1076" spans="1:1" x14ac:dyDescent="0.2">
      <c r="A1076" s="518" t="s">
        <v>2068</v>
      </c>
    </row>
    <row r="1077" spans="1:1" x14ac:dyDescent="0.2">
      <c r="A1077" s="518" t="s">
        <v>2069</v>
      </c>
    </row>
    <row r="1078" spans="1:1" x14ac:dyDescent="0.2">
      <c r="A1078" s="518" t="s">
        <v>2070</v>
      </c>
    </row>
    <row r="1079" spans="1:1" x14ac:dyDescent="0.2">
      <c r="A1079" s="518" t="s">
        <v>2071</v>
      </c>
    </row>
    <row r="1080" spans="1:1" x14ac:dyDescent="0.2">
      <c r="A1080" s="518" t="s">
        <v>2072</v>
      </c>
    </row>
    <row r="1081" spans="1:1" x14ac:dyDescent="0.2">
      <c r="A1081" s="518" t="s">
        <v>2073</v>
      </c>
    </row>
    <row r="1082" spans="1:1" x14ac:dyDescent="0.2">
      <c r="A1082" s="518" t="s">
        <v>2074</v>
      </c>
    </row>
    <row r="1083" spans="1:1" x14ac:dyDescent="0.2">
      <c r="A1083" s="518" t="s">
        <v>2075</v>
      </c>
    </row>
    <row r="1084" spans="1:1" x14ac:dyDescent="0.2">
      <c r="A1084" s="518" t="s">
        <v>2076</v>
      </c>
    </row>
    <row r="1085" spans="1:1" x14ac:dyDescent="0.2">
      <c r="A1085" s="518" t="s">
        <v>2077</v>
      </c>
    </row>
    <row r="1086" spans="1:1" x14ac:dyDescent="0.2">
      <c r="A1086" s="518" t="s">
        <v>2078</v>
      </c>
    </row>
    <row r="1087" spans="1:1" x14ac:dyDescent="0.2">
      <c r="A1087" s="518" t="s">
        <v>2079</v>
      </c>
    </row>
    <row r="1088" spans="1:1" x14ac:dyDescent="0.2">
      <c r="A1088" s="518" t="s">
        <v>2080</v>
      </c>
    </row>
    <row r="1089" spans="1:1" x14ac:dyDescent="0.2">
      <c r="A1089" s="518" t="s">
        <v>2081</v>
      </c>
    </row>
    <row r="1090" spans="1:1" x14ac:dyDescent="0.2">
      <c r="A1090" s="518" t="s">
        <v>2082</v>
      </c>
    </row>
    <row r="1091" spans="1:1" x14ac:dyDescent="0.2">
      <c r="A1091" s="518" t="s">
        <v>2083</v>
      </c>
    </row>
    <row r="1092" spans="1:1" x14ac:dyDescent="0.2">
      <c r="A1092" s="518" t="s">
        <v>2084</v>
      </c>
    </row>
    <row r="1093" spans="1:1" x14ac:dyDescent="0.2">
      <c r="A1093" s="518" t="s">
        <v>2085</v>
      </c>
    </row>
    <row r="1094" spans="1:1" x14ac:dyDescent="0.2">
      <c r="A1094" s="518" t="s">
        <v>2086</v>
      </c>
    </row>
    <row r="1095" spans="1:1" x14ac:dyDescent="0.2">
      <c r="A1095" s="518" t="s">
        <v>2087</v>
      </c>
    </row>
    <row r="1096" spans="1:1" x14ac:dyDescent="0.2">
      <c r="A1096" s="518" t="s">
        <v>2088</v>
      </c>
    </row>
    <row r="1097" spans="1:1" x14ac:dyDescent="0.2">
      <c r="A1097" s="518" t="s">
        <v>2089</v>
      </c>
    </row>
    <row r="1098" spans="1:1" x14ac:dyDescent="0.2">
      <c r="A1098" s="518" t="s">
        <v>2090</v>
      </c>
    </row>
    <row r="1099" spans="1:1" x14ac:dyDescent="0.2">
      <c r="A1099" t="s">
        <v>2091</v>
      </c>
    </row>
    <row r="1100" spans="1:1" x14ac:dyDescent="0.2">
      <c r="A1100" s="517" t="s">
        <v>2092</v>
      </c>
    </row>
    <row r="1101" spans="1:1" x14ac:dyDescent="0.2">
      <c r="A1101" s="517" t="s">
        <v>2093</v>
      </c>
    </row>
    <row r="1102" spans="1:1" x14ac:dyDescent="0.2">
      <c r="A1102" s="517" t="s">
        <v>2094</v>
      </c>
    </row>
    <row r="1103" spans="1:1" x14ac:dyDescent="0.2">
      <c r="A1103" s="517" t="s">
        <v>2095</v>
      </c>
    </row>
    <row r="1104" spans="1:1" x14ac:dyDescent="0.2">
      <c r="A1104" s="517" t="s">
        <v>2096</v>
      </c>
    </row>
    <row r="1105" spans="1:1" x14ac:dyDescent="0.2">
      <c r="A1105" s="517" t="s">
        <v>2097</v>
      </c>
    </row>
    <row r="1106" spans="1:1" x14ac:dyDescent="0.2">
      <c r="A1106" s="517" t="s">
        <v>2098</v>
      </c>
    </row>
    <row r="1107" spans="1:1" x14ac:dyDescent="0.2">
      <c r="A1107" s="517" t="s">
        <v>2099</v>
      </c>
    </row>
    <row r="1108" spans="1:1" x14ac:dyDescent="0.2">
      <c r="A1108" s="517" t="s">
        <v>2100</v>
      </c>
    </row>
    <row r="1109" spans="1:1" x14ac:dyDescent="0.2">
      <c r="A1109" s="517" t="s">
        <v>2101</v>
      </c>
    </row>
    <row r="1110" spans="1:1" x14ac:dyDescent="0.2">
      <c r="A1110" s="517" t="s">
        <v>2102</v>
      </c>
    </row>
    <row r="1111" spans="1:1" x14ac:dyDescent="0.2">
      <c r="A1111" s="517" t="s">
        <v>2103</v>
      </c>
    </row>
    <row r="1112" spans="1:1" x14ac:dyDescent="0.2">
      <c r="A1112" s="517" t="s">
        <v>2104</v>
      </c>
    </row>
    <row r="1113" spans="1:1" x14ac:dyDescent="0.2">
      <c r="A1113" s="517" t="s">
        <v>2105</v>
      </c>
    </row>
    <row r="1114" spans="1:1" x14ac:dyDescent="0.2">
      <c r="A1114" s="517" t="s">
        <v>2106</v>
      </c>
    </row>
    <row r="1115" spans="1:1" x14ac:dyDescent="0.2">
      <c r="A1115" s="517" t="s">
        <v>2107</v>
      </c>
    </row>
    <row r="1116" spans="1:1" x14ac:dyDescent="0.2">
      <c r="A1116" s="517" t="s">
        <v>2108</v>
      </c>
    </row>
    <row r="1117" spans="1:1" x14ac:dyDescent="0.2">
      <c r="A1117" s="517" t="s">
        <v>2109</v>
      </c>
    </row>
    <row r="1118" spans="1:1" x14ac:dyDescent="0.2">
      <c r="A1118" s="517" t="s">
        <v>2110</v>
      </c>
    </row>
    <row r="1119" spans="1:1" x14ac:dyDescent="0.2">
      <c r="A1119" s="517" t="s">
        <v>2111</v>
      </c>
    </row>
    <row r="1120" spans="1:1" x14ac:dyDescent="0.2">
      <c r="A1120" s="517" t="s">
        <v>2112</v>
      </c>
    </row>
    <row r="1121" spans="1:1" x14ac:dyDescent="0.2">
      <c r="A1121" s="517" t="s">
        <v>2113</v>
      </c>
    </row>
    <row r="1122" spans="1:1" x14ac:dyDescent="0.2">
      <c r="A1122" s="517" t="s">
        <v>2114</v>
      </c>
    </row>
    <row r="1123" spans="1:1" x14ac:dyDescent="0.2">
      <c r="A1123" s="517" t="s">
        <v>2115</v>
      </c>
    </row>
    <row r="1124" spans="1:1" x14ac:dyDescent="0.2">
      <c r="A1124" s="517" t="s">
        <v>2116</v>
      </c>
    </row>
    <row r="1125" spans="1:1" x14ac:dyDescent="0.2">
      <c r="A1125" s="517" t="s">
        <v>2117</v>
      </c>
    </row>
    <row r="1126" spans="1:1" x14ac:dyDescent="0.2">
      <c r="A1126" s="517" t="s">
        <v>2118</v>
      </c>
    </row>
    <row r="1127" spans="1:1" x14ac:dyDescent="0.2">
      <c r="A1127" s="517" t="s">
        <v>2119</v>
      </c>
    </row>
    <row r="1128" spans="1:1" x14ac:dyDescent="0.2">
      <c r="A1128" s="517" t="s">
        <v>2120</v>
      </c>
    </row>
    <row r="1129" spans="1:1" x14ac:dyDescent="0.2">
      <c r="A1129" s="517" t="s">
        <v>2121</v>
      </c>
    </row>
    <row r="1130" spans="1:1" x14ac:dyDescent="0.2">
      <c r="A1130" t="s">
        <v>2122</v>
      </c>
    </row>
    <row r="1131" spans="1:1" x14ac:dyDescent="0.2">
      <c r="A1131" s="517" t="s">
        <v>2123</v>
      </c>
    </row>
    <row r="1132" spans="1:1" x14ac:dyDescent="0.2">
      <c r="A1132" s="517" t="s">
        <v>2124</v>
      </c>
    </row>
    <row r="1133" spans="1:1" x14ac:dyDescent="0.2">
      <c r="A1133" s="517" t="s">
        <v>2125</v>
      </c>
    </row>
    <row r="1134" spans="1:1" x14ac:dyDescent="0.2">
      <c r="A1134" s="517" t="s">
        <v>2126</v>
      </c>
    </row>
    <row r="1135" spans="1:1" x14ac:dyDescent="0.2">
      <c r="A1135" s="517" t="s">
        <v>2127</v>
      </c>
    </row>
    <row r="1136" spans="1:1" x14ac:dyDescent="0.2">
      <c r="A1136" s="517" t="s">
        <v>2128</v>
      </c>
    </row>
    <row r="1137" spans="1:1" x14ac:dyDescent="0.2">
      <c r="A1137" s="517" t="s">
        <v>2129</v>
      </c>
    </row>
    <row r="1138" spans="1:1" x14ac:dyDescent="0.2">
      <c r="A1138" s="517" t="s">
        <v>2130</v>
      </c>
    </row>
    <row r="1139" spans="1:1" x14ac:dyDescent="0.2">
      <c r="A1139" s="517" t="s">
        <v>2131</v>
      </c>
    </row>
    <row r="1140" spans="1:1" x14ac:dyDescent="0.2">
      <c r="A1140" s="517" t="s">
        <v>2132</v>
      </c>
    </row>
    <row r="1141" spans="1:1" x14ac:dyDescent="0.2">
      <c r="A1141" s="517" t="s">
        <v>2133</v>
      </c>
    </row>
    <row r="1142" spans="1:1" x14ac:dyDescent="0.2">
      <c r="A1142" s="517" t="s">
        <v>2134</v>
      </c>
    </row>
    <row r="1143" spans="1:1" x14ac:dyDescent="0.2">
      <c r="A1143" s="517" t="s">
        <v>2135</v>
      </c>
    </row>
    <row r="1144" spans="1:1" x14ac:dyDescent="0.2">
      <c r="A1144" s="517" t="s">
        <v>2136</v>
      </c>
    </row>
    <row r="1145" spans="1:1" x14ac:dyDescent="0.2">
      <c r="A1145" s="517" t="s">
        <v>2137</v>
      </c>
    </row>
    <row r="1146" spans="1:1" x14ac:dyDescent="0.2">
      <c r="A1146" s="517" t="s">
        <v>2138</v>
      </c>
    </row>
    <row r="1147" spans="1:1" x14ac:dyDescent="0.2">
      <c r="A1147" s="517" t="s">
        <v>2139</v>
      </c>
    </row>
    <row r="1148" spans="1:1" x14ac:dyDescent="0.2">
      <c r="A1148" s="517" t="s">
        <v>2140</v>
      </c>
    </row>
    <row r="1149" spans="1:1" x14ac:dyDescent="0.2">
      <c r="A1149" s="517" t="s">
        <v>2141</v>
      </c>
    </row>
    <row r="1150" spans="1:1" x14ac:dyDescent="0.2">
      <c r="A1150" s="517" t="s">
        <v>2142</v>
      </c>
    </row>
    <row r="1151" spans="1:1" x14ac:dyDescent="0.2">
      <c r="A1151" s="517" t="s">
        <v>2143</v>
      </c>
    </row>
    <row r="1152" spans="1:1" x14ac:dyDescent="0.2">
      <c r="A1152" s="517" t="s">
        <v>2144</v>
      </c>
    </row>
    <row r="1153" spans="1:1" x14ac:dyDescent="0.2">
      <c r="A1153" s="517" t="s">
        <v>2145</v>
      </c>
    </row>
    <row r="1154" spans="1:1" x14ac:dyDescent="0.2">
      <c r="A1154" s="517" t="s">
        <v>2146</v>
      </c>
    </row>
    <row r="1155" spans="1:1" x14ac:dyDescent="0.2">
      <c r="A1155" s="517" t="s">
        <v>2147</v>
      </c>
    </row>
    <row r="1156" spans="1:1" x14ac:dyDescent="0.2">
      <c r="A1156" s="517" t="s">
        <v>2148</v>
      </c>
    </row>
    <row r="1157" spans="1:1" x14ac:dyDescent="0.2">
      <c r="A1157" s="517" t="s">
        <v>2149</v>
      </c>
    </row>
    <row r="1158" spans="1:1" x14ac:dyDescent="0.2">
      <c r="A1158" s="517" t="s">
        <v>2150</v>
      </c>
    </row>
    <row r="1159" spans="1:1" x14ac:dyDescent="0.2">
      <c r="A1159" s="517" t="s">
        <v>2151</v>
      </c>
    </row>
    <row r="1160" spans="1:1" x14ac:dyDescent="0.2">
      <c r="A1160" s="517" t="s">
        <v>2152</v>
      </c>
    </row>
    <row r="1161" spans="1:1" x14ac:dyDescent="0.2">
      <c r="A1161" t="s">
        <v>2153</v>
      </c>
    </row>
    <row r="1162" spans="1:1" x14ac:dyDescent="0.2">
      <c r="A1162" s="517" t="s">
        <v>2154</v>
      </c>
    </row>
    <row r="1163" spans="1:1" x14ac:dyDescent="0.2">
      <c r="A1163" s="517" t="s">
        <v>2155</v>
      </c>
    </row>
    <row r="1164" spans="1:1" x14ac:dyDescent="0.2">
      <c r="A1164" s="517" t="s">
        <v>2156</v>
      </c>
    </row>
    <row r="1165" spans="1:1" x14ac:dyDescent="0.2">
      <c r="A1165" s="517" t="s">
        <v>2157</v>
      </c>
    </row>
    <row r="1166" spans="1:1" x14ac:dyDescent="0.2">
      <c r="A1166" s="517" t="s">
        <v>2158</v>
      </c>
    </row>
    <row r="1167" spans="1:1" x14ac:dyDescent="0.2">
      <c r="A1167" s="517" t="s">
        <v>2159</v>
      </c>
    </row>
    <row r="1168" spans="1:1" x14ac:dyDescent="0.2">
      <c r="A1168" s="517" t="s">
        <v>2160</v>
      </c>
    </row>
    <row r="1169" spans="1:1" x14ac:dyDescent="0.2">
      <c r="A1169" s="517" t="s">
        <v>2161</v>
      </c>
    </row>
    <row r="1170" spans="1:1" x14ac:dyDescent="0.2">
      <c r="A1170" s="517" t="s">
        <v>2162</v>
      </c>
    </row>
    <row r="1171" spans="1:1" x14ac:dyDescent="0.2">
      <c r="A1171" s="517" t="s">
        <v>2163</v>
      </c>
    </row>
    <row r="1172" spans="1:1" x14ac:dyDescent="0.2">
      <c r="A1172" s="517" t="s">
        <v>2164</v>
      </c>
    </row>
    <row r="1173" spans="1:1" x14ac:dyDescent="0.2">
      <c r="A1173" s="517" t="s">
        <v>2165</v>
      </c>
    </row>
    <row r="1174" spans="1:1" x14ac:dyDescent="0.2">
      <c r="A1174" s="517" t="s">
        <v>2166</v>
      </c>
    </row>
    <row r="1175" spans="1:1" x14ac:dyDescent="0.2">
      <c r="A1175" s="517" t="s">
        <v>2167</v>
      </c>
    </row>
    <row r="1176" spans="1:1" x14ac:dyDescent="0.2">
      <c r="A1176" s="517" t="s">
        <v>2168</v>
      </c>
    </row>
    <row r="1177" spans="1:1" x14ac:dyDescent="0.2">
      <c r="A1177" s="517" t="s">
        <v>2169</v>
      </c>
    </row>
    <row r="1178" spans="1:1" x14ac:dyDescent="0.2">
      <c r="A1178" s="517" t="s">
        <v>2170</v>
      </c>
    </row>
    <row r="1179" spans="1:1" x14ac:dyDescent="0.2">
      <c r="A1179" s="517" t="s">
        <v>2171</v>
      </c>
    </row>
    <row r="1180" spans="1:1" x14ac:dyDescent="0.2">
      <c r="A1180" s="517" t="s">
        <v>2172</v>
      </c>
    </row>
    <row r="1181" spans="1:1" x14ac:dyDescent="0.2">
      <c r="A1181" s="517" t="s">
        <v>2173</v>
      </c>
    </row>
    <row r="1182" spans="1:1" x14ac:dyDescent="0.2">
      <c r="A1182" s="517" t="s">
        <v>2174</v>
      </c>
    </row>
    <row r="1183" spans="1:1" x14ac:dyDescent="0.2">
      <c r="A1183" s="517" t="s">
        <v>2175</v>
      </c>
    </row>
    <row r="1184" spans="1:1" x14ac:dyDescent="0.2">
      <c r="A1184" s="517" t="s">
        <v>2176</v>
      </c>
    </row>
    <row r="1185" spans="1:1" x14ac:dyDescent="0.2">
      <c r="A1185" s="517" t="s">
        <v>2177</v>
      </c>
    </row>
    <row r="1186" spans="1:1" x14ac:dyDescent="0.2">
      <c r="A1186" s="517" t="s">
        <v>2178</v>
      </c>
    </row>
    <row r="1187" spans="1:1" x14ac:dyDescent="0.2">
      <c r="A1187" s="517" t="s">
        <v>2179</v>
      </c>
    </row>
    <row r="1188" spans="1:1" x14ac:dyDescent="0.2">
      <c r="A1188" s="517" t="s">
        <v>2180</v>
      </c>
    </row>
    <row r="1189" spans="1:1" x14ac:dyDescent="0.2">
      <c r="A1189" s="517" t="s">
        <v>2181</v>
      </c>
    </row>
    <row r="1190" spans="1:1" x14ac:dyDescent="0.2">
      <c r="A1190" s="517" t="s">
        <v>2182</v>
      </c>
    </row>
    <row r="1191" spans="1:1" x14ac:dyDescent="0.2">
      <c r="A1191" s="517" t="s">
        <v>2183</v>
      </c>
    </row>
    <row r="1192" spans="1:1" x14ac:dyDescent="0.2">
      <c r="A1192" t="s">
        <v>2185</v>
      </c>
    </row>
    <row r="1193" spans="1:1" x14ac:dyDescent="0.2">
      <c r="A1193" s="517" t="s">
        <v>2186</v>
      </c>
    </row>
    <row r="1194" spans="1:1" x14ac:dyDescent="0.2">
      <c r="A1194" s="517" t="s">
        <v>2187</v>
      </c>
    </row>
    <row r="1195" spans="1:1" x14ac:dyDescent="0.2">
      <c r="A1195" s="517" t="s">
        <v>2188</v>
      </c>
    </row>
    <row r="1196" spans="1:1" x14ac:dyDescent="0.2">
      <c r="A1196" s="517" t="s">
        <v>2189</v>
      </c>
    </row>
    <row r="1197" spans="1:1" x14ac:dyDescent="0.2">
      <c r="A1197" s="517" t="s">
        <v>2190</v>
      </c>
    </row>
    <row r="1198" spans="1:1" x14ac:dyDescent="0.2">
      <c r="A1198" s="517" t="s">
        <v>2191</v>
      </c>
    </row>
    <row r="1199" spans="1:1" x14ac:dyDescent="0.2">
      <c r="A1199" s="517" t="s">
        <v>2192</v>
      </c>
    </row>
    <row r="1200" spans="1:1" x14ac:dyDescent="0.2">
      <c r="A1200" s="517" t="s">
        <v>2193</v>
      </c>
    </row>
    <row r="1201" spans="1:1" x14ac:dyDescent="0.2">
      <c r="A1201" s="517" t="s">
        <v>2194</v>
      </c>
    </row>
    <row r="1202" spans="1:1" x14ac:dyDescent="0.2">
      <c r="A1202" s="517" t="s">
        <v>2195</v>
      </c>
    </row>
    <row r="1203" spans="1:1" x14ac:dyDescent="0.2">
      <c r="A1203" s="517" t="s">
        <v>2196</v>
      </c>
    </row>
    <row r="1204" spans="1:1" x14ac:dyDescent="0.2">
      <c r="A1204" s="517" t="s">
        <v>2197</v>
      </c>
    </row>
    <row r="1205" spans="1:1" x14ac:dyDescent="0.2">
      <c r="A1205" s="517" t="s">
        <v>2198</v>
      </c>
    </row>
    <row r="1206" spans="1:1" x14ac:dyDescent="0.2">
      <c r="A1206" s="517" t="s">
        <v>2199</v>
      </c>
    </row>
    <row r="1207" spans="1:1" x14ac:dyDescent="0.2">
      <c r="A1207" s="517" t="s">
        <v>2200</v>
      </c>
    </row>
    <row r="1208" spans="1:1" x14ac:dyDescent="0.2">
      <c r="A1208" s="517" t="s">
        <v>2201</v>
      </c>
    </row>
    <row r="1209" spans="1:1" x14ac:dyDescent="0.2">
      <c r="A1209" s="517" t="s">
        <v>2202</v>
      </c>
    </row>
    <row r="1210" spans="1:1" x14ac:dyDescent="0.2">
      <c r="A1210" s="517" t="s">
        <v>2203</v>
      </c>
    </row>
    <row r="1211" spans="1:1" x14ac:dyDescent="0.2">
      <c r="A1211" s="517" t="s">
        <v>2204</v>
      </c>
    </row>
    <row r="1212" spans="1:1" x14ac:dyDescent="0.2">
      <c r="A1212" s="517" t="s">
        <v>2205</v>
      </c>
    </row>
    <row r="1213" spans="1:1" x14ac:dyDescent="0.2">
      <c r="A1213" s="517" t="s">
        <v>2206</v>
      </c>
    </row>
    <row r="1214" spans="1:1" x14ac:dyDescent="0.2">
      <c r="A1214" s="517" t="s">
        <v>2207</v>
      </c>
    </row>
    <row r="1215" spans="1:1" x14ac:dyDescent="0.2">
      <c r="A1215" s="517" t="s">
        <v>2208</v>
      </c>
    </row>
    <row r="1216" spans="1:1" x14ac:dyDescent="0.2">
      <c r="A1216" s="517" t="s">
        <v>2209</v>
      </c>
    </row>
    <row r="1217" spans="1:1" x14ac:dyDescent="0.2">
      <c r="A1217" s="517" t="s">
        <v>2210</v>
      </c>
    </row>
    <row r="1218" spans="1:1" x14ac:dyDescent="0.2">
      <c r="A1218" s="517" t="s">
        <v>2211</v>
      </c>
    </row>
    <row r="1219" spans="1:1" x14ac:dyDescent="0.2">
      <c r="A1219" s="517" t="s">
        <v>2212</v>
      </c>
    </row>
    <row r="1220" spans="1:1" x14ac:dyDescent="0.2">
      <c r="A1220" s="517" t="s">
        <v>2213</v>
      </c>
    </row>
    <row r="1221" spans="1:1" x14ac:dyDescent="0.2">
      <c r="A1221" s="517" t="s">
        <v>2214</v>
      </c>
    </row>
    <row r="1222" spans="1:1" x14ac:dyDescent="0.2">
      <c r="A1222" s="517" t="s">
        <v>2215</v>
      </c>
    </row>
    <row r="1223" spans="1:1" x14ac:dyDescent="0.2">
      <c r="A1223" t="s">
        <v>2216</v>
      </c>
    </row>
    <row r="1224" spans="1:1" x14ac:dyDescent="0.2">
      <c r="A1224" s="517" t="s">
        <v>2217</v>
      </c>
    </row>
    <row r="1225" spans="1:1" x14ac:dyDescent="0.2">
      <c r="A1225" s="517" t="s">
        <v>2218</v>
      </c>
    </row>
    <row r="1226" spans="1:1" x14ac:dyDescent="0.2">
      <c r="A1226" s="517" t="s">
        <v>2219</v>
      </c>
    </row>
    <row r="1227" spans="1:1" x14ac:dyDescent="0.2">
      <c r="A1227" s="517" t="s">
        <v>2220</v>
      </c>
    </row>
    <row r="1228" spans="1:1" x14ac:dyDescent="0.2">
      <c r="A1228" s="517" t="s">
        <v>2221</v>
      </c>
    </row>
    <row r="1229" spans="1:1" x14ac:dyDescent="0.2">
      <c r="A1229" s="517" t="s">
        <v>2222</v>
      </c>
    </row>
    <row r="1230" spans="1:1" x14ac:dyDescent="0.2">
      <c r="A1230" s="517" t="s">
        <v>2223</v>
      </c>
    </row>
    <row r="1231" spans="1:1" x14ac:dyDescent="0.2">
      <c r="A1231" s="517" t="s">
        <v>2224</v>
      </c>
    </row>
    <row r="1232" spans="1:1" x14ac:dyDescent="0.2">
      <c r="A1232" s="517" t="s">
        <v>2225</v>
      </c>
    </row>
    <row r="1233" spans="1:1" x14ac:dyDescent="0.2">
      <c r="A1233" s="517" t="s">
        <v>2226</v>
      </c>
    </row>
    <row r="1234" spans="1:1" x14ac:dyDescent="0.2">
      <c r="A1234" s="517" t="s">
        <v>2227</v>
      </c>
    </row>
    <row r="1235" spans="1:1" x14ac:dyDescent="0.2">
      <c r="A1235" s="517" t="s">
        <v>2228</v>
      </c>
    </row>
    <row r="1236" spans="1:1" x14ac:dyDescent="0.2">
      <c r="A1236" s="517" t="s">
        <v>2229</v>
      </c>
    </row>
    <row r="1237" spans="1:1" x14ac:dyDescent="0.2">
      <c r="A1237" s="517" t="s">
        <v>2230</v>
      </c>
    </row>
    <row r="1238" spans="1:1" x14ac:dyDescent="0.2">
      <c r="A1238" s="517" t="s">
        <v>2231</v>
      </c>
    </row>
    <row r="1239" spans="1:1" x14ac:dyDescent="0.2">
      <c r="A1239" s="517" t="s">
        <v>2232</v>
      </c>
    </row>
    <row r="1240" spans="1:1" x14ac:dyDescent="0.2">
      <c r="A1240" s="517" t="s">
        <v>2233</v>
      </c>
    </row>
    <row r="1241" spans="1:1" x14ac:dyDescent="0.2">
      <c r="A1241" s="517" t="s">
        <v>2234</v>
      </c>
    </row>
    <row r="1242" spans="1:1" x14ac:dyDescent="0.2">
      <c r="A1242" s="517" t="s">
        <v>2235</v>
      </c>
    </row>
    <row r="1243" spans="1:1" x14ac:dyDescent="0.2">
      <c r="A1243" s="517" t="s">
        <v>2236</v>
      </c>
    </row>
    <row r="1244" spans="1:1" x14ac:dyDescent="0.2">
      <c r="A1244" s="517" t="s">
        <v>2237</v>
      </c>
    </row>
    <row r="1245" spans="1:1" x14ac:dyDescent="0.2">
      <c r="A1245" s="517" t="s">
        <v>2238</v>
      </c>
    </row>
    <row r="1246" spans="1:1" x14ac:dyDescent="0.2">
      <c r="A1246" s="517" t="s">
        <v>2239</v>
      </c>
    </row>
    <row r="1247" spans="1:1" x14ac:dyDescent="0.2">
      <c r="A1247" s="517" t="s">
        <v>2240</v>
      </c>
    </row>
    <row r="1248" spans="1:1" x14ac:dyDescent="0.2">
      <c r="A1248" s="517" t="s">
        <v>2241</v>
      </c>
    </row>
    <row r="1249" spans="1:3" x14ac:dyDescent="0.2">
      <c r="A1249" s="517" t="s">
        <v>2242</v>
      </c>
    </row>
    <row r="1250" spans="1:3" x14ac:dyDescent="0.2">
      <c r="A1250" s="517" t="s">
        <v>2243</v>
      </c>
    </row>
    <row r="1251" spans="1:3" x14ac:dyDescent="0.2">
      <c r="A1251" s="517" t="s">
        <v>2244</v>
      </c>
    </row>
    <row r="1252" spans="1:3" x14ac:dyDescent="0.2">
      <c r="A1252" s="517" t="s">
        <v>2245</v>
      </c>
    </row>
    <row r="1253" spans="1:3" x14ac:dyDescent="0.2">
      <c r="A1253" s="517" t="s">
        <v>2246</v>
      </c>
    </row>
    <row r="1254" spans="1:3" x14ac:dyDescent="0.2">
      <c r="A1254" t="s">
        <v>2293</v>
      </c>
    </row>
    <row r="1255" spans="1:3" x14ac:dyDescent="0.2">
      <c r="A1255" t="s">
        <v>2294</v>
      </c>
      <c r="B1255">
        <v>0</v>
      </c>
      <c r="C1255">
        <v>0</v>
      </c>
    </row>
    <row r="1256" spans="1:3" x14ac:dyDescent="0.2">
      <c r="A1256" t="s">
        <v>2295</v>
      </c>
    </row>
    <row r="1257" spans="1:3" x14ac:dyDescent="0.2">
      <c r="A1257" t="s">
        <v>2296</v>
      </c>
      <c r="B1257">
        <v>0</v>
      </c>
      <c r="C1257">
        <v>0</v>
      </c>
    </row>
    <row r="1258" spans="1:3" x14ac:dyDescent="0.2">
      <c r="A1258" t="s">
        <v>2297</v>
      </c>
      <c r="B1258">
        <v>5000</v>
      </c>
      <c r="C1258">
        <v>5000</v>
      </c>
    </row>
    <row r="1259" spans="1:3" x14ac:dyDescent="0.2">
      <c r="A1259" t="s">
        <v>2298</v>
      </c>
      <c r="B1259">
        <v>0</v>
      </c>
      <c r="C1259">
        <v>0</v>
      </c>
    </row>
    <row r="1260" spans="1:3" x14ac:dyDescent="0.2">
      <c r="A1260" t="s">
        <v>2299</v>
      </c>
      <c r="B1260">
        <v>2</v>
      </c>
      <c r="C1260">
        <v>1</v>
      </c>
    </row>
    <row r="1261" spans="1:3" x14ac:dyDescent="0.2">
      <c r="A1261" t="s">
        <v>2300</v>
      </c>
      <c r="B1261">
        <v>1</v>
      </c>
      <c r="C1261" s="818">
        <v>1</v>
      </c>
    </row>
    <row r="1262" spans="1:3" x14ac:dyDescent="0.2">
      <c r="A1262" t="s">
        <v>2301</v>
      </c>
      <c r="B1262">
        <v>1</v>
      </c>
      <c r="C1262" s="818">
        <v>1</v>
      </c>
    </row>
    <row r="1263" spans="1:3" x14ac:dyDescent="0.2">
      <c r="A1263" t="s">
        <v>2302</v>
      </c>
      <c r="B1263">
        <v>1</v>
      </c>
      <c r="C1263" s="818">
        <v>1</v>
      </c>
    </row>
    <row r="1264" spans="1:3" x14ac:dyDescent="0.2">
      <c r="A1264" t="s">
        <v>2303</v>
      </c>
      <c r="B1264">
        <v>1</v>
      </c>
      <c r="C1264" s="818">
        <v>1</v>
      </c>
    </row>
    <row r="1265" spans="1:3" x14ac:dyDescent="0.2">
      <c r="A1265" t="s">
        <v>2304</v>
      </c>
      <c r="B1265">
        <v>1</v>
      </c>
      <c r="C1265" s="818">
        <v>1</v>
      </c>
    </row>
    <row r="1266" spans="1:3" x14ac:dyDescent="0.2">
      <c r="A1266" t="s">
        <v>2305</v>
      </c>
      <c r="B1266">
        <v>1</v>
      </c>
      <c r="C1266" s="818">
        <v>1</v>
      </c>
    </row>
    <row r="1267" spans="1:3" x14ac:dyDescent="0.2">
      <c r="A1267" t="s">
        <v>2306</v>
      </c>
      <c r="B1267">
        <v>1</v>
      </c>
      <c r="C1267" s="818">
        <v>1</v>
      </c>
    </row>
    <row r="1268" spans="1:3" x14ac:dyDescent="0.2">
      <c r="A1268" t="s">
        <v>2307</v>
      </c>
      <c r="B1268">
        <v>1</v>
      </c>
      <c r="C1268" s="818">
        <v>1</v>
      </c>
    </row>
    <row r="1269" spans="1:3" x14ac:dyDescent="0.2">
      <c r="A1269" t="s">
        <v>2308</v>
      </c>
      <c r="B1269">
        <v>1</v>
      </c>
      <c r="C1269" s="818">
        <v>1</v>
      </c>
    </row>
    <row r="1270" spans="1:3" x14ac:dyDescent="0.2">
      <c r="A1270" t="s">
        <v>2309</v>
      </c>
      <c r="B1270">
        <v>1</v>
      </c>
      <c r="C1270" s="819">
        <v>1</v>
      </c>
    </row>
    <row r="1271" spans="1:3" x14ac:dyDescent="0.2">
      <c r="A1271" t="s">
        <v>2310</v>
      </c>
      <c r="B1271">
        <v>0</v>
      </c>
      <c r="C1271" s="817">
        <v>0</v>
      </c>
    </row>
    <row r="1272" spans="1:3" x14ac:dyDescent="0.2">
      <c r="A1272" t="s">
        <v>2311</v>
      </c>
      <c r="B1272" t="b">
        <v>0</v>
      </c>
      <c r="C1272" s="820" t="b">
        <v>0</v>
      </c>
    </row>
    <row r="1273" spans="1:3" x14ac:dyDescent="0.2">
      <c r="A1273" t="s">
        <v>2312</v>
      </c>
      <c r="B1273" t="b">
        <v>1</v>
      </c>
      <c r="C1273" s="820" t="b">
        <v>0</v>
      </c>
    </row>
    <row r="1274" spans="1:3" x14ac:dyDescent="0.2">
      <c r="A1274" t="s">
        <v>2313</v>
      </c>
      <c r="B1274" t="b">
        <v>0</v>
      </c>
      <c r="C1274" s="820" t="b">
        <v>0</v>
      </c>
    </row>
    <row r="1275" spans="1:3" x14ac:dyDescent="0.2">
      <c r="A1275" t="s">
        <v>2314</v>
      </c>
      <c r="B1275" t="b">
        <v>0</v>
      </c>
      <c r="C1275" s="820" t="b">
        <v>0</v>
      </c>
    </row>
    <row r="1276" spans="1:3" x14ac:dyDescent="0.2">
      <c r="A1276" t="s">
        <v>2315</v>
      </c>
      <c r="B1276">
        <v>0</v>
      </c>
      <c r="C1276" s="817">
        <v>0</v>
      </c>
    </row>
    <row r="1277" spans="1:3" x14ac:dyDescent="0.2">
      <c r="A1277" t="s">
        <v>2316</v>
      </c>
      <c r="B1277">
        <v>0</v>
      </c>
      <c r="C1277" s="817">
        <v>0</v>
      </c>
    </row>
    <row r="1278" spans="1:3" x14ac:dyDescent="0.2">
      <c r="A1278" t="s">
        <v>2317</v>
      </c>
      <c r="B1278">
        <v>0</v>
      </c>
      <c r="C1278" s="817">
        <v>0</v>
      </c>
    </row>
    <row r="1279" spans="1:3" x14ac:dyDescent="0.2">
      <c r="A1279" t="s">
        <v>2318</v>
      </c>
      <c r="B1279">
        <v>0</v>
      </c>
      <c r="C1279">
        <v>0</v>
      </c>
    </row>
    <row r="1280" spans="1:3" x14ac:dyDescent="0.2">
      <c r="A1280" t="s">
        <v>2319</v>
      </c>
      <c r="B1280">
        <v>0</v>
      </c>
      <c r="C1280">
        <v>0</v>
      </c>
    </row>
    <row r="1281" spans="1:3" x14ac:dyDescent="0.2">
      <c r="A1281" t="s">
        <v>2320</v>
      </c>
      <c r="B1281">
        <v>0</v>
      </c>
      <c r="C1281">
        <v>0</v>
      </c>
    </row>
    <row r="1282" spans="1:3" x14ac:dyDescent="0.2">
      <c r="A1282" t="s">
        <v>2321</v>
      </c>
      <c r="B1282">
        <v>0</v>
      </c>
      <c r="C1282">
        <v>0</v>
      </c>
    </row>
    <row r="1283" spans="1:3" x14ac:dyDescent="0.2">
      <c r="A1283" t="s">
        <v>2322</v>
      </c>
      <c r="B1283">
        <v>0</v>
      </c>
      <c r="C1283">
        <v>0</v>
      </c>
    </row>
    <row r="1284" spans="1:3" x14ac:dyDescent="0.2">
      <c r="A1284" t="s">
        <v>2323</v>
      </c>
      <c r="B1284">
        <v>2</v>
      </c>
      <c r="C1284">
        <v>2</v>
      </c>
    </row>
    <row r="1285" spans="1:3" x14ac:dyDescent="0.2">
      <c r="A1285" t="s">
        <v>2324</v>
      </c>
      <c r="B1285">
        <v>8</v>
      </c>
      <c r="C1285">
        <v>0</v>
      </c>
    </row>
    <row r="1286" spans="1:3" x14ac:dyDescent="0.2">
      <c r="A1286" t="s">
        <v>2325</v>
      </c>
      <c r="B1286">
        <v>0</v>
      </c>
      <c r="C1286">
        <v>0</v>
      </c>
    </row>
    <row r="1287" spans="1:3" x14ac:dyDescent="0.2">
      <c r="A1287" t="s">
        <v>2326</v>
      </c>
      <c r="B1287">
        <v>2</v>
      </c>
      <c r="C1287">
        <v>2</v>
      </c>
    </row>
    <row r="1288" spans="1:3" x14ac:dyDescent="0.2">
      <c r="A1288" t="s">
        <v>2327</v>
      </c>
      <c r="B1288">
        <v>200</v>
      </c>
      <c r="C1288">
        <v>0</v>
      </c>
    </row>
    <row r="1289" spans="1:3" x14ac:dyDescent="0.2">
      <c r="A1289" t="s">
        <v>2328</v>
      </c>
      <c r="B1289">
        <v>0</v>
      </c>
      <c r="C1289">
        <v>0</v>
      </c>
    </row>
    <row r="1290" spans="1:3" x14ac:dyDescent="0.2">
      <c r="A1290" t="s">
        <v>2329</v>
      </c>
      <c r="B1290">
        <v>5000</v>
      </c>
      <c r="C1290">
        <v>5000</v>
      </c>
    </row>
    <row r="1291" spans="1:3" x14ac:dyDescent="0.2">
      <c r="A1291" t="s">
        <v>2330</v>
      </c>
      <c r="B1291">
        <v>4984</v>
      </c>
      <c r="C1291">
        <v>5000</v>
      </c>
    </row>
    <row r="1292" spans="1:3" x14ac:dyDescent="0.2">
      <c r="A1292" t="s">
        <v>2331</v>
      </c>
      <c r="B1292">
        <v>5001</v>
      </c>
      <c r="C1292">
        <v>5000</v>
      </c>
    </row>
    <row r="1293" spans="1:3" x14ac:dyDescent="0.2">
      <c r="A1293" t="s">
        <v>2332</v>
      </c>
      <c r="B1293">
        <v>1</v>
      </c>
      <c r="C1293" s="496">
        <v>1</v>
      </c>
    </row>
    <row r="1294" spans="1:3" x14ac:dyDescent="0.2">
      <c r="A1294" t="s">
        <v>2333</v>
      </c>
      <c r="B1294">
        <v>9</v>
      </c>
      <c r="C1294" s="496">
        <v>1</v>
      </c>
    </row>
    <row r="1295" spans="1:3" x14ac:dyDescent="0.2">
      <c r="A1295" t="s">
        <v>2334</v>
      </c>
      <c r="B1295">
        <v>22</v>
      </c>
      <c r="C1295" s="496">
        <v>1</v>
      </c>
    </row>
    <row r="1296" spans="1:3" x14ac:dyDescent="0.2">
      <c r="A1296" t="s">
        <v>2335</v>
      </c>
      <c r="B1296">
        <v>1</v>
      </c>
      <c r="C1296" s="496">
        <v>1</v>
      </c>
    </row>
    <row r="1297" spans="1:3" x14ac:dyDescent="0.2">
      <c r="A1297" t="s">
        <v>2336</v>
      </c>
      <c r="B1297">
        <v>1</v>
      </c>
      <c r="C1297" s="496">
        <v>1</v>
      </c>
    </row>
    <row r="1298" spans="1:3" x14ac:dyDescent="0.2">
      <c r="A1298" t="s">
        <v>2337</v>
      </c>
      <c r="B1298">
        <v>1</v>
      </c>
      <c r="C1298" s="496">
        <v>1</v>
      </c>
    </row>
    <row r="1299" spans="1:3" x14ac:dyDescent="0.2">
      <c r="A1299" t="s">
        <v>2338</v>
      </c>
      <c r="B1299">
        <v>1</v>
      </c>
      <c r="C1299" s="496">
        <v>1</v>
      </c>
    </row>
    <row r="1300" spans="1:3" x14ac:dyDescent="0.2">
      <c r="A1300" t="s">
        <v>2339</v>
      </c>
      <c r="B1300">
        <v>1</v>
      </c>
      <c r="C1300" s="496">
        <v>1</v>
      </c>
    </row>
    <row r="1301" spans="1:3" x14ac:dyDescent="0.2">
      <c r="A1301" t="s">
        <v>2340</v>
      </c>
      <c r="B1301">
        <v>1</v>
      </c>
      <c r="C1301" s="496">
        <v>1</v>
      </c>
    </row>
    <row r="1302" spans="1:3" x14ac:dyDescent="0.2">
      <c r="A1302" t="s">
        <v>2341</v>
      </c>
      <c r="B1302">
        <v>0</v>
      </c>
      <c r="C1302" s="496">
        <v>0</v>
      </c>
    </row>
    <row r="1303" spans="1:3" x14ac:dyDescent="0.2">
      <c r="A1303" t="s">
        <v>2342</v>
      </c>
      <c r="B1303">
        <v>220</v>
      </c>
      <c r="C1303" s="496">
        <v>0</v>
      </c>
    </row>
    <row r="1304" spans="1:3" x14ac:dyDescent="0.2">
      <c r="A1304" t="s">
        <v>2343</v>
      </c>
      <c r="B1304">
        <v>10</v>
      </c>
      <c r="C1304" s="496">
        <v>0</v>
      </c>
    </row>
    <row r="1305" spans="1:3" x14ac:dyDescent="0.2">
      <c r="A1305" t="s">
        <v>2344</v>
      </c>
      <c r="B1305">
        <v>0</v>
      </c>
      <c r="C1305" s="496">
        <v>0</v>
      </c>
    </row>
    <row r="1306" spans="1:3" x14ac:dyDescent="0.2">
      <c r="A1306" t="s">
        <v>2345</v>
      </c>
      <c r="B1306">
        <v>0</v>
      </c>
      <c r="C1306" s="496">
        <v>0</v>
      </c>
    </row>
    <row r="1307" spans="1:3" x14ac:dyDescent="0.2">
      <c r="A1307" t="s">
        <v>2346</v>
      </c>
      <c r="B1307">
        <v>0</v>
      </c>
      <c r="C1307" s="496">
        <v>0</v>
      </c>
    </row>
    <row r="1308" spans="1:3" x14ac:dyDescent="0.2">
      <c r="A1308" t="s">
        <v>2347</v>
      </c>
      <c r="B1308">
        <v>0</v>
      </c>
      <c r="C1308" s="496">
        <v>0</v>
      </c>
    </row>
    <row r="1309" spans="1:3" x14ac:dyDescent="0.2">
      <c r="A1309" t="s">
        <v>2348</v>
      </c>
      <c r="B1309">
        <v>0</v>
      </c>
      <c r="C1309" s="496">
        <v>0</v>
      </c>
    </row>
    <row r="1310" spans="1:3" x14ac:dyDescent="0.2">
      <c r="A1310" t="s">
        <v>2349</v>
      </c>
      <c r="B1310">
        <v>0</v>
      </c>
      <c r="C1310" s="496">
        <v>0</v>
      </c>
    </row>
    <row r="1311" spans="1:3" x14ac:dyDescent="0.2">
      <c r="A1311" t="s">
        <v>2350</v>
      </c>
    </row>
    <row r="1312" spans="1:3" x14ac:dyDescent="0.2">
      <c r="A1312" t="s">
        <v>2351</v>
      </c>
    </row>
    <row r="1313" spans="1:3" x14ac:dyDescent="0.2">
      <c r="A1313" t="s">
        <v>2352</v>
      </c>
      <c r="B1313">
        <v>5000</v>
      </c>
      <c r="C1313">
        <v>5000</v>
      </c>
    </row>
    <row r="1314" spans="1:3" x14ac:dyDescent="0.2">
      <c r="A1314" t="s">
        <v>2353</v>
      </c>
      <c r="B1314">
        <v>5001</v>
      </c>
      <c r="C1314">
        <v>5000</v>
      </c>
    </row>
    <row r="1315" spans="1:3" x14ac:dyDescent="0.2">
      <c r="A1315" t="s">
        <v>2354</v>
      </c>
      <c r="B1315">
        <v>5000</v>
      </c>
      <c r="C1315">
        <v>5000</v>
      </c>
    </row>
    <row r="1316" spans="1:3" x14ac:dyDescent="0.2">
      <c r="A1316" t="s">
        <v>2355</v>
      </c>
      <c r="B1316">
        <v>0</v>
      </c>
      <c r="C1316" s="822">
        <v>0</v>
      </c>
    </row>
    <row r="1317" spans="1:3" x14ac:dyDescent="0.2">
      <c r="A1317" t="s">
        <v>2356</v>
      </c>
      <c r="B1317">
        <v>12</v>
      </c>
      <c r="C1317" s="822">
        <v>0</v>
      </c>
    </row>
    <row r="1318" spans="1:3" x14ac:dyDescent="0.2">
      <c r="A1318" t="s">
        <v>2357</v>
      </c>
      <c r="B1318">
        <v>12</v>
      </c>
      <c r="C1318" s="822">
        <v>0</v>
      </c>
    </row>
    <row r="1319" spans="1:3" x14ac:dyDescent="0.2">
      <c r="A1319" t="s">
        <v>2358</v>
      </c>
      <c r="B1319">
        <v>0</v>
      </c>
      <c r="C1319" s="822">
        <v>0</v>
      </c>
    </row>
    <row r="1320" spans="1:3" x14ac:dyDescent="0.2">
      <c r="A1320" t="s">
        <v>2359</v>
      </c>
      <c r="B1320">
        <v>0</v>
      </c>
      <c r="C1320" s="822">
        <v>0</v>
      </c>
    </row>
    <row r="1321" spans="1:3" x14ac:dyDescent="0.2">
      <c r="A1321" t="s">
        <v>2360</v>
      </c>
      <c r="B1321">
        <v>0</v>
      </c>
      <c r="C1321" s="822">
        <v>0</v>
      </c>
    </row>
    <row r="1322" spans="1:3" x14ac:dyDescent="0.2">
      <c r="A1322" t="s">
        <v>2361</v>
      </c>
      <c r="B1322">
        <v>0</v>
      </c>
      <c r="C1322" s="822">
        <v>0</v>
      </c>
    </row>
    <row r="1323" spans="1:3" x14ac:dyDescent="0.2">
      <c r="A1323" t="s">
        <v>2362</v>
      </c>
      <c r="B1323">
        <v>0</v>
      </c>
      <c r="C1323" s="822">
        <v>0</v>
      </c>
    </row>
    <row r="1324" spans="1:3" x14ac:dyDescent="0.2">
      <c r="A1324" t="s">
        <v>2363</v>
      </c>
      <c r="B1324">
        <v>0</v>
      </c>
      <c r="C1324" s="822">
        <v>0</v>
      </c>
    </row>
    <row r="1325" spans="1:3" x14ac:dyDescent="0.2">
      <c r="A1325" t="s">
        <v>2364</v>
      </c>
      <c r="B1325">
        <v>1</v>
      </c>
      <c r="C1325" s="822">
        <v>1</v>
      </c>
    </row>
    <row r="1326" spans="1:3" x14ac:dyDescent="0.2">
      <c r="A1326" t="s">
        <v>2365</v>
      </c>
      <c r="B1326">
        <v>1</v>
      </c>
      <c r="C1326" s="822">
        <v>1</v>
      </c>
    </row>
    <row r="1327" spans="1:3" x14ac:dyDescent="0.2">
      <c r="A1327" t="s">
        <v>2366</v>
      </c>
      <c r="B1327">
        <v>0</v>
      </c>
      <c r="C1327" s="822">
        <v>1</v>
      </c>
    </row>
    <row r="1328" spans="1:3" x14ac:dyDescent="0.2">
      <c r="A1328" t="s">
        <v>2367</v>
      </c>
      <c r="B1328">
        <v>0</v>
      </c>
      <c r="C1328" s="822">
        <v>1</v>
      </c>
    </row>
    <row r="1329" spans="1:3" x14ac:dyDescent="0.2">
      <c r="A1329" t="s">
        <v>2368</v>
      </c>
      <c r="B1329">
        <v>3</v>
      </c>
      <c r="C1329" s="822">
        <v>1</v>
      </c>
    </row>
    <row r="1330" spans="1:3" x14ac:dyDescent="0.2">
      <c r="A1330" t="s">
        <v>2369</v>
      </c>
      <c r="B1330">
        <v>3</v>
      </c>
      <c r="C1330" s="822">
        <v>1</v>
      </c>
    </row>
    <row r="1331" spans="1:3" x14ac:dyDescent="0.2">
      <c r="A1331" t="s">
        <v>2370</v>
      </c>
      <c r="B1331">
        <v>1</v>
      </c>
      <c r="C1331" s="822">
        <v>1</v>
      </c>
    </row>
    <row r="1332" spans="1:3" x14ac:dyDescent="0.2">
      <c r="A1332" t="s">
        <v>2371</v>
      </c>
      <c r="B1332">
        <v>1</v>
      </c>
      <c r="C1332" s="822">
        <v>1</v>
      </c>
    </row>
    <row r="1333" spans="1:3" x14ac:dyDescent="0.2">
      <c r="A1333" t="s">
        <v>2372</v>
      </c>
      <c r="B1333">
        <v>1</v>
      </c>
      <c r="C1333" s="822">
        <v>1</v>
      </c>
    </row>
    <row r="1334" spans="1:3" x14ac:dyDescent="0.2">
      <c r="A1334" t="s">
        <v>2373</v>
      </c>
      <c r="B1334">
        <v>1</v>
      </c>
      <c r="C1334" s="817">
        <v>1</v>
      </c>
    </row>
    <row r="1335" spans="1:3" x14ac:dyDescent="0.2">
      <c r="A1335" t="s">
        <v>2374</v>
      </c>
      <c r="B1335">
        <v>1</v>
      </c>
      <c r="C1335" s="817">
        <v>1</v>
      </c>
    </row>
    <row r="1336" spans="1:3" x14ac:dyDescent="0.2">
      <c r="A1336" t="s">
        <v>2375</v>
      </c>
      <c r="B1336">
        <v>1</v>
      </c>
      <c r="C1336" s="817">
        <v>1</v>
      </c>
    </row>
    <row r="1337" spans="1:3" x14ac:dyDescent="0.2">
      <c r="A1337" t="s">
        <v>2376</v>
      </c>
      <c r="B1337" t="b">
        <v>1</v>
      </c>
      <c r="C1337" s="821" t="b">
        <v>0</v>
      </c>
    </row>
    <row r="1338" spans="1:3" x14ac:dyDescent="0.2">
      <c r="A1338" t="s">
        <v>2377</v>
      </c>
    </row>
    <row r="1339" spans="1:3" x14ac:dyDescent="0.2">
      <c r="A1339" t="s">
        <v>2378</v>
      </c>
      <c r="B1339">
        <v>1</v>
      </c>
      <c r="C1339" s="824">
        <v>1</v>
      </c>
    </row>
    <row r="1340" spans="1:3" x14ac:dyDescent="0.2">
      <c r="A1340" t="s">
        <v>2379</v>
      </c>
      <c r="B1340">
        <v>1</v>
      </c>
      <c r="C1340" s="824">
        <v>1</v>
      </c>
    </row>
    <row r="1341" spans="1:3" x14ac:dyDescent="0.2">
      <c r="A1341" t="s">
        <v>2380</v>
      </c>
      <c r="B1341">
        <v>1</v>
      </c>
      <c r="C1341" s="824">
        <v>1</v>
      </c>
    </row>
    <row r="1342" spans="1:3" x14ac:dyDescent="0.2">
      <c r="A1342" t="s">
        <v>2381</v>
      </c>
      <c r="B1342">
        <v>1</v>
      </c>
      <c r="C1342" s="824">
        <v>1</v>
      </c>
    </row>
    <row r="1343" spans="1:3" x14ac:dyDescent="0.2">
      <c r="A1343" t="s">
        <v>2382</v>
      </c>
      <c r="B1343">
        <v>1</v>
      </c>
      <c r="C1343" s="824">
        <v>1</v>
      </c>
    </row>
    <row r="1344" spans="1:3" x14ac:dyDescent="0.2">
      <c r="A1344" t="s">
        <v>2383</v>
      </c>
      <c r="B1344">
        <v>1</v>
      </c>
      <c r="C1344" s="824">
        <v>1</v>
      </c>
    </row>
    <row r="1345" spans="1:3" x14ac:dyDescent="0.2">
      <c r="A1345" t="s">
        <v>2384</v>
      </c>
      <c r="B1345">
        <v>1</v>
      </c>
      <c r="C1345" s="824">
        <v>1</v>
      </c>
    </row>
    <row r="1346" spans="1:3" x14ac:dyDescent="0.2">
      <c r="A1346" t="s">
        <v>2385</v>
      </c>
      <c r="B1346">
        <v>1</v>
      </c>
      <c r="C1346" s="824">
        <v>1</v>
      </c>
    </row>
    <row r="1347" spans="1:3" x14ac:dyDescent="0.2">
      <c r="A1347" t="s">
        <v>2386</v>
      </c>
      <c r="B1347">
        <v>1</v>
      </c>
      <c r="C1347" s="824">
        <v>1</v>
      </c>
    </row>
    <row r="1348" spans="1:3" x14ac:dyDescent="0.2">
      <c r="A1348" t="s">
        <v>2387</v>
      </c>
      <c r="B1348">
        <v>5000</v>
      </c>
      <c r="C1348" s="817">
        <v>5000</v>
      </c>
    </row>
    <row r="1349" spans="1:3" x14ac:dyDescent="0.2">
      <c r="A1349" t="s">
        <v>2388</v>
      </c>
      <c r="B1349">
        <v>5000</v>
      </c>
      <c r="C1349" s="817">
        <v>5000</v>
      </c>
    </row>
    <row r="1350" spans="1:3" x14ac:dyDescent="0.2">
      <c r="A1350" t="s">
        <v>2389</v>
      </c>
      <c r="B1350">
        <v>5000</v>
      </c>
      <c r="C1350" s="817">
        <v>5000</v>
      </c>
    </row>
    <row r="1351" spans="1:3" x14ac:dyDescent="0.2">
      <c r="A1351" t="s">
        <v>2390</v>
      </c>
      <c r="B1351">
        <v>0</v>
      </c>
      <c r="C1351" s="817">
        <v>0</v>
      </c>
    </row>
    <row r="1352" spans="1:3" x14ac:dyDescent="0.2">
      <c r="A1352" t="s">
        <v>2391</v>
      </c>
      <c r="B1352">
        <v>0</v>
      </c>
      <c r="C1352" s="817">
        <v>0</v>
      </c>
    </row>
    <row r="1353" spans="1:3" x14ac:dyDescent="0.2">
      <c r="A1353" t="s">
        <v>2392</v>
      </c>
      <c r="B1353">
        <v>0</v>
      </c>
      <c r="C1353" s="817">
        <v>0</v>
      </c>
    </row>
    <row r="1354" spans="1:3" x14ac:dyDescent="0.2">
      <c r="A1354" t="s">
        <v>2393</v>
      </c>
      <c r="B1354">
        <v>0</v>
      </c>
      <c r="C1354" s="817">
        <v>0</v>
      </c>
    </row>
    <row r="1355" spans="1:3" x14ac:dyDescent="0.2">
      <c r="A1355" t="s">
        <v>2394</v>
      </c>
      <c r="B1355">
        <v>10</v>
      </c>
      <c r="C1355" s="817">
        <v>0</v>
      </c>
    </row>
    <row r="1356" spans="1:3" x14ac:dyDescent="0.2">
      <c r="A1356" t="s">
        <v>2395</v>
      </c>
      <c r="B1356">
        <v>10</v>
      </c>
      <c r="C1356" s="817">
        <v>0</v>
      </c>
    </row>
    <row r="1357" spans="1:3" x14ac:dyDescent="0.2">
      <c r="A1357" t="s">
        <v>2396</v>
      </c>
      <c r="B1357">
        <v>0</v>
      </c>
      <c r="C1357" s="817">
        <v>0</v>
      </c>
    </row>
    <row r="1358" spans="1:3" x14ac:dyDescent="0.2">
      <c r="A1358" t="s">
        <v>2397</v>
      </c>
      <c r="B1358">
        <v>0</v>
      </c>
      <c r="C1358" s="817">
        <v>0</v>
      </c>
    </row>
    <row r="1359" spans="1:3" x14ac:dyDescent="0.2">
      <c r="A1359" t="s">
        <v>2398</v>
      </c>
      <c r="B1359">
        <v>0</v>
      </c>
      <c r="C1359" s="817">
        <v>0</v>
      </c>
    </row>
    <row r="1360" spans="1:3" x14ac:dyDescent="0.2">
      <c r="A1360" t="s">
        <v>2399</v>
      </c>
      <c r="B1360">
        <v>0</v>
      </c>
      <c r="C1360" s="817">
        <v>0</v>
      </c>
    </row>
    <row r="1361" spans="1:3" x14ac:dyDescent="0.2">
      <c r="A1361" t="s">
        <v>2400</v>
      </c>
      <c r="B1361">
        <v>0</v>
      </c>
      <c r="C1361" s="817">
        <v>0</v>
      </c>
    </row>
    <row r="1362" spans="1:3" x14ac:dyDescent="0.2">
      <c r="A1362" t="s">
        <v>2401</v>
      </c>
      <c r="B1362">
        <v>0</v>
      </c>
      <c r="C1362" s="817">
        <v>0</v>
      </c>
    </row>
    <row r="1363" spans="1:3" x14ac:dyDescent="0.2">
      <c r="A1363" t="s">
        <v>2402</v>
      </c>
    </row>
    <row r="1364" spans="1:3" x14ac:dyDescent="0.2">
      <c r="A1364" t="s">
        <v>2403</v>
      </c>
      <c r="B1364">
        <v>2</v>
      </c>
      <c r="C1364" s="825">
        <v>2</v>
      </c>
    </row>
    <row r="1365" spans="1:3" x14ac:dyDescent="0.2">
      <c r="A1365" t="s">
        <v>2404</v>
      </c>
      <c r="B1365">
        <v>1</v>
      </c>
      <c r="C1365" s="825">
        <v>1</v>
      </c>
    </row>
    <row r="1366" spans="1:3" x14ac:dyDescent="0.2">
      <c r="A1366" t="s">
        <v>2405</v>
      </c>
      <c r="B1366">
        <v>1</v>
      </c>
      <c r="C1366" s="825">
        <v>1</v>
      </c>
    </row>
    <row r="1367" spans="1:3" x14ac:dyDescent="0.2">
      <c r="A1367" t="s">
        <v>2406</v>
      </c>
      <c r="B1367">
        <v>1</v>
      </c>
      <c r="C1367" s="825">
        <v>1</v>
      </c>
    </row>
    <row r="1368" spans="1:3" x14ac:dyDescent="0.2">
      <c r="A1368" t="s">
        <v>2407</v>
      </c>
      <c r="B1368">
        <v>1</v>
      </c>
      <c r="C1368" s="825">
        <v>1</v>
      </c>
    </row>
    <row r="1369" spans="1:3" x14ac:dyDescent="0.2">
      <c r="A1369" t="s">
        <v>2408</v>
      </c>
      <c r="B1369">
        <v>1</v>
      </c>
      <c r="C1369" s="825">
        <v>1</v>
      </c>
    </row>
    <row r="1370" spans="1:3" x14ac:dyDescent="0.2">
      <c r="A1370" t="s">
        <v>2409</v>
      </c>
      <c r="B1370">
        <v>1</v>
      </c>
      <c r="C1370" s="825">
        <v>1</v>
      </c>
    </row>
    <row r="1371" spans="1:3" x14ac:dyDescent="0.2">
      <c r="A1371" t="s">
        <v>2410</v>
      </c>
      <c r="B1371">
        <v>1</v>
      </c>
      <c r="C1371" s="825">
        <v>1</v>
      </c>
    </row>
    <row r="1372" spans="1:3" x14ac:dyDescent="0.2">
      <c r="A1372" t="s">
        <v>2411</v>
      </c>
      <c r="B1372">
        <v>1</v>
      </c>
      <c r="C1372" s="825">
        <v>1</v>
      </c>
    </row>
    <row r="1373" spans="1:3" x14ac:dyDescent="0.2">
      <c r="A1373" t="s">
        <v>2412</v>
      </c>
      <c r="B1373">
        <v>2</v>
      </c>
      <c r="C1373" s="825">
        <v>1</v>
      </c>
    </row>
    <row r="1374" spans="1:3" x14ac:dyDescent="0.2">
      <c r="A1374" t="s">
        <v>2413</v>
      </c>
    </row>
    <row r="1375" spans="1:3" x14ac:dyDescent="0.2">
      <c r="A1375" t="s">
        <v>2414</v>
      </c>
      <c r="B1375">
        <v>30</v>
      </c>
      <c r="C1375">
        <v>30</v>
      </c>
    </row>
    <row r="1376" spans="1:3" x14ac:dyDescent="0.2">
      <c r="A1376" t="s">
        <v>2430</v>
      </c>
      <c r="B1376">
        <v>1</v>
      </c>
      <c r="C1376">
        <v>1</v>
      </c>
    </row>
    <row r="1377" spans="1:3" x14ac:dyDescent="0.2">
      <c r="A1377" s="518" t="s">
        <v>2446</v>
      </c>
      <c r="B1377">
        <v>1</v>
      </c>
      <c r="C1377">
        <v>1</v>
      </c>
    </row>
    <row r="1378" spans="1:3" x14ac:dyDescent="0.2">
      <c r="A1378" s="517" t="s">
        <v>2450</v>
      </c>
    </row>
    <row r="1379" spans="1:3" x14ac:dyDescent="0.2">
      <c r="A1379" s="517" t="s">
        <v>2451</v>
      </c>
    </row>
    <row r="1380" spans="1:3" x14ac:dyDescent="0.2">
      <c r="A1380" s="517" t="s">
        <v>2452</v>
      </c>
    </row>
    <row r="1381" spans="1:3" x14ac:dyDescent="0.2">
      <c r="A1381" s="517" t="s">
        <v>2453</v>
      </c>
    </row>
    <row r="1382" spans="1:3" x14ac:dyDescent="0.2">
      <c r="A1382" s="517" t="s">
        <v>2454</v>
      </c>
    </row>
    <row r="1383" spans="1:3" x14ac:dyDescent="0.2">
      <c r="A1383" s="517" t="s">
        <v>2455</v>
      </c>
    </row>
    <row r="1384" spans="1:3" x14ac:dyDescent="0.2">
      <c r="A1384" s="517" t="s">
        <v>2456</v>
      </c>
    </row>
    <row r="1385" spans="1:3" x14ac:dyDescent="0.2">
      <c r="A1385" s="517" t="s">
        <v>2457</v>
      </c>
    </row>
    <row r="1386" spans="1:3" x14ac:dyDescent="0.2">
      <c r="A1386" s="517" t="s">
        <v>2458</v>
      </c>
    </row>
    <row r="1387" spans="1:3" x14ac:dyDescent="0.2">
      <c r="A1387" s="517" t="s">
        <v>2459</v>
      </c>
    </row>
    <row r="1388" spans="1:3" x14ac:dyDescent="0.2">
      <c r="A1388" s="517" t="s">
        <v>2460</v>
      </c>
    </row>
    <row r="1389" spans="1:3" x14ac:dyDescent="0.2">
      <c r="A1389" s="517" t="s">
        <v>2461</v>
      </c>
    </row>
    <row r="1390" spans="1:3" x14ac:dyDescent="0.2">
      <c r="A1390" s="517" t="s">
        <v>2462</v>
      </c>
    </row>
    <row r="1391" spans="1:3" x14ac:dyDescent="0.2">
      <c r="A1391" s="517" t="s">
        <v>2463</v>
      </c>
    </row>
    <row r="1392" spans="1:3" x14ac:dyDescent="0.2">
      <c r="A1392" s="517" t="s">
        <v>2464</v>
      </c>
    </row>
    <row r="1393" spans="1:1" x14ac:dyDescent="0.2">
      <c r="A1393" s="517" t="s">
        <v>2465</v>
      </c>
    </row>
    <row r="1394" spans="1:1" x14ac:dyDescent="0.2">
      <c r="A1394" s="517" t="s">
        <v>2466</v>
      </c>
    </row>
    <row r="1395" spans="1:1" x14ac:dyDescent="0.2">
      <c r="A1395" s="517" t="s">
        <v>2467</v>
      </c>
    </row>
    <row r="1396" spans="1:1" x14ac:dyDescent="0.2">
      <c r="A1396" s="517" t="s">
        <v>2468</v>
      </c>
    </row>
    <row r="1397" spans="1:1" x14ac:dyDescent="0.2">
      <c r="A1397" s="517" t="s">
        <v>2469</v>
      </c>
    </row>
    <row r="1398" spans="1:1" x14ac:dyDescent="0.2">
      <c r="A1398" s="517" t="s">
        <v>2470</v>
      </c>
    </row>
    <row r="1399" spans="1:1" x14ac:dyDescent="0.2">
      <c r="A1399" s="517" t="s">
        <v>2471</v>
      </c>
    </row>
    <row r="1400" spans="1:1" x14ac:dyDescent="0.2">
      <c r="A1400" s="517" t="s">
        <v>2472</v>
      </c>
    </row>
    <row r="1401" spans="1:1" x14ac:dyDescent="0.2">
      <c r="A1401" s="517" t="s">
        <v>2473</v>
      </c>
    </row>
    <row r="1402" spans="1:1" x14ac:dyDescent="0.2">
      <c r="A1402" s="517" t="s">
        <v>2474</v>
      </c>
    </row>
    <row r="1403" spans="1:1" x14ac:dyDescent="0.2">
      <c r="A1403" s="517" t="s">
        <v>2475</v>
      </c>
    </row>
    <row r="1404" spans="1:1" x14ac:dyDescent="0.2">
      <c r="A1404" s="517" t="s">
        <v>2476</v>
      </c>
    </row>
    <row r="1405" spans="1:1" x14ac:dyDescent="0.2">
      <c r="A1405" s="517" t="s">
        <v>2477</v>
      </c>
    </row>
    <row r="1406" spans="1:1" x14ac:dyDescent="0.2">
      <c r="A1406" s="517" t="s">
        <v>2478</v>
      </c>
    </row>
    <row r="1407" spans="1:1" x14ac:dyDescent="0.2">
      <c r="A1407" s="517" t="s">
        <v>2479</v>
      </c>
    </row>
    <row r="1408" spans="1:1" x14ac:dyDescent="0.2">
      <c r="A1408" s="517" t="s">
        <v>2480</v>
      </c>
    </row>
    <row r="1409" spans="1:1" x14ac:dyDescent="0.2">
      <c r="A1409" s="517" t="s">
        <v>2481</v>
      </c>
    </row>
    <row r="1410" spans="1:1" x14ac:dyDescent="0.2">
      <c r="A1410" s="517" t="s">
        <v>2482</v>
      </c>
    </row>
    <row r="1411" spans="1:1" x14ac:dyDescent="0.2">
      <c r="A1411" s="517" t="s">
        <v>2483</v>
      </c>
    </row>
    <row r="1412" spans="1:1" x14ac:dyDescent="0.2">
      <c r="A1412" s="517" t="s">
        <v>2484</v>
      </c>
    </row>
    <row r="1413" spans="1:1" x14ac:dyDescent="0.2">
      <c r="A1413" s="517" t="s">
        <v>2485</v>
      </c>
    </row>
    <row r="1414" spans="1:1" x14ac:dyDescent="0.2">
      <c r="A1414" s="517" t="s">
        <v>2486</v>
      </c>
    </row>
    <row r="1415" spans="1:1" x14ac:dyDescent="0.2">
      <c r="A1415" s="517" t="s">
        <v>2487</v>
      </c>
    </row>
    <row r="1416" spans="1:1" x14ac:dyDescent="0.2">
      <c r="A1416" s="517" t="s">
        <v>2488</v>
      </c>
    </row>
    <row r="1417" spans="1:1" x14ac:dyDescent="0.2">
      <c r="A1417" s="517" t="s">
        <v>2489</v>
      </c>
    </row>
    <row r="1418" spans="1:1" x14ac:dyDescent="0.2">
      <c r="A1418" s="517" t="s">
        <v>2490</v>
      </c>
    </row>
    <row r="1419" spans="1:1" x14ac:dyDescent="0.2">
      <c r="A1419" s="517" t="s">
        <v>2491</v>
      </c>
    </row>
    <row r="1420" spans="1:1" x14ac:dyDescent="0.2">
      <c r="A1420" s="517" t="s">
        <v>2492</v>
      </c>
    </row>
    <row r="1421" spans="1:1" x14ac:dyDescent="0.2">
      <c r="A1421" s="517" t="s">
        <v>2493</v>
      </c>
    </row>
    <row r="1422" spans="1:1" x14ac:dyDescent="0.2">
      <c r="A1422" s="517" t="s">
        <v>2494</v>
      </c>
    </row>
    <row r="1423" spans="1:1" x14ac:dyDescent="0.2">
      <c r="A1423" s="517" t="s">
        <v>2495</v>
      </c>
    </row>
    <row r="1424" spans="1:1" x14ac:dyDescent="0.2">
      <c r="A1424" s="517" t="s">
        <v>2496</v>
      </c>
    </row>
    <row r="1425" spans="1:1" x14ac:dyDescent="0.2">
      <c r="A1425" s="517" t="s">
        <v>2497</v>
      </c>
    </row>
    <row r="1426" spans="1:1" x14ac:dyDescent="0.2">
      <c r="A1426" s="517" t="s">
        <v>2498</v>
      </c>
    </row>
    <row r="1427" spans="1:1" x14ac:dyDescent="0.2">
      <c r="A1427" s="517" t="s">
        <v>2499</v>
      </c>
    </row>
    <row r="1428" spans="1:1" x14ac:dyDescent="0.2">
      <c r="A1428" s="517" t="s">
        <v>2500</v>
      </c>
    </row>
    <row r="1429" spans="1:1" x14ac:dyDescent="0.2">
      <c r="A1429" s="517" t="s">
        <v>2501</v>
      </c>
    </row>
    <row r="1430" spans="1:1" x14ac:dyDescent="0.2">
      <c r="A1430" s="517" t="s">
        <v>2502</v>
      </c>
    </row>
    <row r="1431" spans="1:1" x14ac:dyDescent="0.2">
      <c r="A1431" s="517" t="s">
        <v>2503</v>
      </c>
    </row>
    <row r="1432" spans="1:1" x14ac:dyDescent="0.2">
      <c r="A1432" s="517" t="s">
        <v>2504</v>
      </c>
    </row>
    <row r="1433" spans="1:1" x14ac:dyDescent="0.2">
      <c r="A1433" s="517" t="s">
        <v>2505</v>
      </c>
    </row>
    <row r="1434" spans="1:1" x14ac:dyDescent="0.2">
      <c r="A1434" s="517" t="s">
        <v>2506</v>
      </c>
    </row>
    <row r="1435" spans="1:1" x14ac:dyDescent="0.2">
      <c r="A1435" s="517" t="s">
        <v>2507</v>
      </c>
    </row>
    <row r="1436" spans="1:1" x14ac:dyDescent="0.2">
      <c r="A1436" s="517" t="s">
        <v>2508</v>
      </c>
    </row>
    <row r="1437" spans="1:1" x14ac:dyDescent="0.2">
      <c r="A1437" s="517" t="s">
        <v>2509</v>
      </c>
    </row>
    <row r="1438" spans="1:1" x14ac:dyDescent="0.2">
      <c r="A1438" s="517" t="s">
        <v>2510</v>
      </c>
    </row>
    <row r="1439" spans="1:1" x14ac:dyDescent="0.2">
      <c r="A1439" s="517" t="s">
        <v>2511</v>
      </c>
    </row>
    <row r="1440" spans="1:1" x14ac:dyDescent="0.2">
      <c r="A1440" s="524" t="s">
        <v>2423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I10"/>
  <sheetViews>
    <sheetView workbookViewId="0"/>
  </sheetViews>
  <sheetFormatPr defaultRowHeight="12.75" x14ac:dyDescent="0.2"/>
  <cols>
    <col min="1" max="1" width="10.85546875" bestFit="1" customWidth="1"/>
    <col min="2" max="2" width="13.85546875" bestFit="1" customWidth="1"/>
    <col min="3" max="3" width="9.85546875" bestFit="1" customWidth="1"/>
    <col min="4" max="4" width="11.28515625" bestFit="1" customWidth="1"/>
    <col min="5" max="5" width="9.7109375" bestFit="1" customWidth="1"/>
    <col min="6" max="6" width="9.85546875" bestFit="1" customWidth="1"/>
    <col min="7" max="7" width="7.7109375" bestFit="1" customWidth="1"/>
    <col min="8" max="8" width="6.5703125" bestFit="1" customWidth="1"/>
    <col min="9" max="9" width="19.7109375" customWidth="1"/>
  </cols>
  <sheetData>
    <row r="1" spans="1:9" x14ac:dyDescent="0.2">
      <c r="A1" s="579" t="s">
        <v>770</v>
      </c>
      <c r="B1" t="s">
        <v>447</v>
      </c>
      <c r="C1" t="s">
        <v>448</v>
      </c>
      <c r="D1" t="s">
        <v>449</v>
      </c>
      <c r="E1" t="s">
        <v>450</v>
      </c>
      <c r="F1" t="s">
        <v>451</v>
      </c>
      <c r="G1" t="s">
        <v>573</v>
      </c>
      <c r="H1" t="s">
        <v>266</v>
      </c>
      <c r="I1" t="s">
        <v>923</v>
      </c>
    </row>
    <row r="2" spans="1:9" x14ac:dyDescent="0.2">
      <c r="A2">
        <v>123456</v>
      </c>
      <c r="B2" s="30">
        <f ca="1">TODAY()</f>
        <v>42703</v>
      </c>
      <c r="C2" s="30">
        <v>42698</v>
      </c>
      <c r="D2" t="s">
        <v>2680</v>
      </c>
      <c r="E2" t="s">
        <v>2680</v>
      </c>
      <c r="F2" s="30">
        <v>42280</v>
      </c>
      <c r="G2" s="188">
        <v>100</v>
      </c>
      <c r="H2">
        <v>80</v>
      </c>
      <c r="I2" s="237">
        <v>42447.401446759257</v>
      </c>
    </row>
    <row r="3" spans="1:9" x14ac:dyDescent="0.2">
      <c r="C3" s="7"/>
      <c r="D3" s="7"/>
      <c r="E3" s="7"/>
      <c r="G3" s="7"/>
    </row>
    <row r="4" spans="1:9" x14ac:dyDescent="0.2">
      <c r="C4" s="7"/>
      <c r="D4" s="7"/>
      <c r="E4" s="7"/>
      <c r="G4" s="7"/>
    </row>
    <row r="6" spans="1:9" x14ac:dyDescent="0.2">
      <c r="A6" s="579"/>
    </row>
    <row r="8" spans="1:9" x14ac:dyDescent="0.2">
      <c r="E8" s="267"/>
    </row>
    <row r="10" spans="1:9" x14ac:dyDescent="0.2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iderPatient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>
    <tabColor rgb="FF92D050"/>
  </sheetPr>
  <dimension ref="A1:D46"/>
  <sheetViews>
    <sheetView topLeftCell="A13" workbookViewId="0">
      <selection activeCell="C31" sqref="C31"/>
    </sheetView>
  </sheetViews>
  <sheetFormatPr defaultRowHeight="12.75" x14ac:dyDescent="0.2"/>
  <cols>
    <col min="1" max="1" width="11.28515625" customWidth="1"/>
    <col min="2" max="2" width="37.7109375" customWidth="1"/>
    <col min="3" max="3" width="13.28515625" customWidth="1"/>
  </cols>
  <sheetData>
    <row r="1" spans="1:3" x14ac:dyDescent="0.2">
      <c r="A1" s="579" t="s">
        <v>514</v>
      </c>
      <c r="B1" t="s">
        <v>186</v>
      </c>
      <c r="C1" t="s">
        <v>515</v>
      </c>
    </row>
    <row r="2" spans="1:3" x14ac:dyDescent="0.2">
      <c r="A2" t="s">
        <v>516</v>
      </c>
      <c r="B2" t="s">
        <v>217</v>
      </c>
    </row>
    <row r="3" spans="1:3" x14ac:dyDescent="0.2">
      <c r="A3" t="s">
        <v>516</v>
      </c>
      <c r="B3" t="s">
        <v>224</v>
      </c>
    </row>
    <row r="4" spans="1:3" x14ac:dyDescent="0.2">
      <c r="A4" t="s">
        <v>516</v>
      </c>
      <c r="B4" t="s">
        <v>120</v>
      </c>
    </row>
    <row r="5" spans="1:3" x14ac:dyDescent="0.2">
      <c r="A5" t="s">
        <v>516</v>
      </c>
      <c r="B5" t="s">
        <v>121</v>
      </c>
    </row>
    <row r="6" spans="1:3" x14ac:dyDescent="0.2">
      <c r="A6" s="579" t="s">
        <v>516</v>
      </c>
      <c r="B6" t="s">
        <v>122</v>
      </c>
    </row>
    <row r="7" spans="1:3" x14ac:dyDescent="0.2">
      <c r="A7" t="s">
        <v>516</v>
      </c>
      <c r="B7" t="s">
        <v>123</v>
      </c>
    </row>
    <row r="8" spans="1:3" x14ac:dyDescent="0.2">
      <c r="A8" t="s">
        <v>516</v>
      </c>
      <c r="B8" t="s">
        <v>124</v>
      </c>
    </row>
    <row r="9" spans="1:3" x14ac:dyDescent="0.2">
      <c r="A9" t="s">
        <v>516</v>
      </c>
      <c r="B9" t="s">
        <v>125</v>
      </c>
    </row>
    <row r="10" spans="1:3" x14ac:dyDescent="0.2">
      <c r="A10" t="s">
        <v>516</v>
      </c>
      <c r="B10" t="s">
        <v>247</v>
      </c>
      <c r="C10" s="25"/>
    </row>
    <row r="11" spans="1:3" x14ac:dyDescent="0.2">
      <c r="A11" t="s">
        <v>516</v>
      </c>
      <c r="B11" t="s">
        <v>297</v>
      </c>
      <c r="C11" s="25"/>
    </row>
    <row r="12" spans="1:3" x14ac:dyDescent="0.2">
      <c r="A12" t="s">
        <v>516</v>
      </c>
      <c r="B12" t="s">
        <v>298</v>
      </c>
    </row>
    <row r="13" spans="1:3" x14ac:dyDescent="0.2">
      <c r="A13" t="s">
        <v>516</v>
      </c>
      <c r="B13" t="s">
        <v>299</v>
      </c>
    </row>
    <row r="14" spans="1:3" x14ac:dyDescent="0.2">
      <c r="A14" t="s">
        <v>516</v>
      </c>
      <c r="B14" t="s">
        <v>300</v>
      </c>
    </row>
    <row r="15" spans="1:3" x14ac:dyDescent="0.2">
      <c r="A15" t="s">
        <v>516</v>
      </c>
      <c r="B15" t="s">
        <v>301</v>
      </c>
    </row>
    <row r="16" spans="1:3" x14ac:dyDescent="0.2">
      <c r="A16" t="s">
        <v>232</v>
      </c>
      <c r="B16" t="s">
        <v>233</v>
      </c>
    </row>
    <row r="17" spans="1:2" x14ac:dyDescent="0.2">
      <c r="A17" t="s">
        <v>232</v>
      </c>
      <c r="B17" t="s">
        <v>233</v>
      </c>
    </row>
    <row r="18" spans="1:2" x14ac:dyDescent="0.2">
      <c r="A18" t="s">
        <v>232</v>
      </c>
      <c r="B18" t="s">
        <v>233</v>
      </c>
    </row>
    <row r="19" spans="1:2" x14ac:dyDescent="0.2">
      <c r="A19" t="s">
        <v>232</v>
      </c>
      <c r="B19" t="s">
        <v>233</v>
      </c>
    </row>
    <row r="20" spans="1:2" x14ac:dyDescent="0.2">
      <c r="A20" t="s">
        <v>232</v>
      </c>
      <c r="B20" t="s">
        <v>233</v>
      </c>
    </row>
    <row r="21" spans="1:2" x14ac:dyDescent="0.2">
      <c r="A21" t="s">
        <v>232</v>
      </c>
      <c r="B21" t="s">
        <v>233</v>
      </c>
    </row>
    <row r="22" spans="1:2" x14ac:dyDescent="0.2">
      <c r="A22" t="s">
        <v>232</v>
      </c>
      <c r="B22" t="s">
        <v>233</v>
      </c>
    </row>
    <row r="23" spans="1:2" x14ac:dyDescent="0.2">
      <c r="A23" t="s">
        <v>232</v>
      </c>
      <c r="B23" t="s">
        <v>233</v>
      </c>
    </row>
    <row r="24" spans="1:2" x14ac:dyDescent="0.2">
      <c r="A24" t="s">
        <v>232</v>
      </c>
      <c r="B24" t="s">
        <v>233</v>
      </c>
    </row>
    <row r="25" spans="1:2" x14ac:dyDescent="0.2">
      <c r="A25" t="s">
        <v>232</v>
      </c>
      <c r="B25" t="s">
        <v>233</v>
      </c>
    </row>
    <row r="26" spans="1:2" x14ac:dyDescent="0.2">
      <c r="A26" t="s">
        <v>232</v>
      </c>
      <c r="B26" t="s">
        <v>233</v>
      </c>
    </row>
    <row r="27" spans="1:2" x14ac:dyDescent="0.2">
      <c r="A27" t="s">
        <v>232</v>
      </c>
      <c r="B27" t="s">
        <v>233</v>
      </c>
    </row>
    <row r="28" spans="1:2" x14ac:dyDescent="0.2">
      <c r="A28" t="s">
        <v>232</v>
      </c>
      <c r="B28" t="s">
        <v>233</v>
      </c>
    </row>
    <row r="29" spans="1:2" x14ac:dyDescent="0.2">
      <c r="A29" t="s">
        <v>232</v>
      </c>
      <c r="B29" t="s">
        <v>233</v>
      </c>
    </row>
    <row r="30" spans="1:2" x14ac:dyDescent="0.2">
      <c r="A30" t="s">
        <v>232</v>
      </c>
      <c r="B30" t="s">
        <v>233</v>
      </c>
    </row>
    <row r="31" spans="1:2" x14ac:dyDescent="0.2">
      <c r="A31" t="s">
        <v>232</v>
      </c>
      <c r="B31" t="s">
        <v>233</v>
      </c>
    </row>
    <row r="32" spans="1:2" x14ac:dyDescent="0.2">
      <c r="A32" t="s">
        <v>232</v>
      </c>
      <c r="B32" t="s">
        <v>233</v>
      </c>
    </row>
    <row r="33" spans="1:4" x14ac:dyDescent="0.2">
      <c r="A33" t="s">
        <v>232</v>
      </c>
      <c r="B33" t="s">
        <v>233</v>
      </c>
    </row>
    <row r="34" spans="1:4" x14ac:dyDescent="0.2">
      <c r="A34" t="s">
        <v>232</v>
      </c>
      <c r="B34" t="s">
        <v>233</v>
      </c>
    </row>
    <row r="35" spans="1:4" x14ac:dyDescent="0.2">
      <c r="A35" t="s">
        <v>232</v>
      </c>
      <c r="B35" t="s">
        <v>233</v>
      </c>
    </row>
    <row r="36" spans="1:4" x14ac:dyDescent="0.2">
      <c r="A36" s="518" t="s">
        <v>516</v>
      </c>
      <c r="B36" s="518" t="s">
        <v>1351</v>
      </c>
    </row>
    <row r="37" spans="1:4" x14ac:dyDescent="0.2">
      <c r="A37" s="517" t="s">
        <v>232</v>
      </c>
      <c r="B37" s="517" t="s">
        <v>233</v>
      </c>
    </row>
    <row r="38" spans="1:4" x14ac:dyDescent="0.2">
      <c r="A38" s="517" t="s">
        <v>232</v>
      </c>
      <c r="B38" s="517" t="s">
        <v>233</v>
      </c>
    </row>
    <row r="39" spans="1:4" x14ac:dyDescent="0.2">
      <c r="A39" s="517" t="s">
        <v>232</v>
      </c>
      <c r="B39" s="517" t="s">
        <v>233</v>
      </c>
      <c r="D39" s="517"/>
    </row>
    <row r="40" spans="1:4" x14ac:dyDescent="0.2">
      <c r="A40" s="517" t="s">
        <v>232</v>
      </c>
      <c r="B40" s="517" t="s">
        <v>233</v>
      </c>
      <c r="D40" s="517"/>
    </row>
    <row r="41" spans="1:4" x14ac:dyDescent="0.2">
      <c r="A41" s="517" t="s">
        <v>232</v>
      </c>
      <c r="B41" s="517" t="s">
        <v>233</v>
      </c>
      <c r="D41" s="517"/>
    </row>
    <row r="42" spans="1:4" x14ac:dyDescent="0.2">
      <c r="A42" s="517" t="s">
        <v>232</v>
      </c>
      <c r="B42" s="517" t="s">
        <v>233</v>
      </c>
      <c r="D42" s="517"/>
    </row>
    <row r="43" spans="1:4" x14ac:dyDescent="0.2">
      <c r="A43" s="517" t="s">
        <v>232</v>
      </c>
      <c r="B43" s="517" t="s">
        <v>233</v>
      </c>
      <c r="D43" s="517"/>
    </row>
    <row r="44" spans="1:4" x14ac:dyDescent="0.2">
      <c r="A44" s="517" t="s">
        <v>232</v>
      </c>
      <c r="B44" s="517" t="s">
        <v>233</v>
      </c>
      <c r="D44" s="517"/>
    </row>
    <row r="45" spans="1:4" x14ac:dyDescent="0.2">
      <c r="A45" s="517" t="s">
        <v>232</v>
      </c>
      <c r="B45" s="517" t="s">
        <v>233</v>
      </c>
      <c r="D45" s="517"/>
    </row>
    <row r="46" spans="1:4" x14ac:dyDescent="0.2">
      <c r="A46" s="517" t="s">
        <v>232</v>
      </c>
      <c r="B46" s="517" t="s">
        <v>233</v>
      </c>
      <c r="D4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>
    <tabColor rgb="FF92D050"/>
  </sheetPr>
  <dimension ref="A1:H20"/>
  <sheetViews>
    <sheetView workbookViewId="0"/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579"/>
      <c r="D1" t="s">
        <v>106</v>
      </c>
      <c r="E1" s="1" t="s">
        <v>331</v>
      </c>
    </row>
    <row r="2" spans="1:8" x14ac:dyDescent="0.2">
      <c r="D2" t="s">
        <v>77</v>
      </c>
    </row>
    <row r="4" spans="1:8" x14ac:dyDescent="0.2">
      <c r="C4" s="6"/>
      <c r="D4" s="44" t="s">
        <v>473</v>
      </c>
      <c r="E4" s="44">
        <v>4.3478000000000003E-2</v>
      </c>
      <c r="H4" s="44"/>
    </row>
    <row r="5" spans="1:8" x14ac:dyDescent="0.2">
      <c r="C5" s="6"/>
      <c r="D5" s="44" t="s">
        <v>474</v>
      </c>
      <c r="E5" s="44">
        <v>2.5641000000000001E-2</v>
      </c>
      <c r="H5" s="44"/>
    </row>
    <row r="6" spans="1:8" x14ac:dyDescent="0.2">
      <c r="A6" s="579"/>
      <c r="D6" s="44" t="s">
        <v>475</v>
      </c>
      <c r="E6" s="44">
        <v>2.5000000000000001E-2</v>
      </c>
      <c r="H6" s="44"/>
    </row>
    <row r="7" spans="1:8" x14ac:dyDescent="0.2">
      <c r="D7" s="44" t="s">
        <v>482</v>
      </c>
      <c r="E7" s="44">
        <v>3.2288999999999998E-2</v>
      </c>
      <c r="H7" s="44"/>
    </row>
    <row r="8" spans="1:8" x14ac:dyDescent="0.2">
      <c r="D8" s="44" t="s">
        <v>476</v>
      </c>
      <c r="E8" s="44">
        <v>4.1140999999999997E-2</v>
      </c>
      <c r="H8" s="44"/>
    </row>
    <row r="9" spans="1:8" x14ac:dyDescent="0.2">
      <c r="D9" s="44"/>
      <c r="E9" s="44"/>
      <c r="H9" s="44"/>
    </row>
    <row r="10" spans="1:8" x14ac:dyDescent="0.2">
      <c r="D10" s="44"/>
      <c r="E10" s="44"/>
      <c r="H10" s="44"/>
    </row>
    <row r="11" spans="1:8" x14ac:dyDescent="0.2">
      <c r="D11" s="44"/>
      <c r="E11" s="44"/>
      <c r="H11" s="44"/>
    </row>
    <row r="12" spans="1:8" x14ac:dyDescent="0.2">
      <c r="D12" s="44"/>
      <c r="E12" s="44"/>
      <c r="H12" s="44"/>
    </row>
    <row r="13" spans="1:8" x14ac:dyDescent="0.2">
      <c r="D13" s="44"/>
      <c r="E13" s="44"/>
      <c r="H13" s="44"/>
    </row>
    <row r="14" spans="1:8" x14ac:dyDescent="0.2">
      <c r="D14" s="44"/>
      <c r="E14" s="44"/>
      <c r="H14" s="44"/>
    </row>
    <row r="15" spans="1:8" x14ac:dyDescent="0.2">
      <c r="D15" s="44"/>
      <c r="E15" s="44"/>
      <c r="H15" s="44"/>
    </row>
    <row r="16" spans="1:8" x14ac:dyDescent="0.2">
      <c r="D16" s="44"/>
      <c r="E16" s="44"/>
      <c r="H16" s="44"/>
    </row>
    <row r="17" spans="4:8" x14ac:dyDescent="0.2">
      <c r="D17" s="44"/>
      <c r="E17" s="44"/>
      <c r="H17" s="44"/>
    </row>
    <row r="18" spans="4:8" x14ac:dyDescent="0.2">
      <c r="D18" s="44"/>
      <c r="E18" s="44"/>
      <c r="H18" s="44"/>
    </row>
    <row r="19" spans="4:8" x14ac:dyDescent="0.2">
      <c r="D19" s="44"/>
      <c r="E19" s="44"/>
      <c r="H19" s="44"/>
    </row>
    <row r="20" spans="4:8" x14ac:dyDescent="0.2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>
    <tabColor rgb="FFFF3399"/>
  </sheetPr>
  <dimension ref="A1:D19"/>
  <sheetViews>
    <sheetView tabSelected="1" workbookViewId="0">
      <selection activeCell="D8" sqref="D8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4" x14ac:dyDescent="0.2">
      <c r="A1" t="s">
        <v>1003</v>
      </c>
      <c r="B1" t="s">
        <v>449</v>
      </c>
      <c r="C1" t="s">
        <v>450</v>
      </c>
      <c r="D1" t="s">
        <v>937</v>
      </c>
    </row>
    <row r="2" spans="1:4" x14ac:dyDescent="0.2">
      <c r="A2" t="s">
        <v>2647</v>
      </c>
      <c r="B2" t="s">
        <v>2648</v>
      </c>
      <c r="C2" t="s">
        <v>2648</v>
      </c>
      <c r="D2">
        <v>0</v>
      </c>
    </row>
    <row r="3" spans="1:4" x14ac:dyDescent="0.2">
      <c r="A3" t="s">
        <v>2649</v>
      </c>
      <c r="B3" t="s">
        <v>2650</v>
      </c>
      <c r="C3" t="s">
        <v>2651</v>
      </c>
      <c r="D3">
        <v>41588</v>
      </c>
    </row>
    <row r="4" spans="1:4" x14ac:dyDescent="0.2">
      <c r="A4" t="s">
        <v>2652</v>
      </c>
      <c r="B4" t="s">
        <v>2653</v>
      </c>
      <c r="C4" t="s">
        <v>2654</v>
      </c>
      <c r="D4">
        <v>2</v>
      </c>
    </row>
    <row r="5" spans="1:4" x14ac:dyDescent="0.2">
      <c r="A5" t="s">
        <v>2655</v>
      </c>
      <c r="B5" t="s">
        <v>2648</v>
      </c>
      <c r="C5" t="s">
        <v>2648</v>
      </c>
      <c r="D5">
        <v>0</v>
      </c>
    </row>
    <row r="6" spans="1:4" x14ac:dyDescent="0.2">
      <c r="A6" t="s">
        <v>2656</v>
      </c>
      <c r="B6" t="s">
        <v>2648</v>
      </c>
      <c r="C6" t="s">
        <v>2648</v>
      </c>
      <c r="D6">
        <v>0</v>
      </c>
    </row>
    <row r="7" spans="1:4" x14ac:dyDescent="0.2">
      <c r="A7" t="s">
        <v>2657</v>
      </c>
      <c r="B7" t="s">
        <v>2658</v>
      </c>
      <c r="C7" t="s">
        <v>2659</v>
      </c>
      <c r="D7">
        <v>42143</v>
      </c>
    </row>
    <row r="8" spans="1:4" x14ac:dyDescent="0.2">
      <c r="A8" t="s">
        <v>2660</v>
      </c>
      <c r="B8" t="s">
        <v>2661</v>
      </c>
      <c r="C8" t="s">
        <v>2662</v>
      </c>
      <c r="D8">
        <v>0</v>
      </c>
    </row>
    <row r="9" spans="1:4" x14ac:dyDescent="0.2">
      <c r="A9" t="s">
        <v>2663</v>
      </c>
      <c r="B9" t="s">
        <v>2664</v>
      </c>
      <c r="C9" t="s">
        <v>2665</v>
      </c>
      <c r="D9">
        <v>42132</v>
      </c>
    </row>
    <row r="10" spans="1:4" x14ac:dyDescent="0.2">
      <c r="A10" t="s">
        <v>2666</v>
      </c>
      <c r="B10" t="s">
        <v>2648</v>
      </c>
      <c r="C10" t="s">
        <v>2648</v>
      </c>
      <c r="D10">
        <v>0</v>
      </c>
    </row>
    <row r="11" spans="1:4" x14ac:dyDescent="0.2">
      <c r="A11" t="s">
        <v>2667</v>
      </c>
      <c r="B11" t="s">
        <v>2648</v>
      </c>
      <c r="C11" t="s">
        <v>2648</v>
      </c>
      <c r="D11">
        <v>0</v>
      </c>
    </row>
    <row r="12" spans="1:4" x14ac:dyDescent="0.2">
      <c r="A12" t="s">
        <v>2668</v>
      </c>
      <c r="B12" t="s">
        <v>2648</v>
      </c>
      <c r="C12" t="s">
        <v>2648</v>
      </c>
      <c r="D12">
        <v>0</v>
      </c>
    </row>
    <row r="13" spans="1:4" x14ac:dyDescent="0.2">
      <c r="A13" t="s">
        <v>2669</v>
      </c>
      <c r="B13" t="s">
        <v>2670</v>
      </c>
      <c r="C13" t="s">
        <v>2671</v>
      </c>
      <c r="D13">
        <v>42339</v>
      </c>
    </row>
    <row r="14" spans="1:4" x14ac:dyDescent="0.2">
      <c r="A14" t="s">
        <v>2672</v>
      </c>
      <c r="B14" t="s">
        <v>2673</v>
      </c>
      <c r="C14" t="s">
        <v>2674</v>
      </c>
      <c r="D14">
        <v>0</v>
      </c>
    </row>
    <row r="15" spans="1:4" x14ac:dyDescent="0.2">
      <c r="A15" t="s">
        <v>2675</v>
      </c>
      <c r="B15" t="s">
        <v>2648</v>
      </c>
      <c r="C15" t="s">
        <v>2648</v>
      </c>
      <c r="D15">
        <v>0</v>
      </c>
    </row>
    <row r="16" spans="1:4" x14ac:dyDescent="0.2">
      <c r="A16" t="s">
        <v>2676</v>
      </c>
      <c r="B16" t="s">
        <v>2648</v>
      </c>
      <c r="C16" t="s">
        <v>2648</v>
      </c>
      <c r="D16">
        <v>0</v>
      </c>
    </row>
    <row r="17" spans="1:4" x14ac:dyDescent="0.2">
      <c r="A17" t="s">
        <v>2677</v>
      </c>
      <c r="B17" t="s">
        <v>2648</v>
      </c>
      <c r="C17" t="s">
        <v>2648</v>
      </c>
      <c r="D17">
        <v>0</v>
      </c>
    </row>
    <row r="18" spans="1:4" x14ac:dyDescent="0.2">
      <c r="A18" t="s">
        <v>2678</v>
      </c>
      <c r="B18" t="s">
        <v>2658</v>
      </c>
      <c r="C18" t="s">
        <v>2659</v>
      </c>
      <c r="D18">
        <v>42143</v>
      </c>
    </row>
    <row r="19" spans="1:4" x14ac:dyDescent="0.2">
      <c r="A19" t="s">
        <v>2679</v>
      </c>
      <c r="B19" t="s">
        <v>2680</v>
      </c>
      <c r="C19" t="s">
        <v>2680</v>
      </c>
      <c r="D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oupAfspraken" label="Afspraken">
          <button id="btnAfsluiten" label="Afsluiten" onAction="ButtonOnAction"/>
          <button id="btnAfsprakenVerwijderen" label="Afspraken verwijderen" onAction="ButtonOnAction"/>
        </group>
        <group id="GroupBedden" label="Bedden">
          <button id="btnBedOpenen" label="Openen" onAction="ButtonOnAction"/>
          <button id="btnBedOpslaan" label="Opslaan" onAction="ButtonOnAction"/>
          <button id="btnGegevensInvoeren" label="Patient Gegevens" onAction="ButtonOnAction"/>
        </group>
        <group id="grpPediatrie" label="Pediatrie" getVisible="GetVisiblePed">
          <button id="btnPContinueivmedicatie" label="Continue iv medicatie" onAction="ButtonOnAction"/>
          <button id="btnPDiscontinuemedicatie" label="Discontinue medicatie" onAction="ButtonOnAction"/>
          <button id="btnPInfusen" label="Infusen en Pacemaker" onAction="ButtonOnAction"/>
          <button id="btnPIntake" label="Intake" onAction="ButtonOnAction"/>
          <button id="btnPLaboratoriumbepalingen" label="Laboratorium bepalingen" onAction="ButtonOnAction"/>
          <button id="btnPAanvullendeAfspraken" label="Aanvullende afspraken" onAction="ButtonOnAction"/>
        </group>
        <group id="grpNeonatologie" label="Neonatologie" getVisible="GetVisibleNeo">
          <button id="btnNInfuusbrief" label="Infuusbrief" onAction="ButtonOnAction"/>
          <button id="btnNDiscontinuemedicatie" label="Discontinue medicatie" onAction="ButtonOnAction"/>
          <button id="btnNAanvullendeAfspraken" label="Aanvullende afspraken" onAction="ButtonOnAction"/>
          <button id="btnNLaboratoriumbepalingen" label="Laboratorium bepalingen" onAction="ButtonOnAction"/>
          <button id="btnNAfspraken1700" label="Afspraken 17.00 uur" onAction="ButtonOnAction"/>
        </group>
        <group id="grpGegevensVerwijderen" label="Acties">
          <button id="btnLabVerwijderen" label="Lab Verwijderen" onAction="ButtonOnAction"/>
          <button id="btnAanvullendVerwijderen" label="Aanvullende afspraken Verwijderen" onAction="ButtonOnAction"/>
        </group>
        <group id="grpActiesNeonatologie" label="Acties Neonatologie" getVisible="GetVisibleNeo">
          <button id="btnNAfspraken1700Overzetten" label="Afspraken 17.00 uur overzetten" onAction="ButtonOnAction"/>
          <button id="btnNActueleAfsprakenOverzetten" label="Actuele afspraken overzetten" onAction="ButtonOnAction"/>
        </group>
        <group id="grpPrintPediatrie" label="Print Pediatrie" getVisible="GetVisiblePed">
          <button id="btnPAcuteBlad" label="Acute blad" onAction="ButtonOnAction"/>
          <button id="btnPPrintAfspraken" label="Afspraken" onAction="ButtonOnAction"/>
          <button id="btnPMedicatie" label="Medicatie" onAction="ButtonOnAction"/>
          <button id="btnPTPN" label="TPN advies" onAction="ButtonOnAction"/>
        </group>
        <group id="grpPrintNeonatologie" label="Print Neonatologie" getVisible="GetVisibleNeo">
          <button id="btnNAcuteBlad" label="Acute blad" onAction="ButtonOnAction"/>
          <button id="btnNAfspraken" label="Afspraken" onAction="ButtonOnAction"/>
          <button id="btnNMedicatie" label="Medicatie" onAction="ButtonOnAction"/>
          <button id="btnNApotheek" label="Apotheek" onAction="ButtonOnAction"/>
          <button id="btnNWerkbrief" label="Werkbrief" onAction="ButtonOnAction"/>
        </group>
      </tab>
      <tab id="tabMetavisionDev" label="Metavision Developer" getVisible="GetVisibleDeveloper">
        <group id="grpDeveloper2" label="Developer">
          <button id="btnDeveloperMode" label="Developer Mode" onAction="ButtonOnAction"/>
          <button id="btnToggleLogging" label="Toggle Logging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59</vt:i4>
      </vt:variant>
      <vt:variant>
        <vt:lpstr>Benoemde bereiken</vt:lpstr>
      </vt:variant>
      <vt:variant>
        <vt:i4>1786</vt:i4>
      </vt:variant>
    </vt:vector>
  </HeadingPairs>
  <TitlesOfParts>
    <vt:vector size="1845" baseType="lpstr">
      <vt:lpstr>MedicatieIV</vt:lpstr>
      <vt:lpstr>ber_IVmed</vt:lpstr>
      <vt:lpstr>tblMedicatieIV</vt:lpstr>
      <vt:lpstr>Med_disc</vt:lpstr>
      <vt:lpstr>ber_Med_disc</vt:lpstr>
      <vt:lpstr>tblMedDisc</vt:lpstr>
      <vt:lpstr>Infusen</vt:lpstr>
      <vt:lpstr>ber_Infusen</vt:lpstr>
      <vt:lpstr>tblInfusen</vt:lpstr>
      <vt:lpstr>Intake</vt:lpstr>
      <vt:lpstr>ber_normaal</vt:lpstr>
      <vt:lpstr>ber_PO</vt:lpstr>
      <vt:lpstr>ber_totalen</vt:lpstr>
      <vt:lpstr>tblPO</vt:lpstr>
      <vt:lpstr>Lab</vt:lpstr>
      <vt:lpstr>Ber_Lab</vt:lpstr>
      <vt:lpstr>Aanvullende afspraken Ped</vt:lpstr>
      <vt:lpstr>ber_AanvullendeAfsprakenPed</vt:lpstr>
      <vt:lpstr>tblAanvullendeAfspraken</vt:lpstr>
      <vt:lpstr>AcuteOpvang</vt:lpstr>
      <vt:lpstr>HEIGHTNL.CRF</vt:lpstr>
      <vt:lpstr>WEIGHTNL.CRF</vt:lpstr>
      <vt:lpstr>AfsprakenCMV</vt:lpstr>
      <vt:lpstr>Medicatie</vt:lpstr>
      <vt:lpstr>ber_tijden</vt:lpstr>
      <vt:lpstr>TPN2tot6kg</vt:lpstr>
      <vt:lpstr>TPN7tot15kg</vt:lpstr>
      <vt:lpstr>TPN16tot30kg</vt:lpstr>
      <vt:lpstr>TPN31tot50kg</vt:lpstr>
      <vt:lpstr>TPNboven50kg</vt:lpstr>
      <vt:lpstr>ber_TPN</vt:lpstr>
      <vt:lpstr>&lt;--Pediatrie</vt:lpstr>
      <vt:lpstr>Afspraken</vt:lpstr>
      <vt:lpstr>Berekeningen</vt:lpstr>
      <vt:lpstr>WerkBriefActueel</vt:lpstr>
      <vt:lpstr>Afspraken1700</vt:lpstr>
      <vt:lpstr>Berekeningen1700</vt:lpstr>
      <vt:lpstr>WerkBrief</vt:lpstr>
      <vt:lpstr>tblMedicatieIVNeo</vt:lpstr>
      <vt:lpstr>Advies</vt:lpstr>
      <vt:lpstr>Lijsten</vt:lpstr>
      <vt:lpstr>tblVoeding</vt:lpstr>
      <vt:lpstr>Medicatie Neo</vt:lpstr>
      <vt:lpstr>ber_tijden_Neo</vt:lpstr>
      <vt:lpstr>Aanvullende afspraken Neo</vt:lpstr>
      <vt:lpstr>ber_AanvullendeAfsprakenNeo</vt:lpstr>
      <vt:lpstr>Lab Neo</vt:lpstr>
      <vt:lpstr>Ber_Lab_Neo</vt:lpstr>
      <vt:lpstr>AcuteOpvang Neo</vt:lpstr>
      <vt:lpstr>Print</vt:lpstr>
      <vt:lpstr>Apotheek</vt:lpstr>
      <vt:lpstr>&lt;-Neo</vt:lpstr>
      <vt:lpstr>AfsprakenTekst</vt:lpstr>
      <vt:lpstr>Patienten</vt:lpstr>
      <vt:lpstr>dbBead</vt:lpstr>
      <vt:lpstr>&lt;--Patient</vt:lpstr>
      <vt:lpstr>ber_Opm</vt:lpstr>
      <vt:lpstr>conversie</vt:lpstr>
      <vt:lpstr>Temp</vt:lpstr>
      <vt:lpstr>_Aanvullend_Booleans</vt:lpstr>
      <vt:lpstr>_Aanvullend_Booleans_Ped</vt:lpstr>
      <vt:lpstr>_Aanvullend_Controles</vt:lpstr>
      <vt:lpstr>_Aanvullend_Controles_Ped</vt:lpstr>
      <vt:lpstr>_Aanvullend_Data</vt:lpstr>
      <vt:lpstr>_Aanvullend_Data_Ped</vt:lpstr>
      <vt:lpstr>_Aanvullend_Instellingen</vt:lpstr>
      <vt:lpstr>_Aanvullend_Instellingen_Ped</vt:lpstr>
      <vt:lpstr>_Aanvullend_Kweken</vt:lpstr>
      <vt:lpstr>_Aanvullend_MRIvertrektijd</vt:lpstr>
      <vt:lpstr>_Aanvullend_Onderzoek</vt:lpstr>
      <vt:lpstr>_Aanvullend_Onderzoek_Ped</vt:lpstr>
      <vt:lpstr>_Aanvullend_Overig</vt:lpstr>
      <vt:lpstr>_Aanvullend_Overig_Ped</vt:lpstr>
      <vt:lpstr>_AchterNaam</vt:lpstr>
      <vt:lpstr>_AchterNaamNICU</vt:lpstr>
      <vt:lpstr>_AchterNaamNICU1700</vt:lpstr>
      <vt:lpstr>_ArtLijn</vt:lpstr>
      <vt:lpstr>_ArtLijn1700</vt:lpstr>
      <vt:lpstr>_Arts</vt:lpstr>
      <vt:lpstr>_Arts1700</vt:lpstr>
      <vt:lpstr>_Bed</vt:lpstr>
      <vt:lpstr>_Bed1700</vt:lpstr>
      <vt:lpstr>_CaCl2</vt:lpstr>
      <vt:lpstr>_CaCl21700</vt:lpstr>
      <vt:lpstr>_Dag1700</vt:lpstr>
      <vt:lpstr>_Dagen</vt:lpstr>
      <vt:lpstr>_Dagen1700</vt:lpstr>
      <vt:lpstr>_DagKeuze</vt:lpstr>
      <vt:lpstr>_DagKeuze1700</vt:lpstr>
      <vt:lpstr>_Eenheid_1</vt:lpstr>
      <vt:lpstr>_Eenheid_2</vt:lpstr>
      <vt:lpstr>_Eenheid_3</vt:lpstr>
      <vt:lpstr>_Eenheid_4</vt:lpstr>
      <vt:lpstr>_Eenheid_5</vt:lpstr>
      <vt:lpstr>_Eenheid_6</vt:lpstr>
      <vt:lpstr>_Eenheid_7</vt:lpstr>
      <vt:lpstr>_Eenheid_8</vt:lpstr>
      <vt:lpstr>_Eenheid_9</vt:lpstr>
      <vt:lpstr>_Eenheid1700_1</vt:lpstr>
      <vt:lpstr>_Eenheid1700_2</vt:lpstr>
      <vt:lpstr>_Eenheid1700_3</vt:lpstr>
      <vt:lpstr>_Eenheid1700_4</vt:lpstr>
      <vt:lpstr>_Eenheid1700_5</vt:lpstr>
      <vt:lpstr>_Eenheid1700_6</vt:lpstr>
      <vt:lpstr>_Eenheid1700_7</vt:lpstr>
      <vt:lpstr>_Eenheid1700_8</vt:lpstr>
      <vt:lpstr>_Eenheid1700_9</vt:lpstr>
      <vt:lpstr>_Extra</vt:lpstr>
      <vt:lpstr>_Extra_1</vt:lpstr>
      <vt:lpstr>_Extra_10</vt:lpstr>
      <vt:lpstr>_Extra_11</vt:lpstr>
      <vt:lpstr>_Extra_12</vt:lpstr>
      <vt:lpstr>_Extra_13</vt:lpstr>
      <vt:lpstr>_Extra_2</vt:lpstr>
      <vt:lpstr>_Extra_3</vt:lpstr>
      <vt:lpstr>_Extra_4</vt:lpstr>
      <vt:lpstr>_Extra_5</vt:lpstr>
      <vt:lpstr>_Extra_6</vt:lpstr>
      <vt:lpstr>_Extra_7</vt:lpstr>
      <vt:lpstr>_Extra_8</vt:lpstr>
      <vt:lpstr>_Extra_9</vt:lpstr>
      <vt:lpstr>_Extra1700</vt:lpstr>
      <vt:lpstr>_Extra1700_1</vt:lpstr>
      <vt:lpstr>_Extra1700_10</vt:lpstr>
      <vt:lpstr>_Extra1700_11</vt:lpstr>
      <vt:lpstr>_Extra1700_12</vt:lpstr>
      <vt:lpstr>_Extra1700_13</vt:lpstr>
      <vt:lpstr>_Extra1700_2</vt:lpstr>
      <vt:lpstr>_Extra1700_3</vt:lpstr>
      <vt:lpstr>_Extra1700_4</vt:lpstr>
      <vt:lpstr>_Extra1700_5</vt:lpstr>
      <vt:lpstr>_Extra1700_6</vt:lpstr>
      <vt:lpstr>_Extra1700_7</vt:lpstr>
      <vt:lpstr>_Extra1700_8</vt:lpstr>
      <vt:lpstr>_Extra1700_9</vt:lpstr>
      <vt:lpstr>_Fototherapie</vt:lpstr>
      <vt:lpstr>_Fototherapie1700</vt:lpstr>
      <vt:lpstr>_Frequentie_1</vt:lpstr>
      <vt:lpstr>_Frequentie_2</vt:lpstr>
      <vt:lpstr>_Frequentie1700_1</vt:lpstr>
      <vt:lpstr>_Frequentie1700_2</vt:lpstr>
      <vt:lpstr>_GeboorteDatum</vt:lpstr>
      <vt:lpstr>_GeboorteDatum1700</vt:lpstr>
      <vt:lpstr>_Gewicht</vt:lpstr>
      <vt:lpstr>_Gewicht1700</vt:lpstr>
      <vt:lpstr>_GlucSterkte</vt:lpstr>
      <vt:lpstr>_GlucSterkte1700</vt:lpstr>
      <vt:lpstr>_Hoeveelheid_1</vt:lpstr>
      <vt:lpstr>_Hoeveelheid_2</vt:lpstr>
      <vt:lpstr>_Hoeveelheid1700_1</vt:lpstr>
      <vt:lpstr>_Hoeveelheid1700_2</vt:lpstr>
      <vt:lpstr>_IntakePerKg</vt:lpstr>
      <vt:lpstr>_IntakePerKg1700</vt:lpstr>
      <vt:lpstr>_IntraLipid</vt:lpstr>
      <vt:lpstr>_IntraLipid1700</vt:lpstr>
      <vt:lpstr>_KCl</vt:lpstr>
      <vt:lpstr>_KCl1700</vt:lpstr>
      <vt:lpstr>_Medicament_1</vt:lpstr>
      <vt:lpstr>_Medicament_2</vt:lpstr>
      <vt:lpstr>_Medicament_3</vt:lpstr>
      <vt:lpstr>_Medicament_4</vt:lpstr>
      <vt:lpstr>_Medicament_5</vt:lpstr>
      <vt:lpstr>_Medicament_6</vt:lpstr>
      <vt:lpstr>_Medicament_7</vt:lpstr>
      <vt:lpstr>_Medicament_8</vt:lpstr>
      <vt:lpstr>_Medicament_9</vt:lpstr>
      <vt:lpstr>_Medicament1700_1</vt:lpstr>
      <vt:lpstr>_Medicament1700_2</vt:lpstr>
      <vt:lpstr>_Medicament1700_3</vt:lpstr>
      <vt:lpstr>_Medicament1700_4</vt:lpstr>
      <vt:lpstr>_Medicament1700_5</vt:lpstr>
      <vt:lpstr>_Medicament1700_6</vt:lpstr>
      <vt:lpstr>_Medicament1700_7</vt:lpstr>
      <vt:lpstr>_Medicament1700_8</vt:lpstr>
      <vt:lpstr>_Medicament1700_9</vt:lpstr>
      <vt:lpstr>_MedSterkte_1</vt:lpstr>
      <vt:lpstr>_MedSterkte_2</vt:lpstr>
      <vt:lpstr>_MedSterkte_3</vt:lpstr>
      <vt:lpstr>_MedSterkte_4</vt:lpstr>
      <vt:lpstr>_MedSterkte_5</vt:lpstr>
      <vt:lpstr>_MedSterkte_6</vt:lpstr>
      <vt:lpstr>_MedSterkte_7</vt:lpstr>
      <vt:lpstr>_MedSterkte_8</vt:lpstr>
      <vt:lpstr>_MedSterkte_9</vt:lpstr>
      <vt:lpstr>_MedSterkte1700_1</vt:lpstr>
      <vt:lpstr>_MedSterkte1700_2</vt:lpstr>
      <vt:lpstr>_MedSterkte1700_3</vt:lpstr>
      <vt:lpstr>_MedSterkte1700_4</vt:lpstr>
      <vt:lpstr>_MedSterkte1700_5</vt:lpstr>
      <vt:lpstr>_MedSterkte1700_6</vt:lpstr>
      <vt:lpstr>_MedSterkte1700_7</vt:lpstr>
      <vt:lpstr>_MedSterkte1700_8</vt:lpstr>
      <vt:lpstr>_MedSterkte1700_9</vt:lpstr>
      <vt:lpstr>_MedTekst_1</vt:lpstr>
      <vt:lpstr>_MedTekst_2</vt:lpstr>
      <vt:lpstr>_MedTekst1700_1</vt:lpstr>
      <vt:lpstr>_MedTekst1700_2</vt:lpstr>
      <vt:lpstr>_MgCl2</vt:lpstr>
      <vt:lpstr>_MgCl21700</vt:lpstr>
      <vt:lpstr>_NaCl</vt:lpstr>
      <vt:lpstr>_NaCl1700</vt:lpstr>
      <vt:lpstr>_NeoInfuusContinu1</vt:lpstr>
      <vt:lpstr>_NeoInfuusContinu10</vt:lpstr>
      <vt:lpstr>_NeoInfuusContinu11</vt:lpstr>
      <vt:lpstr>_NeoInfuusContinu12</vt:lpstr>
      <vt:lpstr>_NeoInfuusContinu13</vt:lpstr>
      <vt:lpstr>_NeoInfuusContinu14</vt:lpstr>
      <vt:lpstr>_NeoInfuusContinu15</vt:lpstr>
      <vt:lpstr>_NeoInfuusContinu16</vt:lpstr>
      <vt:lpstr>_NeoInfuusContinu17</vt:lpstr>
      <vt:lpstr>_NeoInfuusContinu1700_1</vt:lpstr>
      <vt:lpstr>_NeoInfuusContinu1700_10</vt:lpstr>
      <vt:lpstr>_NeoInfuusContinu1700_11</vt:lpstr>
      <vt:lpstr>_NeoInfuusContinu1700_12</vt:lpstr>
      <vt:lpstr>_NeoInfuusContinu1700_13</vt:lpstr>
      <vt:lpstr>_NeoInfuusContinu1700_14</vt:lpstr>
      <vt:lpstr>_NeoInfuusContinu1700_15</vt:lpstr>
      <vt:lpstr>_NeoInfuusContinu1700_16</vt:lpstr>
      <vt:lpstr>_NeoInfuusContinu1700_17</vt:lpstr>
      <vt:lpstr>_NeoInfuusContinu1700_18</vt:lpstr>
      <vt:lpstr>_NeoInfuusContinu1700_19</vt:lpstr>
      <vt:lpstr>_NeoInfuusContinu1700_2</vt:lpstr>
      <vt:lpstr>_NeoInfuusContinu1700_20</vt:lpstr>
      <vt:lpstr>_NeoInfuusContinu1700_21</vt:lpstr>
      <vt:lpstr>_NeoInfuusContinu1700_22</vt:lpstr>
      <vt:lpstr>_NeoInfuusContinu1700_23</vt:lpstr>
      <vt:lpstr>_NeoInfuusContinu1700_24</vt:lpstr>
      <vt:lpstr>_NeoInfuusContinu1700_25</vt:lpstr>
      <vt:lpstr>_NeoInfuusContinu1700_26</vt:lpstr>
      <vt:lpstr>_NeoInfuusContinu1700_27</vt:lpstr>
      <vt:lpstr>_NeoInfuusContinu1700_3</vt:lpstr>
      <vt:lpstr>_NeoInfuusContinu1700_4</vt:lpstr>
      <vt:lpstr>_NeoInfuusContinu1700_5</vt:lpstr>
      <vt:lpstr>_NeoInfuusContinu1700_6</vt:lpstr>
      <vt:lpstr>_NeoInfuusContinu1700_7</vt:lpstr>
      <vt:lpstr>_NeoInfuusContinu1700_8</vt:lpstr>
      <vt:lpstr>_NeoInfuusContinu1700_9</vt:lpstr>
      <vt:lpstr>_NeoInfuusContinu18</vt:lpstr>
      <vt:lpstr>_NeoInfuusContinu19</vt:lpstr>
      <vt:lpstr>_NeoInfuusContinu2</vt:lpstr>
      <vt:lpstr>_NeoInfuusContinu20</vt:lpstr>
      <vt:lpstr>_NeoInfuusContinu21</vt:lpstr>
      <vt:lpstr>_NeoInfuusContinu22</vt:lpstr>
      <vt:lpstr>_NeoInfuusContinu23</vt:lpstr>
      <vt:lpstr>_NeoInfuusContinu24</vt:lpstr>
      <vt:lpstr>_NeoInfuusContinu25</vt:lpstr>
      <vt:lpstr>_NeoInfuusContinu26</vt:lpstr>
      <vt:lpstr>_NeoInfuusContinu27</vt:lpstr>
      <vt:lpstr>_NeoInfuusContinu3</vt:lpstr>
      <vt:lpstr>_NeoInfuusContinu4</vt:lpstr>
      <vt:lpstr>_NeoInfuusContinu5</vt:lpstr>
      <vt:lpstr>_NeoInfuusContinu6</vt:lpstr>
      <vt:lpstr>_NeoInfuusContinu7</vt:lpstr>
      <vt:lpstr>_NeoInfuusContinu8</vt:lpstr>
      <vt:lpstr>_NeoInfuusContinu9</vt:lpstr>
      <vt:lpstr>_NeoVoeding1</vt:lpstr>
      <vt:lpstr>_NeoVoeding10</vt:lpstr>
      <vt:lpstr>_NeoVoeding11</vt:lpstr>
      <vt:lpstr>_NeoVoeding12</vt:lpstr>
      <vt:lpstr>_NeoVoeding13</vt:lpstr>
      <vt:lpstr>_NeoVoeding14</vt:lpstr>
      <vt:lpstr>_NeoVoeding15</vt:lpstr>
      <vt:lpstr>_NeoVoeding1700_1</vt:lpstr>
      <vt:lpstr>_NeoVoeding1700_10</vt:lpstr>
      <vt:lpstr>_NeoVoeding1700_11</vt:lpstr>
      <vt:lpstr>_NeoVoeding1700_12</vt:lpstr>
      <vt:lpstr>_NeoVoeding1700_13</vt:lpstr>
      <vt:lpstr>_NeoVoeding1700_14</vt:lpstr>
      <vt:lpstr>_NeoVoeding1700_15</vt:lpstr>
      <vt:lpstr>_NeoVoeding1700_2</vt:lpstr>
      <vt:lpstr>_NeoVoeding1700_3</vt:lpstr>
      <vt:lpstr>_NeoVoeding1700_4</vt:lpstr>
      <vt:lpstr>_NeoVoeding1700_5</vt:lpstr>
      <vt:lpstr>_NeoVoeding1700_6</vt:lpstr>
      <vt:lpstr>_NeoVoeding1700_7</vt:lpstr>
      <vt:lpstr>_NeoVoeding1700_8</vt:lpstr>
      <vt:lpstr>_NeoVoeding1700_9</vt:lpstr>
      <vt:lpstr>_NeoVoeding2</vt:lpstr>
      <vt:lpstr>_NeoVoeding3</vt:lpstr>
      <vt:lpstr>_NeoVoeding4</vt:lpstr>
      <vt:lpstr>_NeoVoeding5</vt:lpstr>
      <vt:lpstr>_NeoVoeding6</vt:lpstr>
      <vt:lpstr>_NeoVoeding7</vt:lpstr>
      <vt:lpstr>_NeoVoeding8</vt:lpstr>
      <vt:lpstr>_NeoVoeding9</vt:lpstr>
      <vt:lpstr>_NICUMix</vt:lpstr>
      <vt:lpstr>_NICUMix1700</vt:lpstr>
      <vt:lpstr>_OplHoev_1</vt:lpstr>
      <vt:lpstr>_OplHoev_2</vt:lpstr>
      <vt:lpstr>_OplHoev_3</vt:lpstr>
      <vt:lpstr>_OplHoev_4</vt:lpstr>
      <vt:lpstr>_OplHoev_5</vt:lpstr>
      <vt:lpstr>_OplHoev_6</vt:lpstr>
      <vt:lpstr>_OplHoev_7</vt:lpstr>
      <vt:lpstr>_OplHoev_8</vt:lpstr>
      <vt:lpstr>_OplHoev_9</vt:lpstr>
      <vt:lpstr>_OplHoev1700_1</vt:lpstr>
      <vt:lpstr>_OplHoev1700_2</vt:lpstr>
      <vt:lpstr>_OplHoev1700_3</vt:lpstr>
      <vt:lpstr>_OplHoev1700_4</vt:lpstr>
      <vt:lpstr>_OplHoev1700_5</vt:lpstr>
      <vt:lpstr>_OplHoev1700_6</vt:lpstr>
      <vt:lpstr>_OplHoev1700_7</vt:lpstr>
      <vt:lpstr>_OplHoev1700_8</vt:lpstr>
      <vt:lpstr>_OplHoev1700_9</vt:lpstr>
      <vt:lpstr>_Oplossing_1</vt:lpstr>
      <vt:lpstr>_Oplossing_10</vt:lpstr>
      <vt:lpstr>_Oplossing_11</vt:lpstr>
      <vt:lpstr>_Oplossing_12</vt:lpstr>
      <vt:lpstr>_Oplossing_2</vt:lpstr>
      <vt:lpstr>_Oplossing_3</vt:lpstr>
      <vt:lpstr>_Oplossing_4</vt:lpstr>
      <vt:lpstr>_Oplossing_5</vt:lpstr>
      <vt:lpstr>_Oplossing_6</vt:lpstr>
      <vt:lpstr>_Oplossing_7</vt:lpstr>
      <vt:lpstr>_Oplossing_8</vt:lpstr>
      <vt:lpstr>_Oplossing_9</vt:lpstr>
      <vt:lpstr>_Oplossing1700_1</vt:lpstr>
      <vt:lpstr>_Oplossing1700_10</vt:lpstr>
      <vt:lpstr>_Oplossing1700_11</vt:lpstr>
      <vt:lpstr>_Oplossing1700_12</vt:lpstr>
      <vt:lpstr>_Oplossing1700_2</vt:lpstr>
      <vt:lpstr>_Oplossing1700_3</vt:lpstr>
      <vt:lpstr>_Oplossing1700_4</vt:lpstr>
      <vt:lpstr>_Oplossing1700_5</vt:lpstr>
      <vt:lpstr>_Oplossing1700_6</vt:lpstr>
      <vt:lpstr>_Oplossing1700_7</vt:lpstr>
      <vt:lpstr>_Oplossing1700_8</vt:lpstr>
      <vt:lpstr>_Oplossing1700_9</vt:lpstr>
      <vt:lpstr>_Parenteraal</vt:lpstr>
      <vt:lpstr>_Parenteraal1700</vt:lpstr>
      <vt:lpstr>_PatNum</vt:lpstr>
      <vt:lpstr>_PatNum1700</vt:lpstr>
      <vt:lpstr>_Percentage_0</vt:lpstr>
      <vt:lpstr>_Percentage_1</vt:lpstr>
      <vt:lpstr>_Percentage_2</vt:lpstr>
      <vt:lpstr>_Percentage_3</vt:lpstr>
      <vt:lpstr>_Percentage_4</vt:lpstr>
      <vt:lpstr>_Percentage_5</vt:lpstr>
      <vt:lpstr>_Percentage_6</vt:lpstr>
      <vt:lpstr>_Percentage_7</vt:lpstr>
      <vt:lpstr>_Percentage_8</vt:lpstr>
      <vt:lpstr>_Percentage1700_0</vt:lpstr>
      <vt:lpstr>_Percentage1700_1</vt:lpstr>
      <vt:lpstr>_Percentage1700_2</vt:lpstr>
      <vt:lpstr>_Percentage1700_3</vt:lpstr>
      <vt:lpstr>_Percentage1700_4</vt:lpstr>
      <vt:lpstr>_Percentage1700_5</vt:lpstr>
      <vt:lpstr>_Percentage1700_6</vt:lpstr>
      <vt:lpstr>_Percentage1700_7</vt:lpstr>
      <vt:lpstr>_Percentage1700_8</vt:lpstr>
      <vt:lpstr>_PercentageKeuze_0</vt:lpstr>
      <vt:lpstr>_PercentageKeuze_1</vt:lpstr>
      <vt:lpstr>_PercentageKeuze_2</vt:lpstr>
      <vt:lpstr>_PercentageKeuze_3</vt:lpstr>
      <vt:lpstr>_PercentageKeuze_4</vt:lpstr>
      <vt:lpstr>_PercentageKeuze_5</vt:lpstr>
      <vt:lpstr>_PercentageKeuze_6</vt:lpstr>
      <vt:lpstr>_PercentageKeuze_7</vt:lpstr>
      <vt:lpstr>_PercentageKeuze_8</vt:lpstr>
      <vt:lpstr>_PercentageKeuze1700_0</vt:lpstr>
      <vt:lpstr>_PercentageKeuze1700_1</vt:lpstr>
      <vt:lpstr>_PercentageKeuze1700_2</vt:lpstr>
      <vt:lpstr>_PercentageKeuze1700_3</vt:lpstr>
      <vt:lpstr>_PercentageKeuze1700_4</vt:lpstr>
      <vt:lpstr>_PercentageKeuze1700_5</vt:lpstr>
      <vt:lpstr>_PercentageKeuze1700_6</vt:lpstr>
      <vt:lpstr>_PercentageKeuze1700_7</vt:lpstr>
      <vt:lpstr>_PercentageKeuze1700_8</vt:lpstr>
      <vt:lpstr>_Primene</vt:lpstr>
      <vt:lpstr>_Primene1700</vt:lpstr>
      <vt:lpstr>_SoluVit</vt:lpstr>
      <vt:lpstr>_SoluVit1700</vt:lpstr>
      <vt:lpstr>_SSTB</vt:lpstr>
      <vt:lpstr>_SSTB1700</vt:lpstr>
      <vt:lpstr>_Stand_1</vt:lpstr>
      <vt:lpstr>_Stand_10</vt:lpstr>
      <vt:lpstr>_Stand_11</vt:lpstr>
      <vt:lpstr>_Stand_12</vt:lpstr>
      <vt:lpstr>_Stand_2</vt:lpstr>
      <vt:lpstr>_Stand_3</vt:lpstr>
      <vt:lpstr>_Stand_4</vt:lpstr>
      <vt:lpstr>_Stand_5</vt:lpstr>
      <vt:lpstr>_Stand_6</vt:lpstr>
      <vt:lpstr>_Stand_7</vt:lpstr>
      <vt:lpstr>_Stand_8</vt:lpstr>
      <vt:lpstr>_Stand_9</vt:lpstr>
      <vt:lpstr>_Stand1700_1</vt:lpstr>
      <vt:lpstr>_Stand1700_10</vt:lpstr>
      <vt:lpstr>_Stand1700_11</vt:lpstr>
      <vt:lpstr>_Stand1700_12</vt:lpstr>
      <vt:lpstr>_Stand1700_2</vt:lpstr>
      <vt:lpstr>_Stand1700_3</vt:lpstr>
      <vt:lpstr>_Stand1700_4</vt:lpstr>
      <vt:lpstr>_Stand1700_5</vt:lpstr>
      <vt:lpstr>_Stand1700_6</vt:lpstr>
      <vt:lpstr>_Stand1700_7</vt:lpstr>
      <vt:lpstr>_Stand1700_8</vt:lpstr>
      <vt:lpstr>_Stand1700_9</vt:lpstr>
      <vt:lpstr>_Sterkte_1</vt:lpstr>
      <vt:lpstr>_Sterkte_2</vt:lpstr>
      <vt:lpstr>_Sterkte_3</vt:lpstr>
      <vt:lpstr>_Sterkte_4</vt:lpstr>
      <vt:lpstr>_Sterkte_5</vt:lpstr>
      <vt:lpstr>_Sterkte_6</vt:lpstr>
      <vt:lpstr>_Sterkte_7</vt:lpstr>
      <vt:lpstr>_Sterkte_8</vt:lpstr>
      <vt:lpstr>_Sterkte_9</vt:lpstr>
      <vt:lpstr>_Supervisor</vt:lpstr>
      <vt:lpstr>_Supervisor1700</vt:lpstr>
      <vt:lpstr>_Toevoeging_0</vt:lpstr>
      <vt:lpstr>_Toevoeging_1</vt:lpstr>
      <vt:lpstr>_Toevoeging_2</vt:lpstr>
      <vt:lpstr>_Toevoeging_3</vt:lpstr>
      <vt:lpstr>_Toevoeging_4</vt:lpstr>
      <vt:lpstr>_Toevoeging_5</vt:lpstr>
      <vt:lpstr>_Toevoeging_6</vt:lpstr>
      <vt:lpstr>_Toevoeging_7</vt:lpstr>
      <vt:lpstr>_Toevoeging_8</vt:lpstr>
      <vt:lpstr>_Toevoeging1700_0</vt:lpstr>
      <vt:lpstr>_Toevoeging1700_1</vt:lpstr>
      <vt:lpstr>_Toevoeging1700_2</vt:lpstr>
      <vt:lpstr>_Toevoeging1700_3</vt:lpstr>
      <vt:lpstr>_Toevoeging1700_4</vt:lpstr>
      <vt:lpstr>_Toevoeging1700_5</vt:lpstr>
      <vt:lpstr>_Toevoeging1700_6</vt:lpstr>
      <vt:lpstr>_Toevoeging1700_7</vt:lpstr>
      <vt:lpstr>_Toevoeging1700_8</vt:lpstr>
      <vt:lpstr>_Voeding</vt:lpstr>
      <vt:lpstr>_Voeding1700</vt:lpstr>
      <vt:lpstr>_VoedingBMFWaarden</vt:lpstr>
      <vt:lpstr>_VoedingToevoegingenBMF</vt:lpstr>
      <vt:lpstr>_VoedingToevoegingenKunstvoeding</vt:lpstr>
      <vt:lpstr>_VoedingToevoegingenMoedermelk</vt:lpstr>
      <vt:lpstr>_VoedingToevoegingenWaarden</vt:lpstr>
      <vt:lpstr>_VoorNaam</vt:lpstr>
      <vt:lpstr>_VoornaamNICU</vt:lpstr>
      <vt:lpstr>_VoornaamNICU1700</vt:lpstr>
      <vt:lpstr>_Weken</vt:lpstr>
      <vt:lpstr>_Weken1700</vt:lpstr>
      <vt:lpstr>_WerkbriefActueelIntravasaleToegangBreuk</vt:lpstr>
      <vt:lpstr>_WerkbriefActueelIntravasaleToegangGeheel</vt:lpstr>
      <vt:lpstr>_WerkbriefActueelIntravasaleToegangStand</vt:lpstr>
      <vt:lpstr>_WerkbriefActueelIntravasaleToegangTekst</vt:lpstr>
      <vt:lpstr>_WerkbriefActueelTPNCaClBreuk</vt:lpstr>
      <vt:lpstr>_WerkbriefActueelTPNCaClGeheel</vt:lpstr>
      <vt:lpstr>_WerkbriefActueelTPNCaClTekst</vt:lpstr>
      <vt:lpstr>_WerkbriefActueelTPNGlucBreuk</vt:lpstr>
      <vt:lpstr>_WerkbriefActueelTPNGlucGeheel</vt:lpstr>
      <vt:lpstr>_WerkbriefActueelTPNGlucTekst</vt:lpstr>
      <vt:lpstr>_WerkbriefActueelTPNKacetaatBreuk</vt:lpstr>
      <vt:lpstr>_WerkbriefActueelTPNKacetaatGeheel</vt:lpstr>
      <vt:lpstr>_WerkbriefActueelTPNKacetaatTekst</vt:lpstr>
      <vt:lpstr>_WerkbriefActueelTPNMgClBreuk</vt:lpstr>
      <vt:lpstr>_WerkbriefActueelTPNMgClGeheel</vt:lpstr>
      <vt:lpstr>_WerkbriefActueelTPNMgClTekst</vt:lpstr>
      <vt:lpstr>_WerkbriefActueelTPNNaClBreuk</vt:lpstr>
      <vt:lpstr>_WerkbriefActueelTPNNaClGeheel</vt:lpstr>
      <vt:lpstr>_WerkbriefActueelTPNNaCLTekst</vt:lpstr>
      <vt:lpstr>_WerkbriefActueelTPNNICUmixBreuk</vt:lpstr>
      <vt:lpstr>_WerkbriefActueelTPNNICUmixGeheel</vt:lpstr>
      <vt:lpstr>_WerkbriefActueelTPNNICUmixTekst</vt:lpstr>
      <vt:lpstr>_WerkbriefActueelTPNPrimeneBreuk</vt:lpstr>
      <vt:lpstr>_WerkbriefActueelTPNPrimeneGeheel</vt:lpstr>
      <vt:lpstr>_WerkbriefActueelTPNPrimeneTekst</vt:lpstr>
      <vt:lpstr>_WerkbriefActueelTPNSamBBreuk</vt:lpstr>
      <vt:lpstr>_WerkbriefActueelTPNSamBGeheel</vt:lpstr>
      <vt:lpstr>_WerkbriefActueelTPNSamBTekst</vt:lpstr>
      <vt:lpstr>_WerkbriefActueelTPNSoluvitBreuk</vt:lpstr>
      <vt:lpstr>_WerkbriefActueelTPNSoluvitGeheel</vt:lpstr>
      <vt:lpstr>_WerkbriefActueelTPNSoluvitTekst</vt:lpstr>
      <vt:lpstr>_WerkbriefActueelTPNStand</vt:lpstr>
      <vt:lpstr>_WerkbriefActueelTPNTotaalBreuk</vt:lpstr>
      <vt:lpstr>_WerkbriefActueelTPNTotaalGeheel</vt:lpstr>
      <vt:lpstr>_WerkbriefIntravasaleToegangBreuk</vt:lpstr>
      <vt:lpstr>_WerkbriefIntravasaleToegangGeheel</vt:lpstr>
      <vt:lpstr>_WerkbriefIntravasaleToegangStand</vt:lpstr>
      <vt:lpstr>_WerkbriefIntravasaleToegangTekst</vt:lpstr>
      <vt:lpstr>_WerkbriefTPNCaClBreuk</vt:lpstr>
      <vt:lpstr>_WerkbriefTPNCaClGeheel</vt:lpstr>
      <vt:lpstr>_WerkbriefTPNCaClTekst</vt:lpstr>
      <vt:lpstr>_WerkbriefTPNGlucBreuk</vt:lpstr>
      <vt:lpstr>_WerkbriefTPNGlucGeheel</vt:lpstr>
      <vt:lpstr>_WerkbriefTPNGlucTekst</vt:lpstr>
      <vt:lpstr>_WerkbriefTPNKacetaatBreuk</vt:lpstr>
      <vt:lpstr>_WerkbriefTPNKacetaatGeheel</vt:lpstr>
      <vt:lpstr>_WerkbriefTPNKacetaatTekst</vt:lpstr>
      <vt:lpstr>_WerkbriefTPNMgClBreuk</vt:lpstr>
      <vt:lpstr>_WerkbriefTPNMgClGeheel</vt:lpstr>
      <vt:lpstr>_WerkbriefTPNMgClTekst</vt:lpstr>
      <vt:lpstr>_WerkbriefTPNNaClBreuk</vt:lpstr>
      <vt:lpstr>_WerkbriefTPNNaClGeheel</vt:lpstr>
      <vt:lpstr>_WerkbriefTPNNaCLTekst</vt:lpstr>
      <vt:lpstr>_WerkbriefTPNNICUmixBreuk</vt:lpstr>
      <vt:lpstr>_WerkbriefTPNNICUmixGeheel</vt:lpstr>
      <vt:lpstr>_WerkbriefTPNNICUmixTekst</vt:lpstr>
      <vt:lpstr>_WerkbriefTPNPrimeneBreuk</vt:lpstr>
      <vt:lpstr>_WerkbriefTPNPrimeneGeheel</vt:lpstr>
      <vt:lpstr>_WerkbriefTPNPrimeneTekst</vt:lpstr>
      <vt:lpstr>_WerkbriefTPNSamBBreuk</vt:lpstr>
      <vt:lpstr>_WerkbriefTPNSamBGeheel</vt:lpstr>
      <vt:lpstr>_WerkbriefTPNSamBTekst</vt:lpstr>
      <vt:lpstr>_WerkbriefTPNSoluvitBreuk</vt:lpstr>
      <vt:lpstr>_WerkbriefTPNSoluvitGeheel</vt:lpstr>
      <vt:lpstr>_WerkbriefTPNSoluvitTekst</vt:lpstr>
      <vt:lpstr>_WerkbriefTPNStand</vt:lpstr>
      <vt:lpstr>_WerkbriefTPNTotaalBreuk</vt:lpstr>
      <vt:lpstr>_WerkbriefTPNTotaalGeheel</vt:lpstr>
      <vt:lpstr>Aanvullend_aEEG</vt:lpstr>
      <vt:lpstr>Aanvullend_LiquorDrainSub1</vt:lpstr>
      <vt:lpstr>Aanvullend_NIBD</vt:lpstr>
      <vt:lpstr>Aanvullend_Overige_Ped</vt:lpstr>
      <vt:lpstr>Aanvullend_PerPeriode</vt:lpstr>
      <vt:lpstr>Aanvullend_ThoraxDrainSub1</vt:lpstr>
      <vt:lpstr>Aanvullend_ThoraxDrainSub2</vt:lpstr>
      <vt:lpstr>Aanvullend_ThoraxDrainSub3</vt:lpstr>
      <vt:lpstr>Aanvullend_Verliezen_Ped</vt:lpstr>
      <vt:lpstr>Aanvullend_Vertrektijden</vt:lpstr>
      <vt:lpstr>Aanvullend_Verwijderen</vt:lpstr>
      <vt:lpstr>Aanvullend_WondkweekTekst</vt:lpstr>
      <vt:lpstr>AanvullendNeoBool_aEEG</vt:lpstr>
      <vt:lpstr>AanvullendNeoBool_ArmLinks</vt:lpstr>
      <vt:lpstr>AanvullendNeoBool_ArmRechts</vt:lpstr>
      <vt:lpstr>AanvullendNeoBool_BeenLinks</vt:lpstr>
      <vt:lpstr>AanvullendNeoBool_BeenRechts</vt:lpstr>
      <vt:lpstr>AanvullendNeoBool_Bloedkweek</vt:lpstr>
      <vt:lpstr>AanvullendNeoBool_CatheterDemeure</vt:lpstr>
      <vt:lpstr>AanvullendNeoBool_CT</vt:lpstr>
      <vt:lpstr>AanvullendNeoBool_ECG</vt:lpstr>
      <vt:lpstr>AanvullendNeoBool_EchoBuik</vt:lpstr>
      <vt:lpstr>AanvullendNeoBool_EchoHart</vt:lpstr>
      <vt:lpstr>AanvullendNeoBool_FaecesBacterieel</vt:lpstr>
      <vt:lpstr>AanvullendNeoBool_Faeceskweek</vt:lpstr>
      <vt:lpstr>AanvullendNeoBool_FaecesRotaAdeno</vt:lpstr>
      <vt:lpstr>AanvullendNeoBool_FaecesSchimmelGist</vt:lpstr>
      <vt:lpstr>AanvullendNeoBool_FaecesViraal</vt:lpstr>
      <vt:lpstr>AanvullendNeoBool_Finnigan</vt:lpstr>
      <vt:lpstr>AanvullendNeoBool_Fototherapie</vt:lpstr>
      <vt:lpstr>AanvullendNeoBool_FototherapieStop</vt:lpstr>
      <vt:lpstr>AanvullendNeoBool_Gatrostoma</vt:lpstr>
      <vt:lpstr>AanvullendNeoBool_Gewicht</vt:lpstr>
      <vt:lpstr>AanvullendNeoBool_InfuusOpSlot</vt:lpstr>
      <vt:lpstr>AanvullendNeoBool_InfuusUit</vt:lpstr>
      <vt:lpstr>AanvullendNeoBool_Keelkweek</vt:lpstr>
      <vt:lpstr>AanvullendNeoBool_Lengte</vt:lpstr>
      <vt:lpstr>AanvullendNeoBool_Liquor</vt:lpstr>
      <vt:lpstr>AanvullendNeoBool_MaagsondeOpenHoog</vt:lpstr>
      <vt:lpstr>AanvullendNeoBool_Monitor</vt:lpstr>
      <vt:lpstr>AanvullendNeoBool_MRI</vt:lpstr>
      <vt:lpstr>AanvullendNeoBool_Neusspoelsel</vt:lpstr>
      <vt:lpstr>AanvullendNeoBool_NeusspoelselViraal</vt:lpstr>
      <vt:lpstr>AanvullendNeoBool_NIBD</vt:lpstr>
      <vt:lpstr>AanvullendNeoBool_NIBDAll</vt:lpstr>
      <vt:lpstr>AanvullendNeoBool_NIRS1</vt:lpstr>
      <vt:lpstr>AanvullendNeoBool_NIRS2</vt:lpstr>
      <vt:lpstr>AanvullendNeoBool_NIRSnier</vt:lpstr>
      <vt:lpstr>AanvullendNeoBool_OntslagAkkoord</vt:lpstr>
      <vt:lpstr>AanvullendNeoBool_OntslagInOverleg</vt:lpstr>
      <vt:lpstr>AanvullendNeoBool_OntslagNaVisite</vt:lpstr>
      <vt:lpstr>AanvullendNeoBool_Opnamekweken</vt:lpstr>
      <vt:lpstr>AanvullendNeoBool_OppervlakteGistSchimmel</vt:lpstr>
      <vt:lpstr>AanvullendNeoBool_Oppervlaktekweken</vt:lpstr>
      <vt:lpstr>AanvullendNeoBool_OppervlakteOpname</vt:lpstr>
      <vt:lpstr>AanvullendNeoBool_Pacemakerdraden</vt:lpstr>
      <vt:lpstr>AanvullendNeoBool_Peritoneaal</vt:lpstr>
      <vt:lpstr>AanvullendNeoBool_PeritoneaalVacuum</vt:lpstr>
      <vt:lpstr>AanvullendNeoBool_Pigtail</vt:lpstr>
      <vt:lpstr>AanvullendNeoBool_PigtailVacuum</vt:lpstr>
      <vt:lpstr>AanvullendNeoBool_Redon</vt:lpstr>
      <vt:lpstr>AanvullendNeoBool_RedonVacuum</vt:lpstr>
      <vt:lpstr>AanvullendNeoBool_Rickham</vt:lpstr>
      <vt:lpstr>AanvullendNeoBool_RS</vt:lpstr>
      <vt:lpstr>AanvullendNeoBool_RSdiagnostiek</vt:lpstr>
      <vt:lpstr>AanvullendNeoBool_SaturatiePost</vt:lpstr>
      <vt:lpstr>AanvullendNeoBool_SaturatiePre</vt:lpstr>
      <vt:lpstr>AanvullendNeoBool_Schedel</vt:lpstr>
      <vt:lpstr>AanvullendNeoBool_SputumBacterieel</vt:lpstr>
      <vt:lpstr>AanvullendNeoBool_Sputumkweek</vt:lpstr>
      <vt:lpstr>AanvullendNeoBool_SputumUreaplasmaMycoplasma</vt:lpstr>
      <vt:lpstr>AanvullendNeoBool_SputumViraal</vt:lpstr>
      <vt:lpstr>AanvullendNeoBool_Thorax1</vt:lpstr>
      <vt:lpstr>AanvullendNeoBool_Thorax2</vt:lpstr>
      <vt:lpstr>AanvullendNeoBool_Thorax3</vt:lpstr>
      <vt:lpstr>AanvullendNeoBool_Uitzuigkweek</vt:lpstr>
      <vt:lpstr>AanvullendNeoBool_Urine</vt:lpstr>
      <vt:lpstr>AanvullendNeoBool_Urine24uur</vt:lpstr>
      <vt:lpstr>AanvullendNeoBool_UrineCMV</vt:lpstr>
      <vt:lpstr>AanvullendNeoBool_Urinekweek</vt:lpstr>
      <vt:lpstr>AanvullendNeoBool_UrinekweekBacterieel</vt:lpstr>
      <vt:lpstr>AanvullendNeoBool_UrineMetabool</vt:lpstr>
      <vt:lpstr>AanvullendNeoBool_UrineNatriumKalium</vt:lpstr>
      <vt:lpstr>AanvullendNeoBool_UrineRchitis</vt:lpstr>
      <vt:lpstr>AanvullendNeoBool_UrineSediment</vt:lpstr>
      <vt:lpstr>AanvullendNeoBool_UrineSedimentKweek</vt:lpstr>
      <vt:lpstr>AanvullendNeoBool_UrineSedimentMaWoVr</vt:lpstr>
      <vt:lpstr>AanvullendNeoBool_Urostoma</vt:lpstr>
      <vt:lpstr>AanvullendNeoBool_Verliezen</vt:lpstr>
      <vt:lpstr>AanvullendNeoBool_VerliezenFFP</vt:lpstr>
      <vt:lpstr>AanvullendNeoBool_VerliezenNaCl</vt:lpstr>
      <vt:lpstr>AanvullendNeoBool_VerliezenRingerslactaat</vt:lpstr>
      <vt:lpstr>AanvullendNeoBool_Verwijderen</vt:lpstr>
      <vt:lpstr>AanvullendNeoBool_VerwijderenCAD</vt:lpstr>
      <vt:lpstr>AanvullendNeoBool_VerwijderenNVL</vt:lpstr>
      <vt:lpstr>AanvullendNeoBool_VerwijderenPAL</vt:lpstr>
      <vt:lpstr>AanvullendNeoBool_VerwijderenSilastic</vt:lpstr>
      <vt:lpstr>AanvullendNeoBool_Vochtbalans</vt:lpstr>
      <vt:lpstr>AanvullendNeoBool_XBOZ</vt:lpstr>
      <vt:lpstr>AanvullendNeoBool_XThorax</vt:lpstr>
      <vt:lpstr>AanvullendNeoData_AantalLampen</vt:lpstr>
      <vt:lpstr>AanvullendNeoData_aEEG</vt:lpstr>
      <vt:lpstr>AanvullendNeoData_GewichtFrequentie</vt:lpstr>
      <vt:lpstr>AanvullendNeoData_GewichtPer</vt:lpstr>
      <vt:lpstr>AanvullendNeoData_LengteFrequentie</vt:lpstr>
      <vt:lpstr>AanvullendNeoData_LengtePer</vt:lpstr>
      <vt:lpstr>AanvullendNeoData_LiquorHoogte</vt:lpstr>
      <vt:lpstr>AanvullendNeoData_LiquorSub</vt:lpstr>
      <vt:lpstr>AanvullendNeoData_NIBDdd</vt:lpstr>
      <vt:lpstr>AanvullendNeoData_Rickhamdd</vt:lpstr>
      <vt:lpstr>AanvullendNeoData_Rickhamml</vt:lpstr>
      <vt:lpstr>AanvullendNeoData_SchedelFrequentie</vt:lpstr>
      <vt:lpstr>AanvullendNeoData_SchedelPer</vt:lpstr>
      <vt:lpstr>AanvullendNeoData_Thorax1Sub1</vt:lpstr>
      <vt:lpstr>AanvullendNeoData_Thorax1Sub2</vt:lpstr>
      <vt:lpstr>AanvullendNeoData_Thorax1Sub3</vt:lpstr>
      <vt:lpstr>AanvullendNeoData_Thorax2Sub1</vt:lpstr>
      <vt:lpstr>AanvullendNeoData_Thorax2Sub2</vt:lpstr>
      <vt:lpstr>AanvullendNeoData_Thorax2Sub3</vt:lpstr>
      <vt:lpstr>AanvullendNeoData_Thorax3Sub1</vt:lpstr>
      <vt:lpstr>AanvullendNeoData_Thorax3Sub2</vt:lpstr>
      <vt:lpstr>AanvullendNeoData_Thorax3Sub3</vt:lpstr>
      <vt:lpstr>AanvullendNeoData_VerliezenFrequentie</vt:lpstr>
      <vt:lpstr>AanvullendNeoData_Vertrek</vt:lpstr>
      <vt:lpstr>AanvullendNeoData_Wondkweek</vt:lpstr>
      <vt:lpstr>AanvullendPedBool_ArmLinks</vt:lpstr>
      <vt:lpstr>AanvullendPedBool_ArmRechts</vt:lpstr>
      <vt:lpstr>AanvullendPedBool_BeenLinks</vt:lpstr>
      <vt:lpstr>AanvullendPedBool_BeenRechts</vt:lpstr>
      <vt:lpstr>AanvullendPedBool_Buik</vt:lpstr>
      <vt:lpstr>AanvullendPedBool_Catheter</vt:lpstr>
      <vt:lpstr>AanvullendPedBool_CFM</vt:lpstr>
      <vt:lpstr>AanvullendPedBool_Duodenumsonde</vt:lpstr>
      <vt:lpstr>AanvullendPedBool_ECG</vt:lpstr>
      <vt:lpstr>AanvullendPedBool_Gastrostoma</vt:lpstr>
      <vt:lpstr>AanvullendPedBool_GCS</vt:lpstr>
      <vt:lpstr>AanvullendPedBool_Gewicht</vt:lpstr>
      <vt:lpstr>AanvullendPedBool_HardeKraag</vt:lpstr>
      <vt:lpstr>AanvullendPedBool_Headblocks</vt:lpstr>
      <vt:lpstr>AanvullendPedBool_ICP</vt:lpstr>
      <vt:lpstr>AanvullendPedBool_Lengte</vt:lpstr>
      <vt:lpstr>AanvullendPedBool_Liquor</vt:lpstr>
      <vt:lpstr>AanvullendPedBool_Maagretentie</vt:lpstr>
      <vt:lpstr>AanvullendPedBool_Maagsonde</vt:lpstr>
      <vt:lpstr>AanvullendPedBool_NIBD</vt:lpstr>
      <vt:lpstr>AanvullendPedBool_NIBDAlle</vt:lpstr>
      <vt:lpstr>AanvullendPedBool_NIRS1</vt:lpstr>
      <vt:lpstr>AanvullendPedBool_NIRS2</vt:lpstr>
      <vt:lpstr>AanvullendPedBool_PEG</vt:lpstr>
      <vt:lpstr>AanvullendPedBool_Peritoneaal</vt:lpstr>
      <vt:lpstr>AanvullendPedBool_PeritoneaalVacuum</vt:lpstr>
      <vt:lpstr>AanvullendPedBool_Pigtail</vt:lpstr>
      <vt:lpstr>AanvullendPedBool_PigtailVacuum</vt:lpstr>
      <vt:lpstr>AanvullendPedBool_Pupil</vt:lpstr>
      <vt:lpstr>AanvullendPedBool_Redon</vt:lpstr>
      <vt:lpstr>AanvullendPedBool_RedonVacuum</vt:lpstr>
      <vt:lpstr>AanvullendPedBool_SaturatiePost</vt:lpstr>
      <vt:lpstr>AanvullendPedBool_SaturatiePre</vt:lpstr>
      <vt:lpstr>AanvullendPedBool_Schedel</vt:lpstr>
      <vt:lpstr>AanvullendPedBool_Sedatie</vt:lpstr>
      <vt:lpstr>AanvullendPedBool_Thorax1</vt:lpstr>
      <vt:lpstr>AanvullendPedBool_Thorax2</vt:lpstr>
      <vt:lpstr>AanvullendPedBool_Thorax3</vt:lpstr>
      <vt:lpstr>AanvullendPedBool_TOSCA</vt:lpstr>
      <vt:lpstr>AanvullendPedBool_Urostoma</vt:lpstr>
      <vt:lpstr>AanvullendPedBool_Verliezen</vt:lpstr>
      <vt:lpstr>AanvullendPedBool_ZachteKraag</vt:lpstr>
      <vt:lpstr>AanvullendPedData_GCSdd</vt:lpstr>
      <vt:lpstr>AanvullendPedData_GewichtFrequentie</vt:lpstr>
      <vt:lpstr>AanvullendPedData_GewichtPer</vt:lpstr>
      <vt:lpstr>AanvullendPedData_LengteFrequentie</vt:lpstr>
      <vt:lpstr>AanvullendPedData_LengtePer</vt:lpstr>
      <vt:lpstr>AanvullendPedData_LiquorHoogte</vt:lpstr>
      <vt:lpstr>AanvullendPedData_LiquorSub</vt:lpstr>
      <vt:lpstr>AanvullendPedData_MaagretentieUur</vt:lpstr>
      <vt:lpstr>AanvullendPedData_NIBDdd</vt:lpstr>
      <vt:lpstr>AanvullendPedData_Overig</vt:lpstr>
      <vt:lpstr>AanvullendPedData_SchedelFrequentie</vt:lpstr>
      <vt:lpstr>AanvullendPedData_SchedelPer</vt:lpstr>
      <vt:lpstr>AanvullendPedData_Thorax1Sub1</vt:lpstr>
      <vt:lpstr>AanvullendPedData_Thorax1Sub2</vt:lpstr>
      <vt:lpstr>AanvullendPedData_Thorax1Sub3</vt:lpstr>
      <vt:lpstr>AanvullendPedData_Thorax2Sub1</vt:lpstr>
      <vt:lpstr>AanvullendPedData_Thorax2Sub2</vt:lpstr>
      <vt:lpstr>AanvullendPedData_Thorax2Sub3</vt:lpstr>
      <vt:lpstr>AanvullendPedData_Thorax3Sub1</vt:lpstr>
      <vt:lpstr>AanvullendPedData_Thorax3Sub2</vt:lpstr>
      <vt:lpstr>AanvullendPedData_Thorax3Sub3</vt:lpstr>
      <vt:lpstr>AanvullendPedData_VerliezenStof</vt:lpstr>
      <vt:lpstr>AanvullendPedData_VerliezenUur</vt:lpstr>
      <vt:lpstr>AcuteOpvang!Afdrukbereik</vt:lpstr>
      <vt:lpstr>'AcuteOpvang Neo'!Afdrukbereik</vt:lpstr>
      <vt:lpstr>AfsprakenCMV!Afdrukbereik</vt:lpstr>
      <vt:lpstr>Apotheek!Afdrukbereik</vt:lpstr>
      <vt:lpstr>Medicatie!Afdrukbereik</vt:lpstr>
      <vt:lpstr>'Medicatie Neo'!Afdrukbereik</vt:lpstr>
      <vt:lpstr>Print!Afdrukbereik</vt:lpstr>
      <vt:lpstr>TPN16tot30kg!Afdrukbereik</vt:lpstr>
      <vt:lpstr>TPN2tot6kg!Afdrukbereik</vt:lpstr>
      <vt:lpstr>TPN31tot50kg!Afdrukbereik</vt:lpstr>
      <vt:lpstr>TPN7tot15kg!Afdrukbereik</vt:lpstr>
      <vt:lpstr>TPNboven50kg!Afdrukbereik</vt:lpstr>
      <vt:lpstr>WerkBrief!Afdrukbereik</vt:lpstr>
      <vt:lpstr>AfspraakDatum</vt:lpstr>
      <vt:lpstr>AfsprakenVersie</vt:lpstr>
      <vt:lpstr>BedNummer</vt:lpstr>
      <vt:lpstr>CaGluc</vt:lpstr>
      <vt:lpstr>CaGlucVol</vt:lpstr>
      <vt:lpstr>Comfort</vt:lpstr>
      <vt:lpstr>Dag</vt:lpstr>
      <vt:lpstr>dbPatientSave</vt:lpstr>
      <vt:lpstr>Dos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DosHoev_21</vt:lpstr>
      <vt:lpstr>DosHoev_22</vt:lpstr>
      <vt:lpstr>DosHoev_23</vt:lpstr>
      <vt:lpstr>DosHoev_24</vt:lpstr>
      <vt:lpstr>DosHoev_25</vt:lpstr>
      <vt:lpstr>DosHoev_26</vt:lpstr>
      <vt:lpstr>DosHoev_27</vt:lpstr>
      <vt:lpstr>DosHoev_28</vt:lpstr>
      <vt:lpstr>DosHoev_29</vt:lpstr>
      <vt:lpstr>DosHoev_3</vt:lpstr>
      <vt:lpstr>DosHoev_30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Eenheid_21</vt:lpstr>
      <vt:lpstr>Eenheid_22</vt:lpstr>
      <vt:lpstr>Eenheid_23</vt:lpstr>
      <vt:lpstr>Eenheid_24</vt:lpstr>
      <vt:lpstr>Eenheid_25</vt:lpstr>
      <vt:lpstr>Eenheid_26</vt:lpstr>
      <vt:lpstr>Eenheid_27</vt:lpstr>
      <vt:lpstr>Eenheid_28</vt:lpstr>
      <vt:lpstr>Eenheid_29</vt:lpstr>
      <vt:lpstr>Eenheid_3</vt:lpstr>
      <vt:lpstr>Eenheid_30</vt:lpstr>
      <vt:lpstr>Eenheid_4</vt:lpstr>
      <vt:lpstr>Eenheid_5</vt:lpstr>
      <vt:lpstr>Eenheid_6</vt:lpstr>
      <vt:lpstr>Eenheid_7</vt:lpstr>
      <vt:lpstr>Eenheid_8</vt:lpstr>
      <vt:lpstr>Eenheid_9</vt:lpstr>
      <vt:lpstr>FaktorLijst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Generic_21</vt:lpstr>
      <vt:lpstr>Generic_22</vt:lpstr>
      <vt:lpstr>Generic_23</vt:lpstr>
      <vt:lpstr>Generic_24</vt:lpstr>
      <vt:lpstr>Generic_25</vt:lpstr>
      <vt:lpstr>Generic_26</vt:lpstr>
      <vt:lpstr>Generic_27</vt:lpstr>
      <vt:lpstr>Generic_28</vt:lpstr>
      <vt:lpstr>Generic_29</vt:lpstr>
      <vt:lpstr>Generic_3</vt:lpstr>
      <vt:lpstr>Generic_30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Lab_Data</vt:lpstr>
      <vt:lpstr>Lab14_1</vt:lpstr>
      <vt:lpstr>Lab14_10</vt:lpstr>
      <vt:lpstr>Lab14_11</vt:lpstr>
      <vt:lpstr>Lab14_12</vt:lpstr>
      <vt:lpstr>Lab14_13</vt:lpstr>
      <vt:lpstr>Lab14_14</vt:lpstr>
      <vt:lpstr>Lab14_15</vt:lpstr>
      <vt:lpstr>Lab14_16</vt:lpstr>
      <vt:lpstr>Lab14_17</vt:lpstr>
      <vt:lpstr>Lab14_18</vt:lpstr>
      <vt:lpstr>Lab14_19</vt:lpstr>
      <vt:lpstr>Lab14_2</vt:lpstr>
      <vt:lpstr>Lab14_20</vt:lpstr>
      <vt:lpstr>Lab14_21</vt:lpstr>
      <vt:lpstr>Lab14_22</vt:lpstr>
      <vt:lpstr>Lab14_23</vt:lpstr>
      <vt:lpstr>Lab14_24</vt:lpstr>
      <vt:lpstr>Lab14_25</vt:lpstr>
      <vt:lpstr>Lab14_26</vt:lpstr>
      <vt:lpstr>Lab14_27</vt:lpstr>
      <vt:lpstr>Lab14_28</vt:lpstr>
      <vt:lpstr>Lab14_29</vt:lpstr>
      <vt:lpstr>Lab14_3</vt:lpstr>
      <vt:lpstr>Lab14_30</vt:lpstr>
      <vt:lpstr>Lab14_31</vt:lpstr>
      <vt:lpstr>Lab14_4</vt:lpstr>
      <vt:lpstr>Lab14_5</vt:lpstr>
      <vt:lpstr>Lab14_6</vt:lpstr>
      <vt:lpstr>Lab14_7</vt:lpstr>
      <vt:lpstr>Lab14_8</vt:lpstr>
      <vt:lpstr>Lab14_9</vt:lpstr>
      <vt:lpstr>Lab19_1</vt:lpstr>
      <vt:lpstr>Lab19_10</vt:lpstr>
      <vt:lpstr>Lab19_11</vt:lpstr>
      <vt:lpstr>Lab19_12</vt:lpstr>
      <vt:lpstr>Lab19_13</vt:lpstr>
      <vt:lpstr>Lab19_14</vt:lpstr>
      <vt:lpstr>Lab19_15</vt:lpstr>
      <vt:lpstr>Lab19_16</vt:lpstr>
      <vt:lpstr>Lab19_17</vt:lpstr>
      <vt:lpstr>Lab19_18</vt:lpstr>
      <vt:lpstr>Lab19_19</vt:lpstr>
      <vt:lpstr>Lab19_2</vt:lpstr>
      <vt:lpstr>Lab19_20</vt:lpstr>
      <vt:lpstr>Lab19_21</vt:lpstr>
      <vt:lpstr>Lab19_22</vt:lpstr>
      <vt:lpstr>Lab19_23</vt:lpstr>
      <vt:lpstr>Lab19_24</vt:lpstr>
      <vt:lpstr>Lab19_25</vt:lpstr>
      <vt:lpstr>Lab19_26</vt:lpstr>
      <vt:lpstr>Lab19_27</vt:lpstr>
      <vt:lpstr>Lab19_28</vt:lpstr>
      <vt:lpstr>Lab19_29</vt:lpstr>
      <vt:lpstr>Lab19_3</vt:lpstr>
      <vt:lpstr>Lab19_30</vt:lpstr>
      <vt:lpstr>Lab19_31</vt:lpstr>
      <vt:lpstr>Lab19_32</vt:lpstr>
      <vt:lpstr>Lab19_4</vt:lpstr>
      <vt:lpstr>Lab19_5</vt:lpstr>
      <vt:lpstr>Lab19_6</vt:lpstr>
      <vt:lpstr>Lab19_7</vt:lpstr>
      <vt:lpstr>Lab19_8</vt:lpstr>
      <vt:lpstr>Lab19_9</vt:lpstr>
      <vt:lpstr>Lab24_1</vt:lpstr>
      <vt:lpstr>Lab24_10</vt:lpstr>
      <vt:lpstr>Lab24_11</vt:lpstr>
      <vt:lpstr>Lab24_12</vt:lpstr>
      <vt:lpstr>Lab24_13</vt:lpstr>
      <vt:lpstr>Lab24_14</vt:lpstr>
      <vt:lpstr>Lab24_15</vt:lpstr>
      <vt:lpstr>Lab24_16</vt:lpstr>
      <vt:lpstr>Lab24_17</vt:lpstr>
      <vt:lpstr>Lab24_18</vt:lpstr>
      <vt:lpstr>Lab24_19</vt:lpstr>
      <vt:lpstr>Lab24_2</vt:lpstr>
      <vt:lpstr>Lab24_20</vt:lpstr>
      <vt:lpstr>Lab24_21</vt:lpstr>
      <vt:lpstr>Lab24_22</vt:lpstr>
      <vt:lpstr>Lab24_23</vt:lpstr>
      <vt:lpstr>Lab24_24</vt:lpstr>
      <vt:lpstr>Lab24_25</vt:lpstr>
      <vt:lpstr>Lab24_26</vt:lpstr>
      <vt:lpstr>Lab24_27</vt:lpstr>
      <vt:lpstr>Lab24_28</vt:lpstr>
      <vt:lpstr>Lab24_29</vt:lpstr>
      <vt:lpstr>Lab24_3</vt:lpstr>
      <vt:lpstr>Lab24_30</vt:lpstr>
      <vt:lpstr>Lab24_31</vt:lpstr>
      <vt:lpstr>Lab24_4</vt:lpstr>
      <vt:lpstr>Lab24_5</vt:lpstr>
      <vt:lpstr>Lab24_6</vt:lpstr>
      <vt:lpstr>Lab24_7</vt:lpstr>
      <vt:lpstr>Lab24_8</vt:lpstr>
      <vt:lpstr>Lab24_9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LabDag1_28</vt:lpstr>
      <vt:lpstr>LabDag1_29</vt:lpstr>
      <vt:lpstr>LabDag1_3</vt:lpstr>
      <vt:lpstr>LabDag1_30</vt:lpstr>
      <vt:lpstr>LabDag1_31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LabDag2_28</vt:lpstr>
      <vt:lpstr>LabDag2_29</vt:lpstr>
      <vt:lpstr>LabDag2_3</vt:lpstr>
      <vt:lpstr>LabDag2_30</vt:lpstr>
      <vt:lpstr>LabDag2_31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LabDag3_28</vt:lpstr>
      <vt:lpstr>LabDag3_29</vt:lpstr>
      <vt:lpstr>LabDag3_3</vt:lpstr>
      <vt:lpstr>LabDag3_30</vt:lpstr>
      <vt:lpstr>LabDag3_31</vt:lpstr>
      <vt:lpstr>LabDag3_4</vt:lpstr>
      <vt:lpstr>LabDag3_5</vt:lpstr>
      <vt:lpstr>LabDag3_6</vt:lpstr>
      <vt:lpstr>LabDag3_7</vt:lpstr>
      <vt:lpstr>LabDag3_8</vt:lpstr>
      <vt:lpstr>LabDag3_9</vt:lpstr>
      <vt:lpstr>LabNeo_Data</vt:lpstr>
      <vt:lpstr>LabNeo04_1</vt:lpstr>
      <vt:lpstr>LabNeo04_10</vt:lpstr>
      <vt:lpstr>LabNeo04_11</vt:lpstr>
      <vt:lpstr>LabNeo04_12</vt:lpstr>
      <vt:lpstr>LabNeo04_13</vt:lpstr>
      <vt:lpstr>LabNeo04_14</vt:lpstr>
      <vt:lpstr>LabNeo04_15</vt:lpstr>
      <vt:lpstr>LabNeo04_16</vt:lpstr>
      <vt:lpstr>LabNeo04_17</vt:lpstr>
      <vt:lpstr>LabNeo04_18</vt:lpstr>
      <vt:lpstr>LabNeo04_19</vt:lpstr>
      <vt:lpstr>LabNeo04_2</vt:lpstr>
      <vt:lpstr>LabNeo04_20</vt:lpstr>
      <vt:lpstr>LabNeo04_21</vt:lpstr>
      <vt:lpstr>LabNeo04_22</vt:lpstr>
      <vt:lpstr>LabNeo04_23</vt:lpstr>
      <vt:lpstr>LabNeo04_24</vt:lpstr>
      <vt:lpstr>LabNeo04_25</vt:lpstr>
      <vt:lpstr>LabNeo04_26</vt:lpstr>
      <vt:lpstr>LabNeo04_27</vt:lpstr>
      <vt:lpstr>LabNeo04_28</vt:lpstr>
      <vt:lpstr>LabNeo04_29</vt:lpstr>
      <vt:lpstr>LabNeo04_3</vt:lpstr>
      <vt:lpstr>LabNeo04_30</vt:lpstr>
      <vt:lpstr>LabNeo04_31</vt:lpstr>
      <vt:lpstr>LabNeo04_4</vt:lpstr>
      <vt:lpstr>LabNeo04_5</vt:lpstr>
      <vt:lpstr>LabNeo04_6</vt:lpstr>
      <vt:lpstr>LabNeo04_7</vt:lpstr>
      <vt:lpstr>LabNeo04_8</vt:lpstr>
      <vt:lpstr>LabNeo04_9</vt:lpstr>
      <vt:lpstr>LabNeo12_1</vt:lpstr>
      <vt:lpstr>LabNeo12_10</vt:lpstr>
      <vt:lpstr>LabNeo12_11</vt:lpstr>
      <vt:lpstr>LabNeo12_12</vt:lpstr>
      <vt:lpstr>LabNeo12_13</vt:lpstr>
      <vt:lpstr>LabNeo12_14</vt:lpstr>
      <vt:lpstr>LabNeo12_15</vt:lpstr>
      <vt:lpstr>LabNeo12_16</vt:lpstr>
      <vt:lpstr>LabNeo12_17</vt:lpstr>
      <vt:lpstr>LabNeo12_18</vt:lpstr>
      <vt:lpstr>LabNeo12_19</vt:lpstr>
      <vt:lpstr>LabNeo12_2</vt:lpstr>
      <vt:lpstr>LabNeo12_20</vt:lpstr>
      <vt:lpstr>LabNeo12_21</vt:lpstr>
      <vt:lpstr>LabNeo12_22</vt:lpstr>
      <vt:lpstr>LabNeo12_23</vt:lpstr>
      <vt:lpstr>LabNeo12_24</vt:lpstr>
      <vt:lpstr>LabNeo12_25</vt:lpstr>
      <vt:lpstr>LabNeo12_26</vt:lpstr>
      <vt:lpstr>LabNeo12_27</vt:lpstr>
      <vt:lpstr>LabNeo12_28</vt:lpstr>
      <vt:lpstr>LabNeo12_29</vt:lpstr>
      <vt:lpstr>LabNeo12_3</vt:lpstr>
      <vt:lpstr>LabNeo12_30</vt:lpstr>
      <vt:lpstr>LabNeo12_31</vt:lpstr>
      <vt:lpstr>LabNeo12_4</vt:lpstr>
      <vt:lpstr>LabNeo12_5</vt:lpstr>
      <vt:lpstr>LabNeo12_6</vt:lpstr>
      <vt:lpstr>LabNeo12_7</vt:lpstr>
      <vt:lpstr>LabNeo12_8</vt:lpstr>
      <vt:lpstr>LabNeo12_9</vt:lpstr>
      <vt:lpstr>LabNeo16_1</vt:lpstr>
      <vt:lpstr>LabNeo16_10</vt:lpstr>
      <vt:lpstr>LabNeo16_11</vt:lpstr>
      <vt:lpstr>LabNeo16_12</vt:lpstr>
      <vt:lpstr>LabNeo16_13</vt:lpstr>
      <vt:lpstr>LabNeo16_14</vt:lpstr>
      <vt:lpstr>LabNeo16_15</vt:lpstr>
      <vt:lpstr>LabNeo16_16</vt:lpstr>
      <vt:lpstr>LabNeo16_17</vt:lpstr>
      <vt:lpstr>LabNeo16_18</vt:lpstr>
      <vt:lpstr>LabNeo16_19</vt:lpstr>
      <vt:lpstr>LabNeo16_2</vt:lpstr>
      <vt:lpstr>LabNeo16_20</vt:lpstr>
      <vt:lpstr>LabNeo16_21</vt:lpstr>
      <vt:lpstr>LabNeo16_22</vt:lpstr>
      <vt:lpstr>LabNeo16_23</vt:lpstr>
      <vt:lpstr>LabNeo16_24</vt:lpstr>
      <vt:lpstr>LabNeo16_25</vt:lpstr>
      <vt:lpstr>LabNeo16_26</vt:lpstr>
      <vt:lpstr>LabNeo16_27</vt:lpstr>
      <vt:lpstr>LabNeo16_28</vt:lpstr>
      <vt:lpstr>LabNeo16_29</vt:lpstr>
      <vt:lpstr>LabNeo16_3</vt:lpstr>
      <vt:lpstr>LabNeo16_30</vt:lpstr>
      <vt:lpstr>LabNeo16_31</vt:lpstr>
      <vt:lpstr>LabNeo16_4</vt:lpstr>
      <vt:lpstr>LabNeo16_5</vt:lpstr>
      <vt:lpstr>LabNeo16_6</vt:lpstr>
      <vt:lpstr>LabNeo16_7</vt:lpstr>
      <vt:lpstr>LabNeo16_8</vt:lpstr>
      <vt:lpstr>LabNeo16_9</vt:lpstr>
      <vt:lpstr>LabNeo20_1</vt:lpstr>
      <vt:lpstr>LabNeo20_10</vt:lpstr>
      <vt:lpstr>LabNeo20_11</vt:lpstr>
      <vt:lpstr>LabNeo20_12</vt:lpstr>
      <vt:lpstr>LabNeo20_13</vt:lpstr>
      <vt:lpstr>LabNeo20_14</vt:lpstr>
      <vt:lpstr>LabNeo20_15</vt:lpstr>
      <vt:lpstr>LabNeo20_16</vt:lpstr>
      <vt:lpstr>LabNeo20_17</vt:lpstr>
      <vt:lpstr>LabNeo20_18</vt:lpstr>
      <vt:lpstr>LabNeo20_19</vt:lpstr>
      <vt:lpstr>LabNeo20_2</vt:lpstr>
      <vt:lpstr>LabNeo20_20</vt:lpstr>
      <vt:lpstr>LabNeo20_21</vt:lpstr>
      <vt:lpstr>LabNeo20_22</vt:lpstr>
      <vt:lpstr>LabNeo20_23</vt:lpstr>
      <vt:lpstr>LabNeo20_24</vt:lpstr>
      <vt:lpstr>LabNeo20_25</vt:lpstr>
      <vt:lpstr>LabNeo20_26</vt:lpstr>
      <vt:lpstr>LabNeo20_27</vt:lpstr>
      <vt:lpstr>LabNeo20_28</vt:lpstr>
      <vt:lpstr>LabNeo20_29</vt:lpstr>
      <vt:lpstr>LabNeo20_3</vt:lpstr>
      <vt:lpstr>LabNeo20_30</vt:lpstr>
      <vt:lpstr>LabNeo20_31</vt:lpstr>
      <vt:lpstr>LabNeo20_4</vt:lpstr>
      <vt:lpstr>LabNeo20_5</vt:lpstr>
      <vt:lpstr>LabNeo20_6</vt:lpstr>
      <vt:lpstr>LabNeo20_7</vt:lpstr>
      <vt:lpstr>LabNeo20_8</vt:lpstr>
      <vt:lpstr>LabNeo20_9</vt:lpstr>
      <vt:lpstr>LabNeo24_1</vt:lpstr>
      <vt:lpstr>LabNeo24_10</vt:lpstr>
      <vt:lpstr>LabNeo24_11</vt:lpstr>
      <vt:lpstr>LabNeo24_12</vt:lpstr>
      <vt:lpstr>LabNeo24_13</vt:lpstr>
      <vt:lpstr>LabNeo24_14</vt:lpstr>
      <vt:lpstr>LabNeo24_15</vt:lpstr>
      <vt:lpstr>LabNeo24_16</vt:lpstr>
      <vt:lpstr>LabNeo24_17</vt:lpstr>
      <vt:lpstr>LabNeo24_18</vt:lpstr>
      <vt:lpstr>LabNeo24_19</vt:lpstr>
      <vt:lpstr>LabNeo24_2</vt:lpstr>
      <vt:lpstr>LabNeo24_20</vt:lpstr>
      <vt:lpstr>LabNeo24_21</vt:lpstr>
      <vt:lpstr>LabNeo24_22</vt:lpstr>
      <vt:lpstr>LabNeo24_23</vt:lpstr>
      <vt:lpstr>LabNeo24_24</vt:lpstr>
      <vt:lpstr>LabNeo24_25</vt:lpstr>
      <vt:lpstr>LabNeo24_26</vt:lpstr>
      <vt:lpstr>LabNeo24_27</vt:lpstr>
      <vt:lpstr>LabNeo24_28</vt:lpstr>
      <vt:lpstr>LabNeo24_29</vt:lpstr>
      <vt:lpstr>LabNeo24_3</vt:lpstr>
      <vt:lpstr>LabNeo24_30</vt:lpstr>
      <vt:lpstr>LabNeo24_31</vt:lpstr>
      <vt:lpstr>LabNeo24_4</vt:lpstr>
      <vt:lpstr>LabNeo24_5</vt:lpstr>
      <vt:lpstr>LabNeo24_6</vt:lpstr>
      <vt:lpstr>LabNeo24_7</vt:lpstr>
      <vt:lpstr>LabNeo24_8</vt:lpstr>
      <vt:lpstr>LabNeo24_9</vt:lpstr>
      <vt:lpstr>LabNeoDag1_1</vt:lpstr>
      <vt:lpstr>LabNeoDag1_10</vt:lpstr>
      <vt:lpstr>LabNeoDag1_11</vt:lpstr>
      <vt:lpstr>LabNeoDag1_12</vt:lpstr>
      <vt:lpstr>LabNeoDag1_13</vt:lpstr>
      <vt:lpstr>LabNeoDag1_14</vt:lpstr>
      <vt:lpstr>LabNeoDag1_15</vt:lpstr>
      <vt:lpstr>LabNeoDag1_16</vt:lpstr>
      <vt:lpstr>LabNeoDag1_17</vt:lpstr>
      <vt:lpstr>LabNeoDag1_18</vt:lpstr>
      <vt:lpstr>LabNeoDag1_19</vt:lpstr>
      <vt:lpstr>LabNeoDag1_2</vt:lpstr>
      <vt:lpstr>LabNeoDag1_20</vt:lpstr>
      <vt:lpstr>LabNeoDag1_21</vt:lpstr>
      <vt:lpstr>LabNeoDag1_22</vt:lpstr>
      <vt:lpstr>LabNeoDag1_23</vt:lpstr>
      <vt:lpstr>LabNeoDag1_24</vt:lpstr>
      <vt:lpstr>LabNeoDag1_25</vt:lpstr>
      <vt:lpstr>LabNeoDag1_26</vt:lpstr>
      <vt:lpstr>LabNeoDag1_27</vt:lpstr>
      <vt:lpstr>LabNeoDag1_28</vt:lpstr>
      <vt:lpstr>LabNeoDag1_29</vt:lpstr>
      <vt:lpstr>LabNeoDag1_3</vt:lpstr>
      <vt:lpstr>LabNeoDag1_30</vt:lpstr>
      <vt:lpstr>LabNeoDag1_31</vt:lpstr>
      <vt:lpstr>LabNeoDag1_4</vt:lpstr>
      <vt:lpstr>LabNeoDag1_5</vt:lpstr>
      <vt:lpstr>LabNeoDag1_6</vt:lpstr>
      <vt:lpstr>LabNeoDag1_7</vt:lpstr>
      <vt:lpstr>LabNeoDag1_8</vt:lpstr>
      <vt:lpstr>LabNeoDag1_9</vt:lpstr>
      <vt:lpstr>LabNeoDag2_1</vt:lpstr>
      <vt:lpstr>LabNeoDag2_10</vt:lpstr>
      <vt:lpstr>LabNeoDag2_11</vt:lpstr>
      <vt:lpstr>LabNeoDag2_12</vt:lpstr>
      <vt:lpstr>LabNeoDag2_13</vt:lpstr>
      <vt:lpstr>LabNeoDag2_14</vt:lpstr>
      <vt:lpstr>LabNeoDag2_15</vt:lpstr>
      <vt:lpstr>LabNeoDag2_16</vt:lpstr>
      <vt:lpstr>LabNeoDag2_17</vt:lpstr>
      <vt:lpstr>LabNeoDag2_18</vt:lpstr>
      <vt:lpstr>LabNeoDag2_19</vt:lpstr>
      <vt:lpstr>LabNeoDag2_2</vt:lpstr>
      <vt:lpstr>LabNeoDag2_20</vt:lpstr>
      <vt:lpstr>LabNeoDag2_21</vt:lpstr>
      <vt:lpstr>LabNeoDag2_22</vt:lpstr>
      <vt:lpstr>LabNeoDag2_23</vt:lpstr>
      <vt:lpstr>LabNeoDag2_24</vt:lpstr>
      <vt:lpstr>LabNeoDag2_25</vt:lpstr>
      <vt:lpstr>LabNeoDag2_26</vt:lpstr>
      <vt:lpstr>LabNeoDag2_27</vt:lpstr>
      <vt:lpstr>LabNeoDag2_28</vt:lpstr>
      <vt:lpstr>LabNeoDag2_29</vt:lpstr>
      <vt:lpstr>LabNeoDag2_3</vt:lpstr>
      <vt:lpstr>LabNeoDag2_30</vt:lpstr>
      <vt:lpstr>LabNeoDag2_31</vt:lpstr>
      <vt:lpstr>LabNeoDag2_4</vt:lpstr>
      <vt:lpstr>LabNeoDag2_5</vt:lpstr>
      <vt:lpstr>LabNeoDag2_6</vt:lpstr>
      <vt:lpstr>LabNeoDag2_7</vt:lpstr>
      <vt:lpstr>LabNeoDag2_8</vt:lpstr>
      <vt:lpstr>LabNeoDag2_9</vt:lpstr>
      <vt:lpstr>LabNeoDag3_1</vt:lpstr>
      <vt:lpstr>LabNeoDag3_10</vt:lpstr>
      <vt:lpstr>LabNeoDag3_11</vt:lpstr>
      <vt:lpstr>LabNeoDag3_12</vt:lpstr>
      <vt:lpstr>LabNeoDag3_13</vt:lpstr>
      <vt:lpstr>LabNeoDag3_14</vt:lpstr>
      <vt:lpstr>LabNeoDag3_15</vt:lpstr>
      <vt:lpstr>LabNeoDag3_16</vt:lpstr>
      <vt:lpstr>LabNeoDag3_17</vt:lpstr>
      <vt:lpstr>LabNeoDag3_18</vt:lpstr>
      <vt:lpstr>LabNeoDag3_19</vt:lpstr>
      <vt:lpstr>LabNeoDag3_2</vt:lpstr>
      <vt:lpstr>LabNeoDag3_20</vt:lpstr>
      <vt:lpstr>LabNeoDag3_21</vt:lpstr>
      <vt:lpstr>LabNeoDag3_22</vt:lpstr>
      <vt:lpstr>LabNeoDag3_23</vt:lpstr>
      <vt:lpstr>LabNeoDag3_24</vt:lpstr>
      <vt:lpstr>LabNeoDag3_25</vt:lpstr>
      <vt:lpstr>LabNeoDag3_26</vt:lpstr>
      <vt:lpstr>LabNeoDag3_27</vt:lpstr>
      <vt:lpstr>LabNeoDag3_28</vt:lpstr>
      <vt:lpstr>LabNeoDag3_29</vt:lpstr>
      <vt:lpstr>LabNeoDag3_3</vt:lpstr>
      <vt:lpstr>LabNeoDag3_30</vt:lpstr>
      <vt:lpstr>LabNeoDag3_31</vt:lpstr>
      <vt:lpstr>LabNeoDag3_4</vt:lpstr>
      <vt:lpstr>LabNeoDag3_5</vt:lpstr>
      <vt:lpstr>LabNeoDag3_6</vt:lpstr>
      <vt:lpstr>LabNeoDag3_7</vt:lpstr>
      <vt:lpstr>LabNeoDag3_8</vt:lpstr>
      <vt:lpstr>LabNeoDag3_9</vt:lpstr>
      <vt:lpstr>LabNeoOpmerkingen</vt:lpstr>
      <vt:lpstr>LabNeoOpn_1</vt:lpstr>
      <vt:lpstr>LabNeoOpn_10</vt:lpstr>
      <vt:lpstr>LabNeoOpn_11</vt:lpstr>
      <vt:lpstr>LabNeoOpn_12</vt:lpstr>
      <vt:lpstr>LabNeoOpn_13</vt:lpstr>
      <vt:lpstr>LabNeoOpn_14</vt:lpstr>
      <vt:lpstr>LabNeoOpn_15</vt:lpstr>
      <vt:lpstr>LabNeoOpn_16</vt:lpstr>
      <vt:lpstr>LabNeoOpn_17</vt:lpstr>
      <vt:lpstr>LabNeoOpn_18</vt:lpstr>
      <vt:lpstr>LabNeoOpn_19</vt:lpstr>
      <vt:lpstr>LabNeoOpn_2</vt:lpstr>
      <vt:lpstr>LabNeoOpn_20</vt:lpstr>
      <vt:lpstr>LabNeoOpn_21</vt:lpstr>
      <vt:lpstr>LabNeoOpn_22</vt:lpstr>
      <vt:lpstr>LabNeoOpn_23</vt:lpstr>
      <vt:lpstr>LabNeoOpn_24</vt:lpstr>
      <vt:lpstr>LabNeoOpn_25</vt:lpstr>
      <vt:lpstr>LabNeoOpn_26</vt:lpstr>
      <vt:lpstr>LabNeoOpn_27</vt:lpstr>
      <vt:lpstr>LabNeoOpn_28</vt:lpstr>
      <vt:lpstr>LabNeoOpn_29</vt:lpstr>
      <vt:lpstr>LabNeoOpn_3</vt:lpstr>
      <vt:lpstr>LabNeoOpn_30</vt:lpstr>
      <vt:lpstr>LabNeoOpn_31</vt:lpstr>
      <vt:lpstr>LabNeoOpn_32</vt:lpstr>
      <vt:lpstr>LabNeoOpn_4</vt:lpstr>
      <vt:lpstr>LabNeoOpn_5</vt:lpstr>
      <vt:lpstr>LabNeoOpn_6</vt:lpstr>
      <vt:lpstr>LabNeoOpn_7</vt:lpstr>
      <vt:lpstr>LabNeoOpn_8</vt:lpstr>
      <vt:lpstr>LabNeoOpn_9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LabOpn_28</vt:lpstr>
      <vt:lpstr>LabOpn_29</vt:lpstr>
      <vt:lpstr>LabOpn_3</vt:lpstr>
      <vt:lpstr>LabOpn_30</vt:lpstr>
      <vt:lpstr>LabOpn_31</vt:lpstr>
      <vt:lpstr>LabOpn_32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LijstenLijstToevoegingenKV</vt:lpstr>
      <vt:lpstr>LijstenLijstToevoegingenMM</vt:lpstr>
      <vt:lpstr>LijstenLijstVoeding</vt:lpstr>
      <vt:lpstr>LijstenOpzoektabelKV</vt:lpstr>
      <vt:lpstr>LijstenOpzoektabelMM</vt:lpstr>
      <vt:lpstr>LijstenOpzoektabelVoeding</vt:lpstr>
      <vt:lpstr>lijstIntralipidSmof</vt:lpstr>
      <vt:lpstr>lijstToevoegingenKVPrint</vt:lpstr>
      <vt:lpstr>lijstToevoegingenMMPrint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Medicamenten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MedInloop_21</vt:lpstr>
      <vt:lpstr>MedInloop_22</vt:lpstr>
      <vt:lpstr>MedInloop_23</vt:lpstr>
      <vt:lpstr>MedInloop_24</vt:lpstr>
      <vt:lpstr>MedInloop_25</vt:lpstr>
      <vt:lpstr>MedInloop_26</vt:lpstr>
      <vt:lpstr>MedInloop_27</vt:lpstr>
      <vt:lpstr>MedInloop_28</vt:lpstr>
      <vt:lpstr>MedInloop_29</vt:lpstr>
      <vt:lpstr>MedInloop_3</vt:lpstr>
      <vt:lpstr>MedInloop_30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</vt:lpstr>
      <vt:lpstr>MedIVMlOpl_10</vt:lpstr>
      <vt:lpstr>MedIVMlOpl_11</vt:lpstr>
      <vt:lpstr>MedIVMlOpl_12</vt:lpstr>
      <vt:lpstr>MedIVMlOpl_13</vt:lpstr>
      <vt:lpstr>MedIVMlOpl_14</vt:lpstr>
      <vt:lpstr>MedIVMlOpl_15</vt:lpstr>
      <vt:lpstr>MedIVMlOpl_2</vt:lpstr>
      <vt:lpstr>MedIVMlOpl_3</vt:lpstr>
      <vt:lpstr>MedIVMlOpl_4</vt:lpstr>
      <vt:lpstr>MedIVMlOpl_5</vt:lpstr>
      <vt:lpstr>MedIVMlOpl_6</vt:lpstr>
      <vt:lpstr>MedIVMlOpl_7</vt:lpstr>
      <vt:lpstr>MedIVMlOpl_8</vt:lpstr>
      <vt:lpstr>MedIVMlOpl_9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MedKeuze_21</vt:lpstr>
      <vt:lpstr>MedKeuze_22</vt:lpstr>
      <vt:lpstr>MedKeuze_23</vt:lpstr>
      <vt:lpstr>MedKeuze_24</vt:lpstr>
      <vt:lpstr>MedKeuze_25</vt:lpstr>
      <vt:lpstr>MedKeuze_26</vt:lpstr>
      <vt:lpstr>MedKeuze_27</vt:lpstr>
      <vt:lpstr>MedKeuze_28</vt:lpstr>
      <vt:lpstr>MedKeuze_29</vt:lpstr>
      <vt:lpstr>MedKeuze_3</vt:lpstr>
      <vt:lpstr>MedKeuze_30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MedOpl_21</vt:lpstr>
      <vt:lpstr>MedOpl_22</vt:lpstr>
      <vt:lpstr>MedOpl_23</vt:lpstr>
      <vt:lpstr>MedOpl_24</vt:lpstr>
      <vt:lpstr>MedOpl_25</vt:lpstr>
      <vt:lpstr>MedOpl_26</vt:lpstr>
      <vt:lpstr>MedOpl_27</vt:lpstr>
      <vt:lpstr>MedOpl_28</vt:lpstr>
      <vt:lpstr>MedOpl_29</vt:lpstr>
      <vt:lpstr>MedOpl_3</vt:lpstr>
      <vt:lpstr>MedOpl_30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MedOplVol_21</vt:lpstr>
      <vt:lpstr>MedOplVol_22</vt:lpstr>
      <vt:lpstr>MedOplVol_23</vt:lpstr>
      <vt:lpstr>MedOplVol_24</vt:lpstr>
      <vt:lpstr>MedOplVol_25</vt:lpstr>
      <vt:lpstr>MedOplVol_26</vt:lpstr>
      <vt:lpstr>MedOplVol_27</vt:lpstr>
      <vt:lpstr>MedOplVol_28</vt:lpstr>
      <vt:lpstr>MedOplVol_29</vt:lpstr>
      <vt:lpstr>MedOplVol_3</vt:lpstr>
      <vt:lpstr>MedOplVol_30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MedTijden_21</vt:lpstr>
      <vt:lpstr>MedTijden_22</vt:lpstr>
      <vt:lpstr>MedTijden_23</vt:lpstr>
      <vt:lpstr>MedTijden_24</vt:lpstr>
      <vt:lpstr>MedTijden_25</vt:lpstr>
      <vt:lpstr>MedTijden_26</vt:lpstr>
      <vt:lpstr>MedTijden_27</vt:lpstr>
      <vt:lpstr>MedTijden_28</vt:lpstr>
      <vt:lpstr>MedTijden_29</vt:lpstr>
      <vt:lpstr>MedTijden_3</vt:lpstr>
      <vt:lpstr>MedTijden_30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MedToed_21</vt:lpstr>
      <vt:lpstr>MedToed_22</vt:lpstr>
      <vt:lpstr>MedToed_23</vt:lpstr>
      <vt:lpstr>MedToed_24</vt:lpstr>
      <vt:lpstr>MedToed_25</vt:lpstr>
      <vt:lpstr>MedToed_26</vt:lpstr>
      <vt:lpstr>MedToed_27</vt:lpstr>
      <vt:lpstr>MedToed_28</vt:lpstr>
      <vt:lpstr>MedToed_29</vt:lpstr>
      <vt:lpstr>MedToed_3</vt:lpstr>
      <vt:lpstr>MedToed_30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Opl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opmAfsprBlad__15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opmMedDisc__21</vt:lpstr>
      <vt:lpstr>opmMedDisc__22</vt:lpstr>
      <vt:lpstr>opmMedDisc__23</vt:lpstr>
      <vt:lpstr>opmMedDisc__24</vt:lpstr>
      <vt:lpstr>opmMedDisc__25</vt:lpstr>
      <vt:lpstr>opmMedDisc__26</vt:lpstr>
      <vt:lpstr>opmMedDisc__27</vt:lpstr>
      <vt:lpstr>opmMedDisc__28</vt:lpstr>
      <vt:lpstr>opmMedDisc__29</vt:lpstr>
      <vt:lpstr>opmMedDisc__3</vt:lpstr>
      <vt:lpstr>opmMedDisc__30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PM_Instelling</vt:lpstr>
      <vt:lpstr>PM_Mod</vt:lpstr>
      <vt:lpstr>PM_Standaard</vt:lpstr>
      <vt:lpstr>PM_VO</vt:lpstr>
      <vt:lpstr>PM_VS</vt:lpstr>
      <vt:lpstr>Pos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RecNo_21</vt:lpstr>
      <vt:lpstr>RecNo_22</vt:lpstr>
      <vt:lpstr>RecNo_23</vt:lpstr>
      <vt:lpstr>RecNo_24</vt:lpstr>
      <vt:lpstr>RecNo_25</vt:lpstr>
      <vt:lpstr>RecNo_26</vt:lpstr>
      <vt:lpstr>RecNo_27</vt:lpstr>
      <vt:lpstr>RecNo_28</vt:lpstr>
      <vt:lpstr>RecNo_29</vt:lpstr>
      <vt:lpstr>RecNo_3</vt:lpstr>
      <vt:lpstr>RecNo_30</vt:lpstr>
      <vt:lpstr>RecNo_4</vt:lpstr>
      <vt:lpstr>RecNo_5</vt:lpstr>
      <vt:lpstr>RecNo_6</vt:lpstr>
      <vt:lpstr>RecNo_7</vt:lpstr>
      <vt:lpstr>RecNo_8</vt:lpstr>
      <vt:lpstr>RecNo_9</vt:lpstr>
      <vt:lpstr>reservePat</vt:lpstr>
      <vt:lpstr>SelectedIntralipidSmof</vt:lpstr>
      <vt:lpstr>SelectedIntralipidSmof1700</vt:lpstr>
      <vt:lpstr>SMOF</vt:lpstr>
      <vt:lpstr>Soluvit</vt:lpstr>
      <vt:lpstr>SoluvitVol</vt:lpstr>
      <vt:lpstr>Sonde</vt:lpstr>
      <vt:lpstr>SpecVoed_1</vt:lpstr>
      <vt:lpstr>SpecVoed_10</vt:lpstr>
      <vt:lpstr>SpecVoed_11</vt:lpstr>
      <vt:lpstr>SpecVoed_12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StandDos_21</vt:lpstr>
      <vt:lpstr>StandDos_22</vt:lpstr>
      <vt:lpstr>StandDos_23</vt:lpstr>
      <vt:lpstr>StandDos_24</vt:lpstr>
      <vt:lpstr>StandDos_25</vt:lpstr>
      <vt:lpstr>StandDos_26</vt:lpstr>
      <vt:lpstr>StandDos_27</vt:lpstr>
      <vt:lpstr>StandDos_28</vt:lpstr>
      <vt:lpstr>StandDos_29</vt:lpstr>
      <vt:lpstr>StandDos_3</vt:lpstr>
      <vt:lpstr>StandDos_30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StartDatum_21</vt:lpstr>
      <vt:lpstr>StartDatum_22</vt:lpstr>
      <vt:lpstr>StartDatum_23</vt:lpstr>
      <vt:lpstr>StartDatum_24</vt:lpstr>
      <vt:lpstr>StartDatum_25</vt:lpstr>
      <vt:lpstr>StartDatum_26</vt:lpstr>
      <vt:lpstr>StartDatum_27</vt:lpstr>
      <vt:lpstr>StartDatum_28</vt:lpstr>
      <vt:lpstr>StartDatum_29</vt:lpstr>
      <vt:lpstr>StartDatum_3</vt:lpstr>
      <vt:lpstr>StartDatum_30</vt:lpstr>
      <vt:lpstr>StartDatum_4</vt:lpstr>
      <vt:lpstr>StartDatum_5</vt:lpstr>
      <vt:lpstr>StartDatum_6</vt:lpstr>
      <vt:lpstr>StartDatum_7</vt:lpstr>
      <vt:lpstr>StartDatum_8</vt:lpstr>
      <vt:lpstr>StartDatum_9</vt:lpstr>
      <vt:lpstr>TabelAcuteTubeMaatKgNeo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TPN</vt:lpstr>
      <vt:lpstr>TpnNICU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2016-04-21T10:04:09Z</cp:lastPrinted>
  <dcterms:created xsi:type="dcterms:W3CDTF">2000-03-04T00:29:05Z</dcterms:created>
  <dcterms:modified xsi:type="dcterms:W3CDTF">2016-11-28T23:14:31Z</dcterms:modified>
</cp:coreProperties>
</file>