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2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drawings/drawing3.xml" ContentType="application/vnd.openxmlformats-officedocument.drawing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drawings/drawing4.xml" ContentType="application/vnd.openxmlformats-officedocument.drawing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drawings/drawing5.xml" ContentType="application/vnd.openxmlformats-officedocument.drawing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drawings/drawing6.xml" ContentType="application/vnd.openxmlformats-officedocument.drawing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drawings/drawing10.xml" ContentType="application/vnd.openxmlformats-officedocument.drawing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drawings/drawing13.xml" ContentType="application/vnd.openxmlformats-officedocument.drawing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psf\Dropbox\Excel\Afspraken 2016\TestOmgeving\Pelikaan\ICAP\"/>
    </mc:Choice>
  </mc:AlternateContent>
  <bookViews>
    <workbookView xWindow="-15" yWindow="6122" windowWidth="19233" windowHeight="6167" tabRatio="912"/>
  </bookViews>
  <sheets>
    <sheet name="MedicatieIV" sheetId="10" r:id="rId1"/>
    <sheet name="ber_IVmed" sheetId="12" state="veryHidden" r:id="rId2"/>
    <sheet name="tblMedicatieIV" sheetId="11" state="veryHidden" r:id="rId3"/>
    <sheet name="Med_disc" sheetId="13" r:id="rId4"/>
    <sheet name="ber_Med_disc" sheetId="14" state="veryHidden" r:id="rId5"/>
    <sheet name="tblMedDisc" sheetId="69" state="veryHidden" r:id="rId6"/>
    <sheet name="Infusen" sheetId="17" r:id="rId7"/>
    <sheet name="ber_Infusen" sheetId="18" state="veryHidden" r:id="rId8"/>
    <sheet name="tblInfusen" sheetId="70" state="veryHidden" r:id="rId9"/>
    <sheet name="Intake" sheetId="20" r:id="rId10"/>
    <sheet name="ber_normaal" sheetId="19" state="veryHidden" r:id="rId11"/>
    <sheet name="ber_PO" sheetId="27" state="veryHidden" r:id="rId12"/>
    <sheet name="ber_totalen" sheetId="24" state="veryHidden" r:id="rId13"/>
    <sheet name="tblPO" sheetId="26" state="veryHidden" r:id="rId14"/>
    <sheet name="Lab" sheetId="58" r:id="rId15"/>
    <sheet name="Ber_Lab" sheetId="57" state="veryHidden" r:id="rId16"/>
    <sheet name="Aanvullende afspraken Ped" sheetId="60" r:id="rId17"/>
    <sheet name="ber_AanvullendeAfsprakenPed" sheetId="59" state="veryHidden" r:id="rId18"/>
    <sheet name="tblAanvullendeAfspraken" sheetId="51" state="veryHidden" r:id="rId19"/>
    <sheet name="AcuteOpvang" sheetId="3" r:id="rId20"/>
    <sheet name="HEIGHTNL.CRF" sheetId="1" state="veryHidden" r:id="rId21"/>
    <sheet name="WEIGHTNL.CRF" sheetId="2" state="veryHidden" r:id="rId22"/>
    <sheet name="AfsprakenCMV" sheetId="5" r:id="rId23"/>
    <sheet name="Medicatie" sheetId="16" r:id="rId24"/>
    <sheet name="ber_tijden" sheetId="15" state="veryHidden" r:id="rId25"/>
    <sheet name="TPN2tot6kg" sheetId="28" r:id="rId26"/>
    <sheet name="TPN7tot15kg" sheetId="29" r:id="rId27"/>
    <sheet name="TPN16tot30kg" sheetId="30" r:id="rId28"/>
    <sheet name="TPN31tot50kg" sheetId="31" r:id="rId29"/>
    <sheet name="TPNboven50kg" sheetId="32" r:id="rId30"/>
    <sheet name="ber_TPN" sheetId="21" state="veryHidden" r:id="rId31"/>
    <sheet name="&lt;--Pediatrie" sheetId="63" state="veryHidden" r:id="rId32"/>
    <sheet name="Afspraken" sheetId="39" r:id="rId33"/>
    <sheet name="Berekeningen" sheetId="45" state="veryHidden" r:id="rId34"/>
    <sheet name="WerkBriefActueel" sheetId="74" state="veryHidden" r:id="rId35"/>
    <sheet name="Afspraken1700" sheetId="73" r:id="rId36"/>
    <sheet name="Berekeningen1700" sheetId="72" state="veryHidden" r:id="rId37"/>
    <sheet name="WerkBrief" sheetId="36" r:id="rId38"/>
    <sheet name="tblMedicatieIVNeo" sheetId="71" state="veryHidden" r:id="rId39"/>
    <sheet name="Advies" sheetId="40" state="veryHidden" r:id="rId40"/>
    <sheet name="Lijsten" sheetId="42" state="veryHidden" r:id="rId41"/>
    <sheet name="tblVoeding" sheetId="68" state="veryHidden" r:id="rId42"/>
    <sheet name="Medicatie Neo" sheetId="61" r:id="rId43"/>
    <sheet name="ber_tijden_Neo" sheetId="62" state="veryHidden" r:id="rId44"/>
    <sheet name="Aanvullende afspraken Neo" sheetId="50" r:id="rId45"/>
    <sheet name="ber_AanvullendeAfsprakenNeo" sheetId="52" state="veryHidden" r:id="rId46"/>
    <sheet name="Lab Neo" sheetId="56" r:id="rId47"/>
    <sheet name="Ber_Lab_Neo" sheetId="55" state="veryHidden" r:id="rId48"/>
    <sheet name="AcuteOpvang Neo" sheetId="49" r:id="rId49"/>
    <sheet name="Print" sheetId="33" r:id="rId50"/>
    <sheet name="Apotheek" sheetId="38" r:id="rId51"/>
    <sheet name="&lt;-Neo" sheetId="64" state="veryHidden" r:id="rId52"/>
    <sheet name="AfsprakenTekst" sheetId="9" state="veryHidden" r:id="rId53"/>
    <sheet name="Patienten" sheetId="8" state="veryHidden" r:id="rId54"/>
    <sheet name="dbBead" sheetId="6" state="veryHidden" r:id="rId55"/>
    <sheet name="&lt;--Patient" sheetId="65" state="veryHidden" r:id="rId56"/>
    <sheet name="ber_Opm" sheetId="4" state="veryHidden" r:id="rId57"/>
    <sheet name="conversie" sheetId="25" state="veryHidden" r:id="rId58"/>
    <sheet name="Temp" sheetId="7" state="veryHidden" r:id="rId59"/>
  </sheets>
  <functionGroups builtInGroupCount="18"/>
  <definedNames>
    <definedName name="_Aanvullend_Booleans">ber_AanvullendeAfsprakenNeo!$B$7:$B$11,ber_AanvullendeAfsprakenNeo!$D$11:$D$14,ber_AanvullendeAfsprakenNeo!$B$15:$B$19,ber_AanvullendeAfsprakenNeo!$B$22:$B$32,ber_AanvullendeAfsprakenNeo!$B$34,ber_AanvullendeAfsprakenNeo!$B$37,ber_AanvullendeAfsprakenNeo!$B$40,ber_AanvullendeAfsprakenNeo!$B$43:$B$46,ber_AanvullendeAfsprakenNeo!$D$43:$D$45,ber_AanvullendeAfsprakenNeo!$F$7:$F$8,ber_AanvullendeAfsprakenNeo!$F$12:$F$15,ber_AanvullendeAfsprakenNeo!$F$17:$F$18,ber_AanvullendeAfsprakenNeo!$F$21:$F$23,ber_AanvullendeAfsprakenNeo!$F$31,ber_AanvullendeAfsprakenNeo!$H$8:$H$11,ber_AanvullendeAfsprakenNeo!$H$13,ber_AanvullendeAfsprakenNeo!$H$15:$H$16,ber_AanvullendeAfsprakenNeo!$H$18:$H$20,ber_AanvullendeAfsprakenNeo!$H$22:$H$30,ber_AanvullendeAfsprakenNeo!$J$7:$J$20,ber_AanvullendeAfsprakenNeo!$J$24,ber_AanvullendeAfsprakenNeo!$L$21:$L$27,ber_AanvullendeAfsprakenNeo!$L$28,ber_AanvullendeAfsprakenNeo!$J$29</definedName>
    <definedName name="_Aanvullend_Booleans_Ped">ber_AanvullendeAfsprakenPed!$B$7,ber_AanvullendeAfsprakenPed!$B$8,ber_AanvullendeAfsprakenPed!$B$9,ber_AanvullendeAfsprakenPed!$B$10,ber_AanvullendeAfsprakenPed!$B$11,ber_AanvullendeAfsprakenPed!$D$11,ber_AanvullendeAfsprakenPed!$D$12,ber_AanvullendeAfsprakenPed!$D$13,ber_AanvullendeAfsprakenPed!$D$14,ber_AanvullendeAfsprakenPed!$B$15,ber_AanvullendeAfsprakenPed!$B$16,ber_AanvullendeAfsprakenPed!$B$17,ber_AanvullendeAfsprakenPed!$B$20,ber_AanvullendeAfsprakenPed!$B$21,ber_AanvullendeAfsprakenPed!$B$22,ber_AanvullendeAfsprakenPed!$B$23,ber_AanvullendeAfsprakenPed!$B$24,ber_AanvullendeAfsprakenPed!$B$25,ber_AanvullendeAfsprakenPed!$B$27,ber_AanvullendeAfsprakenPed!$B$30,ber_AanvullendeAfsprakenPed!$B$33,ber_AanvullendeAfsprakenPed!$B$36,ber_AanvullendeAfsprakenPed!$B$37,ber_AanvullendeAfsprakenPed!$B$38,ber_AanvullendeAfsprakenPed!$B$39,ber_AanvullendeAfsprakenPed!$D$36,ber_AanvullendeAfsprakenPed!$D$37,ber_AanvullendeAfsprakenPed!$D$38,ber_AanvullendeAfsprakenPed!$F$7,ber_AanvullendeAfsprakenPed!$F$8,ber_AanvullendeAfsprakenPed!$F$9,ber_AanvullendeAfsprakenPed!$F$10,ber_AanvullendeAfsprakenPed!$F$11,ber_AanvullendeAfsprakenPed!$F$12,ber_AanvullendeAfsprakenPed!$F$13,ber_AanvullendeAfsprakenPed!$F$14,ber_AanvullendeAfsprakenPed!$F$15,ber_AanvullendeAfsprakenPed!$B$42,ber_AanvullendeAfsprakenPed!$B$43,ber_AanvullendeAfsprakenPed!$B$44,ber_AanvullendeAfsprakenPed!$F$16,ber_AanvullendeAfsprakenPed!$F$18</definedName>
    <definedName name="_Aanvullend_Controles">ber_AanvullendeAfsprakenNeo!$B$56</definedName>
    <definedName name="_Aanvullend_Controles_Ped">ber_AanvullendeAfsprakenPed!$B$47</definedName>
    <definedName name="_Aanvullend_Data">ber_AanvullendeAfsprakenNeo!$B$12,ber_AanvullendeAfsprakenNeo!$D$22,ber_AanvullendeAfsprakenNeo!$D$34:$D$42,ber_AanvullendeAfsprakenNeo!$D$46:$D$47,ber_AanvullendeAfsprakenNeo!$K$17,ber_AanvullendeAfsprakenNeo!$L$17,ber_AanvullendeAfsprakenNeo!$L$20,ber_AanvullendeAfsprakenNeo!$G$31,ber_AanvullendeAfsprakenNeo!$D$27,ber_AanvullendeAfsprakenNeo!$C$8,ber_AanvullendeAfsprakenNeo!$D$8,ber_AanvullendeAfsprakenNeo!$D$9,ber_AanvullendeAfsprakenNeo!$C$9,ber_AanvullendeAfsprakenNeo!$K$29,ber_AanvullendeAfsprakenNeo!$C$18,ber_AanvullendeAfsprakenNeo!$D$18,ber_AanvullendeAfsprakenNeo!$K$20</definedName>
    <definedName name="_Aanvullend_Data_Ped">ber_AanvullendeAfsprakenPed!$D$7,ber_AanvullendeAfsprakenPed!$D$8,ber_AanvullendeAfsprakenPed!$D$9,ber_AanvullendeAfsprakenPed!$D$10,ber_AanvullendeAfsprakenPed!$B$12,ber_AanvullendeAfsprakenPed!$D$27,ber_AanvullendeAfsprakenPed!$D$28,ber_AanvullendeAfsprakenPed!$D$29,ber_AanvullendeAfsprakenPed!$D$30,ber_AanvullendeAfsprakenPed!$D$31,ber_AanvullendeAfsprakenPed!$D$32,ber_AanvullendeAfsprakenPed!$D$33,ber_AanvullendeAfsprakenPed!$D$34,ber_AanvullendeAfsprakenPed!$D$35,ber_AanvullendeAfsprakenPed!$D$39,ber_AanvullendeAfsprakenPed!$D$40,ber_AanvullendeAfsprakenPed!$F$17,ber_AanvullendeAfsprakenPed!$C$7,ber_AanvullendeAfsprakenPed!$C$8,ber_AanvullendeAfsprakenPed!$C$9,ber_AanvullendeAfsprakenPed!$C$10,ber_AanvullendeAfsprakenPed!$G$16,ber_AanvullendeAfsprakenPed!$G$18,ber_AanvullendeAfsprakenPed!$H$18,ber_AanvullendeAfsprakenPed!$C$42,ber_AanvullendeAfsprakenPed!$C$43</definedName>
    <definedName name="_Aanvullend_Instellingen">ber_AanvullendeAfsprakenNeo!$B$58</definedName>
    <definedName name="_Aanvullend_Instellingen_Ped">ber_AanvullendeAfsprakenPed!$B$49</definedName>
    <definedName name="_Aanvullend_Kweken">ber_AanvullendeAfsprakenNeo!$B$59</definedName>
    <definedName name="_Aanvullend_MRIvertrektijd">ber_AanvullendeAfsprakenNeo!$D$27</definedName>
    <definedName name="_Aanvullend_Onderzoek">ber_AanvullendeAfsprakenNeo!$B$57</definedName>
    <definedName name="_Aanvullend_Onderzoek_Ped">ber_AanvullendeAfsprakenPed!$B$48</definedName>
    <definedName name="_Aanvullend_Overig">ber_AanvullendeAfsprakenNeo!$B$60</definedName>
    <definedName name="_Aanvullend_Overig_Ped">ber_AanvullendeAfsprakenPed!$B$50</definedName>
    <definedName name="_AchterNaam">dbBead!$D$2</definedName>
    <definedName name="_AchterNaamNICU">Berekeningen!$B$1</definedName>
    <definedName name="_AchterNaamNICU1700">Berekeningen1700!$B$1</definedName>
    <definedName name="_ArtLijn">Berekeningen!$B$18</definedName>
    <definedName name="_ArtLijn1700">Berekeningen1700!$B$18</definedName>
    <definedName name="_Arts">Berekeningen!$F$1</definedName>
    <definedName name="_Arts1700">Berekeningen1700!$F$1</definedName>
    <definedName name="_Bed">Berekeningen!$B$2</definedName>
    <definedName name="_Bed1700">Berekeningen1700!$B$2</definedName>
    <definedName name="_CaCl2">Berekeningen!$D$39</definedName>
    <definedName name="_CaCl21700">Berekeningen1700!$D$39</definedName>
    <definedName name="_Dag1700">Berekeningen1700!$B$6</definedName>
    <definedName name="_Dagen">Berekeningen!$D$5</definedName>
    <definedName name="_Dagen1700">Berekeningen1700!$D$5</definedName>
    <definedName name="_DagKeuze">Berekeningen!$D$36</definedName>
    <definedName name="_DagKeuze1700">Berekeningen1700!$D$36</definedName>
    <definedName name="_Eenheid_1">Berekeningen!$G$20</definedName>
    <definedName name="_Eenheid_2">Berekeningen!$G$21</definedName>
    <definedName name="_Eenheid_3">Berekeningen!$G$22</definedName>
    <definedName name="_Eenheid_4">Berekeningen!$G$23</definedName>
    <definedName name="_Eenheid_5">Berekeningen!$G$24</definedName>
    <definedName name="_Eenheid_6">Berekeningen!$G$25</definedName>
    <definedName name="_Eenheid_7">Berekeningen!$G$26</definedName>
    <definedName name="_Eenheid_8">Berekeningen!$G$27</definedName>
    <definedName name="_Eenheid_9">Berekeningen!$G$28</definedName>
    <definedName name="_Eenheid1700_1">Berekeningen1700!$G$20</definedName>
    <definedName name="_Eenheid1700_2">Berekeningen1700!$G$21</definedName>
    <definedName name="_Eenheid1700_3">Berekeningen1700!$G$22</definedName>
    <definedName name="_Eenheid1700_4">Berekeningen1700!$G$23</definedName>
    <definedName name="_Eenheid1700_5">Berekeningen1700!$G$24</definedName>
    <definedName name="_Eenheid1700_6">Berekeningen1700!$G$25</definedName>
    <definedName name="_Eenheid1700_7">Berekeningen1700!$G$26</definedName>
    <definedName name="_Eenheid1700_8">Berekeningen1700!$G$27</definedName>
    <definedName name="_Eenheid1700_9">Berekeningen1700!$G$28</definedName>
    <definedName name="_Extra">Berekeningen!$K$14</definedName>
    <definedName name="_Extra_1">Berekeningen!$K$20</definedName>
    <definedName name="_Extra_10">Berekeningen!$K$18</definedName>
    <definedName name="_Extra_11">Berekeningen!$K$29</definedName>
    <definedName name="_Extra_12">Berekeningen!$K$30</definedName>
    <definedName name="_Extra_13">Berekeningen!$K$31</definedName>
    <definedName name="_Extra_2">Berekeningen!$K$21</definedName>
    <definedName name="_Extra_3">Berekeningen!$K$22</definedName>
    <definedName name="_Extra_4">Berekeningen!$K$23</definedName>
    <definedName name="_Extra_5">Berekeningen!$K$24</definedName>
    <definedName name="_Extra_6">Berekeningen!$K$25</definedName>
    <definedName name="_Extra_7">Berekeningen!$K$26</definedName>
    <definedName name="_Extra_8">Berekeningen!$K$27</definedName>
    <definedName name="_Extra_9">Berekeningen!$K$28</definedName>
    <definedName name="_Extra1700">Berekeningen1700!$K$14</definedName>
    <definedName name="_Extra1700_1">Berekeningen1700!$K$20</definedName>
    <definedName name="_Extra1700_10">Berekeningen1700!$K$18</definedName>
    <definedName name="_Extra1700_11">Berekeningen1700!$K$29</definedName>
    <definedName name="_Extra1700_12">Berekeningen1700!$K$30</definedName>
    <definedName name="_Extra1700_13">Berekeningen1700!$K$31</definedName>
    <definedName name="_Extra1700_2">Berekeningen1700!$K$21</definedName>
    <definedName name="_Extra1700_3">Berekeningen1700!$K$22</definedName>
    <definedName name="_Extra1700_4">Berekeningen1700!$K$23</definedName>
    <definedName name="_Extra1700_5">Berekeningen1700!$K$24</definedName>
    <definedName name="_Extra1700_6">Berekeningen1700!$K$25</definedName>
    <definedName name="_Extra1700_7">Berekeningen1700!$K$26</definedName>
    <definedName name="_Extra1700_8">Berekeningen1700!$K$27</definedName>
    <definedName name="_Extra1700_9">Berekeningen1700!$K$28</definedName>
    <definedName name="_xlnm._FilterDatabase" localSheetId="53" hidden="1">Patienten!$A$1:$Q$577</definedName>
    <definedName name="_xlnm._FilterDatabase" localSheetId="58" hidden="1">Temp!$A$2:$B$437</definedName>
    <definedName name="_Fototherapie">Berekeningen!$B$15</definedName>
    <definedName name="_Fototherapie1700">Berekeningen1700!$B$15</definedName>
    <definedName name="_Frequentie_1">Berekeningen!$D$10</definedName>
    <definedName name="_Frequentie_2">Berekeningen!$D$12</definedName>
    <definedName name="_Frequentie1700_1">Berekeningen1700!$D$10</definedName>
    <definedName name="_Frequentie1700_2">Berekeningen1700!$D$12</definedName>
    <definedName name="_GeboorteDatum">Berekeningen!$B$3</definedName>
    <definedName name="_GeboorteDatum1700">Berekeningen1700!$B$3</definedName>
    <definedName name="_Gewicht">Berekeningen!$B$4</definedName>
    <definedName name="_Gewicht1700">Berekeningen1700!$B$4</definedName>
    <definedName name="_GlucSterkte">Berekeningen!$D$45</definedName>
    <definedName name="_GlucSterkte1700">Berekeningen1700!$D$45</definedName>
    <definedName name="_Hoeveelheid_1">Berekeningen!$D$11</definedName>
    <definedName name="_Hoeveelheid_2">Berekeningen!$D$13</definedName>
    <definedName name="_Hoeveelheid1700_1">Berekeningen1700!$D$11</definedName>
    <definedName name="_Hoeveelheid1700_2">Berekeningen1700!$D$13</definedName>
    <definedName name="_IntakePerKg">Berekeningen!$D$16</definedName>
    <definedName name="_IntakePerKg1700">Berekeningen1700!$D$16</definedName>
    <definedName name="_IntraLipid">Berekeningen!$D$35</definedName>
    <definedName name="_IntraLipid1700">Berekeningen1700!$D$35</definedName>
    <definedName name="_KCl">Berekeningen!$D$38</definedName>
    <definedName name="_KCl1700">Berekeningen1700!$D$38</definedName>
    <definedName name="_Medicament_1">Berekeningen!$B$20</definedName>
    <definedName name="_Medicament_2">Berekeningen!$B$21</definedName>
    <definedName name="_Medicament_3">Berekeningen!$B$22</definedName>
    <definedName name="_Medicament_4">Berekeningen!$B$23</definedName>
    <definedName name="_Medicament_5">Berekeningen!$B$24</definedName>
    <definedName name="_Medicament_6">Berekeningen!$B$25</definedName>
    <definedName name="_Medicament_7">Berekeningen!$B$26</definedName>
    <definedName name="_Medicament_8">Berekeningen!$B$27</definedName>
    <definedName name="_Medicament_9">Berekeningen!$B$28</definedName>
    <definedName name="_Medicament1700_1">Berekeningen1700!$B$20</definedName>
    <definedName name="_Medicament1700_2">Berekeningen1700!$B$21</definedName>
    <definedName name="_Medicament1700_3">Berekeningen1700!$B$22</definedName>
    <definedName name="_Medicament1700_4">Berekeningen1700!$B$23</definedName>
    <definedName name="_Medicament1700_5">Berekeningen1700!$B$24</definedName>
    <definedName name="_Medicament1700_6">Berekeningen1700!$B$25</definedName>
    <definedName name="_Medicament1700_7">Berekeningen1700!$B$26</definedName>
    <definedName name="_Medicament1700_8">Berekeningen1700!$B$27</definedName>
    <definedName name="_Medicament1700_9">Berekeningen1700!$B$28</definedName>
    <definedName name="_MedSterkte_1">Berekeningen!$C$20</definedName>
    <definedName name="_MedSterkte_2">Berekeningen!$C$21</definedName>
    <definedName name="_MedSterkte_3">Berekeningen!$C$22</definedName>
    <definedName name="_MedSterkte_4">Berekeningen!$C$23</definedName>
    <definedName name="_MedSterkte_5">Berekeningen!$C$24</definedName>
    <definedName name="_MedSterkte_6">Berekeningen!$C$25</definedName>
    <definedName name="_MedSterkte_7">Berekeningen!$C$26</definedName>
    <definedName name="_MedSterkte_8">Berekeningen!$C$27</definedName>
    <definedName name="_MedSterkte_9">Berekeningen!$C$28</definedName>
    <definedName name="_MedSterkte1700_1">Berekeningen1700!$C$20</definedName>
    <definedName name="_MedSterkte1700_2">Berekeningen1700!$C$21</definedName>
    <definedName name="_MedSterkte1700_3">Berekeningen1700!$C$22</definedName>
    <definedName name="_MedSterkte1700_4">Berekeningen1700!$C$23</definedName>
    <definedName name="_MedSterkte1700_5">Berekeningen1700!$C$24</definedName>
    <definedName name="_MedSterkte1700_6">Berekeningen1700!$C$25</definedName>
    <definedName name="_MedSterkte1700_7">Berekeningen1700!$C$26</definedName>
    <definedName name="_MedSterkte1700_8">Berekeningen1700!$C$27</definedName>
    <definedName name="_MedSterkte1700_9">Berekeningen1700!$C$28</definedName>
    <definedName name="_MedTekst_1">Berekeningen!$B$32</definedName>
    <definedName name="_MedTekst_2">Berekeningen!$B$33</definedName>
    <definedName name="_MedTekst1700_1">Berekeningen1700!$B$32</definedName>
    <definedName name="_MedTekst1700_2">Berekeningen1700!$B$33</definedName>
    <definedName name="_MgCl2">Berekeningen!$D$40</definedName>
    <definedName name="_MgCl21700">Berekeningen1700!$D$40</definedName>
    <definedName name="_NaCl">Berekeningen!$D$37</definedName>
    <definedName name="_NaCl1700">Berekeningen1700!$D$37</definedName>
    <definedName name="_NeoInfuusContinu1">Berekeningen!$B$90</definedName>
    <definedName name="_NeoInfuusContinu10">Berekeningen!$B$99</definedName>
    <definedName name="_NeoInfuusContinu11">Berekeningen!$B$100</definedName>
    <definedName name="_NeoInfuusContinu12">Berekeningen!$B$101</definedName>
    <definedName name="_NeoInfuusContinu13">Berekeningen!$B$102</definedName>
    <definedName name="_NeoInfuusContinu14">Berekeningen!$B$103</definedName>
    <definedName name="_NeoInfuusContinu15">Berekeningen!$B$104</definedName>
    <definedName name="_NeoInfuusContinu16">Berekeningen!$B$105</definedName>
    <definedName name="_NeoInfuusContinu17">Berekeningen!$B$106</definedName>
    <definedName name="_NeoInfuusContinu1700_1">Berekeningen1700!$B$90</definedName>
    <definedName name="_NeoInfuusContinu1700_10">Berekeningen1700!$B$99</definedName>
    <definedName name="_NeoInfuusContinu1700_11">Berekeningen1700!$B$100</definedName>
    <definedName name="_NeoInfuusContinu1700_12">Berekeningen1700!$B$101</definedName>
    <definedName name="_NeoInfuusContinu1700_13">Berekeningen1700!$B$102</definedName>
    <definedName name="_NeoInfuusContinu1700_14">Berekeningen1700!$B$103</definedName>
    <definedName name="_NeoInfuusContinu1700_15">Berekeningen1700!$B$104</definedName>
    <definedName name="_NeoInfuusContinu1700_16">Berekeningen1700!$B$105</definedName>
    <definedName name="_NeoInfuusContinu1700_17">Berekeningen1700!$B$106</definedName>
    <definedName name="_NeoInfuusContinu1700_18">Berekeningen1700!$B$107</definedName>
    <definedName name="_NeoInfuusContinu1700_19">Berekeningen1700!$B$108</definedName>
    <definedName name="_NeoInfuusContinu1700_2">Berekeningen1700!$B$91</definedName>
    <definedName name="_NeoInfuusContinu1700_20">Berekeningen1700!$B$109</definedName>
    <definedName name="_NeoInfuusContinu1700_21">Berekeningen1700!$B$110</definedName>
    <definedName name="_NeoInfuusContinu1700_22">Berekeningen1700!$B$111</definedName>
    <definedName name="_NeoInfuusContinu1700_23">Berekeningen1700!$B$112</definedName>
    <definedName name="_NeoInfuusContinu1700_24">Berekeningen1700!$B$113</definedName>
    <definedName name="_NeoInfuusContinu1700_25">Berekeningen1700!$B$114</definedName>
    <definedName name="_NeoInfuusContinu1700_26">Berekeningen1700!$B$115</definedName>
    <definedName name="_NeoInfuusContinu1700_27">Berekeningen1700!$B$116</definedName>
    <definedName name="_NeoInfuusContinu1700_3">Berekeningen1700!$B$92</definedName>
    <definedName name="_NeoInfuusContinu1700_4">Berekeningen1700!$B$93</definedName>
    <definedName name="_NeoInfuusContinu1700_5">Berekeningen1700!$B$94</definedName>
    <definedName name="_NeoInfuusContinu1700_6">Berekeningen1700!$B$95</definedName>
    <definedName name="_NeoInfuusContinu1700_7">Berekeningen1700!$B$96</definedName>
    <definedName name="_NeoInfuusContinu1700_8">Berekeningen1700!$B$97</definedName>
    <definedName name="_NeoInfuusContinu1700_9">Berekeningen1700!$B$98</definedName>
    <definedName name="_NeoInfuusContinu18">Berekeningen!$B$107</definedName>
    <definedName name="_NeoInfuusContinu19">Berekeningen!$B$108</definedName>
    <definedName name="_NeoInfuusContinu2">Berekeningen!$B$91</definedName>
    <definedName name="_NeoInfuusContinu20">Berekeningen!$B$109</definedName>
    <definedName name="_NeoInfuusContinu21">Berekeningen!$B$110</definedName>
    <definedName name="_NeoInfuusContinu22">Berekeningen!$B$111</definedName>
    <definedName name="_NeoInfuusContinu23">Berekeningen!$B$112</definedName>
    <definedName name="_NeoInfuusContinu24">Berekeningen!$B$113</definedName>
    <definedName name="_NeoInfuusContinu25">Berekeningen!$B$114</definedName>
    <definedName name="_NeoInfuusContinu26">Berekeningen!$B$115</definedName>
    <definedName name="_NeoInfuusContinu27">Berekeningen!$B$116</definedName>
    <definedName name="_NeoInfuusContinu3">Berekeningen!$B$92</definedName>
    <definedName name="_NeoInfuusContinu4">Berekeningen!$B$93</definedName>
    <definedName name="_NeoInfuusContinu5">Berekeningen!$B$94</definedName>
    <definedName name="_NeoInfuusContinu6">Berekeningen!$B$95</definedName>
    <definedName name="_NeoInfuusContinu7">Berekeningen!$B$96</definedName>
    <definedName name="_NeoInfuusContinu8">Berekeningen!$B$97</definedName>
    <definedName name="_NeoInfuusContinu9">Berekeningen!$B$98</definedName>
    <definedName name="_NeoVoeding1">Berekeningen!$B$73</definedName>
    <definedName name="_NeoVoeding10">Berekeningen!$B$82</definedName>
    <definedName name="_NeoVoeding11">Berekeningen!$B$83</definedName>
    <definedName name="_NeoVoeding12">Berekeningen!$B$84</definedName>
    <definedName name="_NeoVoeding13">Berekeningen!$B$85</definedName>
    <definedName name="_NeoVoeding14">Berekeningen!$B$86</definedName>
    <definedName name="_NeoVoeding15">Berekeningen!$B$87</definedName>
    <definedName name="_NeoVoeding1700_1">Berekeningen1700!$B$73</definedName>
    <definedName name="_NeoVoeding1700_10">Berekeningen1700!$B$82</definedName>
    <definedName name="_NeoVoeding1700_11">Berekeningen1700!$B$83</definedName>
    <definedName name="_NeoVoeding1700_12">Berekeningen1700!$B$84</definedName>
    <definedName name="_NeoVoeding1700_13">Berekeningen1700!$B$85</definedName>
    <definedName name="_NeoVoeding1700_14">Berekeningen1700!$B$86</definedName>
    <definedName name="_NeoVoeding1700_15">Berekeningen1700!$B$87</definedName>
    <definedName name="_NeoVoeding1700_2">Berekeningen1700!$B$74</definedName>
    <definedName name="_NeoVoeding1700_3">Berekeningen1700!$B$75</definedName>
    <definedName name="_NeoVoeding1700_4">Berekeningen1700!$B$76</definedName>
    <definedName name="_NeoVoeding1700_5">Berekeningen1700!$B$77</definedName>
    <definedName name="_NeoVoeding1700_6">Berekeningen1700!$B$78</definedName>
    <definedName name="_NeoVoeding1700_7">Berekeningen1700!$B$79</definedName>
    <definedName name="_NeoVoeding1700_8">Berekeningen1700!$B$80</definedName>
    <definedName name="_NeoVoeding1700_9">Berekeningen1700!$B$81</definedName>
    <definedName name="_NeoVoeding2">Berekeningen!$B$74</definedName>
    <definedName name="_NeoVoeding3">Berekeningen!$B$75</definedName>
    <definedName name="_NeoVoeding4">Berekeningen!$B$76</definedName>
    <definedName name="_NeoVoeding5">Berekeningen!$B$77</definedName>
    <definedName name="_NeoVoeding6">Berekeningen!$B$78</definedName>
    <definedName name="_NeoVoeding7">Berekeningen!$B$79</definedName>
    <definedName name="_NeoVoeding8">Berekeningen!$B$80</definedName>
    <definedName name="_NeoVoeding9">Berekeningen!$B$81</definedName>
    <definedName name="_NICUMix">Berekeningen!$D$43</definedName>
    <definedName name="_NICUMix1700">Berekeningen1700!$D$43</definedName>
    <definedName name="_OplHoev_1">Berekeningen!$D$20</definedName>
    <definedName name="_OplHoev_2">Berekeningen!$D$21</definedName>
    <definedName name="_OplHoev_3">Berekeningen!$D$22</definedName>
    <definedName name="_OplHoev_4">Berekeningen!$D$23</definedName>
    <definedName name="_OplHoev_5">Berekeningen!$D$24</definedName>
    <definedName name="_OplHoev_6">Berekeningen!$D$25</definedName>
    <definedName name="_OplHoev_7">Berekeningen!$D$26</definedName>
    <definedName name="_OplHoev_8">Berekeningen!$D$27</definedName>
    <definedName name="_OplHoev_9">Berekeningen!$D$28</definedName>
    <definedName name="_OplHoev1700_1">Berekeningen1700!$D$20</definedName>
    <definedName name="_OplHoev1700_2">Berekeningen1700!$D$21</definedName>
    <definedName name="_OplHoev1700_3">Berekeningen1700!$D$22</definedName>
    <definedName name="_OplHoev1700_4">Berekeningen1700!$D$23</definedName>
    <definedName name="_OplHoev1700_5">Berekeningen1700!$D$24</definedName>
    <definedName name="_OplHoev1700_6">Berekeningen1700!$D$25</definedName>
    <definedName name="_OplHoev1700_7">Berekeningen1700!$D$26</definedName>
    <definedName name="_OplHoev1700_8">Berekeningen1700!$D$27</definedName>
    <definedName name="_OplHoev1700_9">Berekeningen1700!$D$28</definedName>
    <definedName name="_Oplossing_1">Berekeningen!$E$20</definedName>
    <definedName name="_Oplossing_10">Berekeningen!$E$29</definedName>
    <definedName name="_Oplossing_11">Berekeningen!$E$30</definedName>
    <definedName name="_Oplossing_12">Berekeningen!$E$31</definedName>
    <definedName name="_Oplossing_2">Berekeningen!$E$21</definedName>
    <definedName name="_Oplossing_3">Berekeningen!$E$22</definedName>
    <definedName name="_Oplossing_4">Berekeningen!$E$23</definedName>
    <definedName name="_Oplossing_5">Berekeningen!$E$24</definedName>
    <definedName name="_Oplossing_6">Berekeningen!$E$25</definedName>
    <definedName name="_Oplossing_7">Berekeningen!$E$26</definedName>
    <definedName name="_Oplossing_8">Berekeningen!$E$27</definedName>
    <definedName name="_Oplossing_9">Berekeningen!$E$28</definedName>
    <definedName name="_Oplossing1700_1">Berekeningen1700!$E$20</definedName>
    <definedName name="_Oplossing1700_10">Berekeningen1700!$E$29</definedName>
    <definedName name="_Oplossing1700_11">Berekeningen1700!$E$30</definedName>
    <definedName name="_Oplossing1700_12">Berekeningen1700!$E$31</definedName>
    <definedName name="_Oplossing1700_2">Berekeningen1700!$E$21</definedName>
    <definedName name="_Oplossing1700_3">Berekeningen1700!$E$22</definedName>
    <definedName name="_Oplossing1700_4">Berekeningen1700!$E$23</definedName>
    <definedName name="_Oplossing1700_5">Berekeningen1700!$E$24</definedName>
    <definedName name="_Oplossing1700_6">Berekeningen1700!$E$25</definedName>
    <definedName name="_Oplossing1700_7">Berekeningen1700!$E$26</definedName>
    <definedName name="_Oplossing1700_8">Berekeningen1700!$E$27</definedName>
    <definedName name="_Oplossing1700_9">Berekeningen1700!$E$28</definedName>
    <definedName name="_Parenteraal">Berekeningen!$B$17</definedName>
    <definedName name="_Parenteraal1700">Berekeningen1700!$B$17</definedName>
    <definedName name="_PatNum">Berekeningen!$F$3</definedName>
    <definedName name="_PatNum1700">Berekeningen1700!$F$3</definedName>
    <definedName name="_Percentage_0">Berekeningen!$L$52</definedName>
    <definedName name="_Percentage_1">Berekeningen!$L$53</definedName>
    <definedName name="_Percentage_2">Berekeningen!$L$54</definedName>
    <definedName name="_Percentage_3">Berekeningen!$L$55</definedName>
    <definedName name="_Percentage_4">Berekeningen!$L$56</definedName>
    <definedName name="_Percentage_5">Berekeningen!$L$58</definedName>
    <definedName name="_Percentage_6">Berekeningen!$L$59</definedName>
    <definedName name="_Percentage_7">Berekeningen!$L$60</definedName>
    <definedName name="_Percentage_8">Berekeningen!$L$61</definedName>
    <definedName name="_Percentage1700_0">Berekeningen1700!$L$52</definedName>
    <definedName name="_Percentage1700_1">Berekeningen1700!$L$53</definedName>
    <definedName name="_Percentage1700_2">Berekeningen1700!$L$54</definedName>
    <definedName name="_Percentage1700_3">Berekeningen1700!$L$55</definedName>
    <definedName name="_Percentage1700_4">Berekeningen1700!$L$56</definedName>
    <definedName name="_Percentage1700_5">Berekeningen1700!$L$58</definedName>
    <definedName name="_Percentage1700_6">Berekeningen1700!$L$59</definedName>
    <definedName name="_Percentage1700_7">Berekeningen1700!$L$60</definedName>
    <definedName name="_Percentage1700_8">Berekeningen1700!$L$61</definedName>
    <definedName name="_PercentageKeuze_0">Berekeningen!$K$52</definedName>
    <definedName name="_PercentageKeuze_1">Berekeningen!$K$53</definedName>
    <definedName name="_PercentageKeuze_2">Berekeningen!$K$54</definedName>
    <definedName name="_PercentageKeuze_3">Berekeningen!$K$55</definedName>
    <definedName name="_PercentageKeuze_4">Berekeningen!$K$56</definedName>
    <definedName name="_PercentageKeuze_5">Berekeningen!$K$58</definedName>
    <definedName name="_PercentageKeuze_6">Berekeningen!$K$59</definedName>
    <definedName name="_PercentageKeuze_7">Berekeningen!$K$60</definedName>
    <definedName name="_PercentageKeuze_8">Berekeningen!$K$61</definedName>
    <definedName name="_PercentageKeuze1700_0">Berekeningen1700!$K$52</definedName>
    <definedName name="_PercentageKeuze1700_1">Berekeningen1700!$K$53</definedName>
    <definedName name="_PercentageKeuze1700_2">Berekeningen1700!$K$54</definedName>
    <definedName name="_PercentageKeuze1700_3">Berekeningen1700!$K$55</definedName>
    <definedName name="_PercentageKeuze1700_4">Berekeningen1700!$K$56</definedName>
    <definedName name="_PercentageKeuze1700_5">Berekeningen1700!$K$58</definedName>
    <definedName name="_PercentageKeuze1700_6">Berekeningen1700!$K$59</definedName>
    <definedName name="_PercentageKeuze1700_7">Berekeningen1700!$K$60</definedName>
    <definedName name="_PercentageKeuze1700_8">Berekeningen1700!$K$61</definedName>
    <definedName name="_Primene">Berekeningen!$D$42</definedName>
    <definedName name="_Primene1700">Berekeningen1700!$D$42</definedName>
    <definedName name="_SoluVit">Berekeningen!$D$41</definedName>
    <definedName name="_SoluVit1700">Berekeningen1700!$D$41</definedName>
    <definedName name="_SSTB">Berekeningen!$D$44</definedName>
    <definedName name="_SSTB1700">Berekeningen1700!$D$44</definedName>
    <definedName name="_Stand_1">Berekeningen!$F$20</definedName>
    <definedName name="_Stand_10">Berekeningen!$F$29</definedName>
    <definedName name="_Stand_11">Berekeningen!$F$30</definedName>
    <definedName name="_Stand_12">Berekeningen!$F$31</definedName>
    <definedName name="_Stand_2">Berekeningen!$F$21</definedName>
    <definedName name="_Stand_3">Berekeningen!$F$22</definedName>
    <definedName name="_Stand_4">Berekeningen!$F$23</definedName>
    <definedName name="_Stand_5">Berekeningen!$F$24</definedName>
    <definedName name="_Stand_6">Berekeningen!$F$25</definedName>
    <definedName name="_Stand_7">Berekeningen!$F$26</definedName>
    <definedName name="_Stand_8">Berekeningen!$F$27</definedName>
    <definedName name="_Stand_9">Berekeningen!$F$28</definedName>
    <definedName name="_Stand1700_1">Berekeningen1700!$F$20</definedName>
    <definedName name="_Stand1700_10">Berekeningen1700!$F$29</definedName>
    <definedName name="_Stand1700_11">Berekeningen1700!$F$30</definedName>
    <definedName name="_Stand1700_12">Berekeningen1700!$F$31</definedName>
    <definedName name="_Stand1700_2">Berekeningen1700!$F$21</definedName>
    <definedName name="_Stand1700_3">Berekeningen1700!$F$22</definedName>
    <definedName name="_Stand1700_4">Berekeningen1700!$F$23</definedName>
    <definedName name="_Stand1700_5">Berekeningen1700!$F$24</definedName>
    <definedName name="_Stand1700_6">Berekeningen1700!$F$25</definedName>
    <definedName name="_Stand1700_7">Berekeningen1700!$F$26</definedName>
    <definedName name="_Stand1700_8">Berekeningen1700!$F$27</definedName>
    <definedName name="_Stand1700_9">Berekeningen1700!$F$28</definedName>
    <definedName name="_Sterkte_1">Berekeningen!$C$20</definedName>
    <definedName name="_Sterkte_2">Berekeningen!$C$21</definedName>
    <definedName name="_Sterkte_3">Berekeningen!$C$22</definedName>
    <definedName name="_Sterkte_4">Berekeningen!$C$23</definedName>
    <definedName name="_Sterkte_5">Berekeningen!$C$24</definedName>
    <definedName name="_Sterkte_6">Berekeningen!$C$25</definedName>
    <definedName name="_Sterkte_7">Berekeningen!$C$26</definedName>
    <definedName name="_Sterkte_8">Berekeningen!$C$27</definedName>
    <definedName name="_Sterkte_9">Berekeningen!$C$28</definedName>
    <definedName name="_Supervisor">Berekeningen!$A$63</definedName>
    <definedName name="_Supervisor1700">Berekeningen1700!$A$63</definedName>
    <definedName name="_Toevoeging_0">Berekeningen!$B$52</definedName>
    <definedName name="_Toevoeging_1">Berekeningen!$B$53</definedName>
    <definedName name="_Toevoeging_2">Berekeningen!$B$54</definedName>
    <definedName name="_Toevoeging_3">Berekeningen!$B$55</definedName>
    <definedName name="_Toevoeging_4">Berekeningen!$B$56</definedName>
    <definedName name="_Toevoeging_5">Berekeningen!$B$58</definedName>
    <definedName name="_Toevoeging_6">Berekeningen!$B$59</definedName>
    <definedName name="_Toevoeging_7">Berekeningen!$B$60</definedName>
    <definedName name="_Toevoeging_8">Berekeningen!$B$61</definedName>
    <definedName name="_Toevoeging1700_0">Berekeningen1700!$B$52</definedName>
    <definedName name="_Toevoeging1700_1">Berekeningen1700!$B$53</definedName>
    <definedName name="_Toevoeging1700_2">Berekeningen1700!$B$54</definedName>
    <definedName name="_Toevoeging1700_3">Berekeningen1700!$B$55</definedName>
    <definedName name="_Toevoeging1700_4">Berekeningen1700!$B$56</definedName>
    <definedName name="_Toevoeging1700_5">Berekeningen1700!$B$58</definedName>
    <definedName name="_Toevoeging1700_6">Berekeningen1700!$B$59</definedName>
    <definedName name="_Toevoeging1700_7">Berekeningen1700!$B$60</definedName>
    <definedName name="_Toevoeging1700_8">Berekeningen1700!$B$61</definedName>
    <definedName name="_Voeding">Berekeningen!$D$14</definedName>
    <definedName name="_Voeding1700">Berekeningen1700!$D$14</definedName>
    <definedName name="_VoedingBMFWaarden">Lijsten!$AB$3:$AB$5</definedName>
    <definedName name="_VoedingToevoegingenBMF">Lijsten!$M$51:$Y$52</definedName>
    <definedName name="_VoedingToevoegingenKunstvoeding">Lijsten!$L$44:$Y$48</definedName>
    <definedName name="_VoedingToevoegingenMoedermelk">Lijsten!$L$33:$Y$39</definedName>
    <definedName name="_VoedingToevoegingenWaarden">Lijsten!$AC$3:$AC$13</definedName>
    <definedName name="_VoorNaam">dbBead!$E$2</definedName>
    <definedName name="_VoornaamNICU">Berekeningen!$C$1</definedName>
    <definedName name="_VoornaamNICU1700">Berekeningen1700!$C$1</definedName>
    <definedName name="_Weken">Berekeningen!$D$4</definedName>
    <definedName name="_Weken1700">Berekeningen1700!$D$4</definedName>
    <definedName name="_WerkbriefActueelIntravasaleToegangBreuk">WerkBriefActueel!$N$6</definedName>
    <definedName name="_WerkbriefActueelIntravasaleToegangGeheel">WerkBriefActueel!$M$6</definedName>
    <definedName name="_WerkbriefActueelIntravasaleToegangStand">WerkBriefActueel!$A$6</definedName>
    <definedName name="_WerkbriefActueelIntravasaleToegangTekst">WerkBriefActueel!$C$6</definedName>
    <definedName name="_WerkbriefActueelTPNCaClBreuk">WerkBriefActueel!$N$10</definedName>
    <definedName name="_WerkbriefActueelTPNCaClGeheel">WerkBriefActueel!$M$10</definedName>
    <definedName name="_WerkbriefActueelTPNCaClTekst">WerkBriefActueel!$H$10</definedName>
    <definedName name="_WerkbriefActueelTPNGlucBreuk">WerkBriefActueel!$N$16</definedName>
    <definedName name="_WerkbriefActueelTPNGlucGeheel">WerkBriefActueel!$M$16</definedName>
    <definedName name="_WerkbriefActueelTPNGlucTekst">WerkBriefActueel!$H$16</definedName>
    <definedName name="_WerkbriefActueelTPNKacetaatBreuk">WerkBriefActueel!$N$9</definedName>
    <definedName name="_WerkbriefActueelTPNKacetaatGeheel">WerkBriefActueel!$M$9</definedName>
    <definedName name="_WerkbriefActueelTPNKacetaatTekst">WerkBriefActueel!$H$9</definedName>
    <definedName name="_WerkbriefActueelTPNMgClBreuk">WerkBriefActueel!$N$11</definedName>
    <definedName name="_WerkbriefActueelTPNMgClGeheel">WerkBriefActueel!$M$11</definedName>
    <definedName name="_WerkbriefActueelTPNMgClTekst">WerkBriefActueel!$H$11</definedName>
    <definedName name="_WerkbriefActueelTPNNaClBreuk">WerkBriefActueel!$N$8</definedName>
    <definedName name="_WerkbriefActueelTPNNaClGeheel">WerkBriefActueel!$M$8</definedName>
    <definedName name="_WerkbriefActueelTPNNaCLTekst">WerkBriefActueel!$H$8</definedName>
    <definedName name="_WerkbriefActueelTPNNICUmixBreuk">WerkBriefActueel!$N$14</definedName>
    <definedName name="_WerkbriefActueelTPNNICUmixGeheel">WerkBriefActueel!$M$14</definedName>
    <definedName name="_WerkbriefActueelTPNNICUmixTekst">WerkBriefActueel!$H$14</definedName>
    <definedName name="_WerkbriefActueelTPNPrimeneBreuk">WerkBriefActueel!$N$13</definedName>
    <definedName name="_WerkbriefActueelTPNPrimeneGeheel">WerkBriefActueel!$M$13</definedName>
    <definedName name="_WerkbriefActueelTPNPrimeneTekst">WerkBriefActueel!$H$13</definedName>
    <definedName name="_WerkbriefActueelTPNSamBBreuk">WerkBriefActueel!$N$15</definedName>
    <definedName name="_WerkbriefActueelTPNSamBGeheel">WerkBriefActueel!$M$15</definedName>
    <definedName name="_WerkbriefActueelTPNSamBTekst">WerkBriefActueel!$H$15</definedName>
    <definedName name="_WerkbriefActueelTPNSoluvitBreuk">WerkBriefActueel!$N$12</definedName>
    <definedName name="_WerkbriefActueelTPNSoluvitGeheel">WerkBriefActueel!$M$12</definedName>
    <definedName name="_WerkbriefActueelTPNSoluvitTekst">WerkBriefActueel!$H$12</definedName>
    <definedName name="_WerkbriefActueelTPNStand">WerkBriefActueel!$A$8</definedName>
    <definedName name="_WerkbriefActueelTPNTotaalBreuk">WerkBriefActueel!$N$17</definedName>
    <definedName name="_WerkbriefActueelTPNTotaalGeheel">WerkBriefActueel!$M$17</definedName>
    <definedName name="_WerkbriefIntravasaleToegangBreuk">WerkBrief!$N$6</definedName>
    <definedName name="_WerkbriefIntravasaleToegangGeheel">WerkBrief!$M$6</definedName>
    <definedName name="_WerkbriefIntravasaleToegangStand">WerkBrief!$A$6</definedName>
    <definedName name="_WerkbriefIntravasaleToegangTekst">WerkBrief!$C$6</definedName>
    <definedName name="_WerkbriefTPNCaClBreuk">WerkBrief!$N$10</definedName>
    <definedName name="_WerkbriefTPNCaClGeheel">WerkBrief!$M$10</definedName>
    <definedName name="_WerkbriefTPNCaClTekst">WerkBrief!$H$10</definedName>
    <definedName name="_WerkbriefTPNGlucBreuk">WerkBrief!$N$16</definedName>
    <definedName name="_WerkbriefTPNGlucGeheel">WerkBrief!$M$16</definedName>
    <definedName name="_WerkbriefTPNGlucTekst">WerkBrief!$H$16</definedName>
    <definedName name="_WerkbriefTPNKacetaatBreuk">WerkBrief!$N$9</definedName>
    <definedName name="_WerkbriefTPNKacetaatGeheel">WerkBrief!$M$9</definedName>
    <definedName name="_WerkbriefTPNKacetaatTekst">WerkBrief!$H$9</definedName>
    <definedName name="_WerkbriefTPNMgClBreuk">WerkBrief!$N$11</definedName>
    <definedName name="_WerkbriefTPNMgClGeheel">WerkBrief!$M$11</definedName>
    <definedName name="_WerkbriefTPNMgClTekst">WerkBrief!$H$11</definedName>
    <definedName name="_WerkbriefTPNNaClBreuk">WerkBrief!$N$8</definedName>
    <definedName name="_WerkbriefTPNNaClGeheel">WerkBrief!$M$8</definedName>
    <definedName name="_WerkbriefTPNNaCLTekst">WerkBrief!$H$8</definedName>
    <definedName name="_WerkbriefTPNNICUmixBreuk">WerkBrief!$N$14</definedName>
    <definedName name="_WerkbriefTPNNICUmixGeheel">WerkBrief!$M$14</definedName>
    <definedName name="_WerkbriefTPNNICUmixTekst">WerkBrief!$H$14</definedName>
    <definedName name="_WerkbriefTPNPrimeneBreuk">WerkBrief!$N$13</definedName>
    <definedName name="_WerkbriefTPNPrimeneGeheel">WerkBrief!$M$13</definedName>
    <definedName name="_WerkbriefTPNPrimeneTekst">WerkBrief!$H$13</definedName>
    <definedName name="_WerkbriefTPNSamBBreuk">WerkBrief!$N$15</definedName>
    <definedName name="_WerkbriefTPNSamBGeheel">WerkBrief!$M$15</definedName>
    <definedName name="_WerkbriefTPNSamBTekst">WerkBrief!$H$15</definedName>
    <definedName name="_WerkbriefTPNSoluvitBreuk">WerkBrief!$N$12</definedName>
    <definedName name="_WerkbriefTPNSoluvitGeheel">WerkBrief!$M$12</definedName>
    <definedName name="_WerkbriefTPNSoluvitTekst">WerkBrief!$H$12</definedName>
    <definedName name="_WerkbriefTPNStand">WerkBrief!$A$8</definedName>
    <definedName name="_WerkbriefTPNTotaalBreuk">WerkBrief!$N$17</definedName>
    <definedName name="_WerkbriefTPNTotaalGeheel">WerkBrief!$M$17</definedName>
    <definedName name="Aanvullend_aEEG">tblAanvullendeAfspraken!$A$2:$A$5</definedName>
    <definedName name="Aanvullend_LiquorDrainSub1">tblAanvullendeAfspraken!$J$2:$J$5</definedName>
    <definedName name="Aanvullend_NIBD">tblAanvullendeAfspraken!$E$2:$E$6</definedName>
    <definedName name="Aanvullend_Overige_Ped">ber_AanvullendeAfsprakenPed!$F$17</definedName>
    <definedName name="Aanvullend_PerPeriode">tblAanvullendeAfspraken!$I$2:$I$5</definedName>
    <definedName name="Aanvullend_ThoraxDrainSub1">tblAanvullendeAfspraken!$B$2:$B$8</definedName>
    <definedName name="Aanvullend_ThoraxDrainSub2">tblAanvullendeAfspraken!$C$2:$C$6</definedName>
    <definedName name="Aanvullend_ThoraxDrainSub3">tblAanvullendeAfspraken!$D$2:$D$5</definedName>
    <definedName name="Aanvullend_Verliezen_Ped">ber_AanvullendeAfsprakenPed!$H$18</definedName>
    <definedName name="Aanvullend_Vertrektijden">tblAanvullendeAfspraken!$G$2:$H$98</definedName>
    <definedName name="Aanvullend_Verwijderen">tblAanvullendeAfspraken!$F$2:$F$6</definedName>
    <definedName name="Aanvullend_WondkweekTekst">ber_AanvullendeAfsprakenNeo!$G$31</definedName>
    <definedName name="AanvullendNeoBool_aEEG">ber_AanvullendeAfsprakenNeo!$B$22</definedName>
    <definedName name="AanvullendNeoBool_ArmLinks">ber_AanvullendeAfsprakenNeo!$D$11</definedName>
    <definedName name="AanvullendNeoBool_ArmRechts">ber_AanvullendeAfsprakenNeo!$D$12</definedName>
    <definedName name="AanvullendNeoBool_BeenLinks">ber_AanvullendeAfsprakenNeo!$D$13</definedName>
    <definedName name="AanvullendNeoBool_BeenRechts">ber_AanvullendeAfsprakenNeo!$D$14</definedName>
    <definedName name="AanvullendNeoBool_Bloedkweek">ber_AanvullendeAfsprakenNeo!$F$7</definedName>
    <definedName name="AanvullendNeoBool_CatheterDemeure">ber_AanvullendeAfsprakenNeo!$J$7</definedName>
    <definedName name="AanvullendNeoBool_CT">ber_AanvullendeAfsprakenNeo!$B$23</definedName>
    <definedName name="AanvullendNeoBool_ECG">ber_AanvullendeAfsprakenNeo!$B$24</definedName>
    <definedName name="AanvullendNeoBool_EchoBuik">ber_AanvullendeAfsprakenNeo!$B$25</definedName>
    <definedName name="AanvullendNeoBool_EchoHart">ber_AanvullendeAfsprakenNeo!$B$26</definedName>
    <definedName name="AanvullendNeoBool_FaecesBacterieel">ber_AanvullendeAfsprakenNeo!$H$8</definedName>
    <definedName name="AanvullendNeoBool_Faeceskweek">ber_AanvullendeAfsprakenNeo!$F$8</definedName>
    <definedName name="AanvullendNeoBool_FaecesRotaAdeno">ber_AanvullendeAfsprakenNeo!$H$9</definedName>
    <definedName name="AanvullendNeoBool_FaecesSchimmelGist">ber_AanvullendeAfsprakenNeo!$H$10</definedName>
    <definedName name="AanvullendNeoBool_FaecesViraal">ber_AanvullendeAfsprakenNeo!$H$11</definedName>
    <definedName name="AanvullendNeoBool_Finnigan">ber_AanvullendeAfsprakenNeo!$B$7</definedName>
    <definedName name="AanvullendNeoBool_Fototherapie">ber_AanvullendeAfsprakenNeo!$J$29</definedName>
    <definedName name="AanvullendNeoBool_FototherapieStop">ber_AanvullendeAfsprakenNeo!$J$8</definedName>
    <definedName name="AanvullendNeoBool_Gatrostoma">ber_AanvullendeAfsprakenNeo!$J$9</definedName>
    <definedName name="AanvullendNeoBool_Gewicht">ber_AanvullendeAfsprakenNeo!$B$8</definedName>
    <definedName name="AanvullendNeoBool_InfuusOpSlot">ber_AanvullendeAfsprakenNeo!$J$10</definedName>
    <definedName name="AanvullendNeoBool_InfuusUit">ber_AanvullendeAfsprakenNeo!$J$11</definedName>
    <definedName name="AanvullendNeoBool_Keelkweek">ber_AanvullendeAfsprakenNeo!$F$12</definedName>
    <definedName name="AanvullendNeoBool_Lengte">ber_AanvullendeAfsprakenNeo!$B$9</definedName>
    <definedName name="AanvullendNeoBool_Liquor">ber_AanvullendeAfsprakenNeo!$B$46</definedName>
    <definedName name="AanvullendNeoBool_MaagsondeOpenHoog">ber_AanvullendeAfsprakenNeo!$J$12</definedName>
    <definedName name="AanvullendNeoBool_Monitor">ber_AanvullendeAfsprakenNeo!$B$10</definedName>
    <definedName name="AanvullendNeoBool_MRI">ber_AanvullendeAfsprakenNeo!$B$27</definedName>
    <definedName name="AanvullendNeoBool_Neusspoelsel">ber_AanvullendeAfsprakenNeo!$F$13</definedName>
    <definedName name="AanvullendNeoBool_NeusspoelselViraal">ber_AanvullendeAfsprakenNeo!$H$13</definedName>
    <definedName name="AanvullendNeoBool_NIBD">ber_AanvullendeAfsprakenNeo!$B$11</definedName>
    <definedName name="AanvullendNeoBool_NIBDAll">ber_AanvullendeAfsprakenNeo!$B$15</definedName>
    <definedName name="AanvullendNeoBool_NIRS1">ber_AanvullendeAfsprakenNeo!$B$28</definedName>
    <definedName name="AanvullendNeoBool_NIRS2">ber_AanvullendeAfsprakenNeo!$B$29</definedName>
    <definedName name="AanvullendNeoBool_NIRSnier">ber_AanvullendeAfsprakenNeo!$B$30</definedName>
    <definedName name="AanvullendNeoBool_OntslagAkkoord">ber_AanvullendeAfsprakenNeo!$J$15</definedName>
    <definedName name="AanvullendNeoBool_OntslagInOverleg">ber_AanvullendeAfsprakenNeo!$J$13</definedName>
    <definedName name="AanvullendNeoBool_OntslagNaVisite">ber_AanvullendeAfsprakenNeo!$J$14</definedName>
    <definedName name="AanvullendNeoBool_Opnamekweken">ber_AanvullendeAfsprakenNeo!$F$14</definedName>
    <definedName name="AanvullendNeoBool_OppervlakteGistSchimmel">ber_AanvullendeAfsprakenNeo!$H$16</definedName>
    <definedName name="AanvullendNeoBool_Oppervlaktekweken">ber_AanvullendeAfsprakenNeo!$F$15</definedName>
    <definedName name="AanvullendNeoBool_OppervlakteOpname">ber_AanvullendeAfsprakenNeo!$H$15</definedName>
    <definedName name="AanvullendNeoBool_Pacemakerdraden">ber_AanvullendeAfsprakenNeo!$J$16</definedName>
    <definedName name="AanvullendNeoBool_Peritoneaal">ber_AanvullendeAfsprakenNeo!$B$43</definedName>
    <definedName name="AanvullendNeoBool_PeritoneaalVacuum">ber_AanvullendeAfsprakenNeo!$D$43</definedName>
    <definedName name="AanvullendNeoBool_Pigtail">ber_AanvullendeAfsprakenNeo!$B$44</definedName>
    <definedName name="AanvullendNeoBool_PigtailVacuum">ber_AanvullendeAfsprakenNeo!$D$44</definedName>
    <definedName name="AanvullendNeoBool_Redon">ber_AanvullendeAfsprakenNeo!$B$45</definedName>
    <definedName name="AanvullendNeoBool_RedonVacuum">ber_AanvullendeAfsprakenNeo!$D$45</definedName>
    <definedName name="AanvullendNeoBool_Rickham">ber_AanvullendeAfsprakenNeo!$J$17</definedName>
    <definedName name="AanvullendNeoBool_RS">ber_AanvullendeAfsprakenNeo!$J$18</definedName>
    <definedName name="AanvullendNeoBool_RSdiagnostiek">ber_AanvullendeAfsprakenNeo!$F$17</definedName>
    <definedName name="AanvullendNeoBool_SaturatiePost">ber_AanvullendeAfsprakenNeo!$B$16</definedName>
    <definedName name="AanvullendNeoBool_SaturatiePre">ber_AanvullendeAfsprakenNeo!$B$17</definedName>
    <definedName name="AanvullendNeoBool_Schedel">ber_AanvullendeAfsprakenNeo!$B$18</definedName>
    <definedName name="AanvullendNeoBool_SputumBacterieel">ber_AanvullendeAfsprakenNeo!$H$18</definedName>
    <definedName name="AanvullendNeoBool_Sputumkweek">ber_AanvullendeAfsprakenNeo!$F$18</definedName>
    <definedName name="AanvullendNeoBool_SputumUreaplasmaMycoplasma">ber_AanvullendeAfsprakenNeo!$H$19</definedName>
    <definedName name="AanvullendNeoBool_SputumViraal">ber_AanvullendeAfsprakenNeo!$H$20</definedName>
    <definedName name="AanvullendNeoBool_Thorax1">ber_AanvullendeAfsprakenNeo!$B$34</definedName>
    <definedName name="AanvullendNeoBool_Thorax2">ber_AanvullendeAfsprakenNeo!$B$37</definedName>
    <definedName name="AanvullendNeoBool_Thorax3">ber_AanvullendeAfsprakenNeo!$B$40</definedName>
    <definedName name="AanvullendNeoBool_Uitzuigkweek">ber_AanvullendeAfsprakenNeo!$F$21</definedName>
    <definedName name="AanvullendNeoBool_Urine">ber_AanvullendeAfsprakenNeo!$F$23</definedName>
    <definedName name="AanvullendNeoBool_Urine24uur">ber_AanvullendeAfsprakenNeo!$H$27</definedName>
    <definedName name="AanvullendNeoBool_UrineCMV">ber_AanvullendeAfsprakenNeo!$H$28</definedName>
    <definedName name="AanvullendNeoBool_Urinekweek">ber_AanvullendeAfsprakenNeo!$F$22</definedName>
    <definedName name="AanvullendNeoBool_UrinekweekBacterieel">ber_AanvullendeAfsprakenNeo!$H$22</definedName>
    <definedName name="AanvullendNeoBool_UrineMetabool">ber_AanvullendeAfsprakenNeo!$H$29</definedName>
    <definedName name="AanvullendNeoBool_UrineNatriumKalium">ber_AanvullendeAfsprakenNeo!$H$23</definedName>
    <definedName name="AanvullendNeoBool_UrineRchitis">ber_AanvullendeAfsprakenNeo!$H$30</definedName>
    <definedName name="AanvullendNeoBool_UrineSediment">ber_AanvullendeAfsprakenNeo!$H$24</definedName>
    <definedName name="AanvullendNeoBool_UrineSedimentKweek">ber_AanvullendeAfsprakenNeo!$H$25</definedName>
    <definedName name="AanvullendNeoBool_UrineSedimentMaWoVr">ber_AanvullendeAfsprakenNeo!$H$26</definedName>
    <definedName name="AanvullendNeoBool_Urostoma">ber_AanvullendeAfsprakenNeo!$J$19</definedName>
    <definedName name="AanvullendNeoBool_Verliezen">ber_AanvullendeAfsprakenNeo!$J$20</definedName>
    <definedName name="AanvullendNeoBool_VerliezenFFP">ber_AanvullendeAfsprakenNeo!$L$23</definedName>
    <definedName name="AanvullendNeoBool_VerliezenNaCl">ber_AanvullendeAfsprakenNeo!$L$22</definedName>
    <definedName name="AanvullendNeoBool_VerliezenRingerslactaat">ber_AanvullendeAfsprakenNeo!$L$21</definedName>
    <definedName name="AanvullendNeoBool_Verwijderen">ber_AanvullendeAfsprakenNeo!$J$24</definedName>
    <definedName name="AanvullendNeoBool_VerwijderenCAD">ber_AanvullendeAfsprakenNeo!$L$24</definedName>
    <definedName name="AanvullendNeoBool_VerwijderenNVL">ber_AanvullendeAfsprakenNeo!$L$25</definedName>
    <definedName name="AanvullendNeoBool_VerwijderenPAL">ber_AanvullendeAfsprakenNeo!$L$26</definedName>
    <definedName name="AanvullendNeoBool_VerwijderenSilastic">ber_AanvullendeAfsprakenNeo!$L$27</definedName>
    <definedName name="AanvullendNeoBool_Vochtbalans">ber_AanvullendeAfsprakenNeo!$B$19</definedName>
    <definedName name="AanvullendNeoBool_XBOZ">ber_AanvullendeAfsprakenNeo!$B$31</definedName>
    <definedName name="AanvullendNeoBool_XThorax">ber_AanvullendeAfsprakenNeo!$B$32</definedName>
    <definedName name="AanvullendNeoData_AantalLampen">ber_AanvullendeAfsprakenNeo!$K$29</definedName>
    <definedName name="AanvullendNeoData_aEEG">ber_AanvullendeAfsprakenNeo!$D$22</definedName>
    <definedName name="AanvullendNeoData_GewichtFrequentie">ber_AanvullendeAfsprakenNeo!$C$8</definedName>
    <definedName name="AanvullendNeoData_GewichtPer">ber_AanvullendeAfsprakenNeo!$D$8</definedName>
    <definedName name="AanvullendNeoData_LengteFrequentie">ber_AanvullendeAfsprakenNeo!$C$9</definedName>
    <definedName name="AanvullendNeoData_LengtePer">ber_AanvullendeAfsprakenNeo!$D$9</definedName>
    <definedName name="AanvullendNeoData_LiquorHoogte">ber_AanvullendeAfsprakenNeo!$D$47</definedName>
    <definedName name="AanvullendNeoData_LiquorSub">ber_AanvullendeAfsprakenNeo!$D$46</definedName>
    <definedName name="AanvullendNeoData_NIBDdd">ber_AanvullendeAfsprakenNeo!$B$12</definedName>
    <definedName name="AanvullendNeoData_Rickhamdd">ber_AanvullendeAfsprakenNeo!$K$17</definedName>
    <definedName name="AanvullendNeoData_Rickhamml">ber_AanvullendeAfsprakenNeo!$L$17</definedName>
    <definedName name="AanvullendNeoData_SchedelFrequentie">ber_AanvullendeAfsprakenNeo!$C$18</definedName>
    <definedName name="AanvullendNeoData_SchedelPer">ber_AanvullendeAfsprakenNeo!$D$18</definedName>
    <definedName name="AanvullendNeoData_Thorax1Sub1">ber_AanvullendeAfsprakenNeo!$D$36</definedName>
    <definedName name="AanvullendNeoData_Thorax1Sub2">ber_AanvullendeAfsprakenNeo!$D$34</definedName>
    <definedName name="AanvullendNeoData_Thorax1Sub3">ber_AanvullendeAfsprakenNeo!$D$35</definedName>
    <definedName name="AanvullendNeoData_Thorax2Sub1">ber_AanvullendeAfsprakenNeo!$D$39</definedName>
    <definedName name="AanvullendNeoData_Thorax2Sub2">ber_AanvullendeAfsprakenNeo!$D$37</definedName>
    <definedName name="AanvullendNeoData_Thorax2Sub3">ber_AanvullendeAfsprakenNeo!$D$38</definedName>
    <definedName name="AanvullendNeoData_Thorax3Sub1">ber_AanvullendeAfsprakenNeo!$D$42</definedName>
    <definedName name="AanvullendNeoData_Thorax3Sub2">ber_AanvullendeAfsprakenNeo!$D$40</definedName>
    <definedName name="AanvullendNeoData_Thorax3Sub3">ber_AanvullendeAfsprakenNeo!$D$41</definedName>
    <definedName name="AanvullendNeoData_VerliezenFrequentie">ber_AanvullendeAfsprakenNeo!$K$20</definedName>
    <definedName name="AanvullendNeoData_Vertrek">ber_AanvullendeAfsprakenNeo!$D$27</definedName>
    <definedName name="AanvullendNeoData_Wondkweek">ber_AanvullendeAfsprakenNeo!$G$31</definedName>
    <definedName name="AanvullendPedBool_ArmLinks">ber_AanvullendeAfsprakenPed!$D$11</definedName>
    <definedName name="AanvullendPedBool_ArmRechts">ber_AanvullendeAfsprakenPed!$D$12</definedName>
    <definedName name="AanvullendPedBool_BeenLinks">ber_AanvullendeAfsprakenPed!$D$13</definedName>
    <definedName name="AanvullendPedBool_BeenRechts">ber_AanvullendeAfsprakenPed!$D$14</definedName>
    <definedName name="AanvullendPedBool_Buik">ber_AanvullendeAfsprakenPed!$B$10</definedName>
    <definedName name="AanvullendPedBool_Catheter">ber_AanvullendeAfsprakenPed!$F$7</definedName>
    <definedName name="AanvullendPedBool_CFM">ber_AanvullendeAfsprakenPed!$B$20</definedName>
    <definedName name="AanvullendPedBool_Duodenumsonde">ber_AanvullendeAfsprakenPed!$F$10</definedName>
    <definedName name="AanvullendPedBool_ECG">ber_AanvullendeAfsprakenPed!$B$21</definedName>
    <definedName name="AanvullendPedBool_Gastrostoma">ber_AanvullendeAfsprakenPed!$F$12</definedName>
    <definedName name="AanvullendPedBool_GCS">ber_AanvullendeAfsprakenPed!$B$42</definedName>
    <definedName name="AanvullendPedBool_Gewicht">ber_AanvullendeAfsprakenPed!$B$7</definedName>
    <definedName name="AanvullendPedBool_HardeKraag">ber_AanvullendeAfsprakenPed!$F$15</definedName>
    <definedName name="AanvullendPedBool_Headblocks">ber_AanvullendeAfsprakenPed!$F$13</definedName>
    <definedName name="AanvullendPedBool_ICP">ber_AanvullendeAfsprakenPed!$B$24</definedName>
    <definedName name="AanvullendPedBool_Lengte">ber_AanvullendeAfsprakenPed!$B$8</definedName>
    <definedName name="AanvullendPedBool_Liquor">ber_AanvullendeAfsprakenPed!$B$39</definedName>
    <definedName name="AanvullendPedBool_Maagretentie">ber_AanvullendeAfsprakenPed!$F$16</definedName>
    <definedName name="AanvullendPedBool_Maagsonde">ber_AanvullendeAfsprakenPed!$F$9</definedName>
    <definedName name="AanvullendPedBool_NIBD">ber_AanvullendeAfsprakenPed!$B$11</definedName>
    <definedName name="AanvullendPedBool_NIBDAlle">ber_AanvullendeAfsprakenPed!$B$15</definedName>
    <definedName name="AanvullendPedBool_NIRS1">ber_AanvullendeAfsprakenPed!$B$22</definedName>
    <definedName name="AanvullendPedBool_NIRS2">ber_AanvullendeAfsprakenPed!$B$23</definedName>
    <definedName name="AanvullendPedBool_PEG">ber_AanvullendeAfsprakenPed!$F$11</definedName>
    <definedName name="AanvullendPedBool_Peritoneaal">ber_AanvullendeAfsprakenPed!$B$36</definedName>
    <definedName name="AanvullendPedBool_PeritoneaalVacuum">ber_AanvullendeAfsprakenPed!$D$36</definedName>
    <definedName name="AanvullendPedBool_Pigtail">ber_AanvullendeAfsprakenPed!$B$37</definedName>
    <definedName name="AanvullendPedBool_PigtailVacuum">ber_AanvullendeAfsprakenPed!$D$37</definedName>
    <definedName name="AanvullendPedBool_Pupil">ber_AanvullendeAfsprakenPed!$B$43</definedName>
    <definedName name="AanvullendPedBool_Redon">ber_AanvullendeAfsprakenPed!$B$38</definedName>
    <definedName name="AanvullendPedBool_RedonVacuum">ber_AanvullendeAfsprakenPed!$D$38</definedName>
    <definedName name="AanvullendPedBool_SaturatiePost">ber_AanvullendeAfsprakenPed!$B$16</definedName>
    <definedName name="AanvullendPedBool_SaturatiePre">ber_AanvullendeAfsprakenPed!$B$17</definedName>
    <definedName name="AanvullendPedBool_Schedel">ber_AanvullendeAfsprakenPed!$B$9</definedName>
    <definedName name="AanvullendPedBool_Sedatie">ber_AanvullendeAfsprakenPed!$B$44</definedName>
    <definedName name="AanvullendPedBool_Thorax1">ber_AanvullendeAfsprakenPed!$B$27</definedName>
    <definedName name="AanvullendPedBool_Thorax2">ber_AanvullendeAfsprakenPed!$B$30</definedName>
    <definedName name="AanvullendPedBool_Thorax3">ber_AanvullendeAfsprakenPed!$B$33</definedName>
    <definedName name="AanvullendPedBool_TOSCA">ber_AanvullendeAfsprakenPed!$B$25</definedName>
    <definedName name="AanvullendPedBool_Urostoma">ber_AanvullendeAfsprakenPed!$F$8</definedName>
    <definedName name="AanvullendPedBool_Verliezen">ber_AanvullendeAfsprakenPed!$F$18</definedName>
    <definedName name="AanvullendPedBool_ZachteKraag">ber_AanvullendeAfsprakenPed!$F$14</definedName>
    <definedName name="AanvullendPedData_GCSdd">ber_AanvullendeAfsprakenPed!$C$42</definedName>
    <definedName name="AanvullendPedData_GewichtFrequentie">ber_AanvullendeAfsprakenPed!$C$7</definedName>
    <definedName name="AanvullendPedData_GewichtPer">ber_AanvullendeAfsprakenPed!$D$7</definedName>
    <definedName name="AanvullendPedData_LengteFrequentie">ber_AanvullendeAfsprakenPed!$C$8</definedName>
    <definedName name="AanvullendPedData_LengtePer">ber_AanvullendeAfsprakenPed!$D$8</definedName>
    <definedName name="AanvullendPedData_LiquorHoogte">ber_AanvullendeAfsprakenPed!$D$40</definedName>
    <definedName name="AanvullendPedData_LiquorSub">ber_AanvullendeAfsprakenPed!$D$39</definedName>
    <definedName name="AanvullendPedData_MaagretentieUur">ber_AanvullendeAfsprakenPed!$G$16</definedName>
    <definedName name="AanvullendPedData_NIBDdd">ber_AanvullendeAfsprakenPed!$B$12</definedName>
    <definedName name="AanvullendPedData_Overig">ber_AanvullendeAfsprakenPed!$F$17</definedName>
    <definedName name="AanvullendPedData_SchedelFrequentie">ber_AanvullendeAfsprakenPed!$C$9</definedName>
    <definedName name="AanvullendPedData_SchedelPer">ber_AanvullendeAfsprakenPed!$D$9</definedName>
    <definedName name="AanvullendPedData_Thorax1Sub1">ber_AanvullendeAfsprakenPed!$D$29</definedName>
    <definedName name="AanvullendPedData_Thorax1Sub2">ber_AanvullendeAfsprakenPed!$D$27</definedName>
    <definedName name="AanvullendPedData_Thorax1Sub3">ber_AanvullendeAfsprakenPed!$D$28</definedName>
    <definedName name="AanvullendPedData_Thorax2Sub1">ber_AanvullendeAfsprakenPed!$D$32</definedName>
    <definedName name="AanvullendPedData_Thorax2Sub2">ber_AanvullendeAfsprakenPed!$D$30</definedName>
    <definedName name="AanvullendPedData_Thorax2Sub3">ber_AanvullendeAfsprakenPed!$D$31</definedName>
    <definedName name="AanvullendPedData_Thorax3Sub1">ber_AanvullendeAfsprakenPed!$D$35</definedName>
    <definedName name="AanvullendPedData_Thorax3Sub2">ber_AanvullendeAfsprakenPed!$D$33</definedName>
    <definedName name="AanvullendPedData_Thorax3Sub3">ber_AanvullendeAfsprakenPed!$D$34</definedName>
    <definedName name="AanvullendPedData_VerliezenStof">ber_AanvullendeAfsprakenPed!$H$18</definedName>
    <definedName name="AanvullendPedData_VerliezenUur">ber_AanvullendeAfsprakenPed!$G$18</definedName>
    <definedName name="AfspraakDatum">dbBead!$B$2</definedName>
    <definedName name="AfsprakenVersie">dbBead!$I$2</definedName>
    <definedName name="BedNummer">Patienten!$T$1</definedName>
    <definedName name="CaGluc">ber_TPN!$C$9</definedName>
    <definedName name="CaGlucVol">ber_TPN!$E$9</definedName>
    <definedName name="Comfort">ber_Infusen!$E$8</definedName>
    <definedName name="Dag">Berekeningen!$B$6</definedName>
    <definedName name="dbPatientSave">Patienten!$A$1:$B$713</definedName>
    <definedName name="Dos">Lijsten!$J$3:$K$11</definedName>
    <definedName name="DosHoev_1">ber_Med_disc!$G$2</definedName>
    <definedName name="DosHoev_10">ber_Med_disc!$G$11</definedName>
    <definedName name="DosHoev_11">ber_Med_disc!$G$12</definedName>
    <definedName name="DosHoev_12">ber_Med_disc!$G$13</definedName>
    <definedName name="DosHoev_13">ber_Med_disc!$G$14</definedName>
    <definedName name="DosHoev_14">ber_Med_disc!$G$15</definedName>
    <definedName name="DosHoev_15">ber_Med_disc!$G$16</definedName>
    <definedName name="DosHoev_16">ber_Med_disc!$G$17</definedName>
    <definedName name="DosHoev_17">ber_Med_disc!$G$18</definedName>
    <definedName name="DosHoev_18">ber_Med_disc!$G$19</definedName>
    <definedName name="DosHoev_19">ber_Med_disc!$G$20</definedName>
    <definedName name="DosHoev_2">ber_Med_disc!$G$3</definedName>
    <definedName name="DosHoev_20">ber_Med_disc!$G$21</definedName>
    <definedName name="DosHoev_21">ber_Med_disc!$G$22</definedName>
    <definedName name="DosHoev_22">ber_Med_disc!$G$23</definedName>
    <definedName name="DosHoev_23">ber_Med_disc!$G$24</definedName>
    <definedName name="DosHoev_24">ber_Med_disc!$G$25</definedName>
    <definedName name="DosHoev_25">ber_Med_disc!$G$26</definedName>
    <definedName name="DosHoev_26">ber_Med_disc!$G$27</definedName>
    <definedName name="DosHoev_27">ber_Med_disc!$G$28</definedName>
    <definedName name="DosHoev_28">ber_Med_disc!$G$29</definedName>
    <definedName name="DosHoev_29">ber_Med_disc!$G$30</definedName>
    <definedName name="DosHoev_3">ber_Med_disc!$G$4</definedName>
    <definedName name="DosHoev_30">ber_Med_disc!$G$31</definedName>
    <definedName name="DosHoev_4">ber_Med_disc!$G$5</definedName>
    <definedName name="DosHoev_5">ber_Med_disc!$G$6</definedName>
    <definedName name="DosHoev_6">ber_Med_disc!$G$7</definedName>
    <definedName name="DosHoev_7">ber_Med_disc!$G$8</definedName>
    <definedName name="DosHoev_8">ber_Med_disc!$G$9</definedName>
    <definedName name="DosHoev_9">ber_Med_disc!$G$10</definedName>
    <definedName name="Eenheid_1">ber_Med_disc!$F$2</definedName>
    <definedName name="Eenheid_10">ber_Med_disc!$F$11</definedName>
    <definedName name="Eenheid_11">ber_Med_disc!$F$12</definedName>
    <definedName name="Eenheid_12">ber_Med_disc!$F$13</definedName>
    <definedName name="Eenheid_13">ber_Med_disc!$F$14</definedName>
    <definedName name="Eenheid_14">ber_Med_disc!$F$15</definedName>
    <definedName name="Eenheid_15">ber_Med_disc!$F$16</definedName>
    <definedName name="Eenheid_16">ber_Med_disc!$F$17</definedName>
    <definedName name="Eenheid_17">ber_Med_disc!$F$18</definedName>
    <definedName name="Eenheid_18">ber_Med_disc!$F$19</definedName>
    <definedName name="Eenheid_19">ber_Med_disc!$F$20</definedName>
    <definedName name="Eenheid_2">ber_Med_disc!$F$3</definedName>
    <definedName name="Eenheid_20">ber_Med_disc!$F$21</definedName>
    <definedName name="Eenheid_21">ber_Med_disc!$F$22</definedName>
    <definedName name="Eenheid_22">ber_Med_disc!$F$23</definedName>
    <definedName name="Eenheid_23">ber_Med_disc!$F$24</definedName>
    <definedName name="Eenheid_24">ber_Med_disc!$F$25</definedName>
    <definedName name="Eenheid_25">ber_Med_disc!$F$26</definedName>
    <definedName name="Eenheid_26">ber_Med_disc!$F$27</definedName>
    <definedName name="Eenheid_27">ber_Med_disc!$F$28</definedName>
    <definedName name="Eenheid_28">ber_Med_disc!$F$29</definedName>
    <definedName name="Eenheid_29">ber_Med_disc!$F$30</definedName>
    <definedName name="Eenheid_3">ber_Med_disc!$F$4</definedName>
    <definedName name="Eenheid_30">ber_Med_disc!$F$31</definedName>
    <definedName name="Eenheid_4">ber_Med_disc!$F$5</definedName>
    <definedName name="Eenheid_5">ber_Med_disc!$F$6</definedName>
    <definedName name="Eenheid_6">ber_Med_disc!$F$7</definedName>
    <definedName name="Eenheid_7">ber_Med_disc!$F$8</definedName>
    <definedName name="Eenheid_8">ber_Med_disc!$F$9</definedName>
    <definedName name="Eenheid_9">ber_Med_disc!$F$10</definedName>
    <definedName name="FaktorLijst">Lijsten!$K$3:$K$8</definedName>
    <definedName name="FreqPO_1">ber_PO!$J$2</definedName>
    <definedName name="FreqPO_2">ber_PO!$J$3</definedName>
    <definedName name="FreqPO_3">ber_PO!$J$4</definedName>
    <definedName name="FreqPO_4">ber_PO!$J$5</definedName>
    <definedName name="GebDatum">dbBead!$F$2</definedName>
    <definedName name="Generic_1">ber_Med_disc!$D$2</definedName>
    <definedName name="Generic_10">ber_Med_disc!$D$11</definedName>
    <definedName name="Generic_11">ber_Med_disc!$D$12</definedName>
    <definedName name="Generic_12">ber_Med_disc!$D$13</definedName>
    <definedName name="Generic_13">ber_Med_disc!$D$14</definedName>
    <definedName name="Generic_14">ber_Med_disc!$D$15</definedName>
    <definedName name="Generic_15">ber_Med_disc!$D$16</definedName>
    <definedName name="Generic_16">ber_Med_disc!$D$17</definedName>
    <definedName name="Generic_17">ber_Med_disc!$D$18</definedName>
    <definedName name="Generic_18">ber_Med_disc!$D$19</definedName>
    <definedName name="Generic_19">ber_Med_disc!$D$20</definedName>
    <definedName name="Generic_2">ber_Med_disc!$D$3</definedName>
    <definedName name="Generic_20">ber_Med_disc!$D$21</definedName>
    <definedName name="Generic_21">ber_Med_disc!$D$22</definedName>
    <definedName name="Generic_22">ber_Med_disc!$D$23</definedName>
    <definedName name="Generic_23">ber_Med_disc!$D$24</definedName>
    <definedName name="Generic_24">ber_Med_disc!$D$25</definedName>
    <definedName name="Generic_25">ber_Med_disc!$D$26</definedName>
    <definedName name="Generic_26">ber_Med_disc!$D$27</definedName>
    <definedName name="Generic_27">ber_Med_disc!$D$28</definedName>
    <definedName name="Generic_28">ber_Med_disc!$D$29</definedName>
    <definedName name="Generic_29">ber_Med_disc!$D$30</definedName>
    <definedName name="Generic_3">ber_Med_disc!$D$4</definedName>
    <definedName name="Generic_30">ber_Med_disc!$D$31</definedName>
    <definedName name="Generic_4">ber_Med_disc!$D$5</definedName>
    <definedName name="Generic_5">ber_Med_disc!$D$6</definedName>
    <definedName name="Generic_6">ber_Med_disc!$D$7</definedName>
    <definedName name="Generic_7">ber_Med_disc!$D$8</definedName>
    <definedName name="Generic_8">ber_Med_disc!$D$9</definedName>
    <definedName name="Generic_9">ber_Med_disc!$D$10</definedName>
    <definedName name="Gewicht">dbBead!$G$2</definedName>
    <definedName name="Indicatie_1">ber_Med_disc!$B$2</definedName>
    <definedName name="Indicatie_10">ber_Med_disc!$B$11</definedName>
    <definedName name="Indicatie_11">ber_Med_disc!$B$12</definedName>
    <definedName name="Indicatie_12">ber_Med_disc!$B$13</definedName>
    <definedName name="Indicatie_13">ber_Med_disc!$B$14</definedName>
    <definedName name="Indicatie_14">ber_Med_disc!$B$15</definedName>
    <definedName name="Indicatie_15">ber_Med_disc!$B$16</definedName>
    <definedName name="Indicatie_16">ber_Med_disc!$B$17</definedName>
    <definedName name="Indicatie_17">ber_Med_disc!$B$18</definedName>
    <definedName name="Indicatie_18">ber_Med_disc!$B$19</definedName>
    <definedName name="Indicatie_19">ber_Med_disc!$B$20</definedName>
    <definedName name="Indicatie_2">ber_Med_disc!$B$3</definedName>
    <definedName name="Indicatie_20">ber_Med_disc!$B$21</definedName>
    <definedName name="Indicatie_21">ber_Med_disc!$B$22</definedName>
    <definedName name="Indicatie_22">ber_Med_disc!$B$23</definedName>
    <definedName name="Indicatie_23">ber_Med_disc!$B$24</definedName>
    <definedName name="Indicatie_24">ber_Med_disc!$B$25</definedName>
    <definedName name="Indicatie_25">ber_Med_disc!$B$26</definedName>
    <definedName name="Indicatie_26">ber_Med_disc!$B$27</definedName>
    <definedName name="Indicatie_27">ber_Med_disc!$B$28</definedName>
    <definedName name="Indicatie_28">ber_Med_disc!$B$29</definedName>
    <definedName name="Indicatie_29">ber_Med_disc!$B$30</definedName>
    <definedName name="Indicatie_3">ber_Med_disc!$B$4</definedName>
    <definedName name="Indicatie_30">ber_Med_disc!$B$31</definedName>
    <definedName name="Indicatie_4">ber_Med_disc!$B$5</definedName>
    <definedName name="Indicatie_5">ber_Med_disc!$B$6</definedName>
    <definedName name="Indicatie_6">ber_Med_disc!$B$7</definedName>
    <definedName name="Indicatie_7">ber_Med_disc!$B$8</definedName>
    <definedName name="Indicatie_8">ber_Med_disc!$B$9</definedName>
    <definedName name="Indicatie_9">ber_Med_disc!$B$10</definedName>
    <definedName name="Infuus_1">ber_Infusen!$B$2</definedName>
    <definedName name="Infuus_2">ber_Infusen!$B$3</definedName>
    <definedName name="Infuus_3">ber_Infusen!$B$4</definedName>
    <definedName name="Infuus_4">ber_Infusen!$B$5</definedName>
    <definedName name="Infuus_5">ber_Infusen!$B$6</definedName>
    <definedName name="Infuus_6">ber_Infusen!$B$7</definedName>
    <definedName name="KCl">ber_TPN!$C$8</definedName>
    <definedName name="KCl_2">ber_TPN!$C$22</definedName>
    <definedName name="KClVol">ber_TPN!$E$8</definedName>
    <definedName name="KClVol_2">ber_TPN!$E$22</definedName>
    <definedName name="KeuzePO_1">ber_PO!$N$2</definedName>
    <definedName name="KeuzePO_2">ber_PO!$N$3</definedName>
    <definedName name="KeuzePO_3">ber_PO!$N$4</definedName>
    <definedName name="KeuzePO_4">ber_PO!$N$5</definedName>
    <definedName name="KNaFosfaat">ber_TPN!$C$11</definedName>
    <definedName name="KNaFosfaatVol">ber_TPN!$E$11</definedName>
    <definedName name="Lab_Data">Ber_Lab!$C$4:$C$35,Ber_Lab!$E$4:$E$34,Ber_Lab!$G$4:$G$34,Ber_Lab!$I$4:$I$34,Ber_Lab!$L$4:$L$34,Ber_Lab!$N$4:$N$34,Ber_Lab!$P$4:$P$34</definedName>
    <definedName name="Lab14_1">Ber_Lab!$E$4</definedName>
    <definedName name="Lab14_10">Ber_Lab!$E$13</definedName>
    <definedName name="Lab14_11">Ber_Lab!$E$14</definedName>
    <definedName name="Lab14_12">Ber_Lab!$E$15</definedName>
    <definedName name="Lab14_13">Ber_Lab!$E$16</definedName>
    <definedName name="Lab14_14">Ber_Lab!$E$17</definedName>
    <definedName name="Lab14_15">Ber_Lab!$E$18</definedName>
    <definedName name="Lab14_16">Ber_Lab!$E$19</definedName>
    <definedName name="Lab14_17">Ber_Lab!$E$20</definedName>
    <definedName name="Lab14_18">Ber_Lab!$E$21</definedName>
    <definedName name="Lab14_19">Ber_Lab!$E$22</definedName>
    <definedName name="Lab14_2">Ber_Lab!$E$5</definedName>
    <definedName name="Lab14_20">Ber_Lab!$E$23</definedName>
    <definedName name="Lab14_21">Ber_Lab!$E$24</definedName>
    <definedName name="Lab14_22">Ber_Lab!$E$25</definedName>
    <definedName name="Lab14_23">Ber_Lab!$E$26</definedName>
    <definedName name="Lab14_24">Ber_Lab!$E$27</definedName>
    <definedName name="Lab14_25">Ber_Lab!$E$28</definedName>
    <definedName name="Lab14_26">Ber_Lab!$E$29</definedName>
    <definedName name="Lab14_27">Ber_Lab!$E$30</definedName>
    <definedName name="Lab14_28">Ber_Lab!$E$31</definedName>
    <definedName name="Lab14_29">Ber_Lab!$E$32</definedName>
    <definedName name="Lab14_3">Ber_Lab!$E$6</definedName>
    <definedName name="Lab14_30">Ber_Lab!$E$33</definedName>
    <definedName name="Lab14_31">Ber_Lab!$E$34</definedName>
    <definedName name="Lab14_4">Ber_Lab!$E$7</definedName>
    <definedName name="Lab14_5">Ber_Lab!$E$8</definedName>
    <definedName name="Lab14_6">Ber_Lab!$E$9</definedName>
    <definedName name="Lab14_7">Ber_Lab!$E$10</definedName>
    <definedName name="Lab14_8">Ber_Lab!$E$11</definedName>
    <definedName name="Lab14_9">Ber_Lab!$E$12</definedName>
    <definedName name="Lab19_1">Ber_Lab!$G$4</definedName>
    <definedName name="Lab19_10">Ber_Lab!$G$13</definedName>
    <definedName name="Lab19_11">Ber_Lab!$G$14</definedName>
    <definedName name="Lab19_12">Ber_Lab!$G$15</definedName>
    <definedName name="Lab19_13">Ber_Lab!$G$16</definedName>
    <definedName name="Lab19_14">Ber_Lab!$G$17</definedName>
    <definedName name="Lab19_15">Ber_Lab!$G$18</definedName>
    <definedName name="Lab19_16">Ber_Lab!$G$19</definedName>
    <definedName name="Lab19_17">Ber_Lab!$G$20</definedName>
    <definedName name="Lab19_18">Ber_Lab!$G$21</definedName>
    <definedName name="Lab19_19">Ber_Lab!$G$22</definedName>
    <definedName name="Lab19_2">Ber_Lab!$G$5</definedName>
    <definedName name="Lab19_20">Ber_Lab!$G$23</definedName>
    <definedName name="Lab19_21">Ber_Lab!$G$24</definedName>
    <definedName name="Lab19_22">Ber_Lab!$G$25</definedName>
    <definedName name="Lab19_23">Ber_Lab!$G$26</definedName>
    <definedName name="Lab19_24">Ber_Lab!$G$27</definedName>
    <definedName name="Lab19_25">Ber_Lab!$G$28</definedName>
    <definedName name="Lab19_26">Ber_Lab!$G$29</definedName>
    <definedName name="Lab19_27">Ber_Lab!$G$30</definedName>
    <definedName name="Lab19_28">Ber_Lab!$G$31</definedName>
    <definedName name="Lab19_29">Ber_Lab!$G$32</definedName>
    <definedName name="Lab19_3">Ber_Lab!$G$6</definedName>
    <definedName name="Lab19_30">Ber_Lab!$G$33</definedName>
    <definedName name="Lab19_31">Ber_Lab!$G$34</definedName>
    <definedName name="Lab19_32">Ber_Lab!$G$35</definedName>
    <definedName name="Lab19_4">Ber_Lab!$G$7</definedName>
    <definedName name="Lab19_5">Ber_Lab!$G$8</definedName>
    <definedName name="Lab19_6">Ber_Lab!$G$9</definedName>
    <definedName name="Lab19_7">Ber_Lab!$G$10</definedName>
    <definedName name="Lab19_8">Ber_Lab!$G$11</definedName>
    <definedName name="Lab19_9">Ber_Lab!$G$12</definedName>
    <definedName name="Lab24_1">Ber_Lab!$I$4</definedName>
    <definedName name="Lab24_10">Ber_Lab!$I$13</definedName>
    <definedName name="Lab24_11">Ber_Lab!$I$14</definedName>
    <definedName name="Lab24_12">Ber_Lab!$I$15</definedName>
    <definedName name="Lab24_13">Ber_Lab!$I$16</definedName>
    <definedName name="Lab24_14">Ber_Lab!$I$17</definedName>
    <definedName name="Lab24_15">Ber_Lab!$I$18</definedName>
    <definedName name="Lab24_16">Ber_Lab!$I$19</definedName>
    <definedName name="Lab24_17">Ber_Lab!$I$20</definedName>
    <definedName name="Lab24_18">Ber_Lab!$I$21</definedName>
    <definedName name="Lab24_19">Ber_Lab!$I$22</definedName>
    <definedName name="Lab24_2">Ber_Lab!$I$5</definedName>
    <definedName name="Lab24_20">Ber_Lab!$I$23</definedName>
    <definedName name="Lab24_21">Ber_Lab!$I$24</definedName>
    <definedName name="Lab24_22">Ber_Lab!$I$25</definedName>
    <definedName name="Lab24_23">Ber_Lab!$I$26</definedName>
    <definedName name="Lab24_24">Ber_Lab!$I$27</definedName>
    <definedName name="Lab24_25">Ber_Lab!$I$28</definedName>
    <definedName name="Lab24_26">Ber_Lab!$I$29</definedName>
    <definedName name="Lab24_27">Ber_Lab!$I$30</definedName>
    <definedName name="Lab24_28">Ber_Lab!$I$31</definedName>
    <definedName name="Lab24_29">Ber_Lab!$I$32</definedName>
    <definedName name="Lab24_3">Ber_Lab!$I$6</definedName>
    <definedName name="Lab24_30">Ber_Lab!$I$33</definedName>
    <definedName name="Lab24_31">Ber_Lab!$I$34</definedName>
    <definedName name="Lab24_4">Ber_Lab!$I$7</definedName>
    <definedName name="Lab24_5">Ber_Lab!$I$8</definedName>
    <definedName name="Lab24_6">Ber_Lab!$I$9</definedName>
    <definedName name="Lab24_7">Ber_Lab!$I$10</definedName>
    <definedName name="Lab24_8">Ber_Lab!$I$11</definedName>
    <definedName name="Lab24_9">Ber_Lab!$I$12</definedName>
    <definedName name="LabDag1_1">Ber_Lab!$L$4</definedName>
    <definedName name="LabDag1_10">Ber_Lab!$L$13</definedName>
    <definedName name="LabDag1_11">Ber_Lab!$L$14</definedName>
    <definedName name="LabDag1_12">Ber_Lab!$L$15</definedName>
    <definedName name="LabDag1_13">Ber_Lab!$L$16</definedName>
    <definedName name="LabDag1_14">Ber_Lab!$L$17</definedName>
    <definedName name="LabDag1_15">Ber_Lab!$L$18</definedName>
    <definedName name="LabDag1_16">Ber_Lab!$L$19</definedName>
    <definedName name="LabDag1_17">Ber_Lab!$L$20</definedName>
    <definedName name="LabDag1_18">Ber_Lab!$L$21</definedName>
    <definedName name="LabDag1_19">Ber_Lab!$L$22</definedName>
    <definedName name="LabDag1_2">Ber_Lab!$L$5</definedName>
    <definedName name="LabDag1_20">Ber_Lab!$L$23</definedName>
    <definedName name="LabDag1_21">Ber_Lab!$L$24</definedName>
    <definedName name="LabDag1_22">Ber_Lab!$L$25</definedName>
    <definedName name="LabDag1_23">Ber_Lab!$L$26</definedName>
    <definedName name="LabDag1_24">Ber_Lab!$L$27</definedName>
    <definedName name="LabDag1_25">Ber_Lab!$L$28</definedName>
    <definedName name="LabDag1_26">Ber_Lab!$L$29</definedName>
    <definedName name="LabDag1_27">Ber_Lab!$L$30</definedName>
    <definedName name="LabDag1_28">Ber_Lab!$L$31</definedName>
    <definedName name="LabDag1_29">Ber_Lab!$L$32</definedName>
    <definedName name="LabDag1_3">Ber_Lab!$L$6</definedName>
    <definedName name="LabDag1_30">Ber_Lab!$L$33</definedName>
    <definedName name="LabDag1_31">Ber_Lab!$L$34</definedName>
    <definedName name="LabDag1_4">Ber_Lab!$L$7</definedName>
    <definedName name="LabDag1_5">Ber_Lab!$L$8</definedName>
    <definedName name="LabDag1_6">Ber_Lab!$L$9</definedName>
    <definedName name="LabDag1_7">Ber_Lab!$L$10</definedName>
    <definedName name="LabDag1_8">Ber_Lab!$L$11</definedName>
    <definedName name="LabDag1_9">Ber_Lab!$L$12</definedName>
    <definedName name="LabDag2_1">Ber_Lab!$N$4</definedName>
    <definedName name="LabDag2_10">Ber_Lab!$N$13</definedName>
    <definedName name="LabDag2_11">Ber_Lab!$N$14</definedName>
    <definedName name="LabDag2_12">Ber_Lab!$N$15</definedName>
    <definedName name="LabDag2_13">Ber_Lab!$N$16</definedName>
    <definedName name="LabDag2_14">Ber_Lab!$N$17</definedName>
    <definedName name="LabDag2_15">Ber_Lab!$N$18</definedName>
    <definedName name="LabDag2_16">Ber_Lab!$N$19</definedName>
    <definedName name="LabDag2_17">Ber_Lab!$N$20</definedName>
    <definedName name="LabDag2_18">Ber_Lab!$N$21</definedName>
    <definedName name="LabDag2_19">Ber_Lab!$N$22</definedName>
    <definedName name="LabDag2_2">Ber_Lab!$N$5</definedName>
    <definedName name="LabDag2_20">Ber_Lab!$N$23</definedName>
    <definedName name="LabDag2_21">Ber_Lab!$N$24</definedName>
    <definedName name="LabDag2_22">Ber_Lab!$N$25</definedName>
    <definedName name="LabDag2_23">Ber_Lab!$N$26</definedName>
    <definedName name="LabDag2_24">Ber_Lab!$N$27</definedName>
    <definedName name="LabDag2_25">Ber_Lab!$N$28</definedName>
    <definedName name="LabDag2_26">Ber_Lab!$N$29</definedName>
    <definedName name="LabDag2_27">Ber_Lab!$N$30</definedName>
    <definedName name="LabDag2_28">Ber_Lab!$N$31</definedName>
    <definedName name="LabDag2_29">Ber_Lab!$N$32</definedName>
    <definedName name="LabDag2_3">Ber_Lab!$N$6</definedName>
    <definedName name="LabDag2_30">Ber_Lab!$N$33</definedName>
    <definedName name="LabDag2_31">Ber_Lab!$N$34</definedName>
    <definedName name="LabDag2_4">Ber_Lab!$N$7</definedName>
    <definedName name="LabDag2_5">Ber_Lab!$N$8</definedName>
    <definedName name="LabDag2_6">Ber_Lab!$N$9</definedName>
    <definedName name="LabDag2_7">Ber_Lab!$N$10</definedName>
    <definedName name="LabDag2_8">Ber_Lab!$N$11</definedName>
    <definedName name="LabDag2_9">Ber_Lab!$N$12</definedName>
    <definedName name="LabDag3_1">Ber_Lab!$P$4</definedName>
    <definedName name="LabDag3_10">Ber_Lab!$P$13</definedName>
    <definedName name="LabDag3_11">Ber_Lab!$P$14</definedName>
    <definedName name="LabDag3_12">Ber_Lab!$P$15</definedName>
    <definedName name="LabDag3_13">Ber_Lab!$P$16</definedName>
    <definedName name="LabDag3_14">Ber_Lab!$P$17</definedName>
    <definedName name="LabDag3_15">Ber_Lab!$P$18</definedName>
    <definedName name="LabDag3_16">Ber_Lab!$P$19</definedName>
    <definedName name="LabDag3_17">Ber_Lab!$P$20</definedName>
    <definedName name="LabDag3_18">Ber_Lab!$P$21</definedName>
    <definedName name="LabDag3_19">Ber_Lab!$P$22</definedName>
    <definedName name="LabDag3_2">Ber_Lab!$P$5</definedName>
    <definedName name="LabDag3_20">Ber_Lab!$P$23</definedName>
    <definedName name="LabDag3_21">Ber_Lab!$P$24</definedName>
    <definedName name="LabDag3_22">Ber_Lab!$P$25</definedName>
    <definedName name="LabDag3_23">Ber_Lab!$P$26</definedName>
    <definedName name="LabDag3_24">Ber_Lab!$P$27</definedName>
    <definedName name="LabDag3_25">Ber_Lab!$P$28</definedName>
    <definedName name="LabDag3_26">Ber_Lab!$P$29</definedName>
    <definedName name="LabDag3_27">Ber_Lab!$P$30</definedName>
    <definedName name="LabDag3_28">Ber_Lab!$P$31</definedName>
    <definedName name="LabDag3_29">Ber_Lab!$P$32</definedName>
    <definedName name="LabDag3_3">Ber_Lab!$P$6</definedName>
    <definedName name="LabDag3_30">Ber_Lab!$P$33</definedName>
    <definedName name="LabDag3_31">Ber_Lab!$P$34</definedName>
    <definedName name="LabDag3_4">Ber_Lab!$P$7</definedName>
    <definedName name="LabDag3_5">Ber_Lab!$P$8</definedName>
    <definedName name="LabDag3_6">Ber_Lab!$P$9</definedName>
    <definedName name="LabDag3_7">Ber_Lab!$P$10</definedName>
    <definedName name="LabDag3_8">Ber_Lab!$P$11</definedName>
    <definedName name="LabDag3_9">Ber_Lab!$P$12</definedName>
    <definedName name="LabNeo_Data">Ber_Lab_Neo!$C$4:$C$35,Ber_Lab_Neo!$E$4:$E$34,Ber_Lab_Neo!$G$4:$G$34,Ber_Lab_Neo!$I$4:$I$34,Ber_Lab_Neo!$K$4:$K$34,Ber_Lab_Neo!$M$4:$M$34,Ber_Lab_Neo!$O$4:$O$34,Ber_Lab_Neo!$Q$4:$Q$34,Ber_Lab_Neo!$S$4:$S$34,Ber_Lab_Neo!$D$38</definedName>
    <definedName name="LabNeo04_1">Ber_Lab_Neo!$M$4</definedName>
    <definedName name="LabNeo04_10">Ber_Lab_Neo!$M$13</definedName>
    <definedName name="LabNeo04_11">Ber_Lab_Neo!$M$14</definedName>
    <definedName name="LabNeo04_12">Ber_Lab_Neo!$M$15</definedName>
    <definedName name="LabNeo04_13">Ber_Lab_Neo!$M$16</definedName>
    <definedName name="LabNeo04_14">Ber_Lab_Neo!$M$17</definedName>
    <definedName name="LabNeo04_15">Ber_Lab_Neo!$M$18</definedName>
    <definedName name="LabNeo04_16">Ber_Lab_Neo!$M$19</definedName>
    <definedName name="LabNeo04_17">Ber_Lab_Neo!$M$20</definedName>
    <definedName name="LabNeo04_18">Ber_Lab_Neo!$M$21</definedName>
    <definedName name="LabNeo04_19">Ber_Lab_Neo!$M$22</definedName>
    <definedName name="LabNeo04_2">Ber_Lab_Neo!$M$5</definedName>
    <definedName name="LabNeo04_20">Ber_Lab_Neo!$M$23</definedName>
    <definedName name="LabNeo04_21">Ber_Lab_Neo!$M$24</definedName>
    <definedName name="LabNeo04_22">Ber_Lab_Neo!$M$25</definedName>
    <definedName name="LabNeo04_23">Ber_Lab_Neo!$M$26</definedName>
    <definedName name="LabNeo04_24">Ber_Lab_Neo!$M$27</definedName>
    <definedName name="LabNeo04_25">Ber_Lab_Neo!$M$28</definedName>
    <definedName name="LabNeo04_26">Ber_Lab_Neo!$M$29</definedName>
    <definedName name="LabNeo04_27">Ber_Lab_Neo!$M$30</definedName>
    <definedName name="LabNeo04_28">Ber_Lab_Neo!$M$31</definedName>
    <definedName name="LabNeo04_29">Ber_Lab_Neo!$M$32</definedName>
    <definedName name="LabNeo04_3">Ber_Lab_Neo!$M$6</definedName>
    <definedName name="LabNeo04_30">Ber_Lab_Neo!$M$33</definedName>
    <definedName name="LabNeo04_31">Ber_Lab_Neo!$M$34</definedName>
    <definedName name="LabNeo04_4">Ber_Lab_Neo!$M$7</definedName>
    <definedName name="LabNeo04_5">Ber_Lab_Neo!$M$8</definedName>
    <definedName name="LabNeo04_6">Ber_Lab_Neo!$M$9</definedName>
    <definedName name="LabNeo04_7">Ber_Lab_Neo!$M$10</definedName>
    <definedName name="LabNeo04_8">Ber_Lab_Neo!$M$11</definedName>
    <definedName name="LabNeo04_9">Ber_Lab_Neo!$M$12</definedName>
    <definedName name="LabNeo12_1">Ber_Lab_Neo!$E$4</definedName>
    <definedName name="LabNeo12_10">Ber_Lab_Neo!$E$13</definedName>
    <definedName name="LabNeo12_11">Ber_Lab_Neo!$E$14</definedName>
    <definedName name="LabNeo12_12">Ber_Lab_Neo!$E$15</definedName>
    <definedName name="LabNeo12_13">Ber_Lab_Neo!$E$16</definedName>
    <definedName name="LabNeo12_14">Ber_Lab_Neo!$E$17</definedName>
    <definedName name="LabNeo12_15">Ber_Lab_Neo!$E$18</definedName>
    <definedName name="LabNeo12_16">Ber_Lab_Neo!$E$19</definedName>
    <definedName name="LabNeo12_17">Ber_Lab_Neo!$E$20</definedName>
    <definedName name="LabNeo12_18">Ber_Lab_Neo!$E$21</definedName>
    <definedName name="LabNeo12_19">Ber_Lab_Neo!$E$22</definedName>
    <definedName name="LabNeo12_2">Ber_Lab_Neo!$E$5</definedName>
    <definedName name="LabNeo12_20">Ber_Lab_Neo!$E$23</definedName>
    <definedName name="LabNeo12_21">Ber_Lab_Neo!$E$24</definedName>
    <definedName name="LabNeo12_22">Ber_Lab_Neo!$E$25</definedName>
    <definedName name="LabNeo12_23">Ber_Lab_Neo!$E$26</definedName>
    <definedName name="LabNeo12_24">Ber_Lab_Neo!$E$27</definedName>
    <definedName name="LabNeo12_25">Ber_Lab_Neo!$E$28</definedName>
    <definedName name="LabNeo12_26">Ber_Lab_Neo!$E$29</definedName>
    <definedName name="LabNeo12_27">Ber_Lab_Neo!$E$30</definedName>
    <definedName name="LabNeo12_28">Ber_Lab_Neo!$E$31</definedName>
    <definedName name="LabNeo12_29">Ber_Lab_Neo!$E$32</definedName>
    <definedName name="LabNeo12_3">Ber_Lab_Neo!$E$6</definedName>
    <definedName name="LabNeo12_30">Ber_Lab_Neo!$E$33</definedName>
    <definedName name="LabNeo12_31">Ber_Lab_Neo!$E$34</definedName>
    <definedName name="LabNeo12_4">Ber_Lab_Neo!$E$7</definedName>
    <definedName name="LabNeo12_5">Ber_Lab_Neo!$E$8</definedName>
    <definedName name="LabNeo12_6">Ber_Lab_Neo!$E$9</definedName>
    <definedName name="LabNeo12_7">Ber_Lab_Neo!$E$10</definedName>
    <definedName name="LabNeo12_8">Ber_Lab_Neo!$E$11</definedName>
    <definedName name="LabNeo12_9">Ber_Lab_Neo!$E$12</definedName>
    <definedName name="LabNeo16_1">Ber_Lab_Neo!$G$4</definedName>
    <definedName name="LabNeo16_10">Ber_Lab_Neo!$G$13</definedName>
    <definedName name="LabNeo16_11">Ber_Lab_Neo!$G$14</definedName>
    <definedName name="LabNeo16_12">Ber_Lab_Neo!$G$15</definedName>
    <definedName name="LabNeo16_13">Ber_Lab_Neo!$G$16</definedName>
    <definedName name="LabNeo16_14">Ber_Lab_Neo!$G$17</definedName>
    <definedName name="LabNeo16_15">Ber_Lab_Neo!$G$18</definedName>
    <definedName name="LabNeo16_16">Ber_Lab_Neo!$G$19</definedName>
    <definedName name="LabNeo16_17">Ber_Lab_Neo!$G$20</definedName>
    <definedName name="LabNeo16_18">Ber_Lab_Neo!$G$21</definedName>
    <definedName name="LabNeo16_19">Ber_Lab_Neo!$G$22</definedName>
    <definedName name="LabNeo16_2">Ber_Lab_Neo!$G$5</definedName>
    <definedName name="LabNeo16_20">Ber_Lab_Neo!$G$23</definedName>
    <definedName name="LabNeo16_21">Ber_Lab_Neo!$G$24</definedName>
    <definedName name="LabNeo16_22">Ber_Lab_Neo!$G$25</definedName>
    <definedName name="LabNeo16_23">Ber_Lab_Neo!$G$26</definedName>
    <definedName name="LabNeo16_24">Ber_Lab_Neo!$G$27</definedName>
    <definedName name="LabNeo16_25">Ber_Lab_Neo!$G$28</definedName>
    <definedName name="LabNeo16_26">Ber_Lab_Neo!$G$29</definedName>
    <definedName name="LabNeo16_27">Ber_Lab_Neo!$G$30</definedName>
    <definedName name="LabNeo16_28">Ber_Lab_Neo!$G$31</definedName>
    <definedName name="LabNeo16_29">Ber_Lab_Neo!$G$32</definedName>
    <definedName name="LabNeo16_3">Ber_Lab_Neo!$G$6</definedName>
    <definedName name="LabNeo16_30">Ber_Lab_Neo!$G$33</definedName>
    <definedName name="LabNeo16_31">Ber_Lab_Neo!$G$34</definedName>
    <definedName name="LabNeo16_4">Ber_Lab_Neo!$G$7</definedName>
    <definedName name="LabNeo16_5">Ber_Lab_Neo!$G$8</definedName>
    <definedName name="LabNeo16_6">Ber_Lab_Neo!$G$9</definedName>
    <definedName name="LabNeo16_7">Ber_Lab_Neo!$G$10</definedName>
    <definedName name="LabNeo16_8">Ber_Lab_Neo!$G$11</definedName>
    <definedName name="LabNeo16_9">Ber_Lab_Neo!$G$12</definedName>
    <definedName name="LabNeo20_1">Ber_Lab_Neo!$I$4</definedName>
    <definedName name="LabNeo20_10">Ber_Lab_Neo!$I$13</definedName>
    <definedName name="LabNeo20_11">Ber_Lab_Neo!$I$14</definedName>
    <definedName name="LabNeo20_12">Ber_Lab_Neo!$I$15</definedName>
    <definedName name="LabNeo20_13">Ber_Lab_Neo!$I$16</definedName>
    <definedName name="LabNeo20_14">Ber_Lab_Neo!$I$17</definedName>
    <definedName name="LabNeo20_15">Ber_Lab_Neo!$I$18</definedName>
    <definedName name="LabNeo20_16">Ber_Lab_Neo!$I$19</definedName>
    <definedName name="LabNeo20_17">Ber_Lab_Neo!$I$20</definedName>
    <definedName name="LabNeo20_18">Ber_Lab_Neo!$I$21</definedName>
    <definedName name="LabNeo20_19">Ber_Lab_Neo!$I$22</definedName>
    <definedName name="LabNeo20_2">Ber_Lab_Neo!$I$5</definedName>
    <definedName name="LabNeo20_20">Ber_Lab_Neo!$I$23</definedName>
    <definedName name="LabNeo20_21">Ber_Lab_Neo!$I$24</definedName>
    <definedName name="LabNeo20_22">Ber_Lab_Neo!$I$25</definedName>
    <definedName name="LabNeo20_23">Ber_Lab_Neo!$I$26</definedName>
    <definedName name="LabNeo20_24">Ber_Lab_Neo!$I$27</definedName>
    <definedName name="LabNeo20_25">Ber_Lab_Neo!$I$28</definedName>
    <definedName name="LabNeo20_26">Ber_Lab_Neo!$I$29</definedName>
    <definedName name="LabNeo20_27">Ber_Lab_Neo!$I$30</definedName>
    <definedName name="LabNeo20_28">Ber_Lab_Neo!$I$31</definedName>
    <definedName name="LabNeo20_29">Ber_Lab_Neo!$I$32</definedName>
    <definedName name="LabNeo20_3">Ber_Lab_Neo!$I$6</definedName>
    <definedName name="LabNeo20_30">Ber_Lab_Neo!$I$33</definedName>
    <definedName name="LabNeo20_31">Ber_Lab_Neo!$I$34</definedName>
    <definedName name="LabNeo20_4">Ber_Lab_Neo!$I$7</definedName>
    <definedName name="LabNeo20_5">Ber_Lab_Neo!$I$8</definedName>
    <definedName name="LabNeo20_6">Ber_Lab_Neo!$I$9</definedName>
    <definedName name="LabNeo20_7">Ber_Lab_Neo!$I$10</definedName>
    <definedName name="LabNeo20_8">Ber_Lab_Neo!$I$11</definedName>
    <definedName name="LabNeo20_9">Ber_Lab_Neo!$I$12</definedName>
    <definedName name="LabNeo24_1">Ber_Lab_Neo!$K$4</definedName>
    <definedName name="LabNeo24_10">Ber_Lab_Neo!$K$13</definedName>
    <definedName name="LabNeo24_11">Ber_Lab_Neo!$K$14</definedName>
    <definedName name="LabNeo24_12">Ber_Lab_Neo!$K$15</definedName>
    <definedName name="LabNeo24_13">Ber_Lab_Neo!$K$16</definedName>
    <definedName name="LabNeo24_14">Ber_Lab_Neo!$K$17</definedName>
    <definedName name="LabNeo24_15">Ber_Lab_Neo!$K$18</definedName>
    <definedName name="LabNeo24_16">Ber_Lab_Neo!$K$19</definedName>
    <definedName name="LabNeo24_17">Ber_Lab_Neo!$K$20</definedName>
    <definedName name="LabNeo24_18">Ber_Lab_Neo!$K$21</definedName>
    <definedName name="LabNeo24_19">Ber_Lab_Neo!$K$22</definedName>
    <definedName name="LabNeo24_2">Ber_Lab_Neo!$K$5</definedName>
    <definedName name="LabNeo24_20">Ber_Lab_Neo!$K$23</definedName>
    <definedName name="LabNeo24_21">Ber_Lab_Neo!$K$24</definedName>
    <definedName name="LabNeo24_22">Ber_Lab_Neo!$K$25</definedName>
    <definedName name="LabNeo24_23">Ber_Lab_Neo!$K$26</definedName>
    <definedName name="LabNeo24_24">Ber_Lab_Neo!$K$27</definedName>
    <definedName name="LabNeo24_25">Ber_Lab_Neo!$K$28</definedName>
    <definedName name="LabNeo24_26">Ber_Lab_Neo!$K$29</definedName>
    <definedName name="LabNeo24_27">Ber_Lab_Neo!$K$30</definedName>
    <definedName name="LabNeo24_28">Ber_Lab_Neo!$K$31</definedName>
    <definedName name="LabNeo24_29">Ber_Lab_Neo!$K$32</definedName>
    <definedName name="LabNeo24_3">Ber_Lab_Neo!$K$6</definedName>
    <definedName name="LabNeo24_30">Ber_Lab_Neo!$K$33</definedName>
    <definedName name="LabNeo24_31">Ber_Lab_Neo!$K$34</definedName>
    <definedName name="LabNeo24_4">Ber_Lab_Neo!$K$7</definedName>
    <definedName name="LabNeo24_5">Ber_Lab_Neo!$K$8</definedName>
    <definedName name="LabNeo24_6">Ber_Lab_Neo!$K$9</definedName>
    <definedName name="LabNeo24_7">Ber_Lab_Neo!$K$10</definedName>
    <definedName name="LabNeo24_8">Ber_Lab_Neo!$K$11</definedName>
    <definedName name="LabNeo24_9">Ber_Lab_Neo!$K$12</definedName>
    <definedName name="LabNeoDag1_1">Ber_Lab_Neo!$O$4</definedName>
    <definedName name="LabNeoDag1_10">Ber_Lab_Neo!$O$13</definedName>
    <definedName name="LabNeoDag1_11">Ber_Lab_Neo!$O$14</definedName>
    <definedName name="LabNeoDag1_12">Ber_Lab_Neo!$O$15</definedName>
    <definedName name="LabNeoDag1_13">Ber_Lab_Neo!$O$16</definedName>
    <definedName name="LabNeoDag1_14">Ber_Lab_Neo!$O$17</definedName>
    <definedName name="LabNeoDag1_15">Ber_Lab_Neo!$O$18</definedName>
    <definedName name="LabNeoDag1_16">Ber_Lab_Neo!$O$19</definedName>
    <definedName name="LabNeoDag1_17">Ber_Lab_Neo!$O$20</definedName>
    <definedName name="LabNeoDag1_18">Ber_Lab_Neo!$O$21</definedName>
    <definedName name="LabNeoDag1_19">Ber_Lab_Neo!$O$22</definedName>
    <definedName name="LabNeoDag1_2">Ber_Lab_Neo!$O$5</definedName>
    <definedName name="LabNeoDag1_20">Ber_Lab_Neo!$O$23</definedName>
    <definedName name="LabNeoDag1_21">Ber_Lab_Neo!$O$24</definedName>
    <definedName name="LabNeoDag1_22">Ber_Lab_Neo!$O$25</definedName>
    <definedName name="LabNeoDag1_23">Ber_Lab_Neo!$O$26</definedName>
    <definedName name="LabNeoDag1_24">Ber_Lab_Neo!$O$27</definedName>
    <definedName name="LabNeoDag1_25">Ber_Lab_Neo!$O$28</definedName>
    <definedName name="LabNeoDag1_26">Ber_Lab_Neo!$O$29</definedName>
    <definedName name="LabNeoDag1_27">Ber_Lab_Neo!$O$30</definedName>
    <definedName name="LabNeoDag1_28">Ber_Lab_Neo!$O$31</definedName>
    <definedName name="LabNeoDag1_29">Ber_Lab_Neo!$O$32</definedName>
    <definedName name="LabNeoDag1_3">Ber_Lab_Neo!$O$6</definedName>
    <definedName name="LabNeoDag1_30">Ber_Lab_Neo!$O$33</definedName>
    <definedName name="LabNeoDag1_31">Ber_Lab_Neo!$O$34</definedName>
    <definedName name="LabNeoDag1_4">Ber_Lab_Neo!$O$7</definedName>
    <definedName name="LabNeoDag1_5">Ber_Lab_Neo!$O$8</definedName>
    <definedName name="LabNeoDag1_6">Ber_Lab_Neo!$O$9</definedName>
    <definedName name="LabNeoDag1_7">Ber_Lab_Neo!$O$10</definedName>
    <definedName name="LabNeoDag1_8">Ber_Lab_Neo!$O$11</definedName>
    <definedName name="LabNeoDag1_9">Ber_Lab_Neo!$O$12</definedName>
    <definedName name="LabNeoDag2_1">Ber_Lab_Neo!$Q$4</definedName>
    <definedName name="LabNeoDag2_10">Ber_Lab_Neo!$Q$13</definedName>
    <definedName name="LabNeoDag2_11">Ber_Lab_Neo!$Q$14</definedName>
    <definedName name="LabNeoDag2_12">Ber_Lab_Neo!$Q$15</definedName>
    <definedName name="LabNeoDag2_13">Ber_Lab_Neo!$Q$16</definedName>
    <definedName name="LabNeoDag2_14">Ber_Lab_Neo!$Q$17</definedName>
    <definedName name="LabNeoDag2_15">Ber_Lab_Neo!$Q$18</definedName>
    <definedName name="LabNeoDag2_16">Ber_Lab_Neo!$Q$19</definedName>
    <definedName name="LabNeoDag2_17">Ber_Lab_Neo!$Q$20</definedName>
    <definedName name="LabNeoDag2_18">Ber_Lab_Neo!$Q$21</definedName>
    <definedName name="LabNeoDag2_19">Ber_Lab_Neo!$Q$22</definedName>
    <definedName name="LabNeoDag2_2">Ber_Lab_Neo!$Q$5</definedName>
    <definedName name="LabNeoDag2_20">Ber_Lab_Neo!$Q$23</definedName>
    <definedName name="LabNeoDag2_21">Ber_Lab_Neo!$Q$24</definedName>
    <definedName name="LabNeoDag2_22">Ber_Lab_Neo!$Q$25</definedName>
    <definedName name="LabNeoDag2_23">Ber_Lab_Neo!$Q$26</definedName>
    <definedName name="LabNeoDag2_24">Ber_Lab_Neo!$Q$27</definedName>
    <definedName name="LabNeoDag2_25">Ber_Lab_Neo!$Q$28</definedName>
    <definedName name="LabNeoDag2_26">Ber_Lab_Neo!$Q$29</definedName>
    <definedName name="LabNeoDag2_27">Ber_Lab_Neo!$Q$30</definedName>
    <definedName name="LabNeoDag2_28">Ber_Lab_Neo!$Q$31</definedName>
    <definedName name="LabNeoDag2_29">Ber_Lab_Neo!$Q$32</definedName>
    <definedName name="LabNeoDag2_3">Ber_Lab_Neo!$Q$6</definedName>
    <definedName name="LabNeoDag2_30">Ber_Lab_Neo!$Q$33</definedName>
    <definedName name="LabNeoDag2_31">Ber_Lab_Neo!$Q$34</definedName>
    <definedName name="LabNeoDag2_4">Ber_Lab_Neo!$Q$7</definedName>
    <definedName name="LabNeoDag2_5">Ber_Lab_Neo!$Q$8</definedName>
    <definedName name="LabNeoDag2_6">Ber_Lab_Neo!$Q$9</definedName>
    <definedName name="LabNeoDag2_7">Ber_Lab_Neo!$Q$10</definedName>
    <definedName name="LabNeoDag2_8">Ber_Lab_Neo!$Q$11</definedName>
    <definedName name="LabNeoDag2_9">Ber_Lab_Neo!$Q$12</definedName>
    <definedName name="LabNeoDag3_1">Ber_Lab_Neo!$S$4</definedName>
    <definedName name="LabNeoDag3_10">Ber_Lab_Neo!$S$13</definedName>
    <definedName name="LabNeoDag3_11">Ber_Lab_Neo!$S$14</definedName>
    <definedName name="LabNeoDag3_12">Ber_Lab_Neo!$S$15</definedName>
    <definedName name="LabNeoDag3_13">Ber_Lab_Neo!$S$16</definedName>
    <definedName name="LabNeoDag3_14">Ber_Lab_Neo!$S$17</definedName>
    <definedName name="LabNeoDag3_15">Ber_Lab_Neo!$S$18</definedName>
    <definedName name="LabNeoDag3_16">Ber_Lab_Neo!$S$19</definedName>
    <definedName name="LabNeoDag3_17">Ber_Lab_Neo!$S$20</definedName>
    <definedName name="LabNeoDag3_18">Ber_Lab_Neo!$S$21</definedName>
    <definedName name="LabNeoDag3_19">Ber_Lab_Neo!$S$22</definedName>
    <definedName name="LabNeoDag3_2">Ber_Lab_Neo!$S$5</definedName>
    <definedName name="LabNeoDag3_20">Ber_Lab_Neo!$S$23</definedName>
    <definedName name="LabNeoDag3_21">Ber_Lab_Neo!$S$24</definedName>
    <definedName name="LabNeoDag3_22">Ber_Lab_Neo!$S$25</definedName>
    <definedName name="LabNeoDag3_23">Ber_Lab_Neo!$S$26</definedName>
    <definedName name="LabNeoDag3_24">Ber_Lab_Neo!$S$27</definedName>
    <definedName name="LabNeoDag3_25">Ber_Lab_Neo!$S$28</definedName>
    <definedName name="LabNeoDag3_26">Ber_Lab_Neo!$S$29</definedName>
    <definedName name="LabNeoDag3_27">Ber_Lab_Neo!$S$30</definedName>
    <definedName name="LabNeoDag3_28">Ber_Lab_Neo!$S$31</definedName>
    <definedName name="LabNeoDag3_29">Ber_Lab_Neo!$S$32</definedName>
    <definedName name="LabNeoDag3_3">Ber_Lab_Neo!$S$6</definedName>
    <definedName name="LabNeoDag3_30">Ber_Lab_Neo!$S$33</definedName>
    <definedName name="LabNeoDag3_31">Ber_Lab_Neo!$S$34</definedName>
    <definedName name="LabNeoDag3_4">Ber_Lab_Neo!$S$7</definedName>
    <definedName name="LabNeoDag3_5">Ber_Lab_Neo!$S$8</definedName>
    <definedName name="LabNeoDag3_6">Ber_Lab_Neo!$S$9</definedName>
    <definedName name="LabNeoDag3_7">Ber_Lab_Neo!$S$10</definedName>
    <definedName name="LabNeoDag3_8">Ber_Lab_Neo!$S$11</definedName>
    <definedName name="LabNeoDag3_9">Ber_Lab_Neo!$S$12</definedName>
    <definedName name="LabNeoOpmerkingen">Ber_Lab_Neo!$D$38</definedName>
    <definedName name="LabNeoOpn_1">Ber_Lab_Neo!$C$4</definedName>
    <definedName name="LabNeoOpn_10">Ber_Lab_Neo!$C$13</definedName>
    <definedName name="LabNeoOpn_11">Ber_Lab_Neo!$C$14</definedName>
    <definedName name="LabNeoOpn_12">Ber_Lab_Neo!$C$15</definedName>
    <definedName name="LabNeoOpn_13">Ber_Lab_Neo!$C$16</definedName>
    <definedName name="LabNeoOpn_14">Ber_Lab_Neo!$C$17</definedName>
    <definedName name="LabNeoOpn_15">Ber_Lab_Neo!$C$18</definedName>
    <definedName name="LabNeoOpn_16">Ber_Lab_Neo!$C$19</definedName>
    <definedName name="LabNeoOpn_17">Ber_Lab_Neo!$C$20</definedName>
    <definedName name="LabNeoOpn_18">Ber_Lab_Neo!$C$21</definedName>
    <definedName name="LabNeoOpn_19">Ber_Lab_Neo!$C$22</definedName>
    <definedName name="LabNeoOpn_2">Ber_Lab_Neo!$C$5</definedName>
    <definedName name="LabNeoOpn_20">Ber_Lab_Neo!$C$23</definedName>
    <definedName name="LabNeoOpn_21">Ber_Lab_Neo!$C$24</definedName>
    <definedName name="LabNeoOpn_22">Ber_Lab_Neo!$C$25</definedName>
    <definedName name="LabNeoOpn_23">Ber_Lab_Neo!$C$26</definedName>
    <definedName name="LabNeoOpn_24">Ber_Lab_Neo!$C$27</definedName>
    <definedName name="LabNeoOpn_25">Ber_Lab_Neo!$C$28</definedName>
    <definedName name="LabNeoOpn_26">Ber_Lab_Neo!$C$29</definedName>
    <definedName name="LabNeoOpn_27">Ber_Lab_Neo!$C$30</definedName>
    <definedName name="LabNeoOpn_28">Ber_Lab_Neo!$C$31</definedName>
    <definedName name="LabNeoOpn_29">Ber_Lab_Neo!$C$32</definedName>
    <definedName name="LabNeoOpn_3">Ber_Lab_Neo!$C$6</definedName>
    <definedName name="LabNeoOpn_30">Ber_Lab_Neo!$C$33</definedName>
    <definedName name="LabNeoOpn_31">Ber_Lab_Neo!$C$34</definedName>
    <definedName name="LabNeoOpn_32">Ber_Lab_Neo!$C$35</definedName>
    <definedName name="LabNeoOpn_4">Ber_Lab_Neo!$C$7</definedName>
    <definedName name="LabNeoOpn_5">Ber_Lab_Neo!$C$8</definedName>
    <definedName name="LabNeoOpn_6">Ber_Lab_Neo!$C$9</definedName>
    <definedName name="LabNeoOpn_7">Ber_Lab_Neo!$C$10</definedName>
    <definedName name="LabNeoOpn_8">Ber_Lab_Neo!$C$11</definedName>
    <definedName name="LabNeoOpn_9">Ber_Lab_Neo!$C$12</definedName>
    <definedName name="LabOpn_1">Ber_Lab!$C$4</definedName>
    <definedName name="LabOpn_10">Ber_Lab!$C$13</definedName>
    <definedName name="LabOpn_11">Ber_Lab!$C$14</definedName>
    <definedName name="LabOpn_12">Ber_Lab!$C$15</definedName>
    <definedName name="LabOpn_13">Ber_Lab!$C$16</definedName>
    <definedName name="LabOpn_14">Ber_Lab!$C$17</definedName>
    <definedName name="LabOpn_15">Ber_Lab!$C$18</definedName>
    <definedName name="LabOpn_16">Ber_Lab!$C$19</definedName>
    <definedName name="LabOpn_17">Ber_Lab!$C$20</definedName>
    <definedName name="LabOpn_18">Ber_Lab!$C$21</definedName>
    <definedName name="LabOpn_19">Ber_Lab!$C$22</definedName>
    <definedName name="LabOpn_2">Ber_Lab!$C$5</definedName>
    <definedName name="LabOpn_20">Ber_Lab!$C$23</definedName>
    <definedName name="LabOpn_21">Ber_Lab!$C$24</definedName>
    <definedName name="LabOpn_22">Ber_Lab!$C$25</definedName>
    <definedName name="LabOpn_23">Ber_Lab!$C$26</definedName>
    <definedName name="LabOpn_24">Ber_Lab!$C$27</definedName>
    <definedName name="LabOpn_25">Ber_Lab!$C$28</definedName>
    <definedName name="LabOpn_26">Ber_Lab!$C$29</definedName>
    <definedName name="LabOpn_27">Ber_Lab!$C$30</definedName>
    <definedName name="LabOpn_28">Ber_Lab!$C$31</definedName>
    <definedName name="LabOpn_29">Ber_Lab!$C$32</definedName>
    <definedName name="LabOpn_3">Ber_Lab!$C$6</definedName>
    <definedName name="LabOpn_30">Ber_Lab!$C$33</definedName>
    <definedName name="LabOpn_31">Ber_Lab!$C$34</definedName>
    <definedName name="LabOpn_32">Ber_Lab!$C$35</definedName>
    <definedName name="LabOpn_4">Ber_Lab!$C$7</definedName>
    <definedName name="LabOpn_5">Ber_Lab!$C$8</definedName>
    <definedName name="LabOpn_6">Ber_Lab!$C$9</definedName>
    <definedName name="LabOpn_7">Ber_Lab!$C$10</definedName>
    <definedName name="LabOpn_8">Ber_Lab!$C$11</definedName>
    <definedName name="LabOpn_9">Ber_Lab!$C$12</definedName>
    <definedName name="Lengte">dbBead!$H$2</definedName>
    <definedName name="LijstenLijstToevoegingenKV">Lijsten!$M$44:$Y$48</definedName>
    <definedName name="LijstenLijstToevoegingenMM">Lijsten!$M$33:$Y$39</definedName>
    <definedName name="LijstenLijstVoeding">Lijsten!$M$3:$Z$19</definedName>
    <definedName name="LijstenOpzoektabelKV">Lijsten!$M$43:$Y$48</definedName>
    <definedName name="LijstenOpzoektabelMM">Lijsten!$M$32:$Y$39</definedName>
    <definedName name="LijstenOpzoektabelVoeding">Lijsten!$M$2:$Z$19</definedName>
    <definedName name="lijstIntralipidSmof">Lijsten!$AE$3:$AE$4</definedName>
    <definedName name="lijstToevoegingenKVPrint">Lijsten!$L$44:$L$48</definedName>
    <definedName name="lijstToevoegingenMMPrint">Lijsten!$L$33:$L$39</definedName>
    <definedName name="LipidenStand">ber_TPN!$D$12</definedName>
    <definedName name="MedDosHoev_1">ber_Med_disc!$G$2</definedName>
    <definedName name="MedDosHoev_10">ber_Med_disc!$G$11</definedName>
    <definedName name="MedDosHoev_11">ber_Med_disc!$G$12</definedName>
    <definedName name="MedDosHoev_12">ber_Med_disc!$G$13</definedName>
    <definedName name="MedDosHoev_13">ber_Med_disc!$G$14</definedName>
    <definedName name="MedDosHoev_14">ber_Med_disc!$G$15</definedName>
    <definedName name="MedDosHoev_15">ber_Med_disc!$G$16</definedName>
    <definedName name="MedDosHoev_16">ber_Med_disc!$G$17</definedName>
    <definedName name="MedDosHoev_17">ber_Med_disc!$G$18</definedName>
    <definedName name="MedDosHoev_18">ber_Med_disc!$G$19</definedName>
    <definedName name="MedDosHoev_19">ber_Med_disc!$G$20</definedName>
    <definedName name="MedDosHoev_2">ber_Med_disc!$G$3</definedName>
    <definedName name="MedDosHoev_20">ber_Med_disc!$G$21</definedName>
    <definedName name="MedDosHoev_3">ber_Med_disc!$G$4</definedName>
    <definedName name="MedDosHoev_4">ber_Med_disc!$G$5</definedName>
    <definedName name="MedDosHoev_5">ber_Med_disc!$G$6</definedName>
    <definedName name="MedDosHoev_6">ber_Med_disc!$G$7</definedName>
    <definedName name="MedDosHoev_7">ber_Med_disc!$G$8</definedName>
    <definedName name="MedDosHoev_8">ber_Med_disc!$G$9</definedName>
    <definedName name="MedDosHoev_9">ber_Med_disc!$G$10</definedName>
    <definedName name="Medicamenten">tblMedicatieIVNeo!$B$2:$K$26</definedName>
    <definedName name="MedInloop_1">ber_Med_disc!$Q$2</definedName>
    <definedName name="MedInloop_10">ber_Med_disc!$Q$11</definedName>
    <definedName name="MedInloop_11">ber_Med_disc!$Q$12</definedName>
    <definedName name="MedInloop_12">ber_Med_disc!$Q$13</definedName>
    <definedName name="MedInloop_13">ber_Med_disc!$Q$14</definedName>
    <definedName name="MedInloop_14">ber_Med_disc!$Q$15</definedName>
    <definedName name="MedInloop_15">ber_Med_disc!$Q$16</definedName>
    <definedName name="MedInloop_16">ber_Med_disc!$Q$17</definedName>
    <definedName name="MedInloop_17">ber_Med_disc!$Q$18</definedName>
    <definedName name="MedInloop_18">ber_Med_disc!$Q$19</definedName>
    <definedName name="MedInloop_19">ber_Med_disc!$Q$20</definedName>
    <definedName name="MedInloop_2">ber_Med_disc!$Q$3</definedName>
    <definedName name="MedInloop_20">ber_Med_disc!$Q$21</definedName>
    <definedName name="MedInloop_21">ber_Med_disc!$Q$22</definedName>
    <definedName name="MedInloop_22">ber_Med_disc!$Q$23</definedName>
    <definedName name="MedInloop_23">ber_Med_disc!$Q$24</definedName>
    <definedName name="MedInloop_24">ber_Med_disc!$Q$25</definedName>
    <definedName name="MedInloop_25">ber_Med_disc!$Q$26</definedName>
    <definedName name="MedInloop_26">ber_Med_disc!$Q$27</definedName>
    <definedName name="MedInloop_27">ber_Med_disc!$Q$28</definedName>
    <definedName name="MedInloop_28">ber_Med_disc!$Q$29</definedName>
    <definedName name="MedInloop_29">ber_Med_disc!$Q$30</definedName>
    <definedName name="MedInloop_3">ber_Med_disc!$Q$4</definedName>
    <definedName name="MedInloop_30">ber_Med_disc!$Q$31</definedName>
    <definedName name="MedInloop_4">ber_Med_disc!$Q$5</definedName>
    <definedName name="MedInloop_5">ber_Med_disc!$Q$6</definedName>
    <definedName name="MedInloop_6">ber_Med_disc!$Q$7</definedName>
    <definedName name="MedInloop_7">ber_Med_disc!$Q$8</definedName>
    <definedName name="MedInloop_8">ber_Med_disc!$Q$9</definedName>
    <definedName name="MedInloop_9">ber_Med_disc!$Q$10</definedName>
    <definedName name="MedIVKeuze_1">ber_IVmed!$B$3</definedName>
    <definedName name="MedIVKeuze_10">ber_IVmed!$B$12</definedName>
    <definedName name="MedIVKeuze_11">ber_IVmed!$B$13</definedName>
    <definedName name="MedIVKeuze_12">ber_IVmed!$B$14</definedName>
    <definedName name="MedIVKeuze_13">ber_IVmed!$B$15</definedName>
    <definedName name="MedIVKeuze_14">ber_IVmed!$B$16</definedName>
    <definedName name="MedIVKeuze_15">ber_IVmed!$B$17</definedName>
    <definedName name="MedIVKeuze_2">ber_IVmed!$B$4</definedName>
    <definedName name="MedIVKeuze_3">ber_IVmed!$B$5</definedName>
    <definedName name="MedIVKeuze_4">ber_IVmed!$B$6</definedName>
    <definedName name="MedIVKeuze_5">ber_IVmed!$B$7</definedName>
    <definedName name="MedIVKeuze_6">ber_IVmed!$B$8</definedName>
    <definedName name="MedIVKeuze_7">ber_IVmed!$B$9</definedName>
    <definedName name="MedIVKeuze_8">ber_IVmed!$B$10</definedName>
    <definedName name="MedIVKeuze_9">ber_IVmed!$B$11</definedName>
    <definedName name="MedIVMlOpl_1">ber_IVmed!$E$3</definedName>
    <definedName name="MedIVMlOpl_10">ber_IVmed!$E$12</definedName>
    <definedName name="MedIVMlOpl_11">ber_IVmed!$E$13</definedName>
    <definedName name="MedIVMlOpl_12">ber_IVmed!$E$14</definedName>
    <definedName name="MedIVMlOpl_13">ber_IVmed!$E$15</definedName>
    <definedName name="MedIVMlOpl_14">ber_IVmed!$E$16</definedName>
    <definedName name="MedIVMlOpl_15">ber_IVmed!$E$17</definedName>
    <definedName name="MedIVMlOpl_2">ber_IVmed!$E$4</definedName>
    <definedName name="MedIVMlOpl_3">ber_IVmed!$E$5</definedName>
    <definedName name="MedIVMlOpl_4">ber_IVmed!$E$6</definedName>
    <definedName name="MedIVMlOpl_5">ber_IVmed!$E$7</definedName>
    <definedName name="MedIVMlOpl_6">ber_IVmed!$E$8</definedName>
    <definedName name="MedIVMlOpl_7">ber_IVmed!$E$9</definedName>
    <definedName name="MedIVMlOpl_8">ber_IVmed!$E$10</definedName>
    <definedName name="MedIVMlOpl_9">ber_IVmed!$E$11</definedName>
    <definedName name="MedIVOplVlst_1">ber_IVmed!$I$3</definedName>
    <definedName name="MedIVOplVlst_10">ber_IVmed!$I$12</definedName>
    <definedName name="MedIVOplVlst_11">ber_IVmed!$I$13</definedName>
    <definedName name="MedIVOplVlst_12">ber_IVmed!$I$14</definedName>
    <definedName name="MedIVOplVlst_13">ber_IVmed!$I$15</definedName>
    <definedName name="MedIVOplVlst_14">ber_IVmed!$I$16</definedName>
    <definedName name="MedIVOplVlst_15">ber_IVmed!$I$17</definedName>
    <definedName name="MedIVOplVlst_2">ber_IVmed!$I$4</definedName>
    <definedName name="MedIVOplVlst_3">ber_IVmed!$I$5</definedName>
    <definedName name="MedIVOplVlst_4">ber_IVmed!$I$6</definedName>
    <definedName name="MedIVOplVlst_5">ber_IVmed!$I$7</definedName>
    <definedName name="MedIVOplVlst_6">ber_IVmed!$I$8</definedName>
    <definedName name="MedIVOplVlst_7">ber_IVmed!$I$9</definedName>
    <definedName name="MedIVOplVlst_8">ber_IVmed!$I$10</definedName>
    <definedName name="MedIVOplVlst_9">ber_IVmed!$I$11</definedName>
    <definedName name="MedIVStand_1">ber_IVmed!$J$3</definedName>
    <definedName name="MedIVStand_10">ber_IVmed!$J$12</definedName>
    <definedName name="MedIVStand_11">ber_IVmed!$J$13</definedName>
    <definedName name="MedIVStand_12">ber_IVmed!$J$14</definedName>
    <definedName name="MedIVStand_13">ber_IVmed!$J$15</definedName>
    <definedName name="MedIVStand_14">ber_IVmed!$J$16</definedName>
    <definedName name="MedIVStand_15">ber_IVmed!$J$17</definedName>
    <definedName name="MedIVStand_2">ber_IVmed!$J$4</definedName>
    <definedName name="MedIVStand_3">ber_IVmed!$J$5</definedName>
    <definedName name="MedIVStand_4">ber_IVmed!$J$6</definedName>
    <definedName name="MedIVStand_5">ber_IVmed!$J$7</definedName>
    <definedName name="MedIVStand_6">ber_IVmed!$J$8</definedName>
    <definedName name="MedIVStand_7">ber_IVmed!$J$9</definedName>
    <definedName name="MedIVStand_8">ber_IVmed!$J$10</definedName>
    <definedName name="MedIVStand_9">ber_IVmed!$J$11</definedName>
    <definedName name="MedIVSterkte_1">ber_IVmed!$D$3</definedName>
    <definedName name="MedIVSterkte_10">ber_IVmed!$D$12</definedName>
    <definedName name="MedIVSterkte_11">ber_IVmed!$D$13</definedName>
    <definedName name="MedIVSterkte_12">ber_IVmed!$D$14</definedName>
    <definedName name="MedIVSterkte_13">ber_IVmed!$D$15</definedName>
    <definedName name="MedIVSterkte_14">ber_IVmed!$D$16</definedName>
    <definedName name="MedIVSterkte_15">ber_IVmed!$D$17</definedName>
    <definedName name="MedIVSterkte_2">ber_IVmed!$D$4</definedName>
    <definedName name="MedIVSterkte_3">ber_IVmed!$D$5</definedName>
    <definedName name="MedIVSterkte_4">ber_IVmed!$D$6</definedName>
    <definedName name="MedIVSterkte_5">ber_IVmed!$D$7</definedName>
    <definedName name="MedIVSterkte_6">ber_IVmed!$D$8</definedName>
    <definedName name="MedIVSterkte_7">ber_IVmed!$D$9</definedName>
    <definedName name="MedIVSterkte_8">ber_IVmed!$D$10</definedName>
    <definedName name="MedIVSterkte_9">ber_IVmed!$D$11</definedName>
    <definedName name="MedKeuze_0">ber_Med_disc!$B$42</definedName>
    <definedName name="MedKeuze_1">ber_Med_disc!$C$2</definedName>
    <definedName name="MedKeuze_10">ber_Med_disc!$C$11</definedName>
    <definedName name="MedKeuze_11">ber_Med_disc!$C$12</definedName>
    <definedName name="MedKeuze_12">ber_Med_disc!$C$13</definedName>
    <definedName name="MedKeuze_13">ber_Med_disc!$C$14</definedName>
    <definedName name="MedKeuze_14">ber_Med_disc!$C$15</definedName>
    <definedName name="MedKeuze_15">ber_Med_disc!$C$16</definedName>
    <definedName name="MedKeuze_16">ber_Med_disc!$C$17</definedName>
    <definedName name="MedKeuze_17">ber_Med_disc!$C$18</definedName>
    <definedName name="MedKeuze_18">ber_Med_disc!$C$19</definedName>
    <definedName name="MedKeuze_19">ber_Med_disc!$C$20</definedName>
    <definedName name="MedKeuze_2">ber_Med_disc!$C$3</definedName>
    <definedName name="MedKeuze_20">ber_Med_disc!$C$21</definedName>
    <definedName name="MedKeuze_21">ber_Med_disc!$C$22</definedName>
    <definedName name="MedKeuze_22">ber_Med_disc!$C$23</definedName>
    <definedName name="MedKeuze_23">ber_Med_disc!$C$24</definedName>
    <definedName name="MedKeuze_24">ber_Med_disc!$C$25</definedName>
    <definedName name="MedKeuze_25">ber_Med_disc!$C$26</definedName>
    <definedName name="MedKeuze_26">ber_Med_disc!$C$27</definedName>
    <definedName name="MedKeuze_27">ber_Med_disc!$C$28</definedName>
    <definedName name="MedKeuze_28">ber_Med_disc!$C$29</definedName>
    <definedName name="MedKeuze_29">ber_Med_disc!$C$30</definedName>
    <definedName name="MedKeuze_3">ber_Med_disc!$C$4</definedName>
    <definedName name="MedKeuze_30">ber_Med_disc!$C$31</definedName>
    <definedName name="MedKeuze_4">ber_Med_disc!$C$5</definedName>
    <definedName name="MedKeuze_5">ber_Med_disc!$C$6</definedName>
    <definedName name="MedKeuze_6">ber_Med_disc!$C$7</definedName>
    <definedName name="MedKeuze_7">ber_Med_disc!$C$8</definedName>
    <definedName name="MedKeuze_8">ber_Med_disc!$C$9</definedName>
    <definedName name="MedKeuze_9">ber_Med_disc!$C$10</definedName>
    <definedName name="MedOpl_1">ber_Med_disc!$O$2</definedName>
    <definedName name="MedOpl_10">ber_Med_disc!$O$11</definedName>
    <definedName name="MedOpl_11">ber_Med_disc!$O$12</definedName>
    <definedName name="MedOpl_12">ber_Med_disc!$O$13</definedName>
    <definedName name="MedOpl_13">ber_Med_disc!$O$14</definedName>
    <definedName name="MedOpl_14">ber_Med_disc!$O$15</definedName>
    <definedName name="MedOpl_15">ber_Med_disc!$O$16</definedName>
    <definedName name="MedOpl_16">ber_Med_disc!$O$17</definedName>
    <definedName name="MedOpl_17">ber_Med_disc!$O$18</definedName>
    <definedName name="MedOpl_18">ber_Med_disc!$O$19</definedName>
    <definedName name="MedOpl_19">ber_Med_disc!$O$20</definedName>
    <definedName name="MedOpl_2">ber_Med_disc!$O$3</definedName>
    <definedName name="MedOpl_20">ber_Med_disc!$O$21</definedName>
    <definedName name="MedOpl_21">ber_Med_disc!$O$22</definedName>
    <definedName name="MedOpl_22">ber_Med_disc!$O$23</definedName>
    <definedName name="MedOpl_23">ber_Med_disc!$O$24</definedName>
    <definedName name="MedOpl_24">ber_Med_disc!$O$25</definedName>
    <definedName name="MedOpl_25">ber_Med_disc!$O$26</definedName>
    <definedName name="MedOpl_26">ber_Med_disc!$O$27</definedName>
    <definedName name="MedOpl_27">ber_Med_disc!$O$28</definedName>
    <definedName name="MedOpl_28">ber_Med_disc!$O$29</definedName>
    <definedName name="MedOpl_29">ber_Med_disc!$O$30</definedName>
    <definedName name="MedOpl_3">ber_Med_disc!$O$4</definedName>
    <definedName name="MedOpl_30">ber_Med_disc!$O$31</definedName>
    <definedName name="MedOpl_4">ber_Med_disc!$O$5</definedName>
    <definedName name="MedOpl_5">ber_Med_disc!$O$6</definedName>
    <definedName name="MedOpl_6">ber_Med_disc!$O$7</definedName>
    <definedName name="MedOpl_7">ber_Med_disc!$O$8</definedName>
    <definedName name="MedOpl_8">ber_Med_disc!$O$9</definedName>
    <definedName name="MedOpl_9">ber_Med_disc!$O$10</definedName>
    <definedName name="MedOplVol_1">ber_Med_disc!$N$2</definedName>
    <definedName name="MedOplVol_10">ber_Med_disc!$N$11</definedName>
    <definedName name="MedOplVol_11">ber_Med_disc!$N$12</definedName>
    <definedName name="MedOplVol_12">ber_Med_disc!$N$13</definedName>
    <definedName name="MedOplVol_13">ber_Med_disc!$N$14</definedName>
    <definedName name="MedOplVol_14">ber_Med_disc!$N$15</definedName>
    <definedName name="MedOplVol_15">ber_Med_disc!$N$16</definedName>
    <definedName name="MedOplVol_16">ber_Med_disc!$N$17</definedName>
    <definedName name="MedOplVol_17">ber_Med_disc!$N$18</definedName>
    <definedName name="MedOplVol_18">ber_Med_disc!$N$19</definedName>
    <definedName name="MedOplVol_19">ber_Med_disc!$N$20</definedName>
    <definedName name="MedOplVol_2">ber_Med_disc!$N$3</definedName>
    <definedName name="MedOplVol_20">ber_Med_disc!$N$21</definedName>
    <definedName name="MedOplVol_21">ber_Med_disc!$N$22</definedName>
    <definedName name="MedOplVol_22">ber_Med_disc!$N$23</definedName>
    <definedName name="MedOplVol_23">ber_Med_disc!$N$24</definedName>
    <definedName name="MedOplVol_24">ber_Med_disc!$N$25</definedName>
    <definedName name="MedOplVol_25">ber_Med_disc!$N$26</definedName>
    <definedName name="MedOplVol_26">ber_Med_disc!$N$27</definedName>
    <definedName name="MedOplVol_27">ber_Med_disc!$N$28</definedName>
    <definedName name="MedOplVol_28">ber_Med_disc!$N$29</definedName>
    <definedName name="MedOplVol_29">ber_Med_disc!$N$30</definedName>
    <definedName name="MedOplVol_3">ber_Med_disc!$N$4</definedName>
    <definedName name="MedOplVol_30">ber_Med_disc!$N$31</definedName>
    <definedName name="MedOplVol_4">ber_Med_disc!$N$5</definedName>
    <definedName name="MedOplVol_5">ber_Med_disc!$N$6</definedName>
    <definedName name="MedOplVol_6">ber_Med_disc!$N$7</definedName>
    <definedName name="MedOplVol_7">ber_Med_disc!$N$8</definedName>
    <definedName name="MedOplVol_8">ber_Med_disc!$N$9</definedName>
    <definedName name="MedOplVol_9">ber_Med_disc!$N$10</definedName>
    <definedName name="MedTijden_1">ber_Med_disc!$I$2</definedName>
    <definedName name="MedTijden_10">ber_Med_disc!$I$11</definedName>
    <definedName name="MedTijden_11">ber_Med_disc!$I$12</definedName>
    <definedName name="MedTijden_12">ber_Med_disc!$I$13</definedName>
    <definedName name="MedTijden_13">ber_Med_disc!$I$14</definedName>
    <definedName name="MedTijden_14">ber_Med_disc!$I$15</definedName>
    <definedName name="MedTijden_15">ber_Med_disc!$I$16</definedName>
    <definedName name="MedTijden_16">ber_Med_disc!$I$17</definedName>
    <definedName name="MedTijden_17">ber_Med_disc!$I$18</definedName>
    <definedName name="MedTijden_18">ber_Med_disc!$I$19</definedName>
    <definedName name="MedTijden_19">ber_Med_disc!$I$20</definedName>
    <definedName name="MedTijden_2">ber_Med_disc!$I$3</definedName>
    <definedName name="MedTijden_20">ber_Med_disc!$I$21</definedName>
    <definedName name="MedTijden_21">ber_Med_disc!$I$22</definedName>
    <definedName name="MedTijden_22">ber_Med_disc!$I$23</definedName>
    <definedName name="MedTijden_23">ber_Med_disc!$I$24</definedName>
    <definedName name="MedTijden_24">ber_Med_disc!$I$25</definedName>
    <definedName name="MedTijden_25">ber_Med_disc!$I$26</definedName>
    <definedName name="MedTijden_26">ber_Med_disc!$I$27</definedName>
    <definedName name="MedTijden_27">ber_Med_disc!$I$28</definedName>
    <definedName name="MedTijden_28">ber_Med_disc!$I$29</definedName>
    <definedName name="MedTijden_29">ber_Med_disc!$I$30</definedName>
    <definedName name="MedTijden_3">ber_Med_disc!$I$4</definedName>
    <definedName name="MedTijden_30">ber_Med_disc!$I$31</definedName>
    <definedName name="MedTijden_4">ber_Med_disc!$I$5</definedName>
    <definedName name="MedTijden_5">ber_Med_disc!$I$6</definedName>
    <definedName name="MedTijden_6">ber_Med_disc!$I$7</definedName>
    <definedName name="MedTijden_7">ber_Med_disc!$I$8</definedName>
    <definedName name="MedTijden_8">ber_Med_disc!$I$9</definedName>
    <definedName name="MedTijden_9">ber_Med_disc!$I$10</definedName>
    <definedName name="MedToed_1">ber_Med_disc!$L$2</definedName>
    <definedName name="MedToed_10">ber_Med_disc!$L$11</definedName>
    <definedName name="MedToed_11">ber_Med_disc!$L$12</definedName>
    <definedName name="MedToed_12">ber_Med_disc!$L$13</definedName>
    <definedName name="MedToed_13">ber_Med_disc!$L$14</definedName>
    <definedName name="MedToed_14">ber_Med_disc!$L$15</definedName>
    <definedName name="MedToed_15">ber_Med_disc!$L$16</definedName>
    <definedName name="MedToed_16">ber_Med_disc!$L$17</definedName>
    <definedName name="MedToed_17">ber_Med_disc!$L$18</definedName>
    <definedName name="MedToed_18">ber_Med_disc!$L$19</definedName>
    <definedName name="MedToed_19">ber_Med_disc!$L$20</definedName>
    <definedName name="MedToed_2">ber_Med_disc!$L$3</definedName>
    <definedName name="MedToed_20">ber_Med_disc!$L$21</definedName>
    <definedName name="MedToed_21">ber_Med_disc!$L$22</definedName>
    <definedName name="MedToed_22">ber_Med_disc!$L$23</definedName>
    <definedName name="MedToed_23">ber_Med_disc!$L$24</definedName>
    <definedName name="MedToed_24">ber_Med_disc!$L$25</definedName>
    <definedName name="MedToed_25">ber_Med_disc!$L$26</definedName>
    <definedName name="MedToed_26">ber_Med_disc!$L$27</definedName>
    <definedName name="MedToed_27">ber_Med_disc!$L$28</definedName>
    <definedName name="MedToed_28">ber_Med_disc!$L$29</definedName>
    <definedName name="MedToed_29">ber_Med_disc!$L$30</definedName>
    <definedName name="MedToed_3">ber_Med_disc!$L$4</definedName>
    <definedName name="MedToed_30">ber_Med_disc!$L$31</definedName>
    <definedName name="MedToed_4">ber_Med_disc!$L$5</definedName>
    <definedName name="MedToed_5">ber_Med_disc!$L$6</definedName>
    <definedName name="MedToed_6">ber_Med_disc!$L$7</definedName>
    <definedName name="MedToed_7">ber_Med_disc!$L$8</definedName>
    <definedName name="MedToed_8">ber_Med_disc!$L$9</definedName>
    <definedName name="MedToed_9">ber_Med_disc!$L$10</definedName>
    <definedName name="MgCl">ber_TPN!$C$10</definedName>
    <definedName name="MgClVol">ber_TPN!$E$10</definedName>
    <definedName name="NaCl">ber_TPN!$C$7</definedName>
    <definedName name="NaCl_2">ber_TPN!$C$21</definedName>
    <definedName name="NaClVol">ber_TPN!$E$7</definedName>
    <definedName name="NaClVol_2">ber_TPN!$E$21</definedName>
    <definedName name="Opl">Lijsten!$A$3:$H$18</definedName>
    <definedName name="opmAfsprBlad__1">ber_Opm!$C$2</definedName>
    <definedName name="opmAfsprBlad__10">ber_Opm!$C$11</definedName>
    <definedName name="opmAfsprBlad__11">ber_Opm!$C$12</definedName>
    <definedName name="opmAfsprBlad__12">ber_Opm!$C$13</definedName>
    <definedName name="opmAfsprBlad__13">ber_Opm!$C$14</definedName>
    <definedName name="opmAfsprBlad__14">ber_Opm!$C$15</definedName>
    <definedName name="opmAfsprBlad__15">ber_Opm!$C$36</definedName>
    <definedName name="opmAfsprBlad__2">ber_Opm!$C$3</definedName>
    <definedName name="opmAfsprBlad__3">ber_Opm!$C$4</definedName>
    <definedName name="opmAfsprBlad__4">ber_Opm!$C$5</definedName>
    <definedName name="opmAfsprBlad__5">ber_Opm!$C$6</definedName>
    <definedName name="opmAfsprBlad__6">ber_Opm!$C$7</definedName>
    <definedName name="opmAfsprBlad__7">ber_Opm!$C$8</definedName>
    <definedName name="opmAfsprBlad__8">ber_Opm!$C$9</definedName>
    <definedName name="opmAfsprBlad__9">ber_Opm!$C$10</definedName>
    <definedName name="opmMedDisc__1">ber_Opm!$C$16</definedName>
    <definedName name="opmMedDisc__10">ber_Opm!$C$25</definedName>
    <definedName name="opmMedDisc__11">ber_Opm!$C$26</definedName>
    <definedName name="opmMedDisc__12">ber_Opm!$C$27</definedName>
    <definedName name="opmMedDisc__13">ber_Opm!$C$28</definedName>
    <definedName name="opmMedDisc__14">ber_Opm!$C$29</definedName>
    <definedName name="opmMedDisc__15">ber_Opm!$C$30</definedName>
    <definedName name="opmMedDisc__16">ber_Opm!$C$31</definedName>
    <definedName name="opmMedDisc__17">ber_Opm!$C$32</definedName>
    <definedName name="opmMedDisc__18">ber_Opm!$C$33</definedName>
    <definedName name="opmMedDisc__19">ber_Opm!$C$34</definedName>
    <definedName name="opmMedDisc__2">ber_Opm!$C$17</definedName>
    <definedName name="opmMedDisc__20">ber_Opm!$C$35</definedName>
    <definedName name="opmMedDisc__21">ber_Opm!$C$37</definedName>
    <definedName name="opmMedDisc__22">ber_Opm!$C$38</definedName>
    <definedName name="opmMedDisc__23">ber_Opm!$C$39</definedName>
    <definedName name="opmMedDisc__24">ber_Opm!$C$40</definedName>
    <definedName name="opmMedDisc__25">ber_Opm!$C$41</definedName>
    <definedName name="opmMedDisc__26">ber_Opm!$C$42</definedName>
    <definedName name="opmMedDisc__27">ber_Opm!$C$43</definedName>
    <definedName name="opmMedDisc__28">ber_Opm!$C$44</definedName>
    <definedName name="opmMedDisc__29">ber_Opm!$C$45</definedName>
    <definedName name="opmMedDisc__3">ber_Opm!$C$18</definedName>
    <definedName name="opmMedDisc__30">ber_Opm!$C$46</definedName>
    <definedName name="opmMedDisc__4">ber_Opm!$C$19</definedName>
    <definedName name="opmMedDisc__5">ber_Opm!$C$20</definedName>
    <definedName name="opmMedDisc__6">ber_Opm!$C$21</definedName>
    <definedName name="opmMedDisc__7">ber_Opm!$C$22</definedName>
    <definedName name="opmMedDisc__8">ber_Opm!$C$23</definedName>
    <definedName name="opmMedDisc__9">ber_Opm!$C$24</definedName>
    <definedName name="OpnDatum">dbBead!$C$2</definedName>
    <definedName name="PatNummer">dbBead!$A$2</definedName>
    <definedName name="patRec">Patienten!$S$1</definedName>
    <definedName name="Peditrace">ber_TPN!$E$5</definedName>
    <definedName name="PM">ber_Infusen!$D$2</definedName>
    <definedName name="PM_AO">ber_Infusen!$G$2</definedName>
    <definedName name="PM_AS">ber_Infusen!$G$5</definedName>
    <definedName name="PM_AV">ber_Infusen!$G$4</definedName>
    <definedName name="PM_Freq">ber_Infusen!$G$1</definedName>
    <definedName name="PM_Instelling">ber_Infusen!$G$1:$G$6</definedName>
    <definedName name="PM_Mod">ber_Infusen!$E$2</definedName>
    <definedName name="PM_Standaard">ber_Infusen!$H$1:$H$6</definedName>
    <definedName name="PM_VO">ber_Infusen!$G$3</definedName>
    <definedName name="PM_VS">ber_Infusen!$G$6</definedName>
    <definedName name="Pos">Lijsten!$M$3:$Y$19</definedName>
    <definedName name="_xlnm.Print_Area" localSheetId="19">AcuteOpvang!$B$2:$G$44</definedName>
    <definedName name="_xlnm.Print_Area" localSheetId="48">'AcuteOpvang Neo'!$B$2:$G$31</definedName>
    <definedName name="_xlnm.Print_Area" localSheetId="22">AfsprakenCMV!$A$2:$J$127</definedName>
    <definedName name="_xlnm.Print_Area" localSheetId="50">Apotheek!$A$1:$Q$63</definedName>
    <definedName name="_xlnm.Print_Area" localSheetId="23">Medicatie!$B$1:$AG$22</definedName>
    <definedName name="_xlnm.Print_Area" localSheetId="42">'Medicatie Neo'!$B$1:$AG$22</definedName>
    <definedName name="_xlnm.Print_Area" localSheetId="49">Print!$A$1:$Q$68</definedName>
    <definedName name="_xlnm.Print_Area" localSheetId="27">TPN16tot30kg!$A$1:$H$48</definedName>
    <definedName name="_xlnm.Print_Area" localSheetId="25">TPN2tot6kg!$A$1:$H$48</definedName>
    <definedName name="_xlnm.Print_Area" localSheetId="28">TPN31tot50kg!$A$1:$H$49</definedName>
    <definedName name="_xlnm.Print_Area" localSheetId="26">TPN7tot15kg!$A$1:$H$50</definedName>
    <definedName name="_xlnm.Print_Area" localSheetId="29">TPNboven50kg!$A$1:$H$52</definedName>
    <definedName name="_xlnm.Print_Area" localSheetId="37">WerkBrief!$A$1:$P$55</definedName>
    <definedName name="RecNo_1">ber_Med_disc!$U$2</definedName>
    <definedName name="RecNo_10">ber_Med_disc!$U$11</definedName>
    <definedName name="RecNo_11">ber_Med_disc!$U$12</definedName>
    <definedName name="RecNo_12">ber_Med_disc!$U$13</definedName>
    <definedName name="RecNo_13">ber_Med_disc!$U$14</definedName>
    <definedName name="RecNo_14">ber_Med_disc!$U$15</definedName>
    <definedName name="RecNo_15">ber_Med_disc!$U$16</definedName>
    <definedName name="RecNo_16">ber_Med_disc!$U$17</definedName>
    <definedName name="RecNo_17">ber_Med_disc!$U$18</definedName>
    <definedName name="RecNo_18">ber_Med_disc!$U$19</definedName>
    <definedName name="RecNo_19">ber_Med_disc!$U$20</definedName>
    <definedName name="RecNo_2">ber_Med_disc!$U$3</definedName>
    <definedName name="RecNo_20">ber_Med_disc!$U$21</definedName>
    <definedName name="RecNo_21">ber_Med_disc!$U$22</definedName>
    <definedName name="RecNo_22">ber_Med_disc!$U$23</definedName>
    <definedName name="RecNo_23">ber_Med_disc!$U$24</definedName>
    <definedName name="RecNo_24">ber_Med_disc!$U$25</definedName>
    <definedName name="RecNo_25">ber_Med_disc!$U$26</definedName>
    <definedName name="RecNo_26">ber_Med_disc!$U$27</definedName>
    <definedName name="RecNo_27">ber_Med_disc!$U$28</definedName>
    <definedName name="RecNo_28">ber_Med_disc!$U$29</definedName>
    <definedName name="RecNo_29">ber_Med_disc!$U$30</definedName>
    <definedName name="RecNo_3">ber_Med_disc!$U$4</definedName>
    <definedName name="RecNo_30">ber_Med_disc!$U$31</definedName>
    <definedName name="RecNo_4">ber_Med_disc!$U$5</definedName>
    <definedName name="RecNo_5">ber_Med_disc!$U$6</definedName>
    <definedName name="RecNo_6">ber_Med_disc!$U$7</definedName>
    <definedName name="RecNo_7">ber_Med_disc!$U$8</definedName>
    <definedName name="RecNo_8">ber_Med_disc!$U$9</definedName>
    <definedName name="RecNo_9">ber_Med_disc!$U$10</definedName>
    <definedName name="reservePat">Patienten!$C$2:$C$521</definedName>
    <definedName name="SelectedIntralipidSmof">Berekeningen!$F$35</definedName>
    <definedName name="SelectedIntralipidSmof1700">Berekeningen1700!$F$35</definedName>
    <definedName name="SMOF">ber_TPN!$C$16</definedName>
    <definedName name="Soluvit">ber_TPN!$C$15</definedName>
    <definedName name="SoluvitVol">ber_TPN!$E$15</definedName>
    <definedName name="Sonde">ber_PO!$O$2</definedName>
    <definedName name="SpecVoed_1">ber_PO!$H$2</definedName>
    <definedName name="SpecVoed_10">ber_PO!$H$11</definedName>
    <definedName name="SpecVoed_11">ber_PO!$H$12</definedName>
    <definedName name="SpecVoed_12">ber_PO!$H$13</definedName>
    <definedName name="SpecVoed_2">ber_PO!$H$3</definedName>
    <definedName name="SpecVoed_3">ber_PO!$H$4</definedName>
    <definedName name="SpecVoed_4">ber_PO!$H$5</definedName>
    <definedName name="SpecVoed_5">ber_PO!$H$6</definedName>
    <definedName name="SpecVoed_6">ber_PO!$H$7</definedName>
    <definedName name="SpecVoed_7">ber_PO!$H$8</definedName>
    <definedName name="SpecVoed_8">ber_PO!$H$9</definedName>
    <definedName name="SpecVoed_9">ber_PO!$H$10</definedName>
    <definedName name="SST2Stand">ber_TPN!$D$19</definedName>
    <definedName name="SSTglucose">ber_TPN!$B$6</definedName>
    <definedName name="SSTGlucose_2">ber_TPN!$B$20</definedName>
    <definedName name="SSTStand">ber_TPN!$D$3</definedName>
    <definedName name="StandDos_1">ber_Med_disc!$E$2</definedName>
    <definedName name="StandDos_10">ber_Med_disc!$E$11</definedName>
    <definedName name="StandDos_11">ber_Med_disc!$E$12</definedName>
    <definedName name="StandDos_12">ber_Med_disc!$E$13</definedName>
    <definedName name="StandDos_13">ber_Med_disc!$E$14</definedName>
    <definedName name="StandDos_14">ber_Med_disc!$E$15</definedName>
    <definedName name="StandDos_15">ber_Med_disc!$E$16</definedName>
    <definedName name="StandDos_16">ber_Med_disc!$E$17</definedName>
    <definedName name="StandDos_17">ber_Med_disc!$E$18</definedName>
    <definedName name="StandDos_18">ber_Med_disc!$E$19</definedName>
    <definedName name="StandDos_19">ber_Med_disc!$E$20</definedName>
    <definedName name="StandDos_2">ber_Med_disc!$E$3</definedName>
    <definedName name="StandDos_20">ber_Med_disc!$E$21</definedName>
    <definedName name="StandDos_21">ber_Med_disc!$E$22</definedName>
    <definedName name="StandDos_22">ber_Med_disc!$E$23</definedName>
    <definedName name="StandDos_23">ber_Med_disc!$E$24</definedName>
    <definedName name="StandDos_24">ber_Med_disc!$E$25</definedName>
    <definedName name="StandDos_25">ber_Med_disc!$E$26</definedName>
    <definedName name="StandDos_26">ber_Med_disc!$E$27</definedName>
    <definedName name="StandDos_27">ber_Med_disc!$E$28</definedName>
    <definedName name="StandDos_28">ber_Med_disc!$E$29</definedName>
    <definedName name="StandDos_29">ber_Med_disc!$E$30</definedName>
    <definedName name="StandDos_3">ber_Med_disc!$E$4</definedName>
    <definedName name="StandDos_30">ber_Med_disc!$E$31</definedName>
    <definedName name="StandDos_4">ber_Med_disc!$E$5</definedName>
    <definedName name="StandDos_5">ber_Med_disc!$E$6</definedName>
    <definedName name="StandDos_6">ber_Med_disc!$E$7</definedName>
    <definedName name="StandDos_7">ber_Med_disc!$E$8</definedName>
    <definedName name="StandDos_8">ber_Med_disc!$E$9</definedName>
    <definedName name="StandDos_9">ber_Med_disc!$E$10</definedName>
    <definedName name="StartDatum_1">ber_Med_disc!$B$2</definedName>
    <definedName name="StartDatum_10">ber_Med_disc!$B$11</definedName>
    <definedName name="StartDatum_11">ber_Med_disc!$B$12</definedName>
    <definedName name="StartDatum_12">ber_Med_disc!$B$13</definedName>
    <definedName name="StartDatum_13">ber_Med_disc!$B$14</definedName>
    <definedName name="StartDatum_14">ber_Med_disc!$B$15</definedName>
    <definedName name="StartDatum_15">ber_Med_disc!$B$16</definedName>
    <definedName name="StartDatum_16">ber_Med_disc!$B$17</definedName>
    <definedName name="StartDatum_17">ber_Med_disc!$B$18</definedName>
    <definedName name="StartDatum_18">ber_Med_disc!$B$19</definedName>
    <definedName name="StartDatum_19">ber_Med_disc!$B$20</definedName>
    <definedName name="StartDatum_2">ber_Med_disc!$B$3</definedName>
    <definedName name="StartDatum_20">ber_Med_disc!$B$21</definedName>
    <definedName name="StartDatum_21">ber_Med_disc!$B$22</definedName>
    <definedName name="StartDatum_22">ber_Med_disc!$B$23</definedName>
    <definedName name="StartDatum_23">ber_Med_disc!$B$24</definedName>
    <definedName name="StartDatum_24">ber_Med_disc!$B$25</definedName>
    <definedName name="StartDatum_25">ber_Med_disc!$B$26</definedName>
    <definedName name="StartDatum_26">ber_Med_disc!$B$27</definedName>
    <definedName name="StartDatum_27">ber_Med_disc!$B$28</definedName>
    <definedName name="StartDatum_28">ber_Med_disc!$B$29</definedName>
    <definedName name="StartDatum_29">ber_Med_disc!$B$30</definedName>
    <definedName name="StartDatum_3">ber_Med_disc!$B$4</definedName>
    <definedName name="StartDatum_30">ber_Med_disc!$B$31</definedName>
    <definedName name="StartDatum_4">ber_Med_disc!$B$5</definedName>
    <definedName name="StartDatum_5">ber_Med_disc!$B$6</definedName>
    <definedName name="StartDatum_6">ber_Med_disc!$B$7</definedName>
    <definedName name="StartDatum_7">ber_Med_disc!$B$8</definedName>
    <definedName name="StartDatum_8">ber_Med_disc!$B$9</definedName>
    <definedName name="StartDatum_9">ber_Med_disc!$B$10</definedName>
    <definedName name="TabelAcuteTubeMaatKgNeo">'AcuteOpvang Neo'!$L$22:$N$24</definedName>
    <definedName name="tblBerMedContIV">ber_IVmed!$B$2:$H$12</definedName>
    <definedName name="tblInfusen">tblInfusen!$A$2:$A$34</definedName>
    <definedName name="tblInfusenBer">tblInfusen!$A$2:$C$34</definedName>
    <definedName name="tblMedDiscEenh">tblMedDisc!$E$2:$E$7</definedName>
    <definedName name="tblMedDiscOplVl">tblMedDisc!$B$2:$B$5</definedName>
    <definedName name="tblMedDiscTijden">tblMedDisc!$C$2:$D$14</definedName>
    <definedName name="tblMedDiscTijdenIndex">tblMedDisc!$C$2:$C$14</definedName>
    <definedName name="tblMedDiscTijdenValues">tblMedDisc!$D$2:$D$14</definedName>
    <definedName name="tblMedDiscToed">tblMedDisc!$A$2:$A$13</definedName>
    <definedName name="tblMedicationContIV">tblMedicatieIV!$B$3:$W$34</definedName>
    <definedName name="tblOmrekenCa">tblVoeding!$E$4</definedName>
    <definedName name="tblOmrekenCl">tblVoeding!$J$4</definedName>
    <definedName name="tblOmrekenFe">tblVoeding!$H$4</definedName>
    <definedName name="tblOmrekenK">tblVoeding!$D$4</definedName>
    <definedName name="tblOmrekenMg">tblVoeding!$G$4</definedName>
    <definedName name="tblOmrekenNA">tblVoeding!$C$4</definedName>
    <definedName name="tblOmrekenP">tblVoeding!$F$4</definedName>
    <definedName name="tblOmrekenVitD">tblVoeding!$I$4</definedName>
    <definedName name="tblOplossing">ber_IVmed!$T$3:$T$6</definedName>
    <definedName name="tblOpzoekenMedicatieIV">tblMedicatieIV!$A$3:$B$34</definedName>
    <definedName name="tblPacemakerModus">tblInfusen!$F$2:$F$5</definedName>
    <definedName name="tblPacemakerPositie">tblInfusen!$E$2:$E$5</definedName>
    <definedName name="tblPerOs">tblPO!$C$3:$O$27</definedName>
    <definedName name="tblPO_poederlijst">tblPO!$C$31:$C$54</definedName>
    <definedName name="tblPoeder">tblPO!$C$31:$O$54</definedName>
    <definedName name="tblSonde">tblPO!$Q$2:$Q$6</definedName>
    <definedName name="tblSSTGlucose">ber_TPN!$K$27:$K$40</definedName>
    <definedName name="tblTijden">ber_Med_disc!$C$28:$D$39</definedName>
    <definedName name="tblTPN">ber_TPN!$A$27:$I$28</definedName>
    <definedName name="tblVoedingBasislijst">tblVoeding!$B$8:$N$44</definedName>
    <definedName name="tblVoedingPO">tblPO!$C$3:$C$27</definedName>
    <definedName name="tblVoedingPoeder">tblVoeding!$B$49:$N$75</definedName>
    <definedName name="TotaalVocht">ber_Med_disc!$P$33</definedName>
    <definedName name="TPN">ber_TPN!$B$4</definedName>
    <definedName name="tpnB">ber_TPN!$A$29:$I$29</definedName>
    <definedName name="tpnC">ber_TPN!$A$30:$I$30</definedName>
    <definedName name="tpnD">ber_TPN!$A$31:$I$31</definedName>
    <definedName name="tpnE">ber_TPN!$A$32:$I$32</definedName>
    <definedName name="TpnNICU">Lijsten!$M$25:$V$26</definedName>
    <definedName name="tpnNutriflex">ber_TPN!$A$33:$I$33</definedName>
    <definedName name="tpnSelected">ber_TPN!$A$28:$I$28</definedName>
    <definedName name="TPNVol">ber_TPN!$E$4</definedName>
    <definedName name="VitIntra">ber_TPN!$C$14</definedName>
    <definedName name="VitIntraVol">ber_TPN!$E$14</definedName>
    <definedName name="VolPO_1">ber_PO!$K$2</definedName>
    <definedName name="VolPO_2">ber_PO!$K$3</definedName>
    <definedName name="VolPO_3">ber_PO!$K$4</definedName>
    <definedName name="VolPO_4">ber_PO!$K$5</definedName>
    <definedName name="Z_33CCADFA_0D48_46A6_8927_2B2144029216_.wvu.FilterData" localSheetId="53" hidden="1">Patienten!$A$1:$Q$577</definedName>
    <definedName name="Z_33CCADFA_0D48_46A6_8927_2B2144029216_.wvu.FilterData" localSheetId="58" hidden="1">Temp!$A$2:$B$437</definedName>
    <definedName name="Z_33CCADFA_0D48_46A6_8927_2B2144029216_.wvu.PrintArea" localSheetId="19" hidden="1">AcuteOpvang!$B$2:$G$44</definedName>
    <definedName name="Z_33CCADFA_0D48_46A6_8927_2B2144029216_.wvu.PrintArea" localSheetId="48" hidden="1">'AcuteOpvang Neo'!$B$2:$G$31</definedName>
    <definedName name="Z_33CCADFA_0D48_46A6_8927_2B2144029216_.wvu.PrintArea" localSheetId="22" hidden="1">AfsprakenCMV!$A$2:$J$127</definedName>
    <definedName name="Z_33CCADFA_0D48_46A6_8927_2B2144029216_.wvu.PrintArea" localSheetId="23" hidden="1">Medicatie!$B$1:$AG$22</definedName>
    <definedName name="Z_33CCADFA_0D48_46A6_8927_2B2144029216_.wvu.PrintArea" localSheetId="42" hidden="1">'Medicatie Neo'!$B$1:$AG$22</definedName>
    <definedName name="Z_33CCADFA_0D48_46A6_8927_2B2144029216_.wvu.PrintArea" localSheetId="27" hidden="1">TPN16tot30kg!$A$1:$H$48</definedName>
    <definedName name="Z_33CCADFA_0D48_46A6_8927_2B2144029216_.wvu.PrintArea" localSheetId="25" hidden="1">TPN2tot6kg!$A$1:$H$48</definedName>
    <definedName name="Z_33CCADFA_0D48_46A6_8927_2B2144029216_.wvu.PrintArea" localSheetId="28" hidden="1">TPN31tot50kg!$A$1:$H$49</definedName>
    <definedName name="Z_33CCADFA_0D48_46A6_8927_2B2144029216_.wvu.PrintArea" localSheetId="26" hidden="1">TPN7tot15kg!$A$1:$H$50</definedName>
    <definedName name="Z_33CCADFA_0D48_46A6_8927_2B2144029216_.wvu.PrintArea" localSheetId="29" hidden="1">TPNboven50kg!$A$1:$H$52</definedName>
  </definedNames>
  <calcPr calcId="152511"/>
  <customWorkbookViews>
    <customWorkbookView name="Bustin, J.A.M. - Persoonlijke weergave" guid="{33CCADFA-0D48-46A6-8927-2B2144029216}" mergeInterval="0" personalView="1" maximized="1" windowWidth="1280" windowHeight="847" tabRatio="819" activeSheetId="3" showFormulaBar="0"/>
  </customWorkbookViews>
</workbook>
</file>

<file path=xl/calcChain.xml><?xml version="1.0" encoding="utf-8"?>
<calcChain xmlns="http://schemas.openxmlformats.org/spreadsheetml/2006/main">
  <c r="B3" i="45" l="1"/>
  <c r="B2" i="6"/>
  <c r="V18" i="12" l="1"/>
  <c r="U18" i="12"/>
  <c r="V17" i="12"/>
  <c r="U17" i="12"/>
  <c r="H17" i="12" s="1"/>
  <c r="H24" i="10" s="1"/>
  <c r="V16" i="12"/>
  <c r="U16" i="12"/>
  <c r="V15" i="12"/>
  <c r="U15" i="12"/>
  <c r="V14" i="12"/>
  <c r="U14" i="12"/>
  <c r="V13" i="12"/>
  <c r="U13" i="12"/>
  <c r="D26" i="12"/>
  <c r="C26" i="12"/>
  <c r="H12" i="12"/>
  <c r="H11" i="12"/>
  <c r="H10" i="12"/>
  <c r="H9" i="12"/>
  <c r="H8" i="12"/>
  <c r="H7" i="12"/>
  <c r="H6" i="12"/>
  <c r="H5" i="12"/>
  <c r="H4" i="12"/>
  <c r="H2" i="12"/>
  <c r="H14" i="12" l="1"/>
  <c r="H21" i="10" s="1"/>
  <c r="H16" i="12"/>
  <c r="H23" i="10" s="1"/>
  <c r="H15" i="12"/>
  <c r="H22" i="10" s="1"/>
  <c r="H13" i="12"/>
  <c r="H20" i="10" s="1"/>
  <c r="D5" i="56" l="1"/>
  <c r="J4" i="56"/>
  <c r="D4" i="56"/>
  <c r="J3" i="56"/>
  <c r="H3" i="56"/>
  <c r="D3" i="56"/>
  <c r="J2" i="56"/>
  <c r="H2" i="56"/>
  <c r="D5" i="58"/>
  <c r="J4" i="58"/>
  <c r="D4" i="58"/>
  <c r="J3" i="58"/>
  <c r="H3" i="58"/>
  <c r="D3" i="58"/>
  <c r="J2" i="58"/>
  <c r="H2" i="58"/>
  <c r="H4" i="58"/>
  <c r="I2" i="56" l="1"/>
  <c r="D2" i="56"/>
  <c r="H4" i="56"/>
  <c r="I2" i="58"/>
  <c r="D2" i="58"/>
  <c r="O5" i="11"/>
  <c r="D25" i="13"/>
  <c r="D23" i="13"/>
  <c r="E32" i="49"/>
  <c r="E31" i="49"/>
  <c r="E30" i="49"/>
  <c r="D30" i="49"/>
  <c r="D31" i="49"/>
  <c r="D32" i="49"/>
  <c r="E28" i="49"/>
  <c r="E27" i="49"/>
  <c r="D27" i="49"/>
  <c r="D28" i="49"/>
  <c r="D25" i="49"/>
  <c r="D24" i="49"/>
  <c r="D23" i="49"/>
  <c r="B2" i="49"/>
  <c r="B3" i="49"/>
  <c r="C3" i="49"/>
  <c r="C5" i="49"/>
  <c r="D5" i="49"/>
  <c r="E5" i="49"/>
  <c r="E14" i="49" s="1"/>
  <c r="D7" i="49"/>
  <c r="D8" i="49"/>
  <c r="D9" i="49"/>
  <c r="D10" i="49"/>
  <c r="D11" i="49"/>
  <c r="E20" i="49" l="1"/>
  <c r="D15" i="49"/>
  <c r="E19" i="49"/>
  <c r="D12" i="49"/>
  <c r="D17" i="49"/>
  <c r="D20" i="49"/>
  <c r="D14" i="49"/>
  <c r="E17" i="49"/>
  <c r="E13" i="49"/>
  <c r="D13" i="49"/>
  <c r="D19" i="49"/>
  <c r="G31" i="16"/>
  <c r="G29" i="16"/>
  <c r="C29" i="16"/>
  <c r="C28" i="16"/>
  <c r="G27" i="16"/>
  <c r="C26" i="16"/>
  <c r="G25" i="16"/>
  <c r="C25" i="16"/>
  <c r="C24" i="16"/>
  <c r="G23" i="16"/>
  <c r="C63" i="9" l="1"/>
  <c r="M65" i="13" l="1"/>
  <c r="H65" i="13"/>
  <c r="L64" i="13"/>
  <c r="O64" i="13" s="1"/>
  <c r="K64" i="13"/>
  <c r="J64" i="13"/>
  <c r="H64" i="13"/>
  <c r="D64" i="13"/>
  <c r="D65" i="13"/>
  <c r="M63" i="13"/>
  <c r="H63" i="13"/>
  <c r="L62" i="13"/>
  <c r="O62" i="13" s="1"/>
  <c r="K62" i="13"/>
  <c r="J62" i="13"/>
  <c r="H62" i="13"/>
  <c r="D62" i="13"/>
  <c r="D63" i="13"/>
  <c r="M61" i="13"/>
  <c r="H61" i="13"/>
  <c r="L60" i="13"/>
  <c r="O60" i="13" s="1"/>
  <c r="K60" i="13"/>
  <c r="J60" i="13"/>
  <c r="H60" i="13"/>
  <c r="D60" i="13"/>
  <c r="D61" i="13"/>
  <c r="M59" i="13"/>
  <c r="H59" i="13"/>
  <c r="L58" i="13"/>
  <c r="M58" i="13" s="1"/>
  <c r="K58" i="13"/>
  <c r="J58" i="13"/>
  <c r="H58" i="13"/>
  <c r="D58" i="13"/>
  <c r="D59" i="13"/>
  <c r="M57" i="13"/>
  <c r="H57" i="13"/>
  <c r="L56" i="13"/>
  <c r="M56" i="13" s="1"/>
  <c r="K56" i="13"/>
  <c r="J56" i="13"/>
  <c r="H56" i="13"/>
  <c r="D56" i="13"/>
  <c r="D57" i="13"/>
  <c r="M55" i="13"/>
  <c r="H55" i="13"/>
  <c r="L54" i="13"/>
  <c r="K54" i="13"/>
  <c r="J54" i="13"/>
  <c r="H54" i="13"/>
  <c r="D54" i="13"/>
  <c r="D55" i="13"/>
  <c r="D53" i="13"/>
  <c r="M53" i="13"/>
  <c r="H53" i="13"/>
  <c r="L52" i="13"/>
  <c r="K52" i="13"/>
  <c r="J52" i="13"/>
  <c r="H52" i="13"/>
  <c r="D52" i="13"/>
  <c r="J24" i="14"/>
  <c r="J25" i="14"/>
  <c r="J26" i="14"/>
  <c r="J27" i="14"/>
  <c r="J28" i="14"/>
  <c r="J29" i="14"/>
  <c r="J30" i="14"/>
  <c r="J31" i="14"/>
  <c r="J2" i="14"/>
  <c r="J3" i="14"/>
  <c r="J4" i="14"/>
  <c r="J5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D32" i="16" l="1"/>
  <c r="U32" i="16" s="1"/>
  <c r="K65" i="13"/>
  <c r="D31" i="16"/>
  <c r="O31" i="16" s="1"/>
  <c r="K63" i="13"/>
  <c r="D30" i="16"/>
  <c r="L30" i="16" s="1"/>
  <c r="K61" i="13"/>
  <c r="D29" i="16"/>
  <c r="AD29" i="16" s="1"/>
  <c r="K59" i="13"/>
  <c r="D28" i="16"/>
  <c r="V28" i="16" s="1"/>
  <c r="K57" i="13"/>
  <c r="D27" i="16"/>
  <c r="AB27" i="16" s="1"/>
  <c r="K55" i="13"/>
  <c r="D26" i="16"/>
  <c r="K53" i="13"/>
  <c r="O54" i="13"/>
  <c r="M52" i="13"/>
  <c r="G30" i="16"/>
  <c r="M64" i="13"/>
  <c r="M62" i="13"/>
  <c r="M60" i="13"/>
  <c r="O58" i="13"/>
  <c r="O56" i="13"/>
  <c r="M54" i="13"/>
  <c r="O52" i="13"/>
  <c r="M51" i="13"/>
  <c r="H51" i="13"/>
  <c r="L50" i="13"/>
  <c r="K50" i="13"/>
  <c r="J50" i="13"/>
  <c r="H50" i="13"/>
  <c r="D50" i="13"/>
  <c r="M4" i="13"/>
  <c r="D51" i="13"/>
  <c r="AB28" i="16" l="1"/>
  <c r="L28" i="16"/>
  <c r="AD28" i="16"/>
  <c r="N28" i="16"/>
  <c r="X28" i="16"/>
  <c r="E28" i="16"/>
  <c r="W28" i="16"/>
  <c r="H28" i="16"/>
  <c r="O28" i="16"/>
  <c r="U28" i="16"/>
  <c r="Q28" i="16"/>
  <c r="P28" i="16"/>
  <c r="R28" i="16"/>
  <c r="AC28" i="16"/>
  <c r="AA32" i="16"/>
  <c r="S32" i="16"/>
  <c r="W32" i="16"/>
  <c r="AB32" i="16"/>
  <c r="T32" i="16"/>
  <c r="H32" i="16"/>
  <c r="V32" i="16"/>
  <c r="AC32" i="16"/>
  <c r="F32" i="16"/>
  <c r="M32" i="16"/>
  <c r="P30" i="16"/>
  <c r="X30" i="16"/>
  <c r="Z30" i="16"/>
  <c r="H30" i="16"/>
  <c r="J30" i="16"/>
  <c r="T30" i="16"/>
  <c r="AB30" i="16"/>
  <c r="M30" i="16"/>
  <c r="O30" i="16"/>
  <c r="AD30" i="16"/>
  <c r="K32" i="16"/>
  <c r="Y30" i="16"/>
  <c r="S30" i="16"/>
  <c r="Z28" i="16"/>
  <c r="O32" i="16"/>
  <c r="L32" i="16"/>
  <c r="Y32" i="16"/>
  <c r="Z32" i="16"/>
  <c r="P32" i="16"/>
  <c r="Q32" i="16"/>
  <c r="R32" i="16"/>
  <c r="I32" i="16"/>
  <c r="X32" i="16"/>
  <c r="U30" i="16"/>
  <c r="N32" i="16"/>
  <c r="J32" i="16"/>
  <c r="F30" i="16"/>
  <c r="I30" i="16"/>
  <c r="T28" i="16"/>
  <c r="AD32" i="16"/>
  <c r="K30" i="16"/>
  <c r="J31" i="16"/>
  <c r="K31" i="16"/>
  <c r="AB31" i="16"/>
  <c r="U31" i="16"/>
  <c r="AC30" i="16"/>
  <c r="R30" i="16"/>
  <c r="W30" i="16"/>
  <c r="V30" i="16"/>
  <c r="N30" i="16"/>
  <c r="S28" i="16"/>
  <c r="M28" i="16"/>
  <c r="J28" i="16"/>
  <c r="I28" i="16"/>
  <c r="K28" i="16"/>
  <c r="AA31" i="16"/>
  <c r="V31" i="16"/>
  <c r="W31" i="16"/>
  <c r="R31" i="16"/>
  <c r="L31" i="16"/>
  <c r="M31" i="16"/>
  <c r="Y31" i="16"/>
  <c r="S31" i="16"/>
  <c r="AD31" i="16"/>
  <c r="F31" i="16"/>
  <c r="X31" i="16"/>
  <c r="I31" i="16"/>
  <c r="Z31" i="16"/>
  <c r="P31" i="16"/>
  <c r="N31" i="16"/>
  <c r="Q31" i="16"/>
  <c r="AC31" i="16"/>
  <c r="H31" i="16"/>
  <c r="T31" i="16"/>
  <c r="Q30" i="16"/>
  <c r="Y29" i="16"/>
  <c r="M29" i="16"/>
  <c r="Q29" i="16"/>
  <c r="R29" i="16"/>
  <c r="K29" i="16"/>
  <c r="F29" i="16"/>
  <c r="T29" i="16"/>
  <c r="H29" i="16"/>
  <c r="AB29" i="16"/>
  <c r="Z29" i="16"/>
  <c r="S29" i="16"/>
  <c r="N29" i="16"/>
  <c r="E29" i="16"/>
  <c r="I29" i="16"/>
  <c r="L29" i="16"/>
  <c r="W29" i="16"/>
  <c r="AA29" i="16"/>
  <c r="V29" i="16"/>
  <c r="X29" i="16"/>
  <c r="P29" i="16"/>
  <c r="U29" i="16"/>
  <c r="J29" i="16"/>
  <c r="AC29" i="16"/>
  <c r="O29" i="16"/>
  <c r="F28" i="16"/>
  <c r="F27" i="16"/>
  <c r="Y27" i="16"/>
  <c r="H27" i="16"/>
  <c r="Z27" i="16"/>
  <c r="AD27" i="16"/>
  <c r="R27" i="16"/>
  <c r="P27" i="16"/>
  <c r="L27" i="16"/>
  <c r="AA27" i="16"/>
  <c r="AC27" i="16"/>
  <c r="I27" i="16"/>
  <c r="O27" i="16"/>
  <c r="J27" i="16"/>
  <c r="T27" i="16"/>
  <c r="N27" i="16"/>
  <c r="V27" i="16"/>
  <c r="Q27" i="16"/>
  <c r="W27" i="16"/>
  <c r="S27" i="16"/>
  <c r="M27" i="16"/>
  <c r="U27" i="16"/>
  <c r="X27" i="16"/>
  <c r="K27" i="16"/>
  <c r="AA30" i="16"/>
  <c r="Y28" i="16"/>
  <c r="AA28" i="16"/>
  <c r="D25" i="16"/>
  <c r="K51" i="13"/>
  <c r="O50" i="13"/>
  <c r="G28" i="16"/>
  <c r="M50" i="13"/>
  <c r="D49" i="13"/>
  <c r="M49" i="13"/>
  <c r="H49" i="13"/>
  <c r="L48" i="13"/>
  <c r="K48" i="13"/>
  <c r="J48" i="13"/>
  <c r="H48" i="13"/>
  <c r="D48" i="13"/>
  <c r="N47" i="13"/>
  <c r="M47" i="13"/>
  <c r="H47" i="13"/>
  <c r="L46" i="13"/>
  <c r="K46" i="13"/>
  <c r="J46" i="13"/>
  <c r="H46" i="13"/>
  <c r="D46" i="13"/>
  <c r="D47" i="13"/>
  <c r="H22" i="14"/>
  <c r="I46" i="13" s="1"/>
  <c r="S22" i="14"/>
  <c r="T22" i="14"/>
  <c r="V22" i="14"/>
  <c r="W22" i="14"/>
  <c r="Y22" i="14"/>
  <c r="AB22" i="14"/>
  <c r="H23" i="14"/>
  <c r="I48" i="13" s="1"/>
  <c r="P23" i="14"/>
  <c r="S23" i="14" s="1"/>
  <c r="R23" i="14"/>
  <c r="T23" i="14"/>
  <c r="V23" i="14"/>
  <c r="W23" i="14"/>
  <c r="Y23" i="14"/>
  <c r="AB23" i="14"/>
  <c r="H24" i="14"/>
  <c r="P24" i="14"/>
  <c r="S24" i="14"/>
  <c r="T24" i="14"/>
  <c r="V24" i="14"/>
  <c r="W24" i="14"/>
  <c r="Y24" i="14"/>
  <c r="AB24" i="14"/>
  <c r="H25" i="14"/>
  <c r="P25" i="14"/>
  <c r="R25" i="14" s="1"/>
  <c r="V25" i="14"/>
  <c r="W25" i="14"/>
  <c r="Y25" i="14"/>
  <c r="AB25" i="14"/>
  <c r="H26" i="14"/>
  <c r="P26" i="14"/>
  <c r="T26" i="14" s="1"/>
  <c r="S26" i="14"/>
  <c r="V26" i="14"/>
  <c r="W26" i="14"/>
  <c r="Y26" i="14"/>
  <c r="AB26" i="14"/>
  <c r="H27" i="14"/>
  <c r="P27" i="14"/>
  <c r="Z27" i="14" s="1"/>
  <c r="AA27" i="14" s="1"/>
  <c r="T27" i="14"/>
  <c r="V27" i="14"/>
  <c r="W27" i="14"/>
  <c r="Y27" i="14"/>
  <c r="AB27" i="14"/>
  <c r="H28" i="14"/>
  <c r="K28" i="14" s="1"/>
  <c r="AE28" i="14" s="1"/>
  <c r="AD28" i="14" s="1"/>
  <c r="P28" i="14"/>
  <c r="S28" i="14" s="1"/>
  <c r="R28" i="14"/>
  <c r="V28" i="14"/>
  <c r="W28" i="14"/>
  <c r="Y28" i="14"/>
  <c r="AB28" i="14"/>
  <c r="H29" i="14"/>
  <c r="E30" i="16" s="1"/>
  <c r="P29" i="14"/>
  <c r="T29" i="14" s="1"/>
  <c r="S29" i="14"/>
  <c r="V29" i="14"/>
  <c r="W29" i="14"/>
  <c r="Y29" i="14"/>
  <c r="AB29" i="14"/>
  <c r="H30" i="14"/>
  <c r="E31" i="16" s="1"/>
  <c r="P30" i="14"/>
  <c r="R30" i="14" s="1"/>
  <c r="S30" i="14"/>
  <c r="V30" i="14"/>
  <c r="W30" i="14"/>
  <c r="Y30" i="14"/>
  <c r="AB30" i="14"/>
  <c r="H31" i="14"/>
  <c r="E32" i="16" s="1"/>
  <c r="P31" i="14"/>
  <c r="T31" i="14" s="1"/>
  <c r="V31" i="14"/>
  <c r="W31" i="14"/>
  <c r="Y31" i="14"/>
  <c r="AB31" i="14"/>
  <c r="R31" i="14" l="1"/>
  <c r="K26" i="14"/>
  <c r="AE26" i="14" s="1"/>
  <c r="AD26" i="14" s="1"/>
  <c r="X26" i="14" s="1"/>
  <c r="E27" i="16"/>
  <c r="D24" i="16"/>
  <c r="J24" i="16" s="1"/>
  <c r="K49" i="13"/>
  <c r="D23" i="16"/>
  <c r="K47" i="13"/>
  <c r="M48" i="13"/>
  <c r="G26" i="16"/>
  <c r="AC26" i="16"/>
  <c r="S26" i="16"/>
  <c r="Z26" i="16"/>
  <c r="R26" i="16"/>
  <c r="J26" i="16"/>
  <c r="W26" i="16"/>
  <c r="O26" i="16"/>
  <c r="AD26" i="16"/>
  <c r="V26" i="16"/>
  <c r="N26" i="16"/>
  <c r="F26" i="16"/>
  <c r="AA26" i="16"/>
  <c r="K26" i="16"/>
  <c r="L26" i="16"/>
  <c r="AB26" i="16"/>
  <c r="Q26" i="16"/>
  <c r="P26" i="16"/>
  <c r="E26" i="16"/>
  <c r="U26" i="16"/>
  <c r="T26" i="16"/>
  <c r="I26" i="16"/>
  <c r="Y26" i="16"/>
  <c r="H26" i="16"/>
  <c r="X26" i="16"/>
  <c r="M26" i="16"/>
  <c r="AC25" i="16"/>
  <c r="W25" i="16"/>
  <c r="O25" i="16"/>
  <c r="AD25" i="16"/>
  <c r="V25" i="16"/>
  <c r="N25" i="16"/>
  <c r="F25" i="16"/>
  <c r="AA25" i="16"/>
  <c r="S25" i="16"/>
  <c r="K25" i="16"/>
  <c r="Z25" i="16"/>
  <c r="R25" i="16"/>
  <c r="J25" i="16"/>
  <c r="L25" i="16"/>
  <c r="AB25" i="16"/>
  <c r="Q25" i="16"/>
  <c r="P25" i="16"/>
  <c r="E25" i="16"/>
  <c r="U25" i="16"/>
  <c r="T25" i="16"/>
  <c r="I25" i="16"/>
  <c r="Y25" i="16"/>
  <c r="H25" i="16"/>
  <c r="X25" i="16"/>
  <c r="M25" i="16"/>
  <c r="M46" i="13"/>
  <c r="G24" i="16"/>
  <c r="S31" i="14"/>
  <c r="Z31" i="14"/>
  <c r="AA31" i="14" s="1"/>
  <c r="K31" i="14"/>
  <c r="N65" i="13"/>
  <c r="I64" i="13"/>
  <c r="T30" i="14"/>
  <c r="Z30" i="14"/>
  <c r="AA30" i="14" s="1"/>
  <c r="K30" i="14"/>
  <c r="M30" i="14" s="1"/>
  <c r="N63" i="13"/>
  <c r="I62" i="13"/>
  <c r="Z29" i="14"/>
  <c r="AA29" i="14" s="1"/>
  <c r="R29" i="14"/>
  <c r="K29" i="14"/>
  <c r="M29" i="14" s="1"/>
  <c r="N61" i="13"/>
  <c r="I60" i="13"/>
  <c r="T28" i="14"/>
  <c r="Z28" i="14"/>
  <c r="AA28" i="14" s="1"/>
  <c r="X28" i="14"/>
  <c r="I58" i="13"/>
  <c r="N59" i="13"/>
  <c r="S27" i="14"/>
  <c r="R27" i="14"/>
  <c r="K27" i="14"/>
  <c r="I56" i="13"/>
  <c r="N57" i="13"/>
  <c r="Z26" i="14"/>
  <c r="AA26" i="14" s="1"/>
  <c r="R26" i="14"/>
  <c r="N55" i="13"/>
  <c r="I54" i="13"/>
  <c r="T25" i="14"/>
  <c r="S25" i="14"/>
  <c r="Z25" i="14"/>
  <c r="AA25" i="14" s="1"/>
  <c r="K25" i="14"/>
  <c r="M25" i="14" s="1"/>
  <c r="J53" i="13" s="1"/>
  <c r="N53" i="13"/>
  <c r="I52" i="13"/>
  <c r="I50" i="13"/>
  <c r="N51" i="13"/>
  <c r="N49" i="13"/>
  <c r="Z24" i="14"/>
  <c r="AA24" i="14" s="1"/>
  <c r="R24" i="14"/>
  <c r="K24" i="14"/>
  <c r="AE24" i="14" s="1"/>
  <c r="AD24" i="14" s="1"/>
  <c r="Z23" i="14"/>
  <c r="AA23" i="14" s="1"/>
  <c r="O48" i="13"/>
  <c r="K22" i="14"/>
  <c r="AE22" i="14" s="1"/>
  <c r="AD22" i="14" s="1"/>
  <c r="P22" i="14"/>
  <c r="O46" i="13"/>
  <c r="K23" i="14"/>
  <c r="M23" i="14" s="1"/>
  <c r="J49" i="13" s="1"/>
  <c r="M28" i="14"/>
  <c r="J59" i="13" s="1"/>
  <c r="M26" i="14"/>
  <c r="M59" i="45"/>
  <c r="N59" i="45"/>
  <c r="O59" i="45"/>
  <c r="P59" i="45"/>
  <c r="Q59" i="45"/>
  <c r="R59" i="45"/>
  <c r="S59" i="45"/>
  <c r="T59" i="45"/>
  <c r="U59" i="45"/>
  <c r="V59" i="45"/>
  <c r="W59" i="45"/>
  <c r="M60" i="45"/>
  <c r="N60" i="45"/>
  <c r="O60" i="45"/>
  <c r="P60" i="45"/>
  <c r="Q60" i="45"/>
  <c r="R60" i="45"/>
  <c r="S60" i="45"/>
  <c r="T60" i="45"/>
  <c r="U60" i="45"/>
  <c r="V60" i="45"/>
  <c r="W60" i="45"/>
  <c r="M61" i="45"/>
  <c r="N61" i="45"/>
  <c r="O61" i="45"/>
  <c r="P61" i="45"/>
  <c r="Q61" i="45"/>
  <c r="R61" i="45"/>
  <c r="S61" i="45"/>
  <c r="T61" i="45"/>
  <c r="U61" i="45"/>
  <c r="V61" i="45"/>
  <c r="W61" i="45"/>
  <c r="M54" i="45"/>
  <c r="N54" i="45"/>
  <c r="O54" i="45"/>
  <c r="P54" i="45"/>
  <c r="Q54" i="45"/>
  <c r="R54" i="45"/>
  <c r="S54" i="45"/>
  <c r="T54" i="45"/>
  <c r="U54" i="45"/>
  <c r="V54" i="45"/>
  <c r="W54" i="45"/>
  <c r="M55" i="45"/>
  <c r="N55" i="45"/>
  <c r="O55" i="45"/>
  <c r="P55" i="45"/>
  <c r="Q55" i="45"/>
  <c r="R55" i="45"/>
  <c r="S55" i="45"/>
  <c r="T55" i="45"/>
  <c r="U55" i="45"/>
  <c r="V55" i="45"/>
  <c r="W55" i="45"/>
  <c r="M56" i="45"/>
  <c r="N56" i="45"/>
  <c r="O56" i="45"/>
  <c r="P56" i="45"/>
  <c r="Q56" i="45"/>
  <c r="R56" i="45"/>
  <c r="S56" i="45"/>
  <c r="T56" i="45"/>
  <c r="U56" i="45"/>
  <c r="V56" i="45"/>
  <c r="W56" i="45"/>
  <c r="AB24" i="16" l="1"/>
  <c r="O24" i="16"/>
  <c r="T24" i="16"/>
  <c r="AA24" i="16"/>
  <c r="L24" i="16"/>
  <c r="R24" i="16"/>
  <c r="Y24" i="16"/>
  <c r="H24" i="16"/>
  <c r="U24" i="16"/>
  <c r="E24" i="16"/>
  <c r="N24" i="16"/>
  <c r="Z24" i="16"/>
  <c r="P24" i="16"/>
  <c r="X24" i="16"/>
  <c r="F24" i="16"/>
  <c r="K24" i="16"/>
  <c r="V24" i="16"/>
  <c r="W24" i="16"/>
  <c r="AC24" i="16"/>
  <c r="I24" i="16"/>
  <c r="Q24" i="16"/>
  <c r="M24" i="16"/>
  <c r="S24" i="16"/>
  <c r="AD24" i="16"/>
  <c r="J55" i="13"/>
  <c r="C27" i="16"/>
  <c r="J61" i="13"/>
  <c r="C30" i="16"/>
  <c r="J63" i="13"/>
  <c r="C31" i="16"/>
  <c r="M31" i="14"/>
  <c r="AE31" i="14"/>
  <c r="AD31" i="14" s="1"/>
  <c r="X31" i="14" s="1"/>
  <c r="AC31" i="14" s="1"/>
  <c r="C51" i="9" s="1"/>
  <c r="AE30" i="14"/>
  <c r="AD30" i="14" s="1"/>
  <c r="X30" i="14" s="1"/>
  <c r="AC30" i="14" s="1"/>
  <c r="C50" i="9" s="1"/>
  <c r="AE29" i="14"/>
  <c r="AD29" i="14" s="1"/>
  <c r="X29" i="14" s="1"/>
  <c r="AC29" i="14" s="1"/>
  <c r="C49" i="9" s="1"/>
  <c r="AC28" i="14"/>
  <c r="C48" i="9" s="1"/>
  <c r="AE27" i="14"/>
  <c r="AD27" i="14" s="1"/>
  <c r="X27" i="14" s="1"/>
  <c r="AC27" i="14" s="1"/>
  <c r="C47" i="9" s="1"/>
  <c r="M27" i="14"/>
  <c r="J57" i="13" s="1"/>
  <c r="AC26" i="14"/>
  <c r="C46" i="9" s="1"/>
  <c r="AE25" i="14"/>
  <c r="AD25" i="14" s="1"/>
  <c r="X25" i="14" s="1"/>
  <c r="AC25" i="14" s="1"/>
  <c r="C45" i="9" s="1"/>
  <c r="M24" i="14"/>
  <c r="J51" i="13" s="1"/>
  <c r="X24" i="14"/>
  <c r="AC24" i="14" s="1"/>
  <c r="C44" i="9" s="1"/>
  <c r="M22" i="14"/>
  <c r="X22" i="14"/>
  <c r="R22" i="14"/>
  <c r="Z22" i="14"/>
  <c r="AE23" i="14"/>
  <c r="AD23" i="14" s="1"/>
  <c r="X23" i="14" s="1"/>
  <c r="AC23" i="14" s="1"/>
  <c r="C43" i="9" s="1"/>
  <c r="D13" i="11"/>
  <c r="J47" i="13" l="1"/>
  <c r="C23" i="16"/>
  <c r="J65" i="13"/>
  <c r="C32" i="16"/>
  <c r="AA22" i="14"/>
  <c r="AC22" i="14" s="1"/>
  <c r="C42" i="9" s="1"/>
  <c r="P61" i="38"/>
  <c r="J61" i="38"/>
  <c r="D61" i="38"/>
  <c r="D50" i="38"/>
  <c r="J26" i="33"/>
  <c r="M26" i="33" s="1"/>
  <c r="J25" i="33"/>
  <c r="M25" i="33" s="1"/>
  <c r="J24" i="33"/>
  <c r="M24" i="33" s="1"/>
  <c r="J23" i="33"/>
  <c r="M23" i="33" s="1"/>
  <c r="J20" i="33"/>
  <c r="M20" i="33" s="1"/>
  <c r="J19" i="33"/>
  <c r="M19" i="33" s="1"/>
  <c r="J18" i="33"/>
  <c r="M18" i="33" s="1"/>
  <c r="J17" i="33"/>
  <c r="M17" i="33" s="1"/>
  <c r="E60" i="33"/>
  <c r="B59" i="33"/>
  <c r="I44" i="33"/>
  <c r="B44" i="33" s="1"/>
  <c r="P44" i="33" s="1"/>
  <c r="I43" i="33"/>
  <c r="B43" i="33" s="1"/>
  <c r="P43" i="33" s="1"/>
  <c r="I42" i="33"/>
  <c r="B42" i="33" s="1"/>
  <c r="P42" i="33" s="1"/>
  <c r="I41" i="33"/>
  <c r="B41" i="33"/>
  <c r="P41" i="33" s="1"/>
  <c r="I40" i="33"/>
  <c r="B40" i="33"/>
  <c r="P40" i="33" s="1"/>
  <c r="I39" i="33"/>
  <c r="B39" i="33"/>
  <c r="P39" i="33" s="1"/>
  <c r="I38" i="33"/>
  <c r="B38" i="33"/>
  <c r="P38" i="33" s="1"/>
  <c r="I37" i="33"/>
  <c r="B37" i="33"/>
  <c r="P37" i="33" s="1"/>
  <c r="I36" i="33"/>
  <c r="B36" i="33"/>
  <c r="P36" i="33" s="1"/>
  <c r="I35" i="33"/>
  <c r="B35" i="33"/>
  <c r="P35" i="33" s="1"/>
  <c r="I34" i="33"/>
  <c r="B34" i="33"/>
  <c r="P34" i="33" s="1"/>
  <c r="I33" i="33"/>
  <c r="B33" i="33"/>
  <c r="P33" i="33" s="1"/>
  <c r="B28" i="33"/>
  <c r="E16" i="33"/>
  <c r="K68" i="33"/>
  <c r="B68" i="33"/>
  <c r="K67" i="33"/>
  <c r="B67" i="33"/>
  <c r="K66" i="33"/>
  <c r="B66" i="33"/>
  <c r="K65" i="33"/>
  <c r="B65" i="33"/>
  <c r="K64" i="33"/>
  <c r="B64" i="33"/>
  <c r="K63" i="33"/>
  <c r="B63" i="33"/>
  <c r="Q62" i="33"/>
  <c r="O62" i="33"/>
  <c r="M62" i="33"/>
  <c r="H62" i="33"/>
  <c r="F62" i="33"/>
  <c r="D62" i="33"/>
  <c r="B62" i="33"/>
  <c r="B60" i="33"/>
  <c r="B58" i="33"/>
  <c r="B57" i="33"/>
  <c r="B56" i="33"/>
  <c r="B55" i="33"/>
  <c r="B54" i="33"/>
  <c r="B53" i="33"/>
  <c r="B52" i="33"/>
  <c r="B51" i="33"/>
  <c r="B49" i="33"/>
  <c r="B47" i="33"/>
  <c r="B43" i="38" s="1"/>
  <c r="B32" i="33"/>
  <c r="P32" i="33" s="1"/>
  <c r="H30" i="33"/>
  <c r="B30" i="33"/>
  <c r="F17" i="33"/>
  <c r="B17" i="33"/>
  <c r="B16" i="33"/>
  <c r="G13" i="33"/>
  <c r="B13" i="33"/>
  <c r="B10" i="33"/>
  <c r="I9" i="33"/>
  <c r="B9" i="33"/>
  <c r="J5" i="33"/>
  <c r="B5" i="33"/>
  <c r="J4" i="33"/>
  <c r="B4" i="33"/>
  <c r="B3" i="33"/>
  <c r="A35" i="72" l="1"/>
  <c r="A35" i="45"/>
  <c r="F16" i="21" l="1"/>
  <c r="D16" i="21"/>
  <c r="L19" i="11"/>
  <c r="L20" i="11"/>
  <c r="B56" i="52" l="1"/>
  <c r="C10" i="50"/>
  <c r="C32" i="39" l="1"/>
  <c r="I33" i="39"/>
  <c r="I34" i="39"/>
  <c r="I35" i="39"/>
  <c r="I36" i="39"/>
  <c r="I37" i="39"/>
  <c r="I38" i="39"/>
  <c r="I39" i="39"/>
  <c r="I40" i="39"/>
  <c r="I32" i="39"/>
  <c r="Y39" i="42" l="1"/>
  <c r="X39" i="42"/>
  <c r="W39" i="42"/>
  <c r="V39" i="42"/>
  <c r="U39" i="42"/>
  <c r="T39" i="42"/>
  <c r="S39" i="42"/>
  <c r="R39" i="42"/>
  <c r="Q39" i="42"/>
  <c r="P39" i="42"/>
  <c r="O39" i="42"/>
  <c r="N39" i="42"/>
  <c r="J8" i="50" l="1"/>
  <c r="L61" i="45"/>
  <c r="L60" i="45"/>
  <c r="L59" i="45"/>
  <c r="L58" i="45"/>
  <c r="L56" i="45"/>
  <c r="L55" i="45"/>
  <c r="L54" i="45"/>
  <c r="L53" i="45"/>
  <c r="L52" i="45"/>
  <c r="B60" i="52" l="1"/>
  <c r="B4" i="72" l="1"/>
  <c r="H16" i="73" l="1"/>
  <c r="K9" i="33" s="1"/>
  <c r="J13" i="73"/>
  <c r="H13" i="73"/>
  <c r="O6" i="33" l="1"/>
  <c r="B3" i="72"/>
  <c r="B6" i="72" s="1"/>
  <c r="B101" i="72" l="1"/>
  <c r="B100" i="72"/>
  <c r="H16" i="74"/>
  <c r="H16" i="36"/>
  <c r="C6" i="74"/>
  <c r="A50" i="74"/>
  <c r="J50" i="74" s="1"/>
  <c r="A47" i="74"/>
  <c r="C47" i="74" s="1"/>
  <c r="A44" i="74"/>
  <c r="J44" i="74" s="1"/>
  <c r="A41" i="74"/>
  <c r="H41" i="74" s="1"/>
  <c r="A38" i="74"/>
  <c r="J38" i="74" s="1"/>
  <c r="A35" i="74"/>
  <c r="C35" i="74" s="1"/>
  <c r="A32" i="74"/>
  <c r="J32" i="74" s="1"/>
  <c r="A29" i="74"/>
  <c r="H29" i="74" s="1"/>
  <c r="R26" i="74"/>
  <c r="A26" i="74"/>
  <c r="C26" i="74" s="1"/>
  <c r="F22" i="74"/>
  <c r="D22" i="74" s="1"/>
  <c r="F21" i="74"/>
  <c r="A21" i="74" s="1"/>
  <c r="F20" i="74"/>
  <c r="D20" i="74" s="1"/>
  <c r="O6" i="74"/>
  <c r="M6" i="74"/>
  <c r="N6" i="74" s="1"/>
  <c r="F50" i="74"/>
  <c r="F47" i="74"/>
  <c r="F44" i="74"/>
  <c r="F41" i="74"/>
  <c r="F38" i="74"/>
  <c r="F35" i="74"/>
  <c r="F32" i="74"/>
  <c r="F29" i="74"/>
  <c r="F26" i="74"/>
  <c r="O22" i="74"/>
  <c r="O21" i="74"/>
  <c r="O20" i="74"/>
  <c r="I4" i="74"/>
  <c r="C3" i="74"/>
  <c r="M2" i="74"/>
  <c r="I2" i="74"/>
  <c r="C2" i="74"/>
  <c r="M1" i="74"/>
  <c r="H21" i="72"/>
  <c r="H22" i="72"/>
  <c r="H23" i="72"/>
  <c r="H24" i="72"/>
  <c r="H25" i="72"/>
  <c r="H26" i="72"/>
  <c r="H27" i="72"/>
  <c r="H28" i="72"/>
  <c r="H20" i="72"/>
  <c r="A50" i="36"/>
  <c r="J50" i="36" s="1"/>
  <c r="A47" i="36"/>
  <c r="J47" i="36" s="1"/>
  <c r="A44" i="36"/>
  <c r="E44" i="36" s="1"/>
  <c r="A41" i="36"/>
  <c r="J41" i="36" s="1"/>
  <c r="A38" i="36"/>
  <c r="J38" i="36" s="1"/>
  <c r="A35" i="36"/>
  <c r="H35" i="36" s="1"/>
  <c r="A32" i="36"/>
  <c r="E32" i="36" s="1"/>
  <c r="A29" i="36"/>
  <c r="C29" i="36" s="1"/>
  <c r="A26" i="36"/>
  <c r="H26" i="36" s="1"/>
  <c r="B46" i="73"/>
  <c r="B46" i="33" s="1"/>
  <c r="B45" i="73"/>
  <c r="B45" i="33" s="1"/>
  <c r="F22" i="36"/>
  <c r="F21" i="36"/>
  <c r="F20" i="36"/>
  <c r="O6" i="36"/>
  <c r="M6" i="36"/>
  <c r="N6" i="36" s="1"/>
  <c r="C6" i="36"/>
  <c r="J28" i="72" l="1"/>
  <c r="N41" i="33"/>
  <c r="J27" i="72"/>
  <c r="N40" i="33"/>
  <c r="J26" i="72"/>
  <c r="N39" i="33"/>
  <c r="J25" i="72"/>
  <c r="N38" i="33"/>
  <c r="J24" i="72"/>
  <c r="N37" i="33"/>
  <c r="J23" i="72"/>
  <c r="N36" i="33"/>
  <c r="J22" i="72"/>
  <c r="N35" i="33"/>
  <c r="J21" i="72"/>
  <c r="N34" i="33"/>
  <c r="J20" i="72"/>
  <c r="N33" i="33"/>
  <c r="E41" i="36"/>
  <c r="M34" i="74"/>
  <c r="N34" i="74" s="1"/>
  <c r="E47" i="36"/>
  <c r="E50" i="36"/>
  <c r="C50" i="36"/>
  <c r="H50" i="36"/>
  <c r="C47" i="36"/>
  <c r="H47" i="36"/>
  <c r="H44" i="36"/>
  <c r="C44" i="36"/>
  <c r="J44" i="36"/>
  <c r="H41" i="36"/>
  <c r="C41" i="36"/>
  <c r="E38" i="36"/>
  <c r="C38" i="36"/>
  <c r="H38" i="36"/>
  <c r="J35" i="36"/>
  <c r="C35" i="36"/>
  <c r="E35" i="36"/>
  <c r="D21" i="74"/>
  <c r="E29" i="74"/>
  <c r="M48" i="74"/>
  <c r="N48" i="74" s="1"/>
  <c r="M45" i="74"/>
  <c r="N45" i="74" s="1"/>
  <c r="C44" i="74"/>
  <c r="O44" i="74" s="1"/>
  <c r="M46" i="74"/>
  <c r="N46" i="74" s="1"/>
  <c r="M39" i="74"/>
  <c r="N39" i="74" s="1"/>
  <c r="M40" i="74"/>
  <c r="N40" i="74" s="1"/>
  <c r="C38" i="74"/>
  <c r="O38" i="74" s="1"/>
  <c r="H38" i="74"/>
  <c r="E32" i="74"/>
  <c r="H32" i="74"/>
  <c r="E44" i="74"/>
  <c r="C50" i="74"/>
  <c r="O50" i="74" s="1"/>
  <c r="C32" i="74"/>
  <c r="O32" i="74" s="1"/>
  <c r="E41" i="74"/>
  <c r="H44" i="74"/>
  <c r="H50" i="74"/>
  <c r="E26" i="74"/>
  <c r="J29" i="74"/>
  <c r="E35" i="74"/>
  <c r="J41" i="74"/>
  <c r="E47" i="74"/>
  <c r="M47" i="74" s="1"/>
  <c r="N47" i="74" s="1"/>
  <c r="M21" i="74"/>
  <c r="N21" i="74" s="1"/>
  <c r="M37" i="74"/>
  <c r="N37" i="74" s="1"/>
  <c r="M49" i="74"/>
  <c r="N49" i="74" s="1"/>
  <c r="H26" i="74"/>
  <c r="C29" i="74"/>
  <c r="O29" i="74" s="1"/>
  <c r="H35" i="74"/>
  <c r="E38" i="74"/>
  <c r="C41" i="74"/>
  <c r="O41" i="74" s="1"/>
  <c r="H47" i="74"/>
  <c r="E50" i="74"/>
  <c r="J26" i="74"/>
  <c r="J35" i="74"/>
  <c r="J47" i="74"/>
  <c r="M43" i="74"/>
  <c r="N43" i="74" s="1"/>
  <c r="M52" i="74"/>
  <c r="N52" i="74" s="1"/>
  <c r="H32" i="36"/>
  <c r="J32" i="36"/>
  <c r="C32" i="36"/>
  <c r="E29" i="36"/>
  <c r="H29" i="36"/>
  <c r="J29" i="36"/>
  <c r="M31" i="74"/>
  <c r="N31" i="74" s="1"/>
  <c r="J26" i="36"/>
  <c r="E26" i="36"/>
  <c r="O26" i="74"/>
  <c r="C26" i="36"/>
  <c r="M28" i="74"/>
  <c r="N28" i="74" s="1"/>
  <c r="A6" i="74"/>
  <c r="C103" i="9" s="1"/>
  <c r="A20" i="74"/>
  <c r="M20" i="74" s="1"/>
  <c r="A22" i="74"/>
  <c r="M22" i="74" s="1"/>
  <c r="O35" i="74"/>
  <c r="J36" i="74"/>
  <c r="J39" i="74"/>
  <c r="J45" i="74"/>
  <c r="O47" i="74"/>
  <c r="J48" i="74"/>
  <c r="J51" i="74"/>
  <c r="B103" i="72"/>
  <c r="B102" i="72"/>
  <c r="M32" i="74" l="1"/>
  <c r="N32" i="74" s="1"/>
  <c r="M38" i="74"/>
  <c r="N38" i="74" s="1"/>
  <c r="M29" i="74"/>
  <c r="N29" i="74" s="1"/>
  <c r="M50" i="74"/>
  <c r="N50" i="74" s="1"/>
  <c r="M35" i="74"/>
  <c r="N35" i="74" s="1"/>
  <c r="M44" i="74"/>
  <c r="N44" i="74" s="1"/>
  <c r="M41" i="74"/>
  <c r="N41" i="74" s="1"/>
  <c r="M26" i="74"/>
  <c r="N26" i="74" s="1"/>
  <c r="M27" i="74" s="1"/>
  <c r="N22" i="74"/>
  <c r="N20" i="74"/>
  <c r="B103" i="45"/>
  <c r="B102" i="45"/>
  <c r="M36" i="74" l="1"/>
  <c r="N36" i="74" s="1"/>
  <c r="M30" i="74"/>
  <c r="N30" i="74" s="1"/>
  <c r="M42" i="74"/>
  <c r="N42" i="74" s="1"/>
  <c r="N27" i="74"/>
  <c r="M51" i="74"/>
  <c r="N51" i="74" s="1"/>
  <c r="M33" i="74"/>
  <c r="N33" i="74" s="1"/>
  <c r="L61" i="72"/>
  <c r="B85" i="72" s="1"/>
  <c r="L60" i="72"/>
  <c r="B84" i="72" s="1"/>
  <c r="L59" i="72"/>
  <c r="B83" i="72" s="1"/>
  <c r="L58" i="72"/>
  <c r="B82" i="72" s="1"/>
  <c r="L56" i="72"/>
  <c r="B81" i="72" s="1"/>
  <c r="L55" i="72"/>
  <c r="B80" i="72" s="1"/>
  <c r="L54" i="72"/>
  <c r="B79" i="72" s="1"/>
  <c r="L53" i="72"/>
  <c r="B78" i="72" s="1"/>
  <c r="L52" i="72"/>
  <c r="B87" i="72"/>
  <c r="B74" i="72"/>
  <c r="K32" i="73"/>
  <c r="B77" i="72" l="1"/>
  <c r="J16" i="33"/>
  <c r="M16" i="33" s="1"/>
  <c r="I40" i="73"/>
  <c r="I39" i="73"/>
  <c r="I38" i="73"/>
  <c r="I37" i="73"/>
  <c r="I36" i="73"/>
  <c r="I35" i="73"/>
  <c r="I34" i="73"/>
  <c r="I33" i="73"/>
  <c r="I32" i="73"/>
  <c r="G22" i="73"/>
  <c r="G21" i="73"/>
  <c r="G17" i="33" s="1"/>
  <c r="E22" i="73"/>
  <c r="E21" i="73"/>
  <c r="E17" i="33" s="1"/>
  <c r="H44" i="73"/>
  <c r="G44" i="73"/>
  <c r="K44" i="33" s="1"/>
  <c r="H43" i="73"/>
  <c r="G43" i="73"/>
  <c r="K43" i="33" s="1"/>
  <c r="H42" i="73"/>
  <c r="G42" i="73"/>
  <c r="K40" i="73"/>
  <c r="G40" i="73"/>
  <c r="K41" i="33" s="1"/>
  <c r="D40" i="73"/>
  <c r="G41" i="33" s="1"/>
  <c r="C40" i="73"/>
  <c r="E41" i="33" s="1"/>
  <c r="K39" i="73"/>
  <c r="G39" i="73"/>
  <c r="K40" i="33" s="1"/>
  <c r="D39" i="73"/>
  <c r="G40" i="33" s="1"/>
  <c r="C39" i="73"/>
  <c r="E40" i="33" s="1"/>
  <c r="K38" i="73"/>
  <c r="G38" i="73"/>
  <c r="K39" i="33" s="1"/>
  <c r="D38" i="73"/>
  <c r="G39" i="33" s="1"/>
  <c r="C38" i="73"/>
  <c r="E39" i="33" s="1"/>
  <c r="K37" i="73"/>
  <c r="G37" i="73"/>
  <c r="K38" i="33" s="1"/>
  <c r="D37" i="73"/>
  <c r="G38" i="33" s="1"/>
  <c r="C37" i="73"/>
  <c r="E38" i="33" s="1"/>
  <c r="K36" i="73"/>
  <c r="G36" i="73"/>
  <c r="K37" i="33" s="1"/>
  <c r="D36" i="73"/>
  <c r="G37" i="33" s="1"/>
  <c r="C36" i="73"/>
  <c r="E37" i="33" s="1"/>
  <c r="K35" i="73"/>
  <c r="G35" i="73"/>
  <c r="K36" i="33" s="1"/>
  <c r="D35" i="73"/>
  <c r="G36" i="33" s="1"/>
  <c r="C35" i="73"/>
  <c r="E36" i="33" s="1"/>
  <c r="K34" i="73"/>
  <c r="G34" i="73"/>
  <c r="K35" i="33" s="1"/>
  <c r="D34" i="73"/>
  <c r="G35" i="33" s="1"/>
  <c r="C34" i="73"/>
  <c r="E35" i="33" s="1"/>
  <c r="K33" i="73"/>
  <c r="G33" i="73"/>
  <c r="K34" i="33" s="1"/>
  <c r="D33" i="73"/>
  <c r="G34" i="33" s="1"/>
  <c r="C33" i="73"/>
  <c r="E34" i="33" s="1"/>
  <c r="G32" i="73"/>
  <c r="K33" i="33" s="1"/>
  <c r="D32" i="73"/>
  <c r="G33" i="33" s="1"/>
  <c r="C32" i="73"/>
  <c r="E33" i="33" s="1"/>
  <c r="G30" i="73"/>
  <c r="K32" i="33" s="1"/>
  <c r="O27" i="73"/>
  <c r="K27" i="73"/>
  <c r="O26" i="73"/>
  <c r="K26" i="73"/>
  <c r="O25" i="73"/>
  <c r="K25" i="73"/>
  <c r="O24" i="73"/>
  <c r="K24" i="73"/>
  <c r="K23" i="73"/>
  <c r="C15" i="73"/>
  <c r="I11" i="73"/>
  <c r="M4" i="33" s="1"/>
  <c r="I10" i="73"/>
  <c r="B99" i="72" l="1"/>
  <c r="K42" i="33"/>
  <c r="F18" i="33"/>
  <c r="E18" i="33"/>
  <c r="G18" i="33"/>
  <c r="B76" i="72"/>
  <c r="B75" i="72"/>
  <c r="C61" i="72"/>
  <c r="C60" i="72"/>
  <c r="C59" i="72"/>
  <c r="C58" i="72"/>
  <c r="C56" i="72"/>
  <c r="C55" i="72"/>
  <c r="C54" i="72"/>
  <c r="C53" i="72"/>
  <c r="Y31" i="72"/>
  <c r="X31" i="72" s="1"/>
  <c r="L31" i="72"/>
  <c r="P31" i="72" s="1"/>
  <c r="Y30" i="72"/>
  <c r="X30" i="72" s="1"/>
  <c r="L30" i="72"/>
  <c r="R30" i="72" s="1"/>
  <c r="Y29" i="72"/>
  <c r="X29" i="72" s="1"/>
  <c r="L29" i="72"/>
  <c r="P29" i="72" s="1"/>
  <c r="Y28" i="72"/>
  <c r="L28" i="72"/>
  <c r="R28" i="72" s="1"/>
  <c r="Y27" i="72"/>
  <c r="L27" i="72"/>
  <c r="Y26" i="72"/>
  <c r="L26" i="72"/>
  <c r="P26" i="72" s="1"/>
  <c r="Y25" i="72"/>
  <c r="L25" i="72"/>
  <c r="P25" i="72" s="1"/>
  <c r="Y24" i="72"/>
  <c r="L24" i="72"/>
  <c r="R24" i="72" s="1"/>
  <c r="Y23" i="72"/>
  <c r="L23" i="72"/>
  <c r="Y22" i="72"/>
  <c r="L22" i="72"/>
  <c r="P22" i="72" s="1"/>
  <c r="Y21" i="72"/>
  <c r="L21" i="72"/>
  <c r="P21" i="72" s="1"/>
  <c r="Y20" i="72"/>
  <c r="I20" i="72" s="1"/>
  <c r="L20" i="72"/>
  <c r="R20" i="72" s="1"/>
  <c r="L18" i="72"/>
  <c r="L14" i="72"/>
  <c r="L49" i="72" s="1"/>
  <c r="D3" i="73" s="1"/>
  <c r="F63" i="33" s="1"/>
  <c r="B5" i="72"/>
  <c r="C14" i="73" s="1"/>
  <c r="D9" i="33" s="1"/>
  <c r="X25" i="72" l="1"/>
  <c r="I25" i="72"/>
  <c r="H37" i="73" s="1"/>
  <c r="M38" i="33" s="1"/>
  <c r="X23" i="72"/>
  <c r="I23" i="72"/>
  <c r="H35" i="73" s="1"/>
  <c r="M36" i="33" s="1"/>
  <c r="X27" i="72"/>
  <c r="I27" i="72"/>
  <c r="H39" i="73" s="1"/>
  <c r="M40" i="33" s="1"/>
  <c r="X26" i="72"/>
  <c r="I26" i="72"/>
  <c r="H38" i="73" s="1"/>
  <c r="M39" i="33" s="1"/>
  <c r="X24" i="72"/>
  <c r="I24" i="72"/>
  <c r="H36" i="73" s="1"/>
  <c r="M37" i="33" s="1"/>
  <c r="T53" i="72"/>
  <c r="P54" i="72"/>
  <c r="M55" i="72"/>
  <c r="U55" i="72"/>
  <c r="R56" i="72"/>
  <c r="O58" i="72"/>
  <c r="W58" i="72"/>
  <c r="T59" i="72"/>
  <c r="Q60" i="72"/>
  <c r="N61" i="72"/>
  <c r="V61" i="72"/>
  <c r="M54" i="72"/>
  <c r="U54" i="72"/>
  <c r="R55" i="72"/>
  <c r="O56" i="72"/>
  <c r="W56" i="72"/>
  <c r="P58" i="72"/>
  <c r="M59" i="72"/>
  <c r="Q59" i="72"/>
  <c r="U59" i="72"/>
  <c r="N60" i="72"/>
  <c r="R60" i="72"/>
  <c r="V60" i="72"/>
  <c r="O61" i="72"/>
  <c r="S61" i="72"/>
  <c r="W61" i="72"/>
  <c r="U52" i="72"/>
  <c r="T52" i="72"/>
  <c r="N54" i="72"/>
  <c r="R54" i="72"/>
  <c r="V54" i="72"/>
  <c r="O55" i="72"/>
  <c r="S55" i="72"/>
  <c r="W55" i="72"/>
  <c r="P56" i="72"/>
  <c r="T56" i="72"/>
  <c r="M58" i="72"/>
  <c r="Q58" i="72"/>
  <c r="U58" i="72"/>
  <c r="N59" i="72"/>
  <c r="R59" i="72"/>
  <c r="V59" i="72"/>
  <c r="O60" i="72"/>
  <c r="S60" i="72"/>
  <c r="W60" i="72"/>
  <c r="P61" i="72"/>
  <c r="T61" i="72"/>
  <c r="O52" i="72"/>
  <c r="W53" i="72"/>
  <c r="T54" i="72"/>
  <c r="Q55" i="72"/>
  <c r="N56" i="72"/>
  <c r="V56" i="72"/>
  <c r="S58" i="72"/>
  <c r="P59" i="72"/>
  <c r="M60" i="72"/>
  <c r="U60" i="72"/>
  <c r="R61" i="72"/>
  <c r="Q52" i="72"/>
  <c r="Q54" i="72"/>
  <c r="N55" i="72"/>
  <c r="V55" i="72"/>
  <c r="S56" i="72"/>
  <c r="T58" i="72"/>
  <c r="V52" i="72"/>
  <c r="O53" i="72"/>
  <c r="O54" i="72"/>
  <c r="S54" i="72"/>
  <c r="W54" i="72"/>
  <c r="P55" i="72"/>
  <c r="T55" i="72"/>
  <c r="M56" i="72"/>
  <c r="Q56" i="72"/>
  <c r="U56" i="72"/>
  <c r="N58" i="72"/>
  <c r="R58" i="72"/>
  <c r="V58" i="72"/>
  <c r="O59" i="72"/>
  <c r="S59" i="72"/>
  <c r="W59" i="72"/>
  <c r="P60" i="72"/>
  <c r="T60" i="72"/>
  <c r="M61" i="72"/>
  <c r="Q61" i="72"/>
  <c r="U61" i="72"/>
  <c r="P53" i="72"/>
  <c r="S53" i="72"/>
  <c r="M52" i="72"/>
  <c r="R52" i="72"/>
  <c r="W52" i="72"/>
  <c r="M53" i="72"/>
  <c r="Q53" i="72"/>
  <c r="U53" i="72"/>
  <c r="N52" i="72"/>
  <c r="S52" i="72"/>
  <c r="N53" i="72"/>
  <c r="R53" i="72"/>
  <c r="V53" i="72"/>
  <c r="X28" i="72"/>
  <c r="I28" i="72"/>
  <c r="H40" i="73" s="1"/>
  <c r="M41" i="33" s="1"/>
  <c r="X21" i="72"/>
  <c r="I21" i="72"/>
  <c r="H33" i="73" s="1"/>
  <c r="M34" i="33" s="1"/>
  <c r="X20" i="72"/>
  <c r="H32" i="73"/>
  <c r="M33" i="33" s="1"/>
  <c r="X22" i="72"/>
  <c r="I22" i="72"/>
  <c r="H34" i="73" s="1"/>
  <c r="M35" i="33" s="1"/>
  <c r="N22" i="72"/>
  <c r="Q26" i="72"/>
  <c r="S28" i="72"/>
  <c r="Q31" i="72"/>
  <c r="M26" i="72"/>
  <c r="N29" i="72"/>
  <c r="Q29" i="72"/>
  <c r="O28" i="72"/>
  <c r="R26" i="72"/>
  <c r="N26" i="72"/>
  <c r="Q25" i="72"/>
  <c r="M25" i="72"/>
  <c r="R25" i="72"/>
  <c r="N25" i="72"/>
  <c r="S25" i="72"/>
  <c r="O25" i="72"/>
  <c r="Q22" i="72"/>
  <c r="Q21" i="72"/>
  <c r="M21" i="72"/>
  <c r="R21" i="72"/>
  <c r="N21" i="72"/>
  <c r="S21" i="72"/>
  <c r="O21" i="72"/>
  <c r="R31" i="72"/>
  <c r="M31" i="72"/>
  <c r="N31" i="72"/>
  <c r="O30" i="72"/>
  <c r="S30" i="72"/>
  <c r="R29" i="72"/>
  <c r="M29" i="72"/>
  <c r="O24" i="72"/>
  <c r="S24" i="72"/>
  <c r="R22" i="72"/>
  <c r="M22" i="72"/>
  <c r="S20" i="72"/>
  <c r="O20" i="72"/>
  <c r="C6" i="72"/>
  <c r="I12" i="73"/>
  <c r="M5" i="33" s="1"/>
  <c r="O14" i="72"/>
  <c r="S14" i="72"/>
  <c r="W14" i="72"/>
  <c r="P52" i="72"/>
  <c r="S27" i="72"/>
  <c r="O27" i="72"/>
  <c r="Q27" i="72"/>
  <c r="R27" i="72"/>
  <c r="N27" i="72"/>
  <c r="M27" i="72"/>
  <c r="M18" i="72"/>
  <c r="S23" i="72"/>
  <c r="O23" i="72"/>
  <c r="R23" i="72"/>
  <c r="N23" i="72"/>
  <c r="Q23" i="72"/>
  <c r="M23" i="72"/>
  <c r="P27" i="72"/>
  <c r="P23" i="72"/>
  <c r="P20" i="72"/>
  <c r="P24" i="72"/>
  <c r="P28" i="72"/>
  <c r="M14" i="72"/>
  <c r="Q14" i="72"/>
  <c r="U14" i="72"/>
  <c r="M20" i="72"/>
  <c r="Q20" i="72"/>
  <c r="O22" i="72"/>
  <c r="S22" i="72"/>
  <c r="M24" i="72"/>
  <c r="Q24" i="72"/>
  <c r="O26" i="72"/>
  <c r="S26" i="72"/>
  <c r="M28" i="72"/>
  <c r="Q28" i="72"/>
  <c r="O29" i="72"/>
  <c r="S29" i="72"/>
  <c r="M30" i="72"/>
  <c r="Q30" i="72"/>
  <c r="O31" i="72"/>
  <c r="S31" i="72"/>
  <c r="P14" i="72"/>
  <c r="T14" i="72"/>
  <c r="P30" i="72"/>
  <c r="N14" i="72"/>
  <c r="R14" i="72"/>
  <c r="V14" i="72"/>
  <c r="N20" i="72"/>
  <c r="N24" i="72"/>
  <c r="N28" i="72"/>
  <c r="N30" i="72"/>
  <c r="N37" i="73" l="1"/>
  <c r="B95" i="72" s="1"/>
  <c r="N35" i="73"/>
  <c r="B93" i="72" s="1"/>
  <c r="N36" i="73"/>
  <c r="B94" i="72" s="1"/>
  <c r="N38" i="73"/>
  <c r="B96" i="72" s="1"/>
  <c r="N39" i="73"/>
  <c r="B97" i="72" s="1"/>
  <c r="S62" i="72"/>
  <c r="Q57" i="72"/>
  <c r="W62" i="72"/>
  <c r="R62" i="72"/>
  <c r="M62" i="72"/>
  <c r="P62" i="72"/>
  <c r="O62" i="72"/>
  <c r="T62" i="72"/>
  <c r="V62" i="72"/>
  <c r="O57" i="72"/>
  <c r="T57" i="72"/>
  <c r="N62" i="72"/>
  <c r="U62" i="72"/>
  <c r="Q62" i="72"/>
  <c r="Q49" i="72" s="1"/>
  <c r="I8" i="73" s="1"/>
  <c r="O68" i="33" s="1"/>
  <c r="S57" i="72"/>
  <c r="V57" i="72"/>
  <c r="W57" i="72"/>
  <c r="U57" i="72"/>
  <c r="P57" i="72"/>
  <c r="M57" i="72"/>
  <c r="N57" i="72"/>
  <c r="R57" i="72"/>
  <c r="N40" i="73"/>
  <c r="B98" i="72" s="1"/>
  <c r="N33" i="73"/>
  <c r="B91" i="72" s="1"/>
  <c r="N32" i="73"/>
  <c r="B90" i="72" s="1"/>
  <c r="N34" i="73"/>
  <c r="B92" i="72" s="1"/>
  <c r="J12" i="73"/>
  <c r="H15" i="73"/>
  <c r="I10" i="33" s="1"/>
  <c r="B41" i="72"/>
  <c r="K56" i="73" s="1"/>
  <c r="B37" i="72"/>
  <c r="K52" i="73" s="1"/>
  <c r="B16" i="72"/>
  <c r="K18" i="73" s="1"/>
  <c r="B40" i="72"/>
  <c r="K55" i="73" s="1"/>
  <c r="B35" i="72"/>
  <c r="K48" i="73" s="1"/>
  <c r="B39" i="72"/>
  <c r="K54" i="73" s="1"/>
  <c r="B44" i="72"/>
  <c r="K59" i="73" s="1"/>
  <c r="B42" i="72"/>
  <c r="K57" i="73" s="1"/>
  <c r="B43" i="72"/>
  <c r="K58" i="73" s="1"/>
  <c r="B38" i="72"/>
  <c r="K53" i="73" s="1"/>
  <c r="T49" i="72" l="1"/>
  <c r="D5" i="73" s="1"/>
  <c r="F65" i="33" s="1"/>
  <c r="P49" i="72"/>
  <c r="I6" i="73" s="1"/>
  <c r="O66" i="33" s="1"/>
  <c r="R49" i="72"/>
  <c r="D4" i="73" s="1"/>
  <c r="F64" i="33" s="1"/>
  <c r="O49" i="72"/>
  <c r="I5" i="73" s="1"/>
  <c r="O65" i="33" s="1"/>
  <c r="U49" i="72"/>
  <c r="D7" i="73" s="1"/>
  <c r="F67" i="33" s="1"/>
  <c r="V49" i="72"/>
  <c r="I7" i="73" s="1"/>
  <c r="O67" i="33" s="1"/>
  <c r="M49" i="72"/>
  <c r="I3" i="73" s="1"/>
  <c r="O63" i="33" s="1"/>
  <c r="S49" i="72"/>
  <c r="D6" i="73" s="1"/>
  <c r="F66" i="33" s="1"/>
  <c r="N49" i="72"/>
  <c r="I4" i="73" s="1"/>
  <c r="O64" i="33" s="1"/>
  <c r="W49" i="72"/>
  <c r="D8" i="73" s="1"/>
  <c r="F68" i="33" s="1"/>
  <c r="C99" i="9" l="1"/>
  <c r="C98" i="9"/>
  <c r="D25" i="11" l="1"/>
  <c r="D26" i="11"/>
  <c r="D27" i="11"/>
  <c r="D28" i="11"/>
  <c r="D29" i="11"/>
  <c r="D30" i="11"/>
  <c r="D31" i="11"/>
  <c r="D32" i="11"/>
  <c r="D33" i="11"/>
  <c r="D24" i="11"/>
  <c r="D15" i="11"/>
  <c r="D16" i="11"/>
  <c r="D17" i="11"/>
  <c r="D18" i="11"/>
  <c r="D19" i="11"/>
  <c r="D20" i="11"/>
  <c r="D21" i="11"/>
  <c r="D22" i="11"/>
  <c r="D14" i="11"/>
  <c r="D5" i="11"/>
  <c r="D6" i="11"/>
  <c r="D7" i="11"/>
  <c r="D8" i="11"/>
  <c r="D9" i="11"/>
  <c r="D10" i="11"/>
  <c r="D4" i="11"/>
  <c r="J19" i="50" l="1"/>
  <c r="C9" i="50" l="1"/>
  <c r="C8" i="50"/>
  <c r="N5" i="42" l="1"/>
  <c r="N6" i="42"/>
  <c r="N7" i="42"/>
  <c r="N8" i="42"/>
  <c r="N9" i="42"/>
  <c r="N10" i="42"/>
  <c r="N11" i="42"/>
  <c r="N12" i="42"/>
  <c r="N13" i="42"/>
  <c r="N14" i="42"/>
  <c r="N15" i="42"/>
  <c r="N16" i="42"/>
  <c r="N17" i="42"/>
  <c r="N18" i="42"/>
  <c r="N19" i="42"/>
  <c r="N4" i="42"/>
  <c r="B80" i="45" l="1"/>
  <c r="H44" i="13" l="1"/>
  <c r="H42" i="13"/>
  <c r="H40" i="13"/>
  <c r="K41" i="13" s="1"/>
  <c r="H38" i="13"/>
  <c r="K39" i="13" s="1"/>
  <c r="H36" i="13"/>
  <c r="H34" i="13"/>
  <c r="H32" i="13"/>
  <c r="H30" i="13"/>
  <c r="H28" i="13"/>
  <c r="H26" i="13"/>
  <c r="H24" i="13"/>
  <c r="H22" i="13"/>
  <c r="H20" i="13"/>
  <c r="H18" i="13"/>
  <c r="H16" i="13"/>
  <c r="H14" i="13"/>
  <c r="H12" i="13"/>
  <c r="H10" i="13"/>
  <c r="H8" i="13"/>
  <c r="H6" i="13"/>
  <c r="C725" i="8" l="1"/>
  <c r="B87" i="45" l="1"/>
  <c r="N46" i="42" l="1"/>
  <c r="O46" i="42"/>
  <c r="P46" i="42"/>
  <c r="Q46" i="42"/>
  <c r="R46" i="42"/>
  <c r="S46" i="42"/>
  <c r="T46" i="42"/>
  <c r="U46" i="42"/>
  <c r="V46" i="42"/>
  <c r="W46" i="42"/>
  <c r="X46" i="42"/>
  <c r="Y46" i="42"/>
  <c r="N47" i="42"/>
  <c r="O47" i="42"/>
  <c r="P47" i="42"/>
  <c r="Q47" i="42"/>
  <c r="R47" i="42"/>
  <c r="S47" i="42"/>
  <c r="T47" i="42"/>
  <c r="U47" i="42"/>
  <c r="V47" i="42"/>
  <c r="W47" i="42"/>
  <c r="X47" i="42"/>
  <c r="Y47" i="42"/>
  <c r="N48" i="42"/>
  <c r="O48" i="42"/>
  <c r="P48" i="42"/>
  <c r="Q48" i="42"/>
  <c r="R48" i="42"/>
  <c r="S48" i="42"/>
  <c r="T48" i="42"/>
  <c r="U48" i="42"/>
  <c r="V48" i="42"/>
  <c r="W48" i="42"/>
  <c r="X48" i="42"/>
  <c r="Y48" i="42"/>
  <c r="Y45" i="42"/>
  <c r="X45" i="42"/>
  <c r="W45" i="42"/>
  <c r="V45" i="42"/>
  <c r="U45" i="42"/>
  <c r="T45" i="42"/>
  <c r="S45" i="42"/>
  <c r="R45" i="42"/>
  <c r="Q45" i="42"/>
  <c r="P45" i="42"/>
  <c r="O45" i="42"/>
  <c r="N45" i="42"/>
  <c r="N35" i="42"/>
  <c r="O35" i="42"/>
  <c r="P35" i="42"/>
  <c r="Q35" i="42"/>
  <c r="R35" i="42"/>
  <c r="S35" i="42"/>
  <c r="T35" i="42"/>
  <c r="U35" i="42"/>
  <c r="V35" i="42"/>
  <c r="W35" i="42"/>
  <c r="X35" i="42"/>
  <c r="Y35" i="42"/>
  <c r="N36" i="42"/>
  <c r="O36" i="42"/>
  <c r="P36" i="42"/>
  <c r="Q36" i="42"/>
  <c r="R36" i="42"/>
  <c r="S36" i="42"/>
  <c r="T36" i="42"/>
  <c r="U36" i="42"/>
  <c r="V36" i="42"/>
  <c r="W36" i="42"/>
  <c r="X36" i="42"/>
  <c r="Y36" i="42"/>
  <c r="N52" i="42"/>
  <c r="O52" i="42"/>
  <c r="P52" i="42"/>
  <c r="Q52" i="42"/>
  <c r="R52" i="42"/>
  <c r="S52" i="42"/>
  <c r="T52" i="42"/>
  <c r="U52" i="42"/>
  <c r="V52" i="42"/>
  <c r="W52" i="42"/>
  <c r="X52" i="42"/>
  <c r="Y52" i="42"/>
  <c r="N37" i="42"/>
  <c r="O37" i="42"/>
  <c r="P37" i="42"/>
  <c r="Q37" i="42"/>
  <c r="R37" i="42"/>
  <c r="S37" i="42"/>
  <c r="T37" i="42"/>
  <c r="U37" i="42"/>
  <c r="V37" i="42"/>
  <c r="W37" i="42"/>
  <c r="X37" i="42"/>
  <c r="Y37" i="42"/>
  <c r="N38" i="42"/>
  <c r="O38" i="42"/>
  <c r="P38" i="42"/>
  <c r="Q38" i="42"/>
  <c r="R38" i="42"/>
  <c r="S38" i="42"/>
  <c r="T38" i="42"/>
  <c r="U38" i="42"/>
  <c r="V38" i="42"/>
  <c r="W38" i="42"/>
  <c r="X38" i="42"/>
  <c r="Y38" i="42"/>
  <c r="Y34" i="42"/>
  <c r="X34" i="42"/>
  <c r="W34" i="42"/>
  <c r="V34" i="42"/>
  <c r="U34" i="42"/>
  <c r="T34" i="42"/>
  <c r="S34" i="42"/>
  <c r="R34" i="42"/>
  <c r="Q34" i="42"/>
  <c r="P34" i="42"/>
  <c r="O34" i="42"/>
  <c r="N34" i="42"/>
  <c r="X5" i="42"/>
  <c r="X6" i="42"/>
  <c r="X7" i="42"/>
  <c r="X8" i="42"/>
  <c r="X9" i="42"/>
  <c r="X10" i="42"/>
  <c r="X11" i="42"/>
  <c r="X12" i="42"/>
  <c r="X13" i="42"/>
  <c r="X14" i="42"/>
  <c r="X15" i="42"/>
  <c r="X16" i="42"/>
  <c r="X17" i="42"/>
  <c r="X18" i="42"/>
  <c r="X19" i="42"/>
  <c r="Y5" i="42"/>
  <c r="Y6" i="42"/>
  <c r="Y7" i="42"/>
  <c r="Y8" i="42"/>
  <c r="Y9" i="42"/>
  <c r="Y10" i="42"/>
  <c r="Y11" i="42"/>
  <c r="Y12" i="42"/>
  <c r="Y13" i="42"/>
  <c r="Y14" i="42"/>
  <c r="Y15" i="42"/>
  <c r="Y16" i="42"/>
  <c r="Y17" i="42"/>
  <c r="Y18" i="42"/>
  <c r="Y19" i="42"/>
  <c r="Y4" i="42"/>
  <c r="X4" i="42"/>
  <c r="W5" i="42"/>
  <c r="W6" i="42"/>
  <c r="W7" i="42"/>
  <c r="W8" i="42"/>
  <c r="W9" i="42"/>
  <c r="W10" i="42"/>
  <c r="W11" i="42"/>
  <c r="W12" i="42"/>
  <c r="W13" i="42"/>
  <c r="W14" i="42"/>
  <c r="W15" i="42"/>
  <c r="W16" i="42"/>
  <c r="W17" i="42"/>
  <c r="W18" i="42"/>
  <c r="W19" i="42"/>
  <c r="W4" i="42"/>
  <c r="V5" i="42"/>
  <c r="V6" i="42"/>
  <c r="V7" i="42"/>
  <c r="V8" i="42"/>
  <c r="V9" i="42"/>
  <c r="V10" i="42"/>
  <c r="V11" i="42"/>
  <c r="V12" i="42"/>
  <c r="V13" i="42"/>
  <c r="V14" i="42"/>
  <c r="V15" i="42"/>
  <c r="V16" i="42"/>
  <c r="V17" i="42"/>
  <c r="V18" i="42"/>
  <c r="V19" i="42"/>
  <c r="V4" i="42"/>
  <c r="U5" i="42"/>
  <c r="U6" i="42"/>
  <c r="U7" i="42"/>
  <c r="U8" i="42"/>
  <c r="U9" i="42"/>
  <c r="U10" i="42"/>
  <c r="U11" i="42"/>
  <c r="U12" i="42"/>
  <c r="U13" i="42"/>
  <c r="U14" i="42"/>
  <c r="U15" i="42"/>
  <c r="U16" i="42"/>
  <c r="U17" i="42"/>
  <c r="U18" i="42"/>
  <c r="U19" i="42"/>
  <c r="U4" i="42"/>
  <c r="T5" i="42"/>
  <c r="T6" i="42"/>
  <c r="T7" i="42"/>
  <c r="T8" i="42"/>
  <c r="T9" i="42"/>
  <c r="T10" i="42"/>
  <c r="T11" i="42"/>
  <c r="T12" i="42"/>
  <c r="T13" i="42"/>
  <c r="T14" i="42"/>
  <c r="T15" i="42"/>
  <c r="T16" i="42"/>
  <c r="T17" i="42"/>
  <c r="T18" i="42"/>
  <c r="T19" i="42"/>
  <c r="T4" i="42"/>
  <c r="S5" i="42"/>
  <c r="S6" i="42"/>
  <c r="S7" i="42"/>
  <c r="S8" i="42"/>
  <c r="S9" i="42"/>
  <c r="S10" i="42"/>
  <c r="S11" i="42"/>
  <c r="S12" i="42"/>
  <c r="S13" i="42"/>
  <c r="S14" i="42"/>
  <c r="S15" i="42"/>
  <c r="S16" i="42"/>
  <c r="S17" i="42"/>
  <c r="S18" i="42"/>
  <c r="S19" i="42"/>
  <c r="S4" i="42"/>
  <c r="Q5" i="42"/>
  <c r="R5" i="42"/>
  <c r="Q6" i="42"/>
  <c r="R6" i="42"/>
  <c r="Q7" i="42"/>
  <c r="R7" i="42"/>
  <c r="Q8" i="42"/>
  <c r="R8" i="42"/>
  <c r="Q9" i="42"/>
  <c r="R9" i="42"/>
  <c r="Q10" i="42"/>
  <c r="R10" i="42"/>
  <c r="Q11" i="42"/>
  <c r="R11" i="42"/>
  <c r="Q12" i="42"/>
  <c r="R12" i="42"/>
  <c r="Q13" i="42"/>
  <c r="R13" i="42"/>
  <c r="Q14" i="42"/>
  <c r="R14" i="42"/>
  <c r="Q15" i="42"/>
  <c r="R15" i="42"/>
  <c r="Q16" i="42"/>
  <c r="R16" i="42"/>
  <c r="Q17" i="42"/>
  <c r="R17" i="42"/>
  <c r="Q18" i="42"/>
  <c r="R18" i="42"/>
  <c r="Q19" i="42"/>
  <c r="R19" i="42"/>
  <c r="R4" i="42"/>
  <c r="Q4" i="42"/>
  <c r="P5" i="42"/>
  <c r="P6" i="42"/>
  <c r="P7" i="42"/>
  <c r="P8" i="42"/>
  <c r="P9" i="42"/>
  <c r="P10" i="42"/>
  <c r="P11" i="42"/>
  <c r="P12" i="42"/>
  <c r="P13" i="42"/>
  <c r="P14" i="42"/>
  <c r="P15" i="42"/>
  <c r="P16" i="42"/>
  <c r="P17" i="42"/>
  <c r="P18" i="42"/>
  <c r="P19" i="42"/>
  <c r="P4" i="42"/>
  <c r="O5" i="42"/>
  <c r="O6" i="42"/>
  <c r="O7" i="42"/>
  <c r="O8" i="42"/>
  <c r="O9" i="42"/>
  <c r="O10" i="42"/>
  <c r="O11" i="42"/>
  <c r="O12" i="42"/>
  <c r="O13" i="42"/>
  <c r="O14" i="42"/>
  <c r="O15" i="42"/>
  <c r="O16" i="42"/>
  <c r="O17" i="42"/>
  <c r="O18" i="42"/>
  <c r="O19" i="42"/>
  <c r="O4" i="42"/>
  <c r="O27" i="26"/>
  <c r="N27" i="26"/>
  <c r="M27" i="26"/>
  <c r="L27" i="26"/>
  <c r="K27" i="26"/>
  <c r="J27" i="26"/>
  <c r="I27" i="26"/>
  <c r="H27" i="26"/>
  <c r="G27" i="26"/>
  <c r="F27" i="26"/>
  <c r="E27" i="26"/>
  <c r="D27" i="26"/>
  <c r="D33" i="26" l="1"/>
  <c r="E33" i="26"/>
  <c r="F33" i="26"/>
  <c r="G33" i="26"/>
  <c r="H33" i="26"/>
  <c r="I33" i="26"/>
  <c r="J33" i="26"/>
  <c r="K33" i="26"/>
  <c r="L33" i="26"/>
  <c r="M33" i="26"/>
  <c r="N33" i="26"/>
  <c r="O33" i="26"/>
  <c r="D34" i="26"/>
  <c r="E34" i="26"/>
  <c r="F34" i="26"/>
  <c r="G34" i="26"/>
  <c r="H34" i="26"/>
  <c r="I34" i="26"/>
  <c r="J34" i="26"/>
  <c r="K34" i="26"/>
  <c r="L34" i="26"/>
  <c r="M34" i="26"/>
  <c r="N34" i="26"/>
  <c r="O34" i="26"/>
  <c r="D35" i="26"/>
  <c r="E35" i="26"/>
  <c r="F35" i="26"/>
  <c r="G35" i="26"/>
  <c r="H35" i="26"/>
  <c r="I35" i="26"/>
  <c r="J35" i="26"/>
  <c r="K35" i="26"/>
  <c r="L35" i="26"/>
  <c r="M35" i="26"/>
  <c r="N35" i="26"/>
  <c r="O35" i="26"/>
  <c r="D36" i="26"/>
  <c r="E36" i="26"/>
  <c r="F36" i="26"/>
  <c r="G36" i="26"/>
  <c r="H36" i="26"/>
  <c r="I36" i="26"/>
  <c r="J36" i="26"/>
  <c r="K36" i="26"/>
  <c r="L36" i="26"/>
  <c r="M36" i="26"/>
  <c r="N36" i="26"/>
  <c r="O36" i="26"/>
  <c r="D37" i="26"/>
  <c r="E37" i="26"/>
  <c r="F37" i="26"/>
  <c r="G37" i="26"/>
  <c r="H37" i="26"/>
  <c r="I37" i="26"/>
  <c r="J37" i="26"/>
  <c r="K37" i="26"/>
  <c r="L37" i="26"/>
  <c r="M37" i="26"/>
  <c r="N37" i="26"/>
  <c r="O37" i="26"/>
  <c r="D38" i="26"/>
  <c r="E38" i="26"/>
  <c r="F38" i="26"/>
  <c r="G38" i="26"/>
  <c r="H38" i="26"/>
  <c r="I38" i="26"/>
  <c r="J38" i="26"/>
  <c r="K38" i="26"/>
  <c r="L38" i="26"/>
  <c r="M38" i="26"/>
  <c r="N38" i="26"/>
  <c r="O38" i="26"/>
  <c r="D39" i="26"/>
  <c r="E39" i="26"/>
  <c r="F39" i="26"/>
  <c r="G39" i="26"/>
  <c r="H39" i="26"/>
  <c r="I39" i="26"/>
  <c r="J39" i="26"/>
  <c r="K39" i="26"/>
  <c r="L39" i="26"/>
  <c r="M39" i="26"/>
  <c r="N39" i="26"/>
  <c r="O39" i="26"/>
  <c r="D40" i="26"/>
  <c r="E40" i="26"/>
  <c r="F40" i="26"/>
  <c r="G40" i="26"/>
  <c r="H40" i="26"/>
  <c r="I40" i="26"/>
  <c r="J40" i="26"/>
  <c r="K40" i="26"/>
  <c r="L40" i="26"/>
  <c r="M40" i="26"/>
  <c r="N40" i="26"/>
  <c r="O40" i="26"/>
  <c r="D41" i="26"/>
  <c r="E41" i="26"/>
  <c r="F41" i="26"/>
  <c r="G41" i="26"/>
  <c r="H41" i="26"/>
  <c r="I41" i="26"/>
  <c r="J41" i="26"/>
  <c r="K41" i="26"/>
  <c r="L41" i="26"/>
  <c r="M41" i="26"/>
  <c r="N41" i="26"/>
  <c r="O41" i="26"/>
  <c r="D42" i="26"/>
  <c r="E42" i="26"/>
  <c r="F42" i="26"/>
  <c r="G42" i="26"/>
  <c r="H42" i="26"/>
  <c r="I42" i="26"/>
  <c r="J42" i="26"/>
  <c r="K42" i="26"/>
  <c r="L42" i="26"/>
  <c r="M42" i="26"/>
  <c r="N42" i="26"/>
  <c r="O42" i="26"/>
  <c r="D43" i="26"/>
  <c r="E43" i="26"/>
  <c r="F43" i="26"/>
  <c r="G43" i="26"/>
  <c r="H43" i="26"/>
  <c r="I43" i="26"/>
  <c r="J43" i="26"/>
  <c r="K43" i="26"/>
  <c r="L43" i="26"/>
  <c r="M43" i="26"/>
  <c r="N43" i="26"/>
  <c r="O43" i="26"/>
  <c r="D44" i="26"/>
  <c r="E44" i="26"/>
  <c r="F44" i="26"/>
  <c r="G44" i="26"/>
  <c r="H44" i="26"/>
  <c r="I44" i="26"/>
  <c r="J44" i="26"/>
  <c r="K44" i="26"/>
  <c r="L44" i="26"/>
  <c r="M44" i="26"/>
  <c r="N44" i="26"/>
  <c r="O44" i="26"/>
  <c r="D45" i="26"/>
  <c r="E45" i="26"/>
  <c r="F45" i="26"/>
  <c r="G45" i="26"/>
  <c r="H45" i="26"/>
  <c r="I45" i="26"/>
  <c r="J45" i="26"/>
  <c r="K45" i="26"/>
  <c r="L45" i="26"/>
  <c r="M45" i="26"/>
  <c r="N45" i="26"/>
  <c r="O45" i="26"/>
  <c r="D46" i="26"/>
  <c r="E46" i="26"/>
  <c r="F46" i="26"/>
  <c r="G46" i="26"/>
  <c r="H46" i="26"/>
  <c r="I46" i="26"/>
  <c r="J46" i="26"/>
  <c r="K46" i="26"/>
  <c r="L46" i="26"/>
  <c r="M46" i="26"/>
  <c r="N46" i="26"/>
  <c r="O46" i="26"/>
  <c r="D47" i="26"/>
  <c r="E47" i="26"/>
  <c r="F47" i="26"/>
  <c r="G47" i="26"/>
  <c r="H47" i="26"/>
  <c r="I47" i="26"/>
  <c r="J47" i="26"/>
  <c r="K47" i="26"/>
  <c r="L47" i="26"/>
  <c r="M47" i="26"/>
  <c r="N47" i="26"/>
  <c r="O47" i="26"/>
  <c r="D48" i="26"/>
  <c r="E48" i="26"/>
  <c r="F48" i="26"/>
  <c r="G48" i="26"/>
  <c r="H48" i="26"/>
  <c r="I48" i="26"/>
  <c r="J48" i="26"/>
  <c r="K48" i="26"/>
  <c r="L48" i="26"/>
  <c r="M48" i="26"/>
  <c r="N48" i="26"/>
  <c r="O48" i="26"/>
  <c r="D49" i="26"/>
  <c r="E49" i="26"/>
  <c r="F49" i="26"/>
  <c r="G49" i="26"/>
  <c r="H49" i="26"/>
  <c r="I49" i="26"/>
  <c r="J49" i="26"/>
  <c r="K49" i="26"/>
  <c r="L49" i="26"/>
  <c r="M49" i="26"/>
  <c r="N49" i="26"/>
  <c r="O49" i="26"/>
  <c r="D50" i="26"/>
  <c r="E50" i="26"/>
  <c r="F50" i="26"/>
  <c r="G50" i="26"/>
  <c r="H50" i="26"/>
  <c r="I50" i="26"/>
  <c r="J50" i="26"/>
  <c r="K50" i="26"/>
  <c r="L50" i="26"/>
  <c r="M50" i="26"/>
  <c r="N50" i="26"/>
  <c r="O50" i="26"/>
  <c r="D51" i="26"/>
  <c r="E51" i="26"/>
  <c r="F51" i="26"/>
  <c r="G51" i="26"/>
  <c r="H51" i="26"/>
  <c r="I51" i="26"/>
  <c r="J51" i="26"/>
  <c r="K51" i="26"/>
  <c r="L51" i="26"/>
  <c r="M51" i="26"/>
  <c r="N51" i="26"/>
  <c r="O51" i="26"/>
  <c r="D52" i="26"/>
  <c r="E52" i="26"/>
  <c r="F52" i="26"/>
  <c r="G52" i="26"/>
  <c r="H52" i="26"/>
  <c r="I52" i="26"/>
  <c r="J52" i="26"/>
  <c r="K52" i="26"/>
  <c r="L52" i="26"/>
  <c r="M52" i="26"/>
  <c r="N52" i="26"/>
  <c r="O52" i="26"/>
  <c r="D53" i="26"/>
  <c r="E53" i="26"/>
  <c r="F53" i="26"/>
  <c r="G53" i="26"/>
  <c r="H53" i="26"/>
  <c r="I53" i="26"/>
  <c r="J53" i="26"/>
  <c r="K53" i="26"/>
  <c r="L53" i="26"/>
  <c r="M53" i="26"/>
  <c r="N53" i="26"/>
  <c r="O53" i="26"/>
  <c r="D54" i="26"/>
  <c r="E54" i="26"/>
  <c r="F54" i="26"/>
  <c r="G54" i="26"/>
  <c r="H54" i="26"/>
  <c r="I54" i="26"/>
  <c r="J54" i="26"/>
  <c r="K54" i="26"/>
  <c r="L54" i="26"/>
  <c r="M54" i="26"/>
  <c r="N54" i="26"/>
  <c r="O54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D5" i="26"/>
  <c r="E5" i="26"/>
  <c r="F5" i="26"/>
  <c r="G5" i="26"/>
  <c r="H5" i="26"/>
  <c r="I5" i="26"/>
  <c r="J5" i="26"/>
  <c r="K5" i="26"/>
  <c r="L5" i="26"/>
  <c r="M5" i="26"/>
  <c r="N5" i="26"/>
  <c r="O5" i="26"/>
  <c r="D6" i="26"/>
  <c r="E6" i="26"/>
  <c r="F6" i="26"/>
  <c r="G6" i="26"/>
  <c r="H6" i="26"/>
  <c r="I6" i="26"/>
  <c r="J6" i="26"/>
  <c r="K6" i="26"/>
  <c r="L6" i="26"/>
  <c r="M6" i="26"/>
  <c r="N6" i="26"/>
  <c r="O6" i="26"/>
  <c r="D7" i="26"/>
  <c r="E7" i="26"/>
  <c r="F7" i="26"/>
  <c r="G7" i="26"/>
  <c r="H7" i="26"/>
  <c r="I7" i="26"/>
  <c r="J7" i="26"/>
  <c r="K7" i="26"/>
  <c r="L7" i="26"/>
  <c r="M7" i="26"/>
  <c r="N7" i="26"/>
  <c r="O7" i="26"/>
  <c r="D8" i="26"/>
  <c r="E8" i="26"/>
  <c r="F8" i="26"/>
  <c r="G8" i="26"/>
  <c r="H8" i="26"/>
  <c r="I8" i="26"/>
  <c r="J8" i="26"/>
  <c r="K8" i="26"/>
  <c r="L8" i="26"/>
  <c r="M8" i="26"/>
  <c r="N8" i="26"/>
  <c r="O8" i="26"/>
  <c r="D9" i="26"/>
  <c r="E9" i="26"/>
  <c r="F9" i="26"/>
  <c r="G9" i="26"/>
  <c r="H9" i="26"/>
  <c r="I9" i="26"/>
  <c r="J9" i="26"/>
  <c r="K9" i="26"/>
  <c r="L9" i="26"/>
  <c r="M9" i="26"/>
  <c r="N9" i="26"/>
  <c r="O9" i="26"/>
  <c r="D10" i="26"/>
  <c r="E10" i="26"/>
  <c r="F10" i="26"/>
  <c r="G10" i="26"/>
  <c r="H10" i="26"/>
  <c r="I10" i="26"/>
  <c r="J10" i="26"/>
  <c r="K10" i="26"/>
  <c r="L10" i="26"/>
  <c r="M10" i="26"/>
  <c r="N10" i="26"/>
  <c r="O10" i="26"/>
  <c r="D11" i="26"/>
  <c r="E11" i="26"/>
  <c r="F11" i="26"/>
  <c r="G11" i="26"/>
  <c r="H11" i="26"/>
  <c r="I11" i="26"/>
  <c r="J11" i="26"/>
  <c r="K11" i="26"/>
  <c r="L11" i="26"/>
  <c r="M11" i="26"/>
  <c r="N11" i="26"/>
  <c r="O11" i="26"/>
  <c r="D12" i="26"/>
  <c r="E12" i="26"/>
  <c r="F12" i="26"/>
  <c r="G12" i="26"/>
  <c r="H12" i="26"/>
  <c r="I12" i="26"/>
  <c r="J12" i="26"/>
  <c r="K12" i="26"/>
  <c r="L12" i="26"/>
  <c r="M12" i="26"/>
  <c r="N12" i="26"/>
  <c r="O12" i="26"/>
  <c r="D13" i="26"/>
  <c r="E13" i="26"/>
  <c r="F13" i="26"/>
  <c r="G13" i="26"/>
  <c r="H13" i="26"/>
  <c r="I13" i="26"/>
  <c r="J13" i="26"/>
  <c r="K13" i="26"/>
  <c r="L13" i="26"/>
  <c r="M13" i="26"/>
  <c r="N13" i="26"/>
  <c r="O13" i="26"/>
  <c r="D14" i="26"/>
  <c r="E14" i="26"/>
  <c r="F14" i="26"/>
  <c r="G14" i="26"/>
  <c r="H14" i="26"/>
  <c r="I14" i="26"/>
  <c r="J14" i="26"/>
  <c r="K14" i="26"/>
  <c r="L14" i="26"/>
  <c r="M14" i="26"/>
  <c r="N14" i="26"/>
  <c r="O14" i="26"/>
  <c r="D15" i="26"/>
  <c r="E15" i="26"/>
  <c r="F15" i="26"/>
  <c r="G15" i="26"/>
  <c r="H15" i="26"/>
  <c r="I15" i="26"/>
  <c r="J15" i="26"/>
  <c r="K15" i="26"/>
  <c r="L15" i="26"/>
  <c r="M15" i="26"/>
  <c r="N15" i="26"/>
  <c r="O15" i="26"/>
  <c r="D16" i="26"/>
  <c r="E16" i="26"/>
  <c r="F16" i="26"/>
  <c r="G16" i="26"/>
  <c r="H16" i="26"/>
  <c r="I16" i="26"/>
  <c r="J16" i="26"/>
  <c r="K16" i="26"/>
  <c r="L16" i="26"/>
  <c r="M16" i="26"/>
  <c r="N16" i="26"/>
  <c r="O16" i="26"/>
  <c r="D17" i="26"/>
  <c r="E17" i="26"/>
  <c r="F17" i="26"/>
  <c r="G17" i="26"/>
  <c r="H17" i="26"/>
  <c r="I17" i="26"/>
  <c r="J17" i="26"/>
  <c r="K17" i="26"/>
  <c r="L17" i="26"/>
  <c r="M17" i="26"/>
  <c r="N17" i="26"/>
  <c r="O17" i="26"/>
  <c r="D18" i="26"/>
  <c r="E18" i="26"/>
  <c r="F18" i="26"/>
  <c r="G18" i="26"/>
  <c r="H18" i="26"/>
  <c r="I18" i="26"/>
  <c r="J18" i="26"/>
  <c r="K18" i="26"/>
  <c r="L18" i="26"/>
  <c r="M18" i="26"/>
  <c r="N18" i="26"/>
  <c r="O18" i="26"/>
  <c r="D19" i="26"/>
  <c r="E19" i="26"/>
  <c r="F19" i="26"/>
  <c r="G19" i="26"/>
  <c r="H19" i="26"/>
  <c r="I19" i="26"/>
  <c r="J19" i="26"/>
  <c r="K19" i="26"/>
  <c r="L19" i="26"/>
  <c r="M19" i="26"/>
  <c r="N19" i="26"/>
  <c r="O19" i="26"/>
  <c r="D20" i="26"/>
  <c r="E20" i="26"/>
  <c r="F20" i="26"/>
  <c r="G20" i="26"/>
  <c r="H20" i="26"/>
  <c r="I20" i="26"/>
  <c r="J20" i="26"/>
  <c r="K20" i="26"/>
  <c r="L20" i="26"/>
  <c r="M20" i="26"/>
  <c r="N20" i="26"/>
  <c r="O20" i="26"/>
  <c r="D21" i="26"/>
  <c r="E21" i="26"/>
  <c r="F21" i="26"/>
  <c r="G21" i="26"/>
  <c r="H21" i="26"/>
  <c r="I21" i="26"/>
  <c r="J21" i="26"/>
  <c r="K21" i="26"/>
  <c r="L21" i="26"/>
  <c r="M21" i="26"/>
  <c r="N21" i="26"/>
  <c r="O21" i="26"/>
  <c r="D22" i="26"/>
  <c r="E22" i="26"/>
  <c r="F22" i="26"/>
  <c r="G22" i="26"/>
  <c r="H22" i="26"/>
  <c r="I22" i="26"/>
  <c r="J22" i="26"/>
  <c r="K22" i="26"/>
  <c r="L22" i="26"/>
  <c r="M22" i="26"/>
  <c r="N22" i="26"/>
  <c r="O22" i="26"/>
  <c r="D23" i="26"/>
  <c r="E23" i="26"/>
  <c r="F23" i="26"/>
  <c r="G23" i="26"/>
  <c r="H23" i="26"/>
  <c r="I23" i="26"/>
  <c r="J23" i="26"/>
  <c r="K23" i="26"/>
  <c r="L23" i="26"/>
  <c r="M23" i="26"/>
  <c r="N23" i="26"/>
  <c r="O23" i="26"/>
  <c r="D24" i="26"/>
  <c r="E24" i="26"/>
  <c r="F24" i="26"/>
  <c r="G24" i="26"/>
  <c r="H24" i="26"/>
  <c r="I24" i="26"/>
  <c r="J24" i="26"/>
  <c r="K24" i="26"/>
  <c r="L24" i="26"/>
  <c r="M24" i="26"/>
  <c r="N24" i="26"/>
  <c r="O24" i="26"/>
  <c r="D25" i="26"/>
  <c r="E25" i="26"/>
  <c r="F25" i="26"/>
  <c r="G25" i="26"/>
  <c r="H25" i="26"/>
  <c r="I25" i="26"/>
  <c r="J25" i="26"/>
  <c r="K25" i="26"/>
  <c r="L25" i="26"/>
  <c r="M25" i="26"/>
  <c r="N25" i="26"/>
  <c r="O25" i="26"/>
  <c r="D26" i="26"/>
  <c r="E26" i="26"/>
  <c r="F26" i="26"/>
  <c r="G26" i="26"/>
  <c r="H26" i="26"/>
  <c r="I26" i="26"/>
  <c r="J26" i="26"/>
  <c r="K26" i="26"/>
  <c r="L26" i="26"/>
  <c r="M26" i="26"/>
  <c r="N26" i="26"/>
  <c r="O26" i="26"/>
  <c r="O4" i="26"/>
  <c r="N4" i="26"/>
  <c r="M4" i="26"/>
  <c r="L4" i="26"/>
  <c r="K4" i="26"/>
  <c r="J4" i="26"/>
  <c r="I4" i="26"/>
  <c r="H4" i="26"/>
  <c r="G4" i="26"/>
  <c r="F4" i="26"/>
  <c r="E4" i="26"/>
  <c r="D4" i="26"/>
  <c r="I9" i="17"/>
  <c r="J9" i="17"/>
  <c r="I10" i="17"/>
  <c r="J10" i="17"/>
  <c r="I11" i="17"/>
  <c r="J11" i="17"/>
  <c r="I12" i="17"/>
  <c r="J12" i="17"/>
  <c r="I13" i="17"/>
  <c r="J13" i="17"/>
  <c r="J8" i="17"/>
  <c r="I8" i="17"/>
  <c r="F9" i="17"/>
  <c r="F10" i="17"/>
  <c r="F11" i="17"/>
  <c r="F12" i="17"/>
  <c r="F13" i="17"/>
  <c r="F8" i="17"/>
  <c r="W3" i="14"/>
  <c r="W4" i="14"/>
  <c r="W5" i="14"/>
  <c r="W6" i="14"/>
  <c r="W7" i="14"/>
  <c r="W8" i="14"/>
  <c r="W9" i="14"/>
  <c r="W10" i="14"/>
  <c r="W11" i="14"/>
  <c r="W12" i="14"/>
  <c r="W13" i="14"/>
  <c r="W14" i="14"/>
  <c r="W15" i="14"/>
  <c r="W16" i="14"/>
  <c r="W17" i="14"/>
  <c r="W18" i="14"/>
  <c r="W19" i="14"/>
  <c r="W20" i="14"/>
  <c r="W21" i="14"/>
  <c r="W2" i="14"/>
  <c r="C32" i="59" l="1"/>
  <c r="C31" i="59"/>
  <c r="C29" i="59"/>
  <c r="C28" i="59"/>
  <c r="C61" i="45"/>
  <c r="C60" i="45"/>
  <c r="C59" i="45"/>
  <c r="C58" i="45"/>
  <c r="C56" i="45"/>
  <c r="C55" i="45"/>
  <c r="C54" i="45"/>
  <c r="C53" i="45"/>
  <c r="C32" i="26" l="1"/>
  <c r="C33" i="26"/>
  <c r="C34" i="26"/>
  <c r="C35" i="26"/>
  <c r="C36" i="26"/>
  <c r="C37" i="26"/>
  <c r="C38" i="26"/>
  <c r="C39" i="26"/>
  <c r="C40" i="26"/>
  <c r="C41" i="26"/>
  <c r="C42" i="26"/>
  <c r="C43" i="26"/>
  <c r="C44" i="26"/>
  <c r="C45" i="26"/>
  <c r="C46" i="26"/>
  <c r="C47" i="26"/>
  <c r="C48" i="26"/>
  <c r="C49" i="26"/>
  <c r="C50" i="26"/>
  <c r="C51" i="26"/>
  <c r="C52" i="26"/>
  <c r="B47" i="59" l="1"/>
  <c r="D24" i="5" s="1"/>
  <c r="C40" i="5"/>
  <c r="C41" i="5"/>
  <c r="C42" i="5"/>
  <c r="C43" i="5"/>
  <c r="C44" i="5"/>
  <c r="C19" i="60" l="1"/>
  <c r="C18" i="60"/>
  <c r="B50" i="59"/>
  <c r="D27" i="5" s="1"/>
  <c r="I10" i="60"/>
  <c r="G10" i="60"/>
  <c r="G9" i="60"/>
  <c r="I23" i="33" l="1"/>
  <c r="C46" i="52" l="1"/>
  <c r="C9" i="60"/>
  <c r="C10" i="60"/>
  <c r="C8" i="60"/>
  <c r="C39" i="59"/>
  <c r="C30" i="59"/>
  <c r="C33" i="59"/>
  <c r="C34" i="59"/>
  <c r="C35" i="59"/>
  <c r="C27" i="59"/>
  <c r="B49" i="59" s="1"/>
  <c r="D26" i="5" s="1"/>
  <c r="E37" i="59"/>
  <c r="E38" i="59"/>
  <c r="E36" i="59"/>
  <c r="C42" i="52"/>
  <c r="C41" i="52"/>
  <c r="C40" i="52"/>
  <c r="C39" i="52"/>
  <c r="C38" i="52"/>
  <c r="C37" i="52"/>
  <c r="C36" i="52"/>
  <c r="C34" i="52"/>
  <c r="C35" i="52"/>
  <c r="C22" i="52"/>
  <c r="E34" i="52"/>
  <c r="B58" i="52" l="1"/>
  <c r="D85" i="33" s="1"/>
  <c r="B59" i="52"/>
  <c r="B57" i="52"/>
  <c r="C43" i="60" l="1"/>
  <c r="C54" i="9" s="1"/>
  <c r="B48" i="59"/>
  <c r="D25" i="5" s="1"/>
  <c r="D35" i="60"/>
  <c r="D41" i="50"/>
  <c r="C47" i="50" l="1"/>
  <c r="C130" i="9" s="1"/>
  <c r="AB1" i="61" l="1"/>
  <c r="I1" i="61"/>
  <c r="F1" i="61"/>
  <c r="D1" i="61"/>
  <c r="B1" i="61"/>
  <c r="N4" i="11" l="1"/>
  <c r="O4" i="11"/>
  <c r="B78" i="45"/>
  <c r="B79" i="45"/>
  <c r="B81" i="45"/>
  <c r="B83" i="45"/>
  <c r="C125" i="9" s="1"/>
  <c r="B84" i="45"/>
  <c r="C126" i="9" s="1"/>
  <c r="B85" i="45"/>
  <c r="C127" i="9" s="1"/>
  <c r="B82" i="45"/>
  <c r="B77" i="45"/>
  <c r="C124" i="9" l="1"/>
  <c r="N20" i="33"/>
  <c r="N19" i="33"/>
  <c r="N18" i="33"/>
  <c r="N26" i="33"/>
  <c r="N25" i="33"/>
  <c r="N24" i="33"/>
  <c r="N23" i="33"/>
  <c r="N16" i="33"/>
  <c r="N17" i="33"/>
  <c r="K23" i="39"/>
  <c r="K25" i="39"/>
  <c r="K26" i="39"/>
  <c r="K27" i="39"/>
  <c r="K24" i="39"/>
  <c r="O25" i="39"/>
  <c r="O26" i="39"/>
  <c r="O27" i="39"/>
  <c r="O24" i="39"/>
  <c r="I16" i="33" l="1"/>
  <c r="F18" i="60" l="1"/>
  <c r="C30" i="17" l="1"/>
  <c r="C25" i="17"/>
  <c r="C24" i="17"/>
  <c r="C43" i="58" l="1"/>
  <c r="C43" i="56"/>
  <c r="D78" i="33"/>
  <c r="D74" i="39"/>
  <c r="C120" i="9" l="1"/>
  <c r="C119" i="9"/>
  <c r="B74" i="45"/>
  <c r="C116" i="9" s="1"/>
  <c r="B45" i="39" l="1"/>
  <c r="B46" i="39"/>
  <c r="C11" i="60" l="1"/>
  <c r="I4" i="60"/>
  <c r="C4" i="60"/>
  <c r="I3" i="60"/>
  <c r="G3" i="60"/>
  <c r="F3" i="60"/>
  <c r="C3" i="60"/>
  <c r="J2" i="60"/>
  <c r="F2" i="60"/>
  <c r="C44" i="60"/>
  <c r="C55" i="9" s="1"/>
  <c r="C41" i="60"/>
  <c r="C52" i="9" s="1"/>
  <c r="C42" i="60" l="1"/>
  <c r="C53" i="9" s="1"/>
  <c r="F4" i="60"/>
  <c r="C2" i="60"/>
  <c r="G2" i="60"/>
  <c r="C12" i="50"/>
  <c r="J17" i="50"/>
  <c r="K17" i="50"/>
  <c r="G31" i="50"/>
  <c r="C27" i="52"/>
  <c r="D27" i="50" s="1"/>
  <c r="D83" i="33" l="1"/>
  <c r="C49" i="50"/>
  <c r="C132" i="9" s="1"/>
  <c r="D86" i="33"/>
  <c r="D84" i="33"/>
  <c r="C45" i="50"/>
  <c r="C128" i="9" s="1"/>
  <c r="D82" i="33"/>
  <c r="C46" i="50" l="1"/>
  <c r="C129" i="9" s="1"/>
  <c r="D3" i="61" l="1"/>
  <c r="J3" i="61" l="1"/>
  <c r="N3" i="61"/>
  <c r="R3" i="61"/>
  <c r="V3" i="61"/>
  <c r="Z3" i="61"/>
  <c r="AD3" i="61"/>
  <c r="K3" i="61"/>
  <c r="S3" i="61"/>
  <c r="AA3" i="61"/>
  <c r="L3" i="61"/>
  <c r="P3" i="61"/>
  <c r="T3" i="61"/>
  <c r="X3" i="61"/>
  <c r="AB3" i="61"/>
  <c r="H3" i="61"/>
  <c r="I3" i="61"/>
  <c r="M3" i="61"/>
  <c r="Q3" i="61"/>
  <c r="U3" i="61"/>
  <c r="Y3" i="61"/>
  <c r="AC3" i="61"/>
  <c r="O3" i="61"/>
  <c r="W3" i="61"/>
  <c r="AE3" i="61"/>
  <c r="F3" i="61"/>
  <c r="M4" i="57"/>
  <c r="O4" i="57"/>
  <c r="M5" i="57"/>
  <c r="O5" i="57"/>
  <c r="M6" i="57"/>
  <c r="O6" i="57"/>
  <c r="M7" i="57"/>
  <c r="O7" i="57"/>
  <c r="M8" i="57"/>
  <c r="O8" i="57"/>
  <c r="M9" i="57"/>
  <c r="O9" i="57"/>
  <c r="M10" i="57"/>
  <c r="O10" i="57"/>
  <c r="M11" i="57"/>
  <c r="O11" i="57"/>
  <c r="M12" i="57"/>
  <c r="O12" i="57"/>
  <c r="M13" i="57"/>
  <c r="O13" i="57"/>
  <c r="M14" i="57"/>
  <c r="O14" i="57"/>
  <c r="M15" i="57"/>
  <c r="O15" i="57"/>
  <c r="M16" i="57"/>
  <c r="O16" i="57"/>
  <c r="M17" i="57"/>
  <c r="O17" i="57"/>
  <c r="M18" i="57"/>
  <c r="O18" i="57"/>
  <c r="M19" i="57"/>
  <c r="O19" i="57"/>
  <c r="M20" i="57"/>
  <c r="O20" i="57"/>
  <c r="M21" i="57"/>
  <c r="O21" i="57"/>
  <c r="M22" i="57"/>
  <c r="O22" i="57"/>
  <c r="M23" i="57"/>
  <c r="O23" i="57"/>
  <c r="M24" i="57"/>
  <c r="O24" i="57"/>
  <c r="M25" i="57"/>
  <c r="O25" i="57"/>
  <c r="M26" i="57"/>
  <c r="O26" i="57"/>
  <c r="M27" i="57"/>
  <c r="O27" i="57"/>
  <c r="M28" i="57"/>
  <c r="O28" i="57"/>
  <c r="M29" i="57"/>
  <c r="O29" i="57"/>
  <c r="M30" i="57"/>
  <c r="O30" i="57"/>
  <c r="M31" i="57"/>
  <c r="O31" i="57"/>
  <c r="M32" i="57"/>
  <c r="O32" i="57"/>
  <c r="M33" i="57"/>
  <c r="O33" i="57"/>
  <c r="M34" i="57"/>
  <c r="O34" i="57"/>
  <c r="K35" i="57" l="1"/>
  <c r="B35" i="57"/>
  <c r="K34" i="57"/>
  <c r="H34" i="57"/>
  <c r="F34" i="57"/>
  <c r="D34" i="57"/>
  <c r="B34" i="57"/>
  <c r="K33" i="57"/>
  <c r="H33" i="57"/>
  <c r="F33" i="57"/>
  <c r="D33" i="57"/>
  <c r="B33" i="57"/>
  <c r="K32" i="57"/>
  <c r="H32" i="57"/>
  <c r="F32" i="57"/>
  <c r="D32" i="57"/>
  <c r="B32" i="57"/>
  <c r="K31" i="57"/>
  <c r="H31" i="57"/>
  <c r="F31" i="57"/>
  <c r="D31" i="57"/>
  <c r="B31" i="57"/>
  <c r="K30" i="57"/>
  <c r="H30" i="57"/>
  <c r="F30" i="57"/>
  <c r="D30" i="57"/>
  <c r="B30" i="57"/>
  <c r="K29" i="57"/>
  <c r="H29" i="57"/>
  <c r="F29" i="57"/>
  <c r="D29" i="57"/>
  <c r="B29" i="57"/>
  <c r="K28" i="57"/>
  <c r="H28" i="57"/>
  <c r="F28" i="57"/>
  <c r="D28" i="57"/>
  <c r="B28" i="57"/>
  <c r="K27" i="57"/>
  <c r="H27" i="57"/>
  <c r="F27" i="57"/>
  <c r="D27" i="57"/>
  <c r="B27" i="57"/>
  <c r="K26" i="57"/>
  <c r="H26" i="57"/>
  <c r="F26" i="57"/>
  <c r="D26" i="57"/>
  <c r="B26" i="57"/>
  <c r="K25" i="57"/>
  <c r="H25" i="57"/>
  <c r="F25" i="57"/>
  <c r="D25" i="57"/>
  <c r="B25" i="57"/>
  <c r="K24" i="57"/>
  <c r="H24" i="57"/>
  <c r="F24" i="57"/>
  <c r="D24" i="57"/>
  <c r="B24" i="57"/>
  <c r="K23" i="57"/>
  <c r="H23" i="57"/>
  <c r="F23" i="57"/>
  <c r="D23" i="57"/>
  <c r="B23" i="57"/>
  <c r="K22" i="57"/>
  <c r="H22" i="57"/>
  <c r="F22" i="57"/>
  <c r="D22" i="57"/>
  <c r="B22" i="57"/>
  <c r="K21" i="57"/>
  <c r="H21" i="57"/>
  <c r="F21" i="57"/>
  <c r="D21" i="57"/>
  <c r="B21" i="57"/>
  <c r="K20" i="57"/>
  <c r="H20" i="57"/>
  <c r="F20" i="57"/>
  <c r="D20" i="57"/>
  <c r="B20" i="57"/>
  <c r="K19" i="57"/>
  <c r="H19" i="57"/>
  <c r="F19" i="57"/>
  <c r="D19" i="57"/>
  <c r="B19" i="57"/>
  <c r="K18" i="57"/>
  <c r="H18" i="57"/>
  <c r="F18" i="57"/>
  <c r="D18" i="57"/>
  <c r="B18" i="57"/>
  <c r="K17" i="57"/>
  <c r="H17" i="57"/>
  <c r="F17" i="57"/>
  <c r="D17" i="57"/>
  <c r="B17" i="57"/>
  <c r="K16" i="57"/>
  <c r="H16" i="57"/>
  <c r="F16" i="57"/>
  <c r="D16" i="57"/>
  <c r="B16" i="57"/>
  <c r="K15" i="57"/>
  <c r="H15" i="57"/>
  <c r="F15" i="57"/>
  <c r="D15" i="57"/>
  <c r="B15" i="57"/>
  <c r="K14" i="57"/>
  <c r="H14" i="57"/>
  <c r="F14" i="57"/>
  <c r="D14" i="57"/>
  <c r="B14" i="57"/>
  <c r="K13" i="57"/>
  <c r="H13" i="57"/>
  <c r="F13" i="57"/>
  <c r="D13" i="57"/>
  <c r="B13" i="57"/>
  <c r="K12" i="57"/>
  <c r="H12" i="57"/>
  <c r="F12" i="57"/>
  <c r="D12" i="57"/>
  <c r="B12" i="57"/>
  <c r="K11" i="57"/>
  <c r="H11" i="57"/>
  <c r="F11" i="57"/>
  <c r="D11" i="57"/>
  <c r="B11" i="57"/>
  <c r="K10" i="57"/>
  <c r="H10" i="57"/>
  <c r="F10" i="57"/>
  <c r="D10" i="57"/>
  <c r="B10" i="57"/>
  <c r="K9" i="57"/>
  <c r="H9" i="57"/>
  <c r="F9" i="57"/>
  <c r="D9" i="57"/>
  <c r="B9" i="57"/>
  <c r="K8" i="57"/>
  <c r="H8" i="57"/>
  <c r="F8" i="57"/>
  <c r="D8" i="57"/>
  <c r="B8" i="57"/>
  <c r="K7" i="57"/>
  <c r="H7" i="57"/>
  <c r="F7" i="57"/>
  <c r="D7" i="57"/>
  <c r="B7" i="57"/>
  <c r="K6" i="57"/>
  <c r="H6" i="57"/>
  <c r="F6" i="57"/>
  <c r="D6" i="57"/>
  <c r="B6" i="57"/>
  <c r="K5" i="57"/>
  <c r="H5" i="57"/>
  <c r="F5" i="57"/>
  <c r="D5" i="57"/>
  <c r="B5" i="57"/>
  <c r="K4" i="57"/>
  <c r="H4" i="57"/>
  <c r="F4" i="57"/>
  <c r="D4" i="57"/>
  <c r="B4" i="57"/>
  <c r="D18" i="5" l="1"/>
  <c r="C75" i="9" s="1"/>
  <c r="D17" i="5"/>
  <c r="C74" i="9" s="1"/>
  <c r="D16" i="5"/>
  <c r="C73" i="9" s="1"/>
  <c r="D19" i="5"/>
  <c r="C76" i="9" s="1"/>
  <c r="D15" i="5"/>
  <c r="C72" i="9" s="1"/>
  <c r="B35" i="55"/>
  <c r="R34" i="55"/>
  <c r="P34" i="55"/>
  <c r="N34" i="55"/>
  <c r="L34" i="55"/>
  <c r="J34" i="55"/>
  <c r="H34" i="55"/>
  <c r="F34" i="55"/>
  <c r="D34" i="55"/>
  <c r="B34" i="55"/>
  <c r="R33" i="55"/>
  <c r="P33" i="55"/>
  <c r="N33" i="55"/>
  <c r="L33" i="55"/>
  <c r="J33" i="55"/>
  <c r="H33" i="55"/>
  <c r="F33" i="55"/>
  <c r="D33" i="55"/>
  <c r="B33" i="55"/>
  <c r="R32" i="55"/>
  <c r="P32" i="55"/>
  <c r="N32" i="55"/>
  <c r="L32" i="55"/>
  <c r="J32" i="55"/>
  <c r="H32" i="55"/>
  <c r="F32" i="55"/>
  <c r="D32" i="55"/>
  <c r="B32" i="55"/>
  <c r="R31" i="55"/>
  <c r="P31" i="55"/>
  <c r="N31" i="55"/>
  <c r="L31" i="55"/>
  <c r="J31" i="55"/>
  <c r="H31" i="55"/>
  <c r="F31" i="55"/>
  <c r="D31" i="55"/>
  <c r="B31" i="55"/>
  <c r="R30" i="55"/>
  <c r="P30" i="55"/>
  <c r="N30" i="55"/>
  <c r="L30" i="55"/>
  <c r="J30" i="55"/>
  <c r="H30" i="55"/>
  <c r="F30" i="55"/>
  <c r="D30" i="55"/>
  <c r="B30" i="55"/>
  <c r="R29" i="55"/>
  <c r="P29" i="55"/>
  <c r="N29" i="55"/>
  <c r="L29" i="55"/>
  <c r="J29" i="55"/>
  <c r="H29" i="55"/>
  <c r="F29" i="55"/>
  <c r="D29" i="55"/>
  <c r="B29" i="55"/>
  <c r="R28" i="55"/>
  <c r="P28" i="55"/>
  <c r="N28" i="55"/>
  <c r="L28" i="55"/>
  <c r="J28" i="55"/>
  <c r="H28" i="55"/>
  <c r="F28" i="55"/>
  <c r="D28" i="55"/>
  <c r="B28" i="55"/>
  <c r="R27" i="55"/>
  <c r="P27" i="55"/>
  <c r="N27" i="55"/>
  <c r="L27" i="55"/>
  <c r="J27" i="55"/>
  <c r="H27" i="55"/>
  <c r="F27" i="55"/>
  <c r="D27" i="55"/>
  <c r="B27" i="55"/>
  <c r="R26" i="55"/>
  <c r="P26" i="55"/>
  <c r="N26" i="55"/>
  <c r="L26" i="55"/>
  <c r="J26" i="55"/>
  <c r="H26" i="55"/>
  <c r="F26" i="55"/>
  <c r="D26" i="55"/>
  <c r="B26" i="55"/>
  <c r="R25" i="55"/>
  <c r="P25" i="55"/>
  <c r="N25" i="55"/>
  <c r="L25" i="55"/>
  <c r="J25" i="55"/>
  <c r="H25" i="55"/>
  <c r="F25" i="55"/>
  <c r="D25" i="55"/>
  <c r="B25" i="55"/>
  <c r="R24" i="55"/>
  <c r="P24" i="55"/>
  <c r="N24" i="55"/>
  <c r="L24" i="55"/>
  <c r="J24" i="55"/>
  <c r="H24" i="55"/>
  <c r="F24" i="55"/>
  <c r="D24" i="55"/>
  <c r="B24" i="55"/>
  <c r="R23" i="55"/>
  <c r="P23" i="55"/>
  <c r="N23" i="55"/>
  <c r="L23" i="55"/>
  <c r="J23" i="55"/>
  <c r="H23" i="55"/>
  <c r="F23" i="55"/>
  <c r="D23" i="55"/>
  <c r="B23" i="55"/>
  <c r="R22" i="55"/>
  <c r="P22" i="55"/>
  <c r="N22" i="55"/>
  <c r="L22" i="55"/>
  <c r="J22" i="55"/>
  <c r="H22" i="55"/>
  <c r="F22" i="55"/>
  <c r="D22" i="55"/>
  <c r="B22" i="55"/>
  <c r="R21" i="55"/>
  <c r="P21" i="55"/>
  <c r="N21" i="55"/>
  <c r="L21" i="55"/>
  <c r="J21" i="55"/>
  <c r="H21" i="55"/>
  <c r="F21" i="55"/>
  <c r="D21" i="55"/>
  <c r="B21" i="55"/>
  <c r="R20" i="55"/>
  <c r="P20" i="55"/>
  <c r="N20" i="55"/>
  <c r="L20" i="55"/>
  <c r="J20" i="55"/>
  <c r="H20" i="55"/>
  <c r="F20" i="55"/>
  <c r="D20" i="55"/>
  <c r="B20" i="55"/>
  <c r="R19" i="55"/>
  <c r="P19" i="55"/>
  <c r="N19" i="55"/>
  <c r="L19" i="55"/>
  <c r="J19" i="55"/>
  <c r="H19" i="55"/>
  <c r="F19" i="55"/>
  <c r="D19" i="55"/>
  <c r="B19" i="55"/>
  <c r="R18" i="55"/>
  <c r="P18" i="55"/>
  <c r="N18" i="55"/>
  <c r="L18" i="55"/>
  <c r="J18" i="55"/>
  <c r="H18" i="55"/>
  <c r="F18" i="55"/>
  <c r="D18" i="55"/>
  <c r="B18" i="55"/>
  <c r="R17" i="55"/>
  <c r="P17" i="55"/>
  <c r="N17" i="55"/>
  <c r="L17" i="55"/>
  <c r="J17" i="55"/>
  <c r="H17" i="55"/>
  <c r="F17" i="55"/>
  <c r="D17" i="55"/>
  <c r="B17" i="55"/>
  <c r="R16" i="55"/>
  <c r="P16" i="55"/>
  <c r="N16" i="55"/>
  <c r="L16" i="55"/>
  <c r="J16" i="55"/>
  <c r="H16" i="55"/>
  <c r="F16" i="55"/>
  <c r="D16" i="55"/>
  <c r="B16" i="55"/>
  <c r="R15" i="55"/>
  <c r="P15" i="55"/>
  <c r="N15" i="55"/>
  <c r="L15" i="55"/>
  <c r="J15" i="55"/>
  <c r="H15" i="55"/>
  <c r="F15" i="55"/>
  <c r="D15" i="55"/>
  <c r="B15" i="55"/>
  <c r="R14" i="55"/>
  <c r="P14" i="55"/>
  <c r="N14" i="55"/>
  <c r="L14" i="55"/>
  <c r="J14" i="55"/>
  <c r="H14" i="55"/>
  <c r="F14" i="55"/>
  <c r="D14" i="55"/>
  <c r="B14" i="55"/>
  <c r="R13" i="55"/>
  <c r="P13" i="55"/>
  <c r="N13" i="55"/>
  <c r="L13" i="55"/>
  <c r="J13" i="55"/>
  <c r="H13" i="55"/>
  <c r="F13" i="55"/>
  <c r="D13" i="55"/>
  <c r="B13" i="55"/>
  <c r="R12" i="55"/>
  <c r="P12" i="55"/>
  <c r="N12" i="55"/>
  <c r="L12" i="55"/>
  <c r="J12" i="55"/>
  <c r="H12" i="55"/>
  <c r="F12" i="55"/>
  <c r="D12" i="55"/>
  <c r="B12" i="55"/>
  <c r="R11" i="55"/>
  <c r="P11" i="55"/>
  <c r="N11" i="55"/>
  <c r="L11" i="55"/>
  <c r="J11" i="55"/>
  <c r="H11" i="55"/>
  <c r="F11" i="55"/>
  <c r="D11" i="55"/>
  <c r="B11" i="55"/>
  <c r="R10" i="55"/>
  <c r="P10" i="55"/>
  <c r="N10" i="55"/>
  <c r="L10" i="55"/>
  <c r="J10" i="55"/>
  <c r="H10" i="55"/>
  <c r="F10" i="55"/>
  <c r="D10" i="55"/>
  <c r="B10" i="55"/>
  <c r="R9" i="55"/>
  <c r="P9" i="55"/>
  <c r="N9" i="55"/>
  <c r="L9" i="55"/>
  <c r="J9" i="55"/>
  <c r="H9" i="55"/>
  <c r="F9" i="55"/>
  <c r="D9" i="55"/>
  <c r="B9" i="55"/>
  <c r="R8" i="55"/>
  <c r="P8" i="55"/>
  <c r="N8" i="55"/>
  <c r="L8" i="55"/>
  <c r="J8" i="55"/>
  <c r="H8" i="55"/>
  <c r="F8" i="55"/>
  <c r="D8" i="55"/>
  <c r="B8" i="55"/>
  <c r="R7" i="55"/>
  <c r="P7" i="55"/>
  <c r="N7" i="55"/>
  <c r="L7" i="55"/>
  <c r="J7" i="55"/>
  <c r="H7" i="55"/>
  <c r="F7" i="55"/>
  <c r="D7" i="55"/>
  <c r="B7" i="55"/>
  <c r="R6" i="55"/>
  <c r="P6" i="55"/>
  <c r="N6" i="55"/>
  <c r="L6" i="55"/>
  <c r="J6" i="55"/>
  <c r="H6" i="55"/>
  <c r="F6" i="55"/>
  <c r="D6" i="55"/>
  <c r="B6" i="55"/>
  <c r="R5" i="55"/>
  <c r="P5" i="55"/>
  <c r="N5" i="55"/>
  <c r="L5" i="55"/>
  <c r="J5" i="55"/>
  <c r="H5" i="55"/>
  <c r="F5" i="55"/>
  <c r="D5" i="55"/>
  <c r="B5" i="55"/>
  <c r="R4" i="55"/>
  <c r="P4" i="55"/>
  <c r="N4" i="55"/>
  <c r="L4" i="55"/>
  <c r="J4" i="55"/>
  <c r="H4" i="55"/>
  <c r="F4" i="55"/>
  <c r="D4" i="55"/>
  <c r="B4" i="55"/>
  <c r="D73" i="39" l="1"/>
  <c r="C141" i="9" s="1"/>
  <c r="D72" i="39"/>
  <c r="C140" i="9" s="1"/>
  <c r="D71" i="39"/>
  <c r="C139" i="9" s="1"/>
  <c r="D73" i="33"/>
  <c r="D77" i="33"/>
  <c r="D72" i="33"/>
  <c r="D76" i="33"/>
  <c r="D74" i="33"/>
  <c r="D71" i="33"/>
  <c r="D75" i="33"/>
  <c r="D68" i="39"/>
  <c r="D65" i="39"/>
  <c r="D67" i="39"/>
  <c r="D69" i="39"/>
  <c r="D66" i="39"/>
  <c r="D70" i="39"/>
  <c r="C138" i="9" s="1"/>
  <c r="C3" i="50" l="1"/>
  <c r="C2" i="50" l="1"/>
  <c r="C48" i="50" l="1"/>
  <c r="C131" i="9" s="1"/>
  <c r="I4" i="50"/>
  <c r="C4" i="50"/>
  <c r="I3" i="50"/>
  <c r="G3" i="50"/>
  <c r="F3" i="50"/>
  <c r="J2" i="50"/>
  <c r="F2" i="50"/>
  <c r="G2" i="50" l="1"/>
  <c r="F4" i="50"/>
  <c r="C134" i="9" l="1"/>
  <c r="C137" i="9"/>
  <c r="C136" i="9"/>
  <c r="C135" i="9"/>
  <c r="C133" i="9"/>
  <c r="C15" i="39" l="1"/>
  <c r="D2" i="38" l="1"/>
  <c r="C2" i="36"/>
  <c r="B5" i="45"/>
  <c r="E5" i="40" l="1"/>
  <c r="D5" i="40"/>
  <c r="B5" i="40"/>
  <c r="C5" i="40"/>
  <c r="H16" i="39"/>
  <c r="D2" i="10"/>
  <c r="H2" i="10"/>
  <c r="I2" i="10"/>
  <c r="D5" i="10"/>
  <c r="D3" i="10"/>
  <c r="H3" i="10"/>
  <c r="J2" i="10"/>
  <c r="J3" i="10"/>
  <c r="D4" i="10"/>
  <c r="H4" i="10"/>
  <c r="J4" i="10"/>
  <c r="I2" i="20"/>
  <c r="I3" i="20"/>
  <c r="I4" i="20"/>
  <c r="I11" i="39"/>
  <c r="I10" i="39"/>
  <c r="Y31" i="45" l="1"/>
  <c r="X31" i="45" s="1"/>
  <c r="L31" i="45"/>
  <c r="P31" i="45" s="1"/>
  <c r="Y30" i="45"/>
  <c r="X30" i="45" s="1"/>
  <c r="L30" i="45"/>
  <c r="P30" i="45" s="1"/>
  <c r="Y29" i="45"/>
  <c r="X29" i="45" s="1"/>
  <c r="L29" i="45"/>
  <c r="P29" i="45" s="1"/>
  <c r="Y28" i="45"/>
  <c r="L28" i="45"/>
  <c r="P28" i="45" s="1"/>
  <c r="H28" i="45"/>
  <c r="J28" i="45" s="1"/>
  <c r="Y27" i="45"/>
  <c r="L27" i="45"/>
  <c r="P27" i="45" s="1"/>
  <c r="H27" i="45"/>
  <c r="J27" i="45" s="1"/>
  <c r="Y26" i="45"/>
  <c r="L26" i="45"/>
  <c r="P26" i="45" s="1"/>
  <c r="H26" i="45"/>
  <c r="J26" i="45" s="1"/>
  <c r="Y25" i="45"/>
  <c r="L25" i="45"/>
  <c r="H25" i="45"/>
  <c r="J25" i="45" s="1"/>
  <c r="Y24" i="45"/>
  <c r="L24" i="45"/>
  <c r="P24" i="45" s="1"/>
  <c r="H24" i="45"/>
  <c r="J24" i="45" s="1"/>
  <c r="Y23" i="45"/>
  <c r="L23" i="45"/>
  <c r="P23" i="45" s="1"/>
  <c r="H23" i="45"/>
  <c r="J23" i="45" s="1"/>
  <c r="Y22" i="45"/>
  <c r="L22" i="45"/>
  <c r="P22" i="45" s="1"/>
  <c r="H22" i="45"/>
  <c r="J22" i="45" s="1"/>
  <c r="Y21" i="45"/>
  <c r="L21" i="45"/>
  <c r="H21" i="45"/>
  <c r="J21" i="45" s="1"/>
  <c r="Y20" i="45"/>
  <c r="X20" i="45" s="1"/>
  <c r="L20" i="45"/>
  <c r="P20" i="45" s="1"/>
  <c r="H20" i="45"/>
  <c r="J20" i="45" s="1"/>
  <c r="L18" i="45"/>
  <c r="M18" i="45" s="1"/>
  <c r="L14" i="45"/>
  <c r="C14" i="39"/>
  <c r="S26" i="42"/>
  <c r="R26" i="42"/>
  <c r="Q26" i="42"/>
  <c r="P26" i="42"/>
  <c r="O26" i="42"/>
  <c r="N26" i="42"/>
  <c r="S25" i="42"/>
  <c r="R25" i="42"/>
  <c r="Q25" i="42"/>
  <c r="P25" i="42"/>
  <c r="O25" i="42"/>
  <c r="N25" i="42"/>
  <c r="C55" i="74"/>
  <c r="C54" i="74"/>
  <c r="H44" i="39"/>
  <c r="G44" i="39"/>
  <c r="B101" i="45" s="1"/>
  <c r="H43" i="39"/>
  <c r="G43" i="39"/>
  <c r="B100" i="45" s="1"/>
  <c r="H42" i="39"/>
  <c r="G42" i="39"/>
  <c r="K40" i="39"/>
  <c r="G40" i="39"/>
  <c r="C52" i="74" s="1"/>
  <c r="D40" i="39"/>
  <c r="C40" i="39"/>
  <c r="K39" i="39"/>
  <c r="G39" i="39"/>
  <c r="C49" i="74" s="1"/>
  <c r="D39" i="39"/>
  <c r="C39" i="39"/>
  <c r="K38" i="39"/>
  <c r="G38" i="39"/>
  <c r="C46" i="74" s="1"/>
  <c r="D38" i="39"/>
  <c r="C38" i="39"/>
  <c r="K37" i="39"/>
  <c r="G37" i="39"/>
  <c r="C43" i="74" s="1"/>
  <c r="D37" i="39"/>
  <c r="C37" i="39"/>
  <c r="K36" i="39"/>
  <c r="G36" i="39"/>
  <c r="C40" i="74" s="1"/>
  <c r="D36" i="39"/>
  <c r="C36" i="39"/>
  <c r="K35" i="39"/>
  <c r="G35" i="39"/>
  <c r="C37" i="74" s="1"/>
  <c r="D35" i="39"/>
  <c r="C35" i="39"/>
  <c r="K34" i="39"/>
  <c r="G34" i="39"/>
  <c r="C34" i="74" s="1"/>
  <c r="D34" i="39"/>
  <c r="C34" i="39"/>
  <c r="K33" i="39"/>
  <c r="G33" i="39"/>
  <c r="C31" i="74" s="1"/>
  <c r="D33" i="39"/>
  <c r="C33" i="39"/>
  <c r="K32" i="39"/>
  <c r="G32" i="39"/>
  <c r="C28" i="74" s="1"/>
  <c r="D32" i="39"/>
  <c r="G30" i="39"/>
  <c r="G22" i="39"/>
  <c r="E22" i="39"/>
  <c r="G21" i="39"/>
  <c r="E21" i="39"/>
  <c r="J13" i="39"/>
  <c r="H13" i="39"/>
  <c r="Q63" i="38"/>
  <c r="P63" i="38"/>
  <c r="K63" i="38"/>
  <c r="J63" i="38"/>
  <c r="E63" i="38"/>
  <c r="D63" i="38"/>
  <c r="O58" i="38"/>
  <c r="M58" i="38"/>
  <c r="I58" i="38"/>
  <c r="G58" i="38"/>
  <c r="C58" i="38"/>
  <c r="A58" i="38"/>
  <c r="Q52" i="38"/>
  <c r="P52" i="38"/>
  <c r="K52" i="38"/>
  <c r="J52" i="38"/>
  <c r="E52" i="38"/>
  <c r="D52" i="38"/>
  <c r="O47" i="38"/>
  <c r="M47" i="38"/>
  <c r="I47" i="38"/>
  <c r="G47" i="38"/>
  <c r="C47" i="38"/>
  <c r="A47" i="38"/>
  <c r="K39" i="38"/>
  <c r="J38" i="38"/>
  <c r="L37" i="38"/>
  <c r="J37" i="38"/>
  <c r="H37" i="38"/>
  <c r="K35" i="38"/>
  <c r="J34" i="38"/>
  <c r="L33" i="38"/>
  <c r="J33" i="38"/>
  <c r="H33" i="38"/>
  <c r="K31" i="38"/>
  <c r="J30" i="38"/>
  <c r="L29" i="38"/>
  <c r="J29" i="38"/>
  <c r="H29" i="38"/>
  <c r="K27" i="38"/>
  <c r="J26" i="38"/>
  <c r="L25" i="38"/>
  <c r="J25" i="38"/>
  <c r="H25" i="38"/>
  <c r="K23" i="38"/>
  <c r="J22" i="38"/>
  <c r="L21" i="38"/>
  <c r="J21" i="38"/>
  <c r="H21" i="38"/>
  <c r="K19" i="38"/>
  <c r="J18" i="38"/>
  <c r="L17" i="38"/>
  <c r="J17" i="38"/>
  <c r="H17" i="38"/>
  <c r="K15" i="38"/>
  <c r="J14" i="38"/>
  <c r="L13" i="38"/>
  <c r="J13" i="38"/>
  <c r="H13" i="38"/>
  <c r="K11" i="38"/>
  <c r="J10" i="38"/>
  <c r="L9" i="38"/>
  <c r="J9" i="38"/>
  <c r="H9" i="38"/>
  <c r="K7" i="38"/>
  <c r="J6" i="38"/>
  <c r="L5" i="38"/>
  <c r="J5" i="38"/>
  <c r="H5" i="38"/>
  <c r="D3" i="38"/>
  <c r="N2" i="38"/>
  <c r="J2" i="38"/>
  <c r="N1" i="38"/>
  <c r="J1" i="38"/>
  <c r="F50" i="36"/>
  <c r="G37" i="38" s="1"/>
  <c r="F47" i="36"/>
  <c r="G33" i="38" s="1"/>
  <c r="F44" i="36"/>
  <c r="G29" i="38" s="1"/>
  <c r="F41" i="36"/>
  <c r="G25" i="38" s="1"/>
  <c r="F38" i="36"/>
  <c r="G21" i="38" s="1"/>
  <c r="F35" i="36"/>
  <c r="G17" i="38" s="1"/>
  <c r="F32" i="36"/>
  <c r="G13" i="38" s="1"/>
  <c r="F29" i="36"/>
  <c r="G9" i="38" s="1"/>
  <c r="F26" i="36"/>
  <c r="G5" i="38" s="1"/>
  <c r="O22" i="36"/>
  <c r="D22" i="36"/>
  <c r="O21" i="36"/>
  <c r="O20" i="36"/>
  <c r="D20" i="36"/>
  <c r="A6" i="36"/>
  <c r="B116" i="45" s="1"/>
  <c r="I4" i="36"/>
  <c r="C3" i="36"/>
  <c r="M2" i="36"/>
  <c r="I2" i="36"/>
  <c r="M1" i="36"/>
  <c r="J42" i="74"/>
  <c r="J33" i="74"/>
  <c r="J30" i="74"/>
  <c r="J27" i="74"/>
  <c r="F10" i="33"/>
  <c r="M3" i="33"/>
  <c r="O1" i="33"/>
  <c r="M1" i="33"/>
  <c r="D1" i="33"/>
  <c r="C46" i="36" l="1"/>
  <c r="D30" i="38" s="1"/>
  <c r="C43" i="36"/>
  <c r="D26" i="38" s="1"/>
  <c r="M62" i="38" s="1"/>
  <c r="B116" i="72"/>
  <c r="B99" i="45"/>
  <c r="C100" i="9"/>
  <c r="C102" i="9"/>
  <c r="C101" i="9"/>
  <c r="C40" i="36"/>
  <c r="D22" i="38" s="1"/>
  <c r="G62" i="38" s="1"/>
  <c r="X23" i="45"/>
  <c r="I23" i="45"/>
  <c r="H35" i="39" s="1"/>
  <c r="X24" i="45"/>
  <c r="I24" i="45"/>
  <c r="H36" i="39" s="1"/>
  <c r="X25" i="45"/>
  <c r="I25" i="45"/>
  <c r="H37" i="39" s="1"/>
  <c r="X26" i="45"/>
  <c r="I26" i="45"/>
  <c r="H38" i="39" s="1"/>
  <c r="X27" i="45"/>
  <c r="I27" i="45"/>
  <c r="H39" i="39" s="1"/>
  <c r="C49" i="36"/>
  <c r="D34" i="38" s="1"/>
  <c r="C37" i="36"/>
  <c r="D18" i="38" s="1"/>
  <c r="A62" i="38" s="1"/>
  <c r="B76" i="45"/>
  <c r="C118" i="9" s="1"/>
  <c r="B75" i="45"/>
  <c r="C117" i="9" s="1"/>
  <c r="C34" i="36"/>
  <c r="D14" i="38" s="1"/>
  <c r="M51" i="38" s="1"/>
  <c r="X22" i="45"/>
  <c r="I22" i="45"/>
  <c r="H34" i="39" s="1"/>
  <c r="T14" i="45"/>
  <c r="R14" i="45"/>
  <c r="C121" i="9"/>
  <c r="C122" i="9"/>
  <c r="C52" i="36"/>
  <c r="D38" i="38" s="1"/>
  <c r="X28" i="45"/>
  <c r="I28" i="45"/>
  <c r="H40" i="39" s="1"/>
  <c r="C31" i="36"/>
  <c r="D10" i="38" s="1"/>
  <c r="G51" i="38" s="1"/>
  <c r="X21" i="45"/>
  <c r="I21" i="45"/>
  <c r="H33" i="39" s="1"/>
  <c r="I20" i="45"/>
  <c r="H32" i="39" s="1"/>
  <c r="M26" i="45"/>
  <c r="N26" i="45"/>
  <c r="R26" i="45"/>
  <c r="M24" i="45"/>
  <c r="Q24" i="45"/>
  <c r="N22" i="45"/>
  <c r="J30" i="36"/>
  <c r="A22" i="36"/>
  <c r="A20" i="36"/>
  <c r="M20" i="36" s="1"/>
  <c r="O31" i="45"/>
  <c r="Q31" i="45"/>
  <c r="M31" i="45"/>
  <c r="R31" i="45"/>
  <c r="N31" i="45"/>
  <c r="S31" i="45"/>
  <c r="M30" i="45"/>
  <c r="Q30" i="45"/>
  <c r="O29" i="45"/>
  <c r="Q29" i="45"/>
  <c r="M29" i="45"/>
  <c r="R29" i="45"/>
  <c r="N29" i="45"/>
  <c r="S29" i="45"/>
  <c r="J51" i="36"/>
  <c r="M52" i="36"/>
  <c r="N52" i="36" s="1"/>
  <c r="Q27" i="45"/>
  <c r="J45" i="36"/>
  <c r="M44" i="36"/>
  <c r="N44" i="36" s="1"/>
  <c r="O44" i="36"/>
  <c r="M46" i="36"/>
  <c r="N46" i="36" s="1"/>
  <c r="S26" i="45"/>
  <c r="M43" i="36"/>
  <c r="N43" i="36" s="1"/>
  <c r="J42" i="36"/>
  <c r="B25" i="38"/>
  <c r="M40" i="36"/>
  <c r="N40" i="36" s="1"/>
  <c r="J39" i="36"/>
  <c r="J36" i="36"/>
  <c r="M23" i="45"/>
  <c r="B17" i="38"/>
  <c r="N23" i="45"/>
  <c r="O22" i="45"/>
  <c r="K9" i="38"/>
  <c r="M31" i="36"/>
  <c r="N31" i="36" s="1"/>
  <c r="B42" i="38"/>
  <c r="C55" i="36"/>
  <c r="K37" i="38"/>
  <c r="O50" i="36"/>
  <c r="J48" i="36"/>
  <c r="M49" i="36"/>
  <c r="N49" i="36" s="1"/>
  <c r="K33" i="38"/>
  <c r="D33" i="38"/>
  <c r="K29" i="38"/>
  <c r="K25" i="38"/>
  <c r="M41" i="36"/>
  <c r="N41" i="36" s="1"/>
  <c r="K21" i="38"/>
  <c r="O38" i="36"/>
  <c r="K17" i="38"/>
  <c r="M37" i="36"/>
  <c r="N37" i="36" s="1"/>
  <c r="J33" i="36"/>
  <c r="M34" i="36"/>
  <c r="N34" i="36" s="1"/>
  <c r="K13" i="38"/>
  <c r="D13" i="38"/>
  <c r="M48" i="38" s="1"/>
  <c r="B9" i="38"/>
  <c r="M28" i="45"/>
  <c r="Q28" i="45"/>
  <c r="R27" i="45"/>
  <c r="M27" i="45"/>
  <c r="N27" i="45"/>
  <c r="Q26" i="45"/>
  <c r="O26" i="45"/>
  <c r="Q23" i="45"/>
  <c r="R23" i="45"/>
  <c r="S22" i="45"/>
  <c r="Q22" i="45"/>
  <c r="M22" i="45"/>
  <c r="R22" i="45"/>
  <c r="B6" i="45"/>
  <c r="I12" i="39"/>
  <c r="M20" i="45"/>
  <c r="Q20" i="45"/>
  <c r="C28" i="36"/>
  <c r="D6" i="38" s="1"/>
  <c r="A51" i="38" s="1"/>
  <c r="O26" i="36"/>
  <c r="K5" i="38"/>
  <c r="C18" i="33"/>
  <c r="M14" i="45"/>
  <c r="Q14" i="45"/>
  <c r="U14" i="45"/>
  <c r="S25" i="45"/>
  <c r="O25" i="45"/>
  <c r="R25" i="45"/>
  <c r="N25" i="45"/>
  <c r="Q25" i="45"/>
  <c r="M25" i="45"/>
  <c r="P25" i="45"/>
  <c r="B41" i="38"/>
  <c r="C54" i="36"/>
  <c r="A21" i="36"/>
  <c r="M21" i="36" s="1"/>
  <c r="N21" i="36" s="1"/>
  <c r="I5" i="38"/>
  <c r="J27" i="36"/>
  <c r="M28" i="36"/>
  <c r="D21" i="36"/>
  <c r="S21" i="45"/>
  <c r="O21" i="45"/>
  <c r="R21" i="45"/>
  <c r="N21" i="45"/>
  <c r="Q21" i="45"/>
  <c r="M21" i="45"/>
  <c r="P21" i="45"/>
  <c r="I9" i="38"/>
  <c r="I13" i="38"/>
  <c r="I17" i="38"/>
  <c r="I21" i="38"/>
  <c r="I25" i="38"/>
  <c r="I29" i="38"/>
  <c r="I33" i="38"/>
  <c r="I37" i="38"/>
  <c r="N14" i="45"/>
  <c r="V14" i="45"/>
  <c r="N20" i="45"/>
  <c r="R20" i="45"/>
  <c r="O23" i="45"/>
  <c r="S23" i="45"/>
  <c r="N24" i="45"/>
  <c r="R24" i="45"/>
  <c r="O27" i="45"/>
  <c r="S27" i="45"/>
  <c r="N28" i="45"/>
  <c r="R28" i="45"/>
  <c r="N30" i="45"/>
  <c r="R30" i="45"/>
  <c r="L49" i="45"/>
  <c r="O14" i="45"/>
  <c r="S14" i="45"/>
  <c r="W14" i="45"/>
  <c r="O20" i="45"/>
  <c r="S20" i="45"/>
  <c r="O24" i="45"/>
  <c r="S24" i="45"/>
  <c r="O28" i="45"/>
  <c r="S28" i="45"/>
  <c r="O30" i="45"/>
  <c r="S30" i="45"/>
  <c r="P14" i="45"/>
  <c r="D6" i="13"/>
  <c r="R58" i="45" l="1"/>
  <c r="M58" i="45"/>
  <c r="O58" i="45"/>
  <c r="U58" i="45"/>
  <c r="S58" i="45"/>
  <c r="N58" i="45"/>
  <c r="V58" i="45"/>
  <c r="P58" i="45"/>
  <c r="Q58" i="45"/>
  <c r="T58" i="45"/>
  <c r="W58" i="45"/>
  <c r="P53" i="45"/>
  <c r="T53" i="45"/>
  <c r="R53" i="45"/>
  <c r="N53" i="45"/>
  <c r="W53" i="45"/>
  <c r="Q53" i="45"/>
  <c r="M53" i="45"/>
  <c r="V53" i="45"/>
  <c r="O53" i="45"/>
  <c r="S53" i="45"/>
  <c r="U53" i="45"/>
  <c r="O27" i="38"/>
  <c r="N27" i="38"/>
  <c r="O19" i="38"/>
  <c r="N19" i="38"/>
  <c r="N11" i="38"/>
  <c r="J50" i="38" s="1"/>
  <c r="O11" i="38"/>
  <c r="M45" i="36"/>
  <c r="N45" i="36" s="1"/>
  <c r="M42" i="36"/>
  <c r="N42" i="36" s="1"/>
  <c r="N39" i="39"/>
  <c r="W52" i="45"/>
  <c r="S52" i="45"/>
  <c r="O52" i="45"/>
  <c r="V52" i="45"/>
  <c r="R52" i="45"/>
  <c r="N52" i="45"/>
  <c r="P52" i="45"/>
  <c r="U52" i="45"/>
  <c r="Q52" i="45"/>
  <c r="M52" i="45"/>
  <c r="T52" i="45"/>
  <c r="M38" i="36"/>
  <c r="N38" i="36" s="1"/>
  <c r="N37" i="39"/>
  <c r="N35" i="39"/>
  <c r="N36" i="39"/>
  <c r="N38" i="39"/>
  <c r="F33" i="38"/>
  <c r="M47" i="36"/>
  <c r="N47" i="36" s="1"/>
  <c r="M35" i="36"/>
  <c r="N35" i="36" s="1"/>
  <c r="N34" i="39"/>
  <c r="F13" i="38"/>
  <c r="M32" i="36"/>
  <c r="N32" i="36" s="1"/>
  <c r="N20" i="36"/>
  <c r="M22" i="36"/>
  <c r="N22" i="36" s="1"/>
  <c r="N40" i="39"/>
  <c r="M50" i="36"/>
  <c r="N32" i="39"/>
  <c r="B90" i="45" s="1"/>
  <c r="N33" i="39"/>
  <c r="M29" i="36"/>
  <c r="B21" i="38"/>
  <c r="B29" i="38"/>
  <c r="D29" i="38"/>
  <c r="B13" i="38"/>
  <c r="N15" i="38" s="1"/>
  <c r="D21" i="38"/>
  <c r="G59" i="38" s="1"/>
  <c r="O32" i="36"/>
  <c r="O41" i="36"/>
  <c r="O29" i="36"/>
  <c r="D9" i="38"/>
  <c r="G48" i="38" s="1"/>
  <c r="D25" i="38"/>
  <c r="D17" i="38"/>
  <c r="A59" i="38" s="1"/>
  <c r="O35" i="36"/>
  <c r="B37" i="38"/>
  <c r="D37" i="38"/>
  <c r="K38" i="38" s="1"/>
  <c r="B33" i="38"/>
  <c r="O47" i="36"/>
  <c r="C6" i="45"/>
  <c r="H15" i="39"/>
  <c r="C88" i="9" s="1"/>
  <c r="J12" i="39"/>
  <c r="J6" i="33"/>
  <c r="B5" i="38"/>
  <c r="D5" i="38"/>
  <c r="M26" i="36"/>
  <c r="N26" i="36" s="1"/>
  <c r="N28" i="36"/>
  <c r="D3" i="39"/>
  <c r="M49" i="38"/>
  <c r="K14" i="38"/>
  <c r="M50" i="38" s="1"/>
  <c r="F15" i="38"/>
  <c r="F35" i="38"/>
  <c r="K34" i="38"/>
  <c r="B4" i="32"/>
  <c r="B4" i="31"/>
  <c r="B4" i="30"/>
  <c r="B6" i="29"/>
  <c r="B6" i="28"/>
  <c r="D5" i="20"/>
  <c r="J2" i="17"/>
  <c r="O2" i="13"/>
  <c r="D4" i="5"/>
  <c r="N39" i="38" l="1"/>
  <c r="O39" i="38"/>
  <c r="O35" i="38"/>
  <c r="N35" i="38"/>
  <c r="O31" i="38"/>
  <c r="N31" i="38"/>
  <c r="N23" i="38"/>
  <c r="O23" i="38"/>
  <c r="O15" i="38"/>
  <c r="P50" i="38"/>
  <c r="O7" i="38"/>
  <c r="N7" i="38"/>
  <c r="M39" i="36"/>
  <c r="N39" i="36" s="1"/>
  <c r="B97" i="45"/>
  <c r="C96" i="9"/>
  <c r="B96" i="45"/>
  <c r="C95" i="9"/>
  <c r="B95" i="45"/>
  <c r="C94" i="9"/>
  <c r="B94" i="45"/>
  <c r="B93" i="45"/>
  <c r="C92" i="9"/>
  <c r="F31" i="38"/>
  <c r="F29" i="38"/>
  <c r="N29" i="38" s="1"/>
  <c r="M59" i="38"/>
  <c r="F25" i="38"/>
  <c r="N25" i="38" s="1"/>
  <c r="O25" i="38" s="1"/>
  <c r="E28" i="36"/>
  <c r="F6" i="38" s="1"/>
  <c r="C51" i="38" s="1"/>
  <c r="E28" i="74"/>
  <c r="B91" i="45"/>
  <c r="N13" i="38"/>
  <c r="O13" i="38" s="1"/>
  <c r="B92" i="45"/>
  <c r="B98" i="45"/>
  <c r="C91" i="9"/>
  <c r="C90" i="9"/>
  <c r="C39" i="72"/>
  <c r="C38" i="72"/>
  <c r="I53" i="73" s="1"/>
  <c r="L52" i="33" s="1"/>
  <c r="C42" i="72"/>
  <c r="C37" i="72"/>
  <c r="I52" i="73" s="1"/>
  <c r="L51" i="33" s="1"/>
  <c r="C44" i="72"/>
  <c r="C43" i="72"/>
  <c r="M14" i="36" s="1"/>
  <c r="N14" i="36" s="1"/>
  <c r="C41" i="72"/>
  <c r="E56" i="73" s="1"/>
  <c r="F55" i="33" s="1"/>
  <c r="C35" i="72"/>
  <c r="D23" i="36" s="1"/>
  <c r="C16" i="72"/>
  <c r="C17" i="72" s="1"/>
  <c r="C40" i="72"/>
  <c r="B35" i="45"/>
  <c r="C97" i="9"/>
  <c r="C93" i="9"/>
  <c r="F21" i="38"/>
  <c r="N21" i="38" s="1"/>
  <c r="C89" i="9"/>
  <c r="F17" i="38"/>
  <c r="N17" i="38" s="1"/>
  <c r="O17" i="38" s="1"/>
  <c r="M48" i="36"/>
  <c r="N48" i="36" s="1"/>
  <c r="M36" i="36"/>
  <c r="N36" i="36" s="1"/>
  <c r="O62" i="45"/>
  <c r="V62" i="45"/>
  <c r="W62" i="45"/>
  <c r="T62" i="45"/>
  <c r="R62" i="45"/>
  <c r="S62" i="45"/>
  <c r="N62" i="45"/>
  <c r="U62" i="45"/>
  <c r="P62" i="45"/>
  <c r="Q62" i="45"/>
  <c r="M62" i="45"/>
  <c r="S57" i="45"/>
  <c r="W57" i="45"/>
  <c r="U57" i="45"/>
  <c r="T57" i="45"/>
  <c r="P57" i="45"/>
  <c r="V57" i="45"/>
  <c r="R57" i="45"/>
  <c r="N57" i="45"/>
  <c r="M57" i="45"/>
  <c r="Q57" i="45"/>
  <c r="O57" i="45"/>
  <c r="M33" i="36"/>
  <c r="N33" i="36" s="1"/>
  <c r="N50" i="36"/>
  <c r="M51" i="36" s="1"/>
  <c r="N51" i="36" s="1"/>
  <c r="F37" i="38"/>
  <c r="N37" i="38" s="1"/>
  <c r="O37" i="38" s="1"/>
  <c r="N29" i="36"/>
  <c r="M30" i="36" s="1"/>
  <c r="N30" i="36" s="1"/>
  <c r="F9" i="38"/>
  <c r="A60" i="38"/>
  <c r="F27" i="38"/>
  <c r="K10" i="38"/>
  <c r="G50" i="38" s="1"/>
  <c r="M60" i="38"/>
  <c r="K30" i="38"/>
  <c r="G60" i="38"/>
  <c r="F39" i="38"/>
  <c r="K22" i="38"/>
  <c r="G61" i="38" s="1"/>
  <c r="F23" i="38"/>
  <c r="K18" i="38"/>
  <c r="A61" i="38" s="1"/>
  <c r="F19" i="38"/>
  <c r="F11" i="38"/>
  <c r="K26" i="38"/>
  <c r="M61" i="38" s="1"/>
  <c r="G49" i="38"/>
  <c r="N33" i="38"/>
  <c r="O33" i="38" s="1"/>
  <c r="K6" i="38"/>
  <c r="A50" i="38" s="1"/>
  <c r="A48" i="38"/>
  <c r="B43" i="45"/>
  <c r="B38" i="45"/>
  <c r="B16" i="45"/>
  <c r="B37" i="45"/>
  <c r="B40" i="45"/>
  <c r="B41" i="45"/>
  <c r="B42" i="45"/>
  <c r="B39" i="45"/>
  <c r="B44" i="45"/>
  <c r="A49" i="38"/>
  <c r="F7" i="38"/>
  <c r="F5" i="38"/>
  <c r="N5" i="38" s="1"/>
  <c r="O5" i="38" s="1"/>
  <c r="M27" i="36"/>
  <c r="N27" i="36" s="1"/>
  <c r="O29" i="38" l="1"/>
  <c r="N30" i="38" s="1"/>
  <c r="O30" i="38" s="1"/>
  <c r="M15" i="36"/>
  <c r="N15" i="36" s="1"/>
  <c r="G58" i="73"/>
  <c r="L43" i="72"/>
  <c r="I59" i="73"/>
  <c r="L44" i="72"/>
  <c r="E52" i="36"/>
  <c r="F38" i="38" s="1"/>
  <c r="E52" i="74"/>
  <c r="E49" i="36"/>
  <c r="F34" i="38" s="1"/>
  <c r="E49" i="74"/>
  <c r="E46" i="36"/>
  <c r="F30" i="38" s="1"/>
  <c r="E46" i="74"/>
  <c r="E43" i="36"/>
  <c r="F26" i="38" s="1"/>
  <c r="O62" i="38" s="1"/>
  <c r="E43" i="74"/>
  <c r="E40" i="36"/>
  <c r="F22" i="38" s="1"/>
  <c r="I62" i="38" s="1"/>
  <c r="E40" i="74"/>
  <c r="E37" i="36"/>
  <c r="F18" i="38" s="1"/>
  <c r="C62" i="38" s="1"/>
  <c r="E37" i="74"/>
  <c r="N26" i="38"/>
  <c r="O26" i="38" s="1"/>
  <c r="E31" i="36"/>
  <c r="F10" i="38" s="1"/>
  <c r="I51" i="38" s="1"/>
  <c r="E31" i="74"/>
  <c r="E34" i="36"/>
  <c r="F14" i="38" s="1"/>
  <c r="O51" i="38" s="1"/>
  <c r="E34" i="74"/>
  <c r="A23" i="36"/>
  <c r="E48" i="73"/>
  <c r="B104" i="72"/>
  <c r="L42" i="72"/>
  <c r="E57" i="73"/>
  <c r="F56" i="33" s="1"/>
  <c r="L40" i="72"/>
  <c r="E55" i="73"/>
  <c r="F54" i="33" s="1"/>
  <c r="L38" i="72"/>
  <c r="E53" i="73"/>
  <c r="F52" i="33" s="1"/>
  <c r="L37" i="72"/>
  <c r="E52" i="73"/>
  <c r="F51" i="33" s="1"/>
  <c r="L39" i="72"/>
  <c r="E54" i="73"/>
  <c r="F53" i="33" s="1"/>
  <c r="C38" i="45"/>
  <c r="L38" i="45" s="1"/>
  <c r="K59" i="39"/>
  <c r="K58" i="39"/>
  <c r="K48" i="39"/>
  <c r="C39" i="45"/>
  <c r="L39" i="45" s="1"/>
  <c r="C37" i="45"/>
  <c r="E52" i="39" s="1"/>
  <c r="C41" i="45"/>
  <c r="W41" i="45" s="1"/>
  <c r="K55" i="39"/>
  <c r="K57" i="39"/>
  <c r="C16" i="45"/>
  <c r="C17" i="45" s="1"/>
  <c r="L35" i="72"/>
  <c r="W35" i="72"/>
  <c r="L41" i="72"/>
  <c r="W41" i="72"/>
  <c r="C35" i="45"/>
  <c r="N18" i="38"/>
  <c r="O18" i="38" s="1"/>
  <c r="O21" i="38"/>
  <c r="N22" i="38" s="1"/>
  <c r="O22" i="38" s="1"/>
  <c r="N34" i="38"/>
  <c r="O34" i="38" s="1"/>
  <c r="O49" i="45"/>
  <c r="I5" i="39" s="1"/>
  <c r="Q49" i="45"/>
  <c r="I8" i="39" s="1"/>
  <c r="R49" i="45"/>
  <c r="D4" i="39" s="1"/>
  <c r="U49" i="45"/>
  <c r="D7" i="39" s="1"/>
  <c r="T49" i="45"/>
  <c r="D5" i="39" s="1"/>
  <c r="P49" i="45"/>
  <c r="I6" i="39" s="1"/>
  <c r="M49" i="45"/>
  <c r="I3" i="39" s="1"/>
  <c r="N49" i="45"/>
  <c r="I4" i="39" s="1"/>
  <c r="W49" i="45"/>
  <c r="D8" i="39" s="1"/>
  <c r="S49" i="45"/>
  <c r="D6" i="39" s="1"/>
  <c r="V49" i="45"/>
  <c r="I7" i="39" s="1"/>
  <c r="N14" i="38"/>
  <c r="O14" i="38" s="1"/>
  <c r="N38" i="38"/>
  <c r="O38" i="38" s="1"/>
  <c r="N9" i="38"/>
  <c r="O9" i="38" s="1"/>
  <c r="N6" i="38"/>
  <c r="O6" i="38" s="1"/>
  <c r="C43" i="45"/>
  <c r="K53" i="39"/>
  <c r="K56" i="39"/>
  <c r="K54" i="39"/>
  <c r="K18" i="39"/>
  <c r="C42" i="45"/>
  <c r="K52" i="39"/>
  <c r="C40" i="45"/>
  <c r="C44" i="45"/>
  <c r="C22" i="10"/>
  <c r="C21" i="10"/>
  <c r="D23" i="10"/>
  <c r="D21" i="10"/>
  <c r="D20" i="10"/>
  <c r="C24" i="10"/>
  <c r="C23" i="10"/>
  <c r="C20" i="10"/>
  <c r="J59" i="73" l="1"/>
  <c r="L58" i="33"/>
  <c r="H58" i="73"/>
  <c r="I57" i="33"/>
  <c r="F48" i="73"/>
  <c r="G47" i="33"/>
  <c r="D23" i="74"/>
  <c r="M23" i="74" s="1"/>
  <c r="N23" i="74" s="1"/>
  <c r="C104" i="9"/>
  <c r="T43" i="72"/>
  <c r="N43" i="72"/>
  <c r="R43" i="72"/>
  <c r="O43" i="72"/>
  <c r="M43" i="72"/>
  <c r="S43" i="72"/>
  <c r="U43" i="72"/>
  <c r="Q43" i="72"/>
  <c r="P43" i="72"/>
  <c r="T44" i="72"/>
  <c r="N44" i="72"/>
  <c r="S44" i="72"/>
  <c r="P44" i="72"/>
  <c r="M44" i="72"/>
  <c r="U44" i="72"/>
  <c r="R44" i="72"/>
  <c r="Q44" i="72"/>
  <c r="O44" i="72"/>
  <c r="M15" i="74"/>
  <c r="M14" i="74"/>
  <c r="M10" i="74"/>
  <c r="M9" i="74"/>
  <c r="M23" i="36"/>
  <c r="N23" i="36" s="1"/>
  <c r="N13" i="36"/>
  <c r="M9" i="36"/>
  <c r="N9" i="36" s="1"/>
  <c r="L45" i="72"/>
  <c r="N38" i="72"/>
  <c r="R42" i="72"/>
  <c r="M13" i="36"/>
  <c r="M12" i="36"/>
  <c r="N12" i="36" s="1"/>
  <c r="V37" i="72"/>
  <c r="M8" i="36"/>
  <c r="N8" i="36" s="1"/>
  <c r="P40" i="72"/>
  <c r="M11" i="36"/>
  <c r="N11" i="36" s="1"/>
  <c r="O39" i="72"/>
  <c r="M10" i="36"/>
  <c r="N10" i="36" s="1"/>
  <c r="E48" i="39"/>
  <c r="F48" i="39" s="1"/>
  <c r="B104" i="45"/>
  <c r="V39" i="72"/>
  <c r="E56" i="39"/>
  <c r="L41" i="45"/>
  <c r="E53" i="39"/>
  <c r="V40" i="72"/>
  <c r="M37" i="72"/>
  <c r="E54" i="39"/>
  <c r="I52" i="39"/>
  <c r="L42" i="45"/>
  <c r="L37" i="45"/>
  <c r="L40" i="45"/>
  <c r="I53" i="39"/>
  <c r="W50" i="72"/>
  <c r="T35" i="72"/>
  <c r="L35" i="45"/>
  <c r="T35" i="45" s="1"/>
  <c r="W35" i="45"/>
  <c r="W50" i="45" s="1"/>
  <c r="C8" i="39" s="1"/>
  <c r="L44" i="45"/>
  <c r="I59" i="39"/>
  <c r="J59" i="39" s="1"/>
  <c r="L43" i="45"/>
  <c r="G58" i="39"/>
  <c r="H58" i="39" s="1"/>
  <c r="N10" i="38"/>
  <c r="O10" i="38" s="1"/>
  <c r="E57" i="39"/>
  <c r="E55" i="39"/>
  <c r="V39" i="45"/>
  <c r="O39" i="45"/>
  <c r="N38" i="45"/>
  <c r="I10" i="10"/>
  <c r="I11" i="10"/>
  <c r="I12" i="10"/>
  <c r="I13" i="10"/>
  <c r="I14" i="10"/>
  <c r="I15" i="10"/>
  <c r="I16" i="10"/>
  <c r="I17" i="10"/>
  <c r="I18" i="10"/>
  <c r="I9" i="10"/>
  <c r="G6" i="5"/>
  <c r="A23" i="74" l="1"/>
  <c r="N15" i="74"/>
  <c r="C114" i="9" s="1"/>
  <c r="M50" i="72"/>
  <c r="H3" i="73" s="1"/>
  <c r="M63" i="33" s="1"/>
  <c r="I60" i="73"/>
  <c r="G60" i="73"/>
  <c r="Q50" i="72"/>
  <c r="H8" i="73" s="1"/>
  <c r="M68" i="33" s="1"/>
  <c r="P50" i="72"/>
  <c r="H6" i="73" s="1"/>
  <c r="M66" i="33" s="1"/>
  <c r="O50" i="72"/>
  <c r="H5" i="73" s="1"/>
  <c r="M65" i="33" s="1"/>
  <c r="N50" i="72"/>
  <c r="H4" i="73" s="1"/>
  <c r="M64" i="33" s="1"/>
  <c r="T50" i="72"/>
  <c r="C5" i="73" s="1"/>
  <c r="D65" i="33" s="1"/>
  <c r="R50" i="72"/>
  <c r="N14" i="74"/>
  <c r="B113" i="45" s="1"/>
  <c r="N9" i="74"/>
  <c r="B108" i="45" s="1"/>
  <c r="N10" i="74"/>
  <c r="B109" i="45" s="1"/>
  <c r="M13" i="74"/>
  <c r="V40" i="45"/>
  <c r="M11" i="74"/>
  <c r="M8" i="74"/>
  <c r="M12" i="74"/>
  <c r="M16" i="36"/>
  <c r="N16" i="36" s="1"/>
  <c r="L50" i="72"/>
  <c r="C3" i="73" s="1"/>
  <c r="D63" i="33" s="1"/>
  <c r="S45" i="72"/>
  <c r="S50" i="72" s="1"/>
  <c r="C6" i="73" s="1"/>
  <c r="D66" i="33" s="1"/>
  <c r="E60" i="73"/>
  <c r="V50" i="72"/>
  <c r="H7" i="73" s="1"/>
  <c r="M67" i="33" s="1"/>
  <c r="R42" i="45"/>
  <c r="V37" i="45"/>
  <c r="W47" i="72"/>
  <c r="E8" i="73" s="1"/>
  <c r="H68" i="33" s="1"/>
  <c r="C8" i="73"/>
  <c r="D68" i="33" s="1"/>
  <c r="M37" i="45"/>
  <c r="P40" i="45"/>
  <c r="L45" i="45"/>
  <c r="T44" i="45"/>
  <c r="Q44" i="45"/>
  <c r="U44" i="45"/>
  <c r="O44" i="45"/>
  <c r="N44" i="45"/>
  <c r="P44" i="45"/>
  <c r="R44" i="45"/>
  <c r="M44" i="45"/>
  <c r="S44" i="45"/>
  <c r="T43" i="45"/>
  <c r="R43" i="45"/>
  <c r="U43" i="45"/>
  <c r="S43" i="45"/>
  <c r="P43" i="45"/>
  <c r="M43" i="45"/>
  <c r="N43" i="45"/>
  <c r="Q43" i="45"/>
  <c r="O43" i="45"/>
  <c r="W47" i="45"/>
  <c r="E8" i="39" s="1"/>
  <c r="N10" i="20"/>
  <c r="N11" i="20"/>
  <c r="N12" i="20"/>
  <c r="N13" i="20"/>
  <c r="N14" i="20"/>
  <c r="N15" i="20"/>
  <c r="N16" i="20"/>
  <c r="N17" i="20"/>
  <c r="N9" i="20"/>
  <c r="J60" i="73" l="1"/>
  <c r="L59" i="33" s="1"/>
  <c r="H60" i="73"/>
  <c r="I59" i="33" s="1"/>
  <c r="B114" i="45"/>
  <c r="C113" i="9"/>
  <c r="C109" i="9"/>
  <c r="N13" i="74"/>
  <c r="C112" i="9" s="1"/>
  <c r="C108" i="9"/>
  <c r="R47" i="72"/>
  <c r="E4" i="73" s="1"/>
  <c r="H64" i="33" s="1"/>
  <c r="C4" i="73"/>
  <c r="D64" i="33" s="1"/>
  <c r="M47" i="72"/>
  <c r="J3" i="73" s="1"/>
  <c r="Q63" i="33" s="1"/>
  <c r="Q47" i="72"/>
  <c r="J8" i="73" s="1"/>
  <c r="Q68" i="33" s="1"/>
  <c r="P47" i="72"/>
  <c r="J6" i="73" s="1"/>
  <c r="Q66" i="33" s="1"/>
  <c r="T47" i="72"/>
  <c r="E5" i="73" s="1"/>
  <c r="H65" i="33" s="1"/>
  <c r="N47" i="72"/>
  <c r="J4" i="73" s="1"/>
  <c r="Q64" i="33" s="1"/>
  <c r="O47" i="72"/>
  <c r="J5" i="73" s="1"/>
  <c r="Q65" i="33" s="1"/>
  <c r="L47" i="72"/>
  <c r="N8" i="74"/>
  <c r="B107" i="45" s="1"/>
  <c r="N11" i="74"/>
  <c r="B110" i="45" s="1"/>
  <c r="N12" i="74"/>
  <c r="B111" i="45" s="1"/>
  <c r="V50" i="45"/>
  <c r="H7" i="39" s="1"/>
  <c r="I60" i="39"/>
  <c r="J60" i="39" s="1"/>
  <c r="M16" i="74"/>
  <c r="E28" i="73"/>
  <c r="S47" i="72"/>
  <c r="E6" i="73" s="1"/>
  <c r="H66" i="33" s="1"/>
  <c r="U50" i="72"/>
  <c r="B111" i="72"/>
  <c r="B113" i="72"/>
  <c r="B112" i="72"/>
  <c r="B109" i="72"/>
  <c r="B108" i="72"/>
  <c r="B107" i="72"/>
  <c r="B114" i="72"/>
  <c r="B110" i="72"/>
  <c r="V47" i="72"/>
  <c r="J7" i="73" s="1"/>
  <c r="Q67" i="33" s="1"/>
  <c r="R50" i="45"/>
  <c r="G60" i="39"/>
  <c r="H60" i="39" s="1"/>
  <c r="E60" i="39"/>
  <c r="F60" i="39" s="1"/>
  <c r="L50" i="45"/>
  <c r="S45" i="45"/>
  <c r="S50" i="45" s="1"/>
  <c r="C6" i="39" s="1"/>
  <c r="P50" i="45"/>
  <c r="H6" i="39" s="1"/>
  <c r="N50" i="45"/>
  <c r="H4" i="39" s="1"/>
  <c r="Q50" i="45"/>
  <c r="H8" i="39" s="1"/>
  <c r="M50" i="45"/>
  <c r="H3" i="39" s="1"/>
  <c r="O50" i="45"/>
  <c r="H5" i="39" s="1"/>
  <c r="T50" i="45"/>
  <c r="C5" i="39" s="1"/>
  <c r="D13" i="24"/>
  <c r="D9" i="24"/>
  <c r="E18" i="73" l="1"/>
  <c r="F13" i="33" s="1"/>
  <c r="J13" i="33"/>
  <c r="B86" i="72"/>
  <c r="G30" i="33"/>
  <c r="C110" i="9"/>
  <c r="C107" i="9"/>
  <c r="B112" i="45"/>
  <c r="C111" i="9"/>
  <c r="U47" i="72"/>
  <c r="E7" i="73" s="1"/>
  <c r="H67" i="33" s="1"/>
  <c r="C7" i="73"/>
  <c r="D67" i="33" s="1"/>
  <c r="R47" i="45"/>
  <c r="E4" i="39" s="1"/>
  <c r="C4" i="39"/>
  <c r="E3" i="73"/>
  <c r="H63" i="33" s="1"/>
  <c r="V47" i="45"/>
  <c r="N16" i="74"/>
  <c r="M17" i="74" s="1"/>
  <c r="H5" i="36"/>
  <c r="C147" i="9"/>
  <c r="C3" i="39"/>
  <c r="F60" i="73"/>
  <c r="F59" i="33" s="1"/>
  <c r="B1" i="73"/>
  <c r="E28" i="39"/>
  <c r="B1" i="39"/>
  <c r="L47" i="45"/>
  <c r="M47" i="45"/>
  <c r="J3" i="39" s="1"/>
  <c r="P47" i="45"/>
  <c r="J6" i="39" s="1"/>
  <c r="C123" i="9"/>
  <c r="N47" i="45"/>
  <c r="J4" i="39" s="1"/>
  <c r="Q47" i="45"/>
  <c r="J8" i="39" s="1"/>
  <c r="O47" i="45"/>
  <c r="J5" i="39" s="1"/>
  <c r="S47" i="45"/>
  <c r="E6" i="39" s="1"/>
  <c r="T47" i="45"/>
  <c r="E5" i="39" s="1"/>
  <c r="U50" i="45"/>
  <c r="C7" i="39" s="1"/>
  <c r="B73" i="72" l="1"/>
  <c r="N17" i="74"/>
  <c r="C115" i="9"/>
  <c r="J7" i="39"/>
  <c r="H5" i="74"/>
  <c r="B86" i="45"/>
  <c r="B115" i="45"/>
  <c r="B115" i="72"/>
  <c r="C151" i="9"/>
  <c r="C144" i="9"/>
  <c r="M17" i="36"/>
  <c r="N17" i="36" s="1"/>
  <c r="A8" i="36" s="1"/>
  <c r="B106" i="72" s="1"/>
  <c r="E18" i="39"/>
  <c r="E3" i="39"/>
  <c r="C150" i="9"/>
  <c r="C149" i="9"/>
  <c r="C143" i="9"/>
  <c r="U47" i="45"/>
  <c r="E7" i="39" s="1"/>
  <c r="J12" i="11"/>
  <c r="J11" i="11"/>
  <c r="H12" i="11"/>
  <c r="H11" i="11"/>
  <c r="F12" i="11"/>
  <c r="F11" i="11"/>
  <c r="S11" i="11"/>
  <c r="O11" i="11"/>
  <c r="N11" i="11"/>
  <c r="M11" i="11"/>
  <c r="C152" i="9" l="1"/>
  <c r="A8" i="74"/>
  <c r="C106" i="9" s="1"/>
  <c r="B105" i="72"/>
  <c r="C148" i="9"/>
  <c r="B73" i="45"/>
  <c r="C142" i="9"/>
  <c r="C153" i="9"/>
  <c r="C145" i="9"/>
  <c r="L11" i="11"/>
  <c r="P11" i="11" s="1"/>
  <c r="Q11" i="11"/>
  <c r="O9" i="12"/>
  <c r="O10" i="12"/>
  <c r="O11" i="12"/>
  <c r="O13" i="12"/>
  <c r="O14" i="12"/>
  <c r="O15" i="12"/>
  <c r="O16" i="12"/>
  <c r="O17" i="12"/>
  <c r="S12" i="11"/>
  <c r="L16" i="11"/>
  <c r="M16" i="11"/>
  <c r="N16" i="11"/>
  <c r="O16" i="11"/>
  <c r="B106" i="45" l="1"/>
  <c r="C105" i="9"/>
  <c r="B105" i="45"/>
  <c r="C146" i="9"/>
  <c r="P16" i="11"/>
  <c r="Q16" i="11"/>
  <c r="P3" i="12"/>
  <c r="P4" i="12"/>
  <c r="P5" i="12"/>
  <c r="R5" i="12"/>
  <c r="P6" i="12"/>
  <c r="Q6" i="12"/>
  <c r="P7" i="12"/>
  <c r="R7" i="12"/>
  <c r="L8" i="12"/>
  <c r="P8" i="12"/>
  <c r="R8" i="12"/>
  <c r="P9" i="12"/>
  <c r="Q9" i="12"/>
  <c r="R9" i="12"/>
  <c r="N10" i="12"/>
  <c r="P10" i="12"/>
  <c r="Q10" i="12"/>
  <c r="R10" i="12"/>
  <c r="L11" i="12"/>
  <c r="N11" i="12"/>
  <c r="P11" i="12"/>
  <c r="Q11" i="12"/>
  <c r="R11" i="12"/>
  <c r="N12" i="12"/>
  <c r="P12" i="12"/>
  <c r="R12" i="12"/>
  <c r="P13" i="12"/>
  <c r="Q13" i="12"/>
  <c r="R13" i="12"/>
  <c r="L14" i="12"/>
  <c r="N14" i="12"/>
  <c r="P14" i="12"/>
  <c r="Q14" i="12"/>
  <c r="R14" i="12"/>
  <c r="L15" i="12"/>
  <c r="N15" i="12"/>
  <c r="P15" i="12"/>
  <c r="Q15" i="12"/>
  <c r="R15" i="12"/>
  <c r="L16" i="12"/>
  <c r="N16" i="12"/>
  <c r="P16" i="12"/>
  <c r="Q16" i="12"/>
  <c r="R16" i="12"/>
  <c r="L17" i="12"/>
  <c r="N17" i="12"/>
  <c r="P17" i="12"/>
  <c r="Q17" i="12"/>
  <c r="R17" i="12"/>
  <c r="O6" i="11"/>
  <c r="O7" i="11"/>
  <c r="O8" i="11"/>
  <c r="O9" i="11"/>
  <c r="O10" i="11"/>
  <c r="O12" i="11"/>
  <c r="O13" i="11"/>
  <c r="O14" i="11"/>
  <c r="O15" i="11"/>
  <c r="O17" i="11"/>
  <c r="O18" i="11"/>
  <c r="O19" i="11"/>
  <c r="O20" i="11"/>
  <c r="O21" i="11"/>
  <c r="O22" i="11"/>
  <c r="O23" i="11"/>
  <c r="O24" i="11"/>
  <c r="O25" i="11"/>
  <c r="O26" i="11"/>
  <c r="O27" i="11"/>
  <c r="O28" i="11"/>
  <c r="O29" i="11"/>
  <c r="O30" i="11"/>
  <c r="O31" i="11"/>
  <c r="O32" i="11"/>
  <c r="O33" i="11"/>
  <c r="O34" i="11"/>
  <c r="N5" i="11"/>
  <c r="N6" i="11"/>
  <c r="N7" i="11"/>
  <c r="N8" i="11"/>
  <c r="N9" i="11"/>
  <c r="N10" i="11"/>
  <c r="N12" i="11"/>
  <c r="N13" i="11"/>
  <c r="N14" i="11"/>
  <c r="N15" i="11"/>
  <c r="N17" i="11"/>
  <c r="N18" i="11"/>
  <c r="N19" i="11"/>
  <c r="N20" i="11"/>
  <c r="N21" i="11"/>
  <c r="N22" i="11"/>
  <c r="N23" i="11"/>
  <c r="N24" i="11"/>
  <c r="N25" i="11"/>
  <c r="N26" i="11"/>
  <c r="N27" i="11"/>
  <c r="N28" i="11"/>
  <c r="N29" i="11"/>
  <c r="N30" i="11"/>
  <c r="N31" i="11"/>
  <c r="N32" i="11"/>
  <c r="N33" i="11"/>
  <c r="N34" i="11"/>
  <c r="K18" i="10"/>
  <c r="K17" i="10"/>
  <c r="K16" i="10"/>
  <c r="K15" i="10"/>
  <c r="K14" i="10"/>
  <c r="K13" i="10"/>
  <c r="K12" i="10"/>
  <c r="K11" i="10"/>
  <c r="K10" i="10"/>
  <c r="K9" i="10"/>
  <c r="C18" i="10"/>
  <c r="C17" i="10"/>
  <c r="C16" i="10"/>
  <c r="C15" i="10"/>
  <c r="C14" i="10"/>
  <c r="C13" i="10"/>
  <c r="C12" i="10"/>
  <c r="C11" i="10"/>
  <c r="C10" i="10"/>
  <c r="C9" i="10"/>
  <c r="AB17" i="10" l="1"/>
  <c r="K8" i="12"/>
  <c r="Q8" i="12" s="1"/>
  <c r="K12" i="12"/>
  <c r="L12" i="12" s="1"/>
  <c r="AB11" i="10"/>
  <c r="AB15" i="10"/>
  <c r="AB13" i="10"/>
  <c r="K10" i="12"/>
  <c r="AB9" i="10"/>
  <c r="G10" i="10"/>
  <c r="S16" i="11"/>
  <c r="P18" i="12"/>
  <c r="K11" i="12"/>
  <c r="M11" i="12" s="1"/>
  <c r="K9" i="12"/>
  <c r="N9" i="12" s="1"/>
  <c r="K7" i="12"/>
  <c r="K6" i="12"/>
  <c r="O6" i="12" s="1"/>
  <c r="K5" i="12"/>
  <c r="L5" i="12" s="1"/>
  <c r="K4" i="12"/>
  <c r="K3" i="12"/>
  <c r="G16" i="10"/>
  <c r="G14" i="10"/>
  <c r="G18" i="10"/>
  <c r="G12" i="10"/>
  <c r="G11" i="10"/>
  <c r="G15" i="10"/>
  <c r="G13" i="10"/>
  <c r="G17" i="10"/>
  <c r="AB10" i="10"/>
  <c r="AB12" i="10"/>
  <c r="AB14" i="10"/>
  <c r="AB16" i="10"/>
  <c r="AB18" i="10"/>
  <c r="L5" i="11"/>
  <c r="P5" i="11" s="1"/>
  <c r="M5" i="11"/>
  <c r="Q5" i="11" s="1"/>
  <c r="L6" i="11"/>
  <c r="P6" i="11" s="1"/>
  <c r="M6" i="11"/>
  <c r="Q6" i="11" s="1"/>
  <c r="L7" i="11"/>
  <c r="P7" i="11" s="1"/>
  <c r="M7" i="11"/>
  <c r="Q7" i="11" s="1"/>
  <c r="L8" i="11"/>
  <c r="P8" i="11" s="1"/>
  <c r="M8" i="11"/>
  <c r="Q8" i="11" s="1"/>
  <c r="L9" i="11"/>
  <c r="P9" i="11" s="1"/>
  <c r="M9" i="11"/>
  <c r="Q9" i="11" s="1"/>
  <c r="L10" i="11"/>
  <c r="P10" i="11" s="1"/>
  <c r="M10" i="11"/>
  <c r="Q10" i="11" s="1"/>
  <c r="L12" i="11"/>
  <c r="P12" i="11" s="1"/>
  <c r="M12" i="11"/>
  <c r="Q12" i="11" s="1"/>
  <c r="L13" i="11"/>
  <c r="P13" i="11" s="1"/>
  <c r="M13" i="11"/>
  <c r="Q13" i="11" s="1"/>
  <c r="L14" i="11"/>
  <c r="P14" i="11" s="1"/>
  <c r="M14" i="11"/>
  <c r="Q14" i="11" s="1"/>
  <c r="L15" i="11"/>
  <c r="P15" i="11" s="1"/>
  <c r="M15" i="11"/>
  <c r="Q15" i="11" s="1"/>
  <c r="L17" i="11"/>
  <c r="P17" i="11" s="1"/>
  <c r="M17" i="11"/>
  <c r="Q17" i="11" s="1"/>
  <c r="L18" i="11"/>
  <c r="P18" i="11" s="1"/>
  <c r="M18" i="11"/>
  <c r="Q18" i="11" s="1"/>
  <c r="P19" i="11"/>
  <c r="M19" i="11"/>
  <c r="Q19" i="11" s="1"/>
  <c r="P20" i="11"/>
  <c r="M20" i="11"/>
  <c r="Q20" i="11" s="1"/>
  <c r="L21" i="11"/>
  <c r="P21" i="11" s="1"/>
  <c r="M21" i="11"/>
  <c r="Q21" i="11" s="1"/>
  <c r="L22" i="11"/>
  <c r="P22" i="11" s="1"/>
  <c r="M22" i="11"/>
  <c r="Q22" i="11" s="1"/>
  <c r="L23" i="11"/>
  <c r="P23" i="11" s="1"/>
  <c r="M23" i="11"/>
  <c r="Q23" i="11" s="1"/>
  <c r="L24" i="11"/>
  <c r="P24" i="11" s="1"/>
  <c r="M24" i="11"/>
  <c r="Q24" i="11" s="1"/>
  <c r="L25" i="11"/>
  <c r="P25" i="11" s="1"/>
  <c r="M25" i="11"/>
  <c r="Q25" i="11" s="1"/>
  <c r="L26" i="11"/>
  <c r="P26" i="11" s="1"/>
  <c r="M26" i="11"/>
  <c r="Q26" i="11" s="1"/>
  <c r="L27" i="11"/>
  <c r="P27" i="11" s="1"/>
  <c r="M27" i="11"/>
  <c r="Q27" i="11" s="1"/>
  <c r="L28" i="11"/>
  <c r="P28" i="11" s="1"/>
  <c r="M28" i="11"/>
  <c r="Q28" i="11" s="1"/>
  <c r="L29" i="11"/>
  <c r="P29" i="11" s="1"/>
  <c r="M29" i="11"/>
  <c r="Q29" i="11" s="1"/>
  <c r="L30" i="11"/>
  <c r="P30" i="11" s="1"/>
  <c r="M30" i="11"/>
  <c r="Q30" i="11" s="1"/>
  <c r="L31" i="11"/>
  <c r="P31" i="11" s="1"/>
  <c r="M31" i="11"/>
  <c r="Q31" i="11" s="1"/>
  <c r="L32" i="11"/>
  <c r="P32" i="11" s="1"/>
  <c r="M32" i="11"/>
  <c r="Q32" i="11" s="1"/>
  <c r="L33" i="11"/>
  <c r="P33" i="11" s="1"/>
  <c r="M33" i="11"/>
  <c r="Q33" i="11" s="1"/>
  <c r="L34" i="11"/>
  <c r="P34" i="11" s="1"/>
  <c r="M34" i="11"/>
  <c r="Q34" i="11" s="1"/>
  <c r="M4" i="11"/>
  <c r="L4" i="11"/>
  <c r="Q4" i="11" l="1"/>
  <c r="G4" i="12"/>
  <c r="G8" i="12"/>
  <c r="G12" i="12"/>
  <c r="G5" i="12"/>
  <c r="G9" i="12"/>
  <c r="G3" i="12"/>
  <c r="G6" i="12"/>
  <c r="G10" i="12"/>
  <c r="G7" i="12"/>
  <c r="G11" i="12"/>
  <c r="F6" i="12"/>
  <c r="D12" i="10" s="1"/>
  <c r="F10" i="12"/>
  <c r="D16" i="10" s="1"/>
  <c r="F9" i="12"/>
  <c r="D15" i="10" s="1"/>
  <c r="F7" i="12"/>
  <c r="D13" i="10" s="1"/>
  <c r="F11" i="12"/>
  <c r="D17" i="10" s="1"/>
  <c r="F5" i="12"/>
  <c r="D11" i="10" s="1"/>
  <c r="F4" i="12"/>
  <c r="D10" i="10" s="1"/>
  <c r="F8" i="12"/>
  <c r="D14" i="10" s="1"/>
  <c r="F12" i="12"/>
  <c r="D18" i="10" s="1"/>
  <c r="P4" i="11"/>
  <c r="F3" i="12"/>
  <c r="L6" i="12"/>
  <c r="R6" i="12"/>
  <c r="Q3" i="12"/>
  <c r="R3" i="12"/>
  <c r="M8" i="12"/>
  <c r="R4" i="12"/>
  <c r="L4" i="12"/>
  <c r="L7" i="12"/>
  <c r="O7" i="12"/>
  <c r="Q7" i="12"/>
  <c r="L3" i="12"/>
  <c r="O3" i="12"/>
  <c r="M12" i="12"/>
  <c r="O12" i="12"/>
  <c r="Q12" i="12"/>
  <c r="M10" i="12"/>
  <c r="L10" i="12"/>
  <c r="N8" i="12"/>
  <c r="O8" i="12"/>
  <c r="N5" i="12"/>
  <c r="Q5" i="12"/>
  <c r="M9" i="12"/>
  <c r="L9" i="12"/>
  <c r="M7" i="12"/>
  <c r="N7" i="12"/>
  <c r="M6" i="12"/>
  <c r="N6" i="12"/>
  <c r="O4" i="12"/>
  <c r="Q4" i="12"/>
  <c r="M5" i="12"/>
  <c r="O5" i="12"/>
  <c r="S23" i="11"/>
  <c r="S13" i="11"/>
  <c r="S26" i="11"/>
  <c r="S22" i="11"/>
  <c r="S27" i="11"/>
  <c r="M3" i="12"/>
  <c r="N3" i="12"/>
  <c r="N4" i="12"/>
  <c r="M4" i="12"/>
  <c r="S6" i="11"/>
  <c r="S33" i="11"/>
  <c r="S4" i="11"/>
  <c r="S29" i="11"/>
  <c r="S25" i="11"/>
  <c r="S21" i="11"/>
  <c r="S19" i="11"/>
  <c r="S17" i="11"/>
  <c r="S14" i="11"/>
  <c r="S9" i="11"/>
  <c r="S7" i="11"/>
  <c r="S34" i="11"/>
  <c r="S32" i="11"/>
  <c r="S28" i="11"/>
  <c r="S24" i="11"/>
  <c r="S20" i="11"/>
  <c r="S18" i="11"/>
  <c r="S15" i="11"/>
  <c r="S10" i="11"/>
  <c r="S8" i="11"/>
  <c r="S31" i="11"/>
  <c r="S5" i="11"/>
  <c r="S30" i="11"/>
  <c r="H3" i="12" l="1"/>
  <c r="H9" i="10" s="1"/>
  <c r="E9" i="10"/>
  <c r="H12" i="10"/>
  <c r="E12" i="10"/>
  <c r="H18" i="10"/>
  <c r="E18" i="10"/>
  <c r="H17" i="10"/>
  <c r="E17" i="10"/>
  <c r="H14" i="10"/>
  <c r="E14" i="10"/>
  <c r="H13" i="10"/>
  <c r="E13" i="10"/>
  <c r="H15" i="10"/>
  <c r="E15" i="10"/>
  <c r="H10" i="10"/>
  <c r="E10" i="10"/>
  <c r="H16" i="10"/>
  <c r="E16" i="10"/>
  <c r="H11" i="10"/>
  <c r="E11" i="10"/>
  <c r="D9" i="10"/>
  <c r="R18" i="12"/>
  <c r="Q18" i="12"/>
  <c r="V3" i="14"/>
  <c r="V4" i="14"/>
  <c r="V5" i="14"/>
  <c r="V6" i="14"/>
  <c r="V7" i="14"/>
  <c r="V8" i="14"/>
  <c r="V9" i="14"/>
  <c r="V10" i="14"/>
  <c r="V11" i="14"/>
  <c r="V12" i="14"/>
  <c r="V13" i="14"/>
  <c r="V14" i="14"/>
  <c r="V15" i="14"/>
  <c r="V16" i="14"/>
  <c r="V17" i="14"/>
  <c r="V18" i="14"/>
  <c r="V19" i="14"/>
  <c r="V20" i="14"/>
  <c r="V21" i="14"/>
  <c r="V2" i="14"/>
  <c r="I101" i="5" l="1"/>
  <c r="I100" i="5"/>
  <c r="F100" i="5"/>
  <c r="I99" i="5"/>
  <c r="F99" i="5"/>
  <c r="D99" i="5"/>
  <c r="I36" i="5"/>
  <c r="I35" i="5"/>
  <c r="F35" i="5"/>
  <c r="I34" i="5"/>
  <c r="F34" i="5"/>
  <c r="D34" i="5"/>
  <c r="F3" i="5"/>
  <c r="F2" i="5"/>
  <c r="D2" i="5"/>
  <c r="C1" i="9" l="1"/>
  <c r="D35" i="5"/>
  <c r="D100" i="5"/>
  <c r="Y3" i="14"/>
  <c r="AB3" i="14"/>
  <c r="Y4" i="14"/>
  <c r="AB4" i="14"/>
  <c r="Y5" i="14"/>
  <c r="AB5" i="14"/>
  <c r="Y6" i="14"/>
  <c r="AB6" i="14"/>
  <c r="Y7" i="14"/>
  <c r="AB7" i="14"/>
  <c r="Y8" i="14"/>
  <c r="AB8" i="14"/>
  <c r="Y9" i="14"/>
  <c r="AB9" i="14"/>
  <c r="Y10" i="14"/>
  <c r="AB10" i="14"/>
  <c r="Y11" i="14"/>
  <c r="AB11" i="14"/>
  <c r="Y12" i="14"/>
  <c r="AB12" i="14"/>
  <c r="Y13" i="14"/>
  <c r="AB13" i="14"/>
  <c r="X14" i="14"/>
  <c r="Y14" i="14"/>
  <c r="AB14" i="14"/>
  <c r="X15" i="14"/>
  <c r="Y15" i="14"/>
  <c r="AB15" i="14"/>
  <c r="Y16" i="14"/>
  <c r="AB16" i="14"/>
  <c r="Y17" i="14"/>
  <c r="AB17" i="14"/>
  <c r="X18" i="14"/>
  <c r="Y18" i="14"/>
  <c r="AB18" i="14"/>
  <c r="X19" i="14"/>
  <c r="Y19" i="14"/>
  <c r="AB19" i="14"/>
  <c r="Y20" i="14"/>
  <c r="AB20" i="14"/>
  <c r="Y21" i="14"/>
  <c r="AB21" i="14"/>
  <c r="Y2" i="14"/>
  <c r="E5" i="3" l="1"/>
  <c r="D25" i="3" s="1"/>
  <c r="G17" i="28"/>
  <c r="G18" i="28"/>
  <c r="G19" i="28"/>
  <c r="F4" i="21"/>
  <c r="E18" i="20" s="1"/>
  <c r="F8" i="21"/>
  <c r="J8" i="21" s="1"/>
  <c r="F7" i="21"/>
  <c r="G29" i="28" s="1"/>
  <c r="E3" i="21"/>
  <c r="F5" i="21"/>
  <c r="G18" i="20" s="1"/>
  <c r="B20" i="28"/>
  <c r="C4" i="9"/>
  <c r="D32" i="20"/>
  <c r="C71" i="9" s="1"/>
  <c r="D22" i="21"/>
  <c r="D21" i="21"/>
  <c r="E19" i="21"/>
  <c r="F19" i="21" s="1"/>
  <c r="C55" i="5"/>
  <c r="G55" i="5" s="1"/>
  <c r="H3" i="14"/>
  <c r="P3" i="14"/>
  <c r="H4" i="14"/>
  <c r="P4" i="14"/>
  <c r="H5" i="14"/>
  <c r="I12" i="13" s="1"/>
  <c r="H6" i="14"/>
  <c r="I14" i="13" s="1"/>
  <c r="H7" i="14"/>
  <c r="I16" i="13" s="1"/>
  <c r="H8" i="14"/>
  <c r="I18" i="13" s="1"/>
  <c r="H9" i="14"/>
  <c r="I20" i="13" s="1"/>
  <c r="H10" i="14"/>
  <c r="I22" i="13" s="1"/>
  <c r="H11" i="14"/>
  <c r="I24" i="13" s="1"/>
  <c r="H12" i="14"/>
  <c r="H13" i="14"/>
  <c r="H14" i="14"/>
  <c r="H15" i="14"/>
  <c r="H16" i="14"/>
  <c r="I34" i="13" s="1"/>
  <c r="H17" i="14"/>
  <c r="H18" i="14"/>
  <c r="I38" i="13" s="1"/>
  <c r="H19" i="14"/>
  <c r="H20" i="14"/>
  <c r="H21" i="14"/>
  <c r="H2" i="14"/>
  <c r="P2" i="14"/>
  <c r="AC19" i="14"/>
  <c r="C39" i="9" s="1"/>
  <c r="P5" i="14"/>
  <c r="P6" i="14"/>
  <c r="P7" i="14"/>
  <c r="P8" i="14"/>
  <c r="P9" i="14"/>
  <c r="P10" i="14"/>
  <c r="P11" i="14"/>
  <c r="P12" i="14"/>
  <c r="P13" i="14"/>
  <c r="P14" i="14"/>
  <c r="P15" i="14"/>
  <c r="P16" i="14"/>
  <c r="P17" i="14"/>
  <c r="P18" i="14"/>
  <c r="P19" i="14"/>
  <c r="P20" i="14"/>
  <c r="P21" i="14"/>
  <c r="AB2" i="14"/>
  <c r="D28" i="13"/>
  <c r="D26" i="13"/>
  <c r="D24" i="13"/>
  <c r="D12" i="61"/>
  <c r="D22" i="13"/>
  <c r="D20" i="13"/>
  <c r="D18" i="13"/>
  <c r="D9" i="61"/>
  <c r="D16" i="13"/>
  <c r="D14" i="13"/>
  <c r="D12" i="13"/>
  <c r="D10" i="13"/>
  <c r="D5" i="61"/>
  <c r="D4" i="61"/>
  <c r="D8" i="13"/>
  <c r="D3" i="16"/>
  <c r="L6" i="13"/>
  <c r="D40" i="13"/>
  <c r="L40" i="13"/>
  <c r="D38" i="13"/>
  <c r="L38" i="13"/>
  <c r="D36" i="13"/>
  <c r="L36" i="13"/>
  <c r="D18" i="61"/>
  <c r="D34" i="13"/>
  <c r="D32" i="13"/>
  <c r="D30" i="13"/>
  <c r="C5" i="9"/>
  <c r="C3" i="9"/>
  <c r="C2" i="9"/>
  <c r="L2" i="27"/>
  <c r="M2" i="27" s="1"/>
  <c r="D11" i="21"/>
  <c r="F11" i="21" s="1"/>
  <c r="M11" i="21" s="1"/>
  <c r="D9" i="21"/>
  <c r="F9" i="21" s="1"/>
  <c r="D10" i="21"/>
  <c r="E24" i="20" s="1"/>
  <c r="F80" i="5" s="1"/>
  <c r="D80" i="5" s="1"/>
  <c r="L80" i="5" s="1"/>
  <c r="G34" i="32"/>
  <c r="R11" i="14"/>
  <c r="R12" i="14"/>
  <c r="R13" i="14"/>
  <c r="R14" i="14"/>
  <c r="R15" i="14"/>
  <c r="R16" i="14"/>
  <c r="R17" i="14"/>
  <c r="R18" i="14"/>
  <c r="R19" i="14"/>
  <c r="R20" i="14"/>
  <c r="R21" i="14"/>
  <c r="R4" i="14"/>
  <c r="R5" i="14"/>
  <c r="R6" i="14"/>
  <c r="R7" i="14"/>
  <c r="R8" i="14"/>
  <c r="R9" i="14"/>
  <c r="R10" i="14"/>
  <c r="D15" i="21"/>
  <c r="F15" i="21" s="1"/>
  <c r="E12" i="21"/>
  <c r="F12" i="21" s="1"/>
  <c r="H27" i="20" s="1"/>
  <c r="D14" i="21"/>
  <c r="F14" i="21" s="1"/>
  <c r="S11" i="14"/>
  <c r="T11" i="14"/>
  <c r="S12" i="14"/>
  <c r="T12" i="14"/>
  <c r="S13" i="14"/>
  <c r="T13" i="14"/>
  <c r="S14" i="14"/>
  <c r="T14" i="14"/>
  <c r="S15" i="14"/>
  <c r="T15" i="14"/>
  <c r="S16" i="14"/>
  <c r="T16" i="14"/>
  <c r="S17" i="14"/>
  <c r="T17" i="14"/>
  <c r="S18" i="14"/>
  <c r="T18" i="14"/>
  <c r="S19" i="14"/>
  <c r="T19" i="14"/>
  <c r="S20" i="14"/>
  <c r="T20" i="14"/>
  <c r="T3" i="14"/>
  <c r="S21" i="14"/>
  <c r="T21" i="14"/>
  <c r="T4" i="14"/>
  <c r="S5" i="14"/>
  <c r="T5" i="14"/>
  <c r="S6" i="14"/>
  <c r="T6" i="14"/>
  <c r="S7" i="14"/>
  <c r="T7" i="14"/>
  <c r="S8" i="14"/>
  <c r="T8" i="14"/>
  <c r="S9" i="14"/>
  <c r="T9" i="14"/>
  <c r="S10" i="14"/>
  <c r="T10" i="14"/>
  <c r="K16" i="12"/>
  <c r="M16" i="12" s="1"/>
  <c r="K17" i="12"/>
  <c r="M17" i="12" s="1"/>
  <c r="D20" i="5"/>
  <c r="C77" i="9" s="1"/>
  <c r="C22" i="17"/>
  <c r="C27" i="17"/>
  <c r="C29" i="17"/>
  <c r="D12" i="5"/>
  <c r="C65" i="9" s="1"/>
  <c r="C11" i="20"/>
  <c r="C12" i="20"/>
  <c r="C13" i="20"/>
  <c r="D67" i="5"/>
  <c r="C62" i="9" s="1"/>
  <c r="L40" i="5"/>
  <c r="C58" i="9"/>
  <c r="C59" i="9"/>
  <c r="L43" i="5"/>
  <c r="C61" i="9"/>
  <c r="C39" i="5"/>
  <c r="C56" i="9" s="1"/>
  <c r="L157" i="5"/>
  <c r="L42" i="13"/>
  <c r="L44" i="13"/>
  <c r="C21" i="9"/>
  <c r="F10" i="10"/>
  <c r="F11" i="10"/>
  <c r="F12" i="10"/>
  <c r="F13" i="10"/>
  <c r="F14" i="10"/>
  <c r="F15" i="10"/>
  <c r="F16" i="10"/>
  <c r="F17" i="10"/>
  <c r="F18" i="10"/>
  <c r="F20" i="10"/>
  <c r="F9" i="10"/>
  <c r="L3" i="27"/>
  <c r="M3" i="27" s="1"/>
  <c r="L4" i="27"/>
  <c r="M4" i="27" s="1"/>
  <c r="L5" i="27"/>
  <c r="M5" i="27" s="1"/>
  <c r="E9" i="24"/>
  <c r="E13" i="24"/>
  <c r="E71" i="5"/>
  <c r="D13" i="20"/>
  <c r="B3" i="3"/>
  <c r="C3" i="3"/>
  <c r="F5" i="3"/>
  <c r="B2" i="3"/>
  <c r="D14" i="1"/>
  <c r="D22" i="1"/>
  <c r="T19" i="2"/>
  <c r="T27" i="2"/>
  <c r="F105" i="5"/>
  <c r="D92" i="5"/>
  <c r="I4" i="5"/>
  <c r="I2" i="5"/>
  <c r="I3" i="5"/>
  <c r="D46" i="5"/>
  <c r="C96" i="5"/>
  <c r="C97" i="5"/>
  <c r="E96" i="5"/>
  <c r="E97" i="5"/>
  <c r="C98" i="5"/>
  <c r="G97" i="5"/>
  <c r="I96" i="5"/>
  <c r="I97" i="5"/>
  <c r="G96" i="5"/>
  <c r="B5" i="5"/>
  <c r="B69" i="5"/>
  <c r="F17" i="19"/>
  <c r="A21" i="19" s="1"/>
  <c r="E35" i="20" s="1"/>
  <c r="E27" i="10" s="1"/>
  <c r="F18" i="19"/>
  <c r="D32" i="21"/>
  <c r="D31" i="21"/>
  <c r="E30" i="21"/>
  <c r="D30" i="21"/>
  <c r="G29" i="21"/>
  <c r="D29" i="21"/>
  <c r="E29" i="21"/>
  <c r="D8" i="21"/>
  <c r="D7" i="21"/>
  <c r="D3" i="1"/>
  <c r="D4" i="1"/>
  <c r="D5" i="1"/>
  <c r="D6" i="1"/>
  <c r="D7" i="1"/>
  <c r="D8" i="1"/>
  <c r="D9" i="1"/>
  <c r="D10" i="1"/>
  <c r="D11" i="1"/>
  <c r="D12" i="1"/>
  <c r="D13" i="1"/>
  <c r="D15" i="1"/>
  <c r="D16" i="1"/>
  <c r="D17" i="1"/>
  <c r="D18" i="1"/>
  <c r="D19" i="1"/>
  <c r="D20" i="1"/>
  <c r="D21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2" i="1"/>
  <c r="C15" i="17"/>
  <c r="H4" i="17"/>
  <c r="C4" i="17"/>
  <c r="I3" i="17"/>
  <c r="G3" i="17"/>
  <c r="F3" i="17"/>
  <c r="C3" i="17"/>
  <c r="F2" i="17"/>
  <c r="F18" i="20"/>
  <c r="D15" i="20"/>
  <c r="D4" i="20"/>
  <c r="G3" i="20"/>
  <c r="D3" i="20"/>
  <c r="G2" i="20"/>
  <c r="J34" i="20"/>
  <c r="J26" i="10" s="1"/>
  <c r="J35" i="20"/>
  <c r="J27" i="10" s="1"/>
  <c r="E4" i="13"/>
  <c r="N3" i="13"/>
  <c r="K3" i="13"/>
  <c r="J3" i="13"/>
  <c r="E3" i="13"/>
  <c r="J2" i="13"/>
  <c r="K6" i="13"/>
  <c r="K8" i="13"/>
  <c r="K10" i="13"/>
  <c r="K12" i="13"/>
  <c r="K14" i="13"/>
  <c r="K16" i="13"/>
  <c r="K18" i="13"/>
  <c r="K20" i="13"/>
  <c r="K22" i="13"/>
  <c r="K24" i="13"/>
  <c r="K26" i="13"/>
  <c r="K28" i="13"/>
  <c r="K30" i="13"/>
  <c r="K32" i="13"/>
  <c r="K34" i="13"/>
  <c r="K36" i="13"/>
  <c r="K38" i="13"/>
  <c r="K40" i="13"/>
  <c r="K42" i="13"/>
  <c r="K44" i="13"/>
  <c r="J6" i="13"/>
  <c r="K7" i="13" s="1"/>
  <c r="J8" i="13"/>
  <c r="J10" i="13"/>
  <c r="J12" i="13"/>
  <c r="J14" i="13"/>
  <c r="J16" i="13"/>
  <c r="J18" i="13"/>
  <c r="J20" i="13"/>
  <c r="J22" i="13"/>
  <c r="J24" i="13"/>
  <c r="K25" i="13" s="1"/>
  <c r="J26" i="13"/>
  <c r="I26" i="13"/>
  <c r="J28" i="13"/>
  <c r="I28" i="13"/>
  <c r="J30" i="13"/>
  <c r="I30" i="13"/>
  <c r="J32" i="13"/>
  <c r="I32" i="13"/>
  <c r="J34" i="13"/>
  <c r="J36" i="13"/>
  <c r="I36" i="13"/>
  <c r="J38" i="13"/>
  <c r="J40" i="13"/>
  <c r="I40" i="13"/>
  <c r="J42" i="13"/>
  <c r="K43" i="13" s="1"/>
  <c r="D42" i="13"/>
  <c r="D7" i="13"/>
  <c r="H7" i="13"/>
  <c r="M7" i="13"/>
  <c r="D45" i="13"/>
  <c r="D43" i="13"/>
  <c r="D41" i="13"/>
  <c r="D39" i="13"/>
  <c r="D37" i="13"/>
  <c r="D35" i="13"/>
  <c r="D33" i="13"/>
  <c r="D31" i="13"/>
  <c r="D29" i="13"/>
  <c r="D27" i="13"/>
  <c r="D21" i="13"/>
  <c r="D19" i="13"/>
  <c r="D17" i="13"/>
  <c r="D15" i="13"/>
  <c r="D13" i="13"/>
  <c r="D11" i="13"/>
  <c r="D9" i="13"/>
  <c r="D44" i="13"/>
  <c r="N45" i="13"/>
  <c r="M45" i="13"/>
  <c r="J44" i="13"/>
  <c r="K45" i="13" s="1"/>
  <c r="H45" i="13"/>
  <c r="N43" i="13"/>
  <c r="M43" i="13"/>
  <c r="H43" i="13"/>
  <c r="N41" i="13"/>
  <c r="M41" i="13"/>
  <c r="H41" i="13"/>
  <c r="N39" i="13"/>
  <c r="M39" i="13"/>
  <c r="H39" i="13"/>
  <c r="N37" i="13"/>
  <c r="M37" i="13"/>
  <c r="H37" i="13"/>
  <c r="B1" i="16"/>
  <c r="F1" i="16"/>
  <c r="I1" i="16"/>
  <c r="D1" i="16"/>
  <c r="AB1" i="16"/>
  <c r="K19" i="10"/>
  <c r="F21" i="10"/>
  <c r="D22" i="10"/>
  <c r="F22" i="10"/>
  <c r="F23" i="10"/>
  <c r="D24" i="10"/>
  <c r="F24" i="10"/>
  <c r="C26" i="10"/>
  <c r="G26" i="10"/>
  <c r="C27" i="10"/>
  <c r="G27" i="10"/>
  <c r="C28" i="10"/>
  <c r="E28" i="10"/>
  <c r="G28" i="10"/>
  <c r="J28" i="10"/>
  <c r="C29" i="10"/>
  <c r="E29" i="10"/>
  <c r="G29" i="10"/>
  <c r="J29" i="10"/>
  <c r="C30" i="10"/>
  <c r="E30" i="10"/>
  <c r="G30" i="10"/>
  <c r="J30" i="10"/>
  <c r="D32" i="10"/>
  <c r="G37" i="30"/>
  <c r="B35" i="30"/>
  <c r="G18" i="30"/>
  <c r="G19" i="30"/>
  <c r="G20" i="30"/>
  <c r="B21" i="30"/>
  <c r="F3" i="30"/>
  <c r="F4" i="30"/>
  <c r="B3" i="30"/>
  <c r="F5" i="30"/>
  <c r="G6" i="30"/>
  <c r="B34" i="28"/>
  <c r="A10" i="28"/>
  <c r="F3" i="28"/>
  <c r="F4" i="28"/>
  <c r="B3" i="28"/>
  <c r="F5" i="28"/>
  <c r="G6" i="28"/>
  <c r="B35" i="31"/>
  <c r="B21" i="31"/>
  <c r="G17" i="31"/>
  <c r="G18" i="31"/>
  <c r="G19" i="31"/>
  <c r="G20" i="31"/>
  <c r="G37" i="31"/>
  <c r="F3" i="31"/>
  <c r="F4" i="31"/>
  <c r="B3" i="31"/>
  <c r="F5" i="31"/>
  <c r="G6" i="31"/>
  <c r="G19" i="29"/>
  <c r="B35" i="29"/>
  <c r="G38" i="29"/>
  <c r="G17" i="29"/>
  <c r="G18" i="29"/>
  <c r="G20" i="29"/>
  <c r="B21" i="29"/>
  <c r="A10" i="29"/>
  <c r="F3" i="29"/>
  <c r="F4" i="29"/>
  <c r="B3" i="29"/>
  <c r="F5" i="29"/>
  <c r="G6" i="29"/>
  <c r="B32" i="32"/>
  <c r="A9" i="32"/>
  <c r="F3" i="32"/>
  <c r="F4" i="32"/>
  <c r="B3" i="32"/>
  <c r="F5" i="32"/>
  <c r="G6" i="32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20" i="2"/>
  <c r="T21" i="2"/>
  <c r="T22" i="2"/>
  <c r="T23" i="2"/>
  <c r="T24" i="2"/>
  <c r="T25" i="2"/>
  <c r="T26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2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3" i="2"/>
  <c r="I12" i="20" l="1"/>
  <c r="P33" i="14"/>
  <c r="G13" i="32"/>
  <c r="G15" i="32" s="1"/>
  <c r="A13" i="32" s="1"/>
  <c r="G15" i="31"/>
  <c r="G14" i="31" s="1"/>
  <c r="G16" i="30"/>
  <c r="G15" i="30" s="1"/>
  <c r="AC23" i="16"/>
  <c r="AA23" i="16"/>
  <c r="S23" i="16"/>
  <c r="K23" i="16"/>
  <c r="Z23" i="16"/>
  <c r="R23" i="16"/>
  <c r="J23" i="16"/>
  <c r="W23" i="16"/>
  <c r="O23" i="16"/>
  <c r="AD23" i="16"/>
  <c r="V23" i="16"/>
  <c r="N23" i="16"/>
  <c r="F23" i="16"/>
  <c r="T23" i="16"/>
  <c r="I23" i="16"/>
  <c r="Y23" i="16"/>
  <c r="H23" i="16"/>
  <c r="X23" i="16"/>
  <c r="M23" i="16"/>
  <c r="L23" i="16"/>
  <c r="AB23" i="16"/>
  <c r="Q23" i="16"/>
  <c r="P23" i="16"/>
  <c r="E23" i="16"/>
  <c r="U23" i="16"/>
  <c r="I44" i="13"/>
  <c r="I42" i="13"/>
  <c r="G26" i="30"/>
  <c r="F13" i="21"/>
  <c r="D8" i="3"/>
  <c r="D24" i="3"/>
  <c r="E31" i="3"/>
  <c r="D27" i="20"/>
  <c r="E87" i="5" s="1"/>
  <c r="D87" i="5" s="1"/>
  <c r="D10" i="5"/>
  <c r="Z2" i="14"/>
  <c r="AA2" i="14" s="1"/>
  <c r="Z10" i="14"/>
  <c r="AA10" i="14" s="1"/>
  <c r="Z9" i="14"/>
  <c r="AA9" i="14" s="1"/>
  <c r="Z8" i="14"/>
  <c r="AA8" i="14" s="1"/>
  <c r="Z7" i="14"/>
  <c r="AA7" i="14" s="1"/>
  <c r="Z6" i="14"/>
  <c r="AA6" i="14" s="1"/>
  <c r="Z5" i="14"/>
  <c r="AA5" i="14" s="1"/>
  <c r="Z4" i="14"/>
  <c r="AA4" i="14" s="1"/>
  <c r="Z21" i="14"/>
  <c r="AA21" i="14" s="1"/>
  <c r="S3" i="14"/>
  <c r="Z3" i="14"/>
  <c r="AA3" i="14" s="1"/>
  <c r="Z20" i="14"/>
  <c r="AA20" i="14" s="1"/>
  <c r="Z19" i="14"/>
  <c r="AA19" i="14" s="1"/>
  <c r="Z18" i="14"/>
  <c r="AA18" i="14" s="1"/>
  <c r="Z17" i="14"/>
  <c r="AA17" i="14" s="1"/>
  <c r="Z16" i="14"/>
  <c r="AA16" i="14" s="1"/>
  <c r="Z15" i="14"/>
  <c r="AA15" i="14" s="1"/>
  <c r="Z14" i="14"/>
  <c r="AA14" i="14" s="1"/>
  <c r="Z13" i="14"/>
  <c r="AA13" i="14" s="1"/>
  <c r="Z12" i="14"/>
  <c r="AA12" i="14" s="1"/>
  <c r="Z11" i="14"/>
  <c r="AA11" i="14" s="1"/>
  <c r="E20" i="20"/>
  <c r="D4" i="27"/>
  <c r="D8" i="27"/>
  <c r="D12" i="27"/>
  <c r="D5" i="27"/>
  <c r="D9" i="27"/>
  <c r="D13" i="27"/>
  <c r="D2" i="27"/>
  <c r="D6" i="27"/>
  <c r="D10" i="27"/>
  <c r="D3" i="27"/>
  <c r="D7" i="27"/>
  <c r="D11" i="27"/>
  <c r="H13" i="20"/>
  <c r="F3" i="27"/>
  <c r="F5" i="27"/>
  <c r="F7" i="27"/>
  <c r="F9" i="27"/>
  <c r="F11" i="27"/>
  <c r="F13" i="27"/>
  <c r="F4" i="27"/>
  <c r="F6" i="27"/>
  <c r="F8" i="27"/>
  <c r="F10" i="27"/>
  <c r="F12" i="27"/>
  <c r="F2" i="27"/>
  <c r="H12" i="20"/>
  <c r="E4" i="27"/>
  <c r="E8" i="27"/>
  <c r="E12" i="27"/>
  <c r="E3" i="27"/>
  <c r="E7" i="27"/>
  <c r="E11" i="27"/>
  <c r="E6" i="27"/>
  <c r="E10" i="27"/>
  <c r="E2" i="27"/>
  <c r="E5" i="27"/>
  <c r="E9" i="27"/>
  <c r="E13" i="27"/>
  <c r="C12" i="27"/>
  <c r="C13" i="27"/>
  <c r="C11" i="27"/>
  <c r="D12" i="20"/>
  <c r="D9" i="5" s="1"/>
  <c r="S2" i="14"/>
  <c r="T2" i="14"/>
  <c r="I9" i="61"/>
  <c r="M9" i="61"/>
  <c r="Q9" i="61"/>
  <c r="U9" i="61"/>
  <c r="Y9" i="61"/>
  <c r="AC9" i="61"/>
  <c r="N9" i="61"/>
  <c r="V9" i="61"/>
  <c r="AD9" i="61"/>
  <c r="K9" i="61"/>
  <c r="O9" i="61"/>
  <c r="S9" i="61"/>
  <c r="W9" i="61"/>
  <c r="AA9" i="61"/>
  <c r="AE9" i="61"/>
  <c r="H9" i="61"/>
  <c r="L9" i="61"/>
  <c r="P9" i="61"/>
  <c r="T9" i="61"/>
  <c r="X9" i="61"/>
  <c r="AB9" i="61"/>
  <c r="J9" i="61"/>
  <c r="R9" i="61"/>
  <c r="Z9" i="61"/>
  <c r="H5" i="61"/>
  <c r="AB5" i="61"/>
  <c r="I5" i="61"/>
  <c r="M5" i="61"/>
  <c r="Q5" i="61"/>
  <c r="U5" i="61"/>
  <c r="Y5" i="61"/>
  <c r="AC5" i="61"/>
  <c r="J5" i="61"/>
  <c r="N5" i="61"/>
  <c r="R5" i="61"/>
  <c r="V5" i="61"/>
  <c r="Z5" i="61"/>
  <c r="AD5" i="61"/>
  <c r="K5" i="61"/>
  <c r="O5" i="61"/>
  <c r="S5" i="61"/>
  <c r="W5" i="61"/>
  <c r="AA5" i="61"/>
  <c r="AE5" i="61"/>
  <c r="L5" i="61"/>
  <c r="P5" i="61"/>
  <c r="T5" i="61"/>
  <c r="X5" i="61"/>
  <c r="H4" i="61"/>
  <c r="L4" i="61"/>
  <c r="P4" i="61"/>
  <c r="T4" i="61"/>
  <c r="X4" i="61"/>
  <c r="AB4" i="61"/>
  <c r="N4" i="61"/>
  <c r="Z4" i="61"/>
  <c r="I4" i="61"/>
  <c r="K4" i="61"/>
  <c r="O4" i="61"/>
  <c r="S4" i="61"/>
  <c r="W4" i="61"/>
  <c r="AA4" i="61"/>
  <c r="AE4" i="61"/>
  <c r="M4" i="61"/>
  <c r="Q4" i="61"/>
  <c r="U4" i="61"/>
  <c r="Y4" i="61"/>
  <c r="AC4" i="61"/>
  <c r="J4" i="61"/>
  <c r="R4" i="61"/>
  <c r="V4" i="61"/>
  <c r="AD4" i="61"/>
  <c r="H12" i="61"/>
  <c r="I12" i="61"/>
  <c r="M12" i="61"/>
  <c r="Q12" i="61"/>
  <c r="U12" i="61"/>
  <c r="Y12" i="61"/>
  <c r="AC12" i="61"/>
  <c r="R12" i="61"/>
  <c r="AD12" i="61"/>
  <c r="J12" i="61"/>
  <c r="V12" i="61"/>
  <c r="K12" i="61"/>
  <c r="O12" i="61"/>
  <c r="S12" i="61"/>
  <c r="W12" i="61"/>
  <c r="AA12" i="61"/>
  <c r="AE12" i="61"/>
  <c r="L12" i="61"/>
  <c r="P12" i="61"/>
  <c r="T12" i="61"/>
  <c r="X12" i="61"/>
  <c r="AB12" i="61"/>
  <c r="N12" i="61"/>
  <c r="Z12" i="61"/>
  <c r="D22" i="16"/>
  <c r="E22" i="16" s="1"/>
  <c r="D22" i="61"/>
  <c r="D21" i="16"/>
  <c r="W21" i="16" s="1"/>
  <c r="D21" i="61"/>
  <c r="D20" i="16"/>
  <c r="F20" i="16" s="1"/>
  <c r="D20" i="61"/>
  <c r="D19" i="16"/>
  <c r="S19" i="16" s="1"/>
  <c r="D19" i="61"/>
  <c r="Z18" i="61"/>
  <c r="AD18" i="61"/>
  <c r="V18" i="61"/>
  <c r="N18" i="61"/>
  <c r="Y18" i="61"/>
  <c r="I18" i="61"/>
  <c r="S18" i="61"/>
  <c r="T18" i="61"/>
  <c r="P18" i="61"/>
  <c r="M18" i="61"/>
  <c r="U18" i="61"/>
  <c r="E18" i="61"/>
  <c r="O18" i="61"/>
  <c r="L18" i="61"/>
  <c r="H18" i="61"/>
  <c r="AC18" i="61"/>
  <c r="X18" i="61"/>
  <c r="J18" i="61"/>
  <c r="Q18" i="61"/>
  <c r="AA18" i="61"/>
  <c r="K18" i="61"/>
  <c r="F18" i="61"/>
  <c r="R18" i="61"/>
  <c r="W18" i="61"/>
  <c r="AB18" i="61"/>
  <c r="D17" i="16"/>
  <c r="Q17" i="16" s="1"/>
  <c r="D17" i="61"/>
  <c r="M33" i="13"/>
  <c r="D16" i="61"/>
  <c r="N31" i="13"/>
  <c r="D15" i="61"/>
  <c r="K29" i="13"/>
  <c r="D14" i="61"/>
  <c r="G20" i="16"/>
  <c r="G20" i="61"/>
  <c r="G19" i="16"/>
  <c r="G19" i="61"/>
  <c r="G18" i="16"/>
  <c r="G18" i="61"/>
  <c r="I6" i="13"/>
  <c r="E3" i="61"/>
  <c r="N27" i="13"/>
  <c r="D13" i="61"/>
  <c r="F12" i="61"/>
  <c r="E12" i="61"/>
  <c r="N23" i="13"/>
  <c r="D11" i="61"/>
  <c r="D10" i="16"/>
  <c r="Z10" i="16" s="1"/>
  <c r="D10" i="61"/>
  <c r="F9" i="61"/>
  <c r="E9" i="61"/>
  <c r="D8" i="16"/>
  <c r="W8" i="16" s="1"/>
  <c r="D8" i="61"/>
  <c r="D7" i="16"/>
  <c r="Q7" i="16" s="1"/>
  <c r="D7" i="61"/>
  <c r="D6" i="16"/>
  <c r="X6" i="16" s="1"/>
  <c r="D6" i="61"/>
  <c r="E5" i="61"/>
  <c r="F5" i="61"/>
  <c r="F4" i="61"/>
  <c r="E4" i="61"/>
  <c r="D18" i="16"/>
  <c r="F18" i="16" s="1"/>
  <c r="K37" i="13"/>
  <c r="R2" i="14"/>
  <c r="N7" i="13"/>
  <c r="G24" i="28"/>
  <c r="E29" i="20"/>
  <c r="F89" i="5" s="1"/>
  <c r="D89" i="5" s="1"/>
  <c r="L89" i="5" s="1"/>
  <c r="E30" i="20"/>
  <c r="F90" i="5" s="1"/>
  <c r="D90" i="5" s="1"/>
  <c r="L90" i="5" s="1"/>
  <c r="E26" i="20"/>
  <c r="G16" i="29"/>
  <c r="G15" i="29" s="1"/>
  <c r="F10" i="21"/>
  <c r="G33" i="29" s="1"/>
  <c r="E23" i="20"/>
  <c r="F79" i="5" s="1"/>
  <c r="D79" i="5" s="1"/>
  <c r="L79" i="5" s="1"/>
  <c r="I17" i="20"/>
  <c r="I70" i="5" s="1"/>
  <c r="H70" i="5" s="1"/>
  <c r="G17" i="32"/>
  <c r="G18" i="32" s="1"/>
  <c r="G19" i="32" s="1"/>
  <c r="A17" i="32" s="1"/>
  <c r="G16" i="31"/>
  <c r="G16" i="28"/>
  <c r="G15" i="28" s="1"/>
  <c r="F75" i="5" s="1"/>
  <c r="D75" i="5" s="1"/>
  <c r="L75" i="5" s="1"/>
  <c r="D11" i="20"/>
  <c r="D8" i="5" s="1"/>
  <c r="S4" i="14"/>
  <c r="E55" i="5"/>
  <c r="R3" i="14"/>
  <c r="C9" i="27"/>
  <c r="C5" i="27"/>
  <c r="C8" i="27"/>
  <c r="C4" i="27"/>
  <c r="C7" i="27"/>
  <c r="C3" i="27"/>
  <c r="C10" i="27"/>
  <c r="C6" i="27"/>
  <c r="C2" i="27"/>
  <c r="K13" i="12"/>
  <c r="L13" i="12" s="1"/>
  <c r="L18" i="12" s="1"/>
  <c r="E20" i="10"/>
  <c r="K15" i="12"/>
  <c r="K14" i="12"/>
  <c r="M14" i="12" s="1"/>
  <c r="I10" i="13"/>
  <c r="AC14" i="10"/>
  <c r="H11" i="20"/>
  <c r="I8" i="13"/>
  <c r="K19" i="13"/>
  <c r="AC18" i="10"/>
  <c r="J15" i="10"/>
  <c r="J57" i="5" s="1"/>
  <c r="E20" i="3"/>
  <c r="D16" i="3"/>
  <c r="D14" i="3"/>
  <c r="D15" i="3"/>
  <c r="D28" i="3"/>
  <c r="E15" i="3"/>
  <c r="G5" i="3"/>
  <c r="D20" i="3"/>
  <c r="E33" i="3"/>
  <c r="D36" i="3"/>
  <c r="D33" i="3"/>
  <c r="E24" i="3"/>
  <c r="E9" i="3"/>
  <c r="D19" i="3"/>
  <c r="D12" i="3"/>
  <c r="E36" i="3"/>
  <c r="D35" i="3"/>
  <c r="E25" i="3"/>
  <c r="E19" i="3"/>
  <c r="E16" i="3"/>
  <c r="E11" i="3"/>
  <c r="E30" i="3"/>
  <c r="D11" i="3"/>
  <c r="E27" i="3"/>
  <c r="D10" i="3"/>
  <c r="C5" i="3"/>
  <c r="M17" i="13"/>
  <c r="K33" i="13"/>
  <c r="G24" i="10"/>
  <c r="B3" i="24"/>
  <c r="H9" i="20"/>
  <c r="N21" i="13"/>
  <c r="M35" i="13"/>
  <c r="H21" i="13"/>
  <c r="H33" i="13"/>
  <c r="C63" i="5"/>
  <c r="G63" i="5" s="1"/>
  <c r="M19" i="13"/>
  <c r="N33" i="13"/>
  <c r="E21" i="20"/>
  <c r="K9" i="13"/>
  <c r="C60" i="9"/>
  <c r="L16" i="13"/>
  <c r="D14" i="16"/>
  <c r="R14" i="16" s="1"/>
  <c r="L158" i="5"/>
  <c r="K13" i="13"/>
  <c r="D12" i="16"/>
  <c r="V12" i="16" s="1"/>
  <c r="L42" i="5"/>
  <c r="E14" i="3"/>
  <c r="D27" i="3"/>
  <c r="D30" i="3"/>
  <c r="L160" i="5"/>
  <c r="N17" i="13"/>
  <c r="H17" i="13"/>
  <c r="H15" i="13"/>
  <c r="N15" i="13"/>
  <c r="K35" i="13"/>
  <c r="L34" i="13"/>
  <c r="H31" i="13"/>
  <c r="K27" i="13"/>
  <c r="AA3" i="16"/>
  <c r="J3" i="16"/>
  <c r="X3" i="16"/>
  <c r="AB3" i="16"/>
  <c r="L3" i="16"/>
  <c r="G23" i="10"/>
  <c r="E22" i="10"/>
  <c r="C62" i="5"/>
  <c r="G62" i="5" s="1"/>
  <c r="AC11" i="10"/>
  <c r="G23" i="32"/>
  <c r="G30" i="30"/>
  <c r="I7" i="21"/>
  <c r="G27" i="32"/>
  <c r="G30" i="29"/>
  <c r="G30" i="31"/>
  <c r="K21" i="13"/>
  <c r="M21" i="13"/>
  <c r="L20" i="13"/>
  <c r="K17" i="13"/>
  <c r="K15" i="13"/>
  <c r="N9" i="13"/>
  <c r="H9" i="13"/>
  <c r="K31" i="13"/>
  <c r="M29" i="13"/>
  <c r="T3" i="16"/>
  <c r="P3" i="16"/>
  <c r="O40" i="13"/>
  <c r="M38" i="13"/>
  <c r="AC15" i="14"/>
  <c r="C35" i="9" s="1"/>
  <c r="E23" i="10"/>
  <c r="B26" i="24"/>
  <c r="C26" i="24" s="1"/>
  <c r="G31" i="29"/>
  <c r="G30" i="28"/>
  <c r="G28" i="32"/>
  <c r="L44" i="5"/>
  <c r="L41" i="5"/>
  <c r="L39" i="5"/>
  <c r="G26" i="31"/>
  <c r="G26" i="29"/>
  <c r="D31" i="3"/>
  <c r="I11" i="20"/>
  <c r="G25" i="31"/>
  <c r="G25" i="30"/>
  <c r="G22" i="32"/>
  <c r="G25" i="29"/>
  <c r="K4" i="21"/>
  <c r="D4" i="21"/>
  <c r="G4" i="21"/>
  <c r="I4" i="21"/>
  <c r="M4" i="21"/>
  <c r="M24" i="21" s="1"/>
  <c r="B32" i="24" s="1"/>
  <c r="C32" i="24" s="1"/>
  <c r="AC14" i="14"/>
  <c r="C34" i="9" s="1"/>
  <c r="L159" i="5"/>
  <c r="K9" i="14"/>
  <c r="AE9" i="14" s="1"/>
  <c r="AD9" i="14" s="1"/>
  <c r="H19" i="13"/>
  <c r="N19" i="13"/>
  <c r="K7" i="14"/>
  <c r="M7" i="14" s="1"/>
  <c r="C8" i="61" s="1"/>
  <c r="L14" i="13"/>
  <c r="M15" i="13"/>
  <c r="M13" i="13"/>
  <c r="H13" i="13"/>
  <c r="N13" i="13"/>
  <c r="L12" i="13"/>
  <c r="K5" i="14"/>
  <c r="AE5" i="14" s="1"/>
  <c r="AD5" i="14" s="1"/>
  <c r="K21" i="14"/>
  <c r="AE21" i="14" s="1"/>
  <c r="AD21" i="14" s="1"/>
  <c r="M9" i="13"/>
  <c r="K3" i="14"/>
  <c r="M3" i="14" s="1"/>
  <c r="C4" i="61" s="1"/>
  <c r="K19" i="14"/>
  <c r="AE19" i="14" s="1"/>
  <c r="AD19" i="14" s="1"/>
  <c r="K17" i="14"/>
  <c r="H35" i="13"/>
  <c r="N35" i="13"/>
  <c r="K15" i="14"/>
  <c r="AE15" i="14" s="1"/>
  <c r="AD15" i="14" s="1"/>
  <c r="H29" i="13"/>
  <c r="N29" i="13"/>
  <c r="L28" i="13"/>
  <c r="K13" i="14"/>
  <c r="M13" i="14" s="1"/>
  <c r="M27" i="13"/>
  <c r="H27" i="13"/>
  <c r="K11" i="14"/>
  <c r="M11" i="14" s="1"/>
  <c r="C12" i="61" s="1"/>
  <c r="H3" i="16"/>
  <c r="M3" i="16"/>
  <c r="Q3" i="16"/>
  <c r="U3" i="16"/>
  <c r="Y3" i="16"/>
  <c r="AC3" i="16"/>
  <c r="I3" i="16"/>
  <c r="N3" i="16"/>
  <c r="R3" i="16"/>
  <c r="V3" i="16"/>
  <c r="Z3" i="16"/>
  <c r="AD3" i="16"/>
  <c r="K3" i="16"/>
  <c r="O3" i="16"/>
  <c r="S3" i="16"/>
  <c r="W3" i="16"/>
  <c r="M44" i="13"/>
  <c r="O38" i="13"/>
  <c r="M40" i="13"/>
  <c r="AC18" i="14"/>
  <c r="C38" i="9" s="1"/>
  <c r="M36" i="13"/>
  <c r="O36" i="13"/>
  <c r="E24" i="10"/>
  <c r="G22" i="10"/>
  <c r="E21" i="10"/>
  <c r="G21" i="10"/>
  <c r="G26" i="20"/>
  <c r="J11" i="21"/>
  <c r="I13" i="20"/>
  <c r="G31" i="30"/>
  <c r="G31" i="31"/>
  <c r="C57" i="9"/>
  <c r="J15" i="17"/>
  <c r="E72" i="5"/>
  <c r="D72" i="5"/>
  <c r="G17" i="30"/>
  <c r="H4" i="21"/>
  <c r="H24" i="21" s="1"/>
  <c r="B11" i="24" s="1"/>
  <c r="L4" i="21"/>
  <c r="N4" i="21"/>
  <c r="J4" i="21"/>
  <c r="K9" i="21"/>
  <c r="G32" i="29"/>
  <c r="G32" i="30"/>
  <c r="G31" i="28"/>
  <c r="G32" i="31"/>
  <c r="K8" i="14"/>
  <c r="K6" i="14"/>
  <c r="M6" i="14" s="1"/>
  <c r="C7" i="61" s="1"/>
  <c r="K20" i="14"/>
  <c r="M20" i="14" s="1"/>
  <c r="K18" i="14"/>
  <c r="M18" i="14" s="1"/>
  <c r="K16" i="14"/>
  <c r="K14" i="14"/>
  <c r="AE14" i="14" s="1"/>
  <c r="AD14" i="14" s="1"/>
  <c r="K12" i="14"/>
  <c r="M12" i="14" s="1"/>
  <c r="K2" i="14"/>
  <c r="AE2" i="14" s="1"/>
  <c r="AD2" i="14" s="1"/>
  <c r="K10" i="14"/>
  <c r="K4" i="14"/>
  <c r="M4" i="14" s="1"/>
  <c r="C5" i="61" s="1"/>
  <c r="G29" i="32"/>
  <c r="AC10" i="10"/>
  <c r="J10" i="10"/>
  <c r="J52" i="5" s="1"/>
  <c r="J11" i="10"/>
  <c r="J53" i="5" s="1"/>
  <c r="C52" i="5"/>
  <c r="G52" i="5" s="1"/>
  <c r="C53" i="5"/>
  <c r="C56" i="5"/>
  <c r="J9" i="10"/>
  <c r="J51" i="5" s="1"/>
  <c r="G9" i="10"/>
  <c r="J13" i="10"/>
  <c r="C51" i="5"/>
  <c r="J14" i="10"/>
  <c r="C60" i="5"/>
  <c r="B12" i="24"/>
  <c r="C54" i="5"/>
  <c r="J12" i="10"/>
  <c r="L55" i="5"/>
  <c r="J16" i="10"/>
  <c r="C59" i="5"/>
  <c r="C58" i="5"/>
  <c r="J18" i="10"/>
  <c r="J17" i="10"/>
  <c r="G4" i="20"/>
  <c r="J4" i="13"/>
  <c r="K2" i="13"/>
  <c r="F4" i="17"/>
  <c r="C2" i="17"/>
  <c r="D2" i="20"/>
  <c r="A18" i="19"/>
  <c r="E34" i="20" s="1"/>
  <c r="E26" i="10" s="1"/>
  <c r="H2" i="20"/>
  <c r="D5" i="3"/>
  <c r="E2" i="13"/>
  <c r="G2" i="17"/>
  <c r="D3" i="5"/>
  <c r="C61" i="5"/>
  <c r="L10" i="13"/>
  <c r="G5" i="61" s="1"/>
  <c r="D5" i="16"/>
  <c r="K11" i="13"/>
  <c r="N11" i="13"/>
  <c r="H11" i="13"/>
  <c r="D11" i="16"/>
  <c r="L22" i="13"/>
  <c r="G11" i="61" s="1"/>
  <c r="M23" i="13"/>
  <c r="M11" i="13"/>
  <c r="K23" i="13"/>
  <c r="B16" i="24"/>
  <c r="D16" i="24" s="1"/>
  <c r="O42" i="13"/>
  <c r="G21" i="16" s="1"/>
  <c r="M42" i="13"/>
  <c r="C65" i="5"/>
  <c r="D15" i="16"/>
  <c r="L30" i="13"/>
  <c r="G15" i="61" s="1"/>
  <c r="M31" i="13"/>
  <c r="M6" i="13"/>
  <c r="O6" i="13"/>
  <c r="F22" i="21"/>
  <c r="O44" i="13"/>
  <c r="H23" i="13"/>
  <c r="F87" i="5"/>
  <c r="G20" i="10"/>
  <c r="F18" i="21"/>
  <c r="G18" i="21" s="1"/>
  <c r="N18" i="21" s="1"/>
  <c r="I11" i="21"/>
  <c r="H26" i="20"/>
  <c r="D9" i="20"/>
  <c r="C9" i="20"/>
  <c r="L32" i="13"/>
  <c r="G16" i="61" s="1"/>
  <c r="D16" i="16"/>
  <c r="L26" i="13"/>
  <c r="G13" i="61" s="1"/>
  <c r="D13" i="16"/>
  <c r="C57" i="5"/>
  <c r="C64" i="5"/>
  <c r="I15" i="17"/>
  <c r="B19" i="24" s="1"/>
  <c r="C19" i="24" s="1"/>
  <c r="D4" i="16"/>
  <c r="L8" i="13"/>
  <c r="F71" i="5"/>
  <c r="D71" i="5" s="1"/>
  <c r="L18" i="13"/>
  <c r="G9" i="61" s="1"/>
  <c r="D9" i="16"/>
  <c r="F3" i="16"/>
  <c r="E3" i="16"/>
  <c r="F21" i="21"/>
  <c r="R33" i="14" l="1"/>
  <c r="B20" i="24" s="1"/>
  <c r="C20" i="24" s="1"/>
  <c r="G13" i="31"/>
  <c r="S33" i="14"/>
  <c r="G14" i="30"/>
  <c r="G22" i="61"/>
  <c r="G32" i="16"/>
  <c r="G22" i="16"/>
  <c r="H25" i="13"/>
  <c r="N25" i="13"/>
  <c r="O24" i="13"/>
  <c r="M25" i="13"/>
  <c r="M24" i="13"/>
  <c r="L24" i="13"/>
  <c r="G12" i="61" s="1"/>
  <c r="X21" i="14"/>
  <c r="AC21" i="14" s="1"/>
  <c r="C41" i="9" s="1"/>
  <c r="G21" i="61"/>
  <c r="D7" i="3"/>
  <c r="D23" i="3"/>
  <c r="C19" i="61"/>
  <c r="J39" i="13"/>
  <c r="C19" i="16"/>
  <c r="C14" i="61"/>
  <c r="J29" i="13"/>
  <c r="C14" i="16"/>
  <c r="C13" i="61"/>
  <c r="C13" i="16"/>
  <c r="J27" i="13"/>
  <c r="R19" i="16"/>
  <c r="C21" i="61"/>
  <c r="J43" i="13"/>
  <c r="C21" i="16"/>
  <c r="G13" i="27"/>
  <c r="B41" i="24" s="1"/>
  <c r="G12" i="27"/>
  <c r="B39" i="24" s="1"/>
  <c r="G11" i="27"/>
  <c r="B37" i="24" s="1"/>
  <c r="AC19" i="16"/>
  <c r="H19" i="16"/>
  <c r="V19" i="16"/>
  <c r="L19" i="16"/>
  <c r="Y19" i="16"/>
  <c r="F19" i="16"/>
  <c r="X19" i="16"/>
  <c r="U19" i="16"/>
  <c r="AB19" i="16"/>
  <c r="K19" i="16"/>
  <c r="AD19" i="16"/>
  <c r="N19" i="16"/>
  <c r="T19" i="16"/>
  <c r="O19" i="16"/>
  <c r="E19" i="16"/>
  <c r="Z19" i="16"/>
  <c r="J19" i="16"/>
  <c r="P19" i="16"/>
  <c r="M19" i="16"/>
  <c r="W19" i="16"/>
  <c r="U22" i="16"/>
  <c r="O22" i="16"/>
  <c r="V20" i="16"/>
  <c r="X20" i="16"/>
  <c r="U20" i="16"/>
  <c r="H20" i="16"/>
  <c r="AB22" i="16"/>
  <c r="L22" i="16"/>
  <c r="V22" i="16"/>
  <c r="Q20" i="16"/>
  <c r="L20" i="16"/>
  <c r="K20" i="16"/>
  <c r="Z20" i="16"/>
  <c r="AC20" i="16"/>
  <c r="W20" i="16"/>
  <c r="O20" i="16"/>
  <c r="N20" i="16"/>
  <c r="AD20" i="16"/>
  <c r="J20" i="16"/>
  <c r="M20" i="16"/>
  <c r="AB20" i="16"/>
  <c r="Y22" i="16"/>
  <c r="I22" i="16"/>
  <c r="P22" i="16"/>
  <c r="S22" i="16"/>
  <c r="N22" i="16"/>
  <c r="F22" i="16"/>
  <c r="Q22" i="16"/>
  <c r="X22" i="16"/>
  <c r="H22" i="16"/>
  <c r="R22" i="16"/>
  <c r="W22" i="16"/>
  <c r="AD22" i="16"/>
  <c r="AC22" i="16"/>
  <c r="M22" i="16"/>
  <c r="T22" i="16"/>
  <c r="K22" i="16"/>
  <c r="J22" i="16"/>
  <c r="E20" i="16"/>
  <c r="U8" i="16"/>
  <c r="H10" i="16"/>
  <c r="N10" i="16"/>
  <c r="K10" i="16"/>
  <c r="E10" i="16"/>
  <c r="S8" i="16"/>
  <c r="AA22" i="16"/>
  <c r="Z22" i="16"/>
  <c r="AD17" i="16"/>
  <c r="E17" i="16"/>
  <c r="AB17" i="16"/>
  <c r="S20" i="16"/>
  <c r="AA20" i="16"/>
  <c r="P8" i="16"/>
  <c r="N8" i="16"/>
  <c r="X8" i="16"/>
  <c r="AD8" i="16"/>
  <c r="H17" i="16"/>
  <c r="N17" i="16"/>
  <c r="L17" i="16"/>
  <c r="O17" i="16"/>
  <c r="F17" i="16"/>
  <c r="R17" i="16"/>
  <c r="X17" i="16"/>
  <c r="M17" i="16"/>
  <c r="G3" i="61"/>
  <c r="V17" i="16"/>
  <c r="P17" i="16"/>
  <c r="K17" i="16"/>
  <c r="AC17" i="16"/>
  <c r="I17" i="16"/>
  <c r="R20" i="16"/>
  <c r="Y20" i="16"/>
  <c r="I20" i="16"/>
  <c r="T20" i="16"/>
  <c r="P20" i="16"/>
  <c r="U10" i="16"/>
  <c r="AA10" i="16"/>
  <c r="T10" i="16"/>
  <c r="L10" i="16"/>
  <c r="O10" i="16"/>
  <c r="I10" i="16"/>
  <c r="AD10" i="16"/>
  <c r="S10" i="16"/>
  <c r="M10" i="16"/>
  <c r="AC10" i="16"/>
  <c r="R10" i="16"/>
  <c r="V10" i="16"/>
  <c r="W10" i="16"/>
  <c r="Q10" i="16"/>
  <c r="F10" i="16"/>
  <c r="J10" i="16"/>
  <c r="P10" i="16"/>
  <c r="AB10" i="16"/>
  <c r="Y10" i="16"/>
  <c r="X10" i="16"/>
  <c r="M8" i="16"/>
  <c r="AC8" i="16"/>
  <c r="AB8" i="16"/>
  <c r="V8" i="16"/>
  <c r="K8" i="16"/>
  <c r="AA8" i="16"/>
  <c r="H8" i="16"/>
  <c r="Q8" i="16"/>
  <c r="L8" i="16"/>
  <c r="J8" i="16"/>
  <c r="Z8" i="16"/>
  <c r="O8" i="16"/>
  <c r="E8" i="16"/>
  <c r="I8" i="16"/>
  <c r="Y8" i="16"/>
  <c r="T8" i="16"/>
  <c r="R8" i="16"/>
  <c r="F8" i="16"/>
  <c r="J17" i="16"/>
  <c r="S17" i="16"/>
  <c r="T17" i="16"/>
  <c r="Z17" i="16"/>
  <c r="AA17" i="16"/>
  <c r="U17" i="16"/>
  <c r="Y17" i="16"/>
  <c r="W17" i="16"/>
  <c r="T21" i="16"/>
  <c r="M21" i="16"/>
  <c r="AC21" i="16"/>
  <c r="V21" i="16"/>
  <c r="O21" i="16"/>
  <c r="E21" i="16"/>
  <c r="F21" i="16"/>
  <c r="P21" i="16"/>
  <c r="I21" i="16"/>
  <c r="Y21" i="16"/>
  <c r="R21" i="16"/>
  <c r="K21" i="16"/>
  <c r="AA21" i="16"/>
  <c r="H21" i="16"/>
  <c r="X21" i="16"/>
  <c r="Q21" i="16"/>
  <c r="J21" i="16"/>
  <c r="Z21" i="16"/>
  <c r="S21" i="16"/>
  <c r="L21" i="16"/>
  <c r="AB21" i="16"/>
  <c r="U21" i="16"/>
  <c r="N21" i="16"/>
  <c r="AD21" i="16"/>
  <c r="H7" i="16"/>
  <c r="P18" i="16"/>
  <c r="S18" i="16"/>
  <c r="E18" i="16"/>
  <c r="Y18" i="16"/>
  <c r="T7" i="16"/>
  <c r="AB7" i="16"/>
  <c r="V7" i="16"/>
  <c r="U7" i="16"/>
  <c r="F7" i="16"/>
  <c r="O7" i="16"/>
  <c r="I11" i="61"/>
  <c r="M11" i="61"/>
  <c r="Q11" i="61"/>
  <c r="U11" i="61"/>
  <c r="Y11" i="61"/>
  <c r="AC11" i="61"/>
  <c r="N11" i="61"/>
  <c r="V11" i="61"/>
  <c r="AD11" i="61"/>
  <c r="K11" i="61"/>
  <c r="O11" i="61"/>
  <c r="S11" i="61"/>
  <c r="W11" i="61"/>
  <c r="AA11" i="61"/>
  <c r="AE11" i="61"/>
  <c r="H11" i="61"/>
  <c r="L11" i="61"/>
  <c r="P11" i="61"/>
  <c r="T11" i="61"/>
  <c r="X11" i="61"/>
  <c r="AB11" i="61"/>
  <c r="J11" i="61"/>
  <c r="R11" i="61"/>
  <c r="Z11" i="61"/>
  <c r="H10" i="61"/>
  <c r="I10" i="61"/>
  <c r="M10" i="61"/>
  <c r="Q10" i="61"/>
  <c r="U10" i="61"/>
  <c r="Y10" i="61"/>
  <c r="AC10" i="61"/>
  <c r="J10" i="61"/>
  <c r="N10" i="61"/>
  <c r="R10" i="61"/>
  <c r="V10" i="61"/>
  <c r="Z10" i="61"/>
  <c r="AD10" i="61"/>
  <c r="O10" i="61"/>
  <c r="S10" i="61"/>
  <c r="W10" i="61"/>
  <c r="AA10" i="61"/>
  <c r="AE10" i="61"/>
  <c r="L10" i="61"/>
  <c r="P10" i="61"/>
  <c r="T10" i="61"/>
  <c r="X10" i="61"/>
  <c r="AB10" i="61"/>
  <c r="K10" i="61"/>
  <c r="I8" i="61"/>
  <c r="M8" i="61"/>
  <c r="Q8" i="61"/>
  <c r="U8" i="61"/>
  <c r="Y8" i="61"/>
  <c r="AC8" i="61"/>
  <c r="N8" i="61"/>
  <c r="V8" i="61"/>
  <c r="AD8" i="61"/>
  <c r="K8" i="61"/>
  <c r="O8" i="61"/>
  <c r="S8" i="61"/>
  <c r="W8" i="61"/>
  <c r="AA8" i="61"/>
  <c r="AE8" i="61"/>
  <c r="H8" i="61"/>
  <c r="L8" i="61"/>
  <c r="P8" i="61"/>
  <c r="T8" i="61"/>
  <c r="X8" i="61"/>
  <c r="AB8" i="61"/>
  <c r="J8" i="61"/>
  <c r="R8" i="61"/>
  <c r="Z8" i="61"/>
  <c r="J7" i="16"/>
  <c r="Z7" i="16"/>
  <c r="S7" i="16"/>
  <c r="L7" i="16"/>
  <c r="I7" i="16"/>
  <c r="Y7" i="16"/>
  <c r="E7" i="16"/>
  <c r="N7" i="16"/>
  <c r="AD7" i="16"/>
  <c r="W7" i="16"/>
  <c r="P7" i="16"/>
  <c r="M7" i="16"/>
  <c r="AC7" i="16"/>
  <c r="R7" i="16"/>
  <c r="K7" i="16"/>
  <c r="AA7" i="16"/>
  <c r="X7" i="16"/>
  <c r="H7" i="61"/>
  <c r="I7" i="61"/>
  <c r="M7" i="61"/>
  <c r="Q7" i="61"/>
  <c r="U7" i="61"/>
  <c r="Y7" i="61"/>
  <c r="AC7" i="61"/>
  <c r="AD7" i="61"/>
  <c r="J7" i="61"/>
  <c r="N7" i="61"/>
  <c r="R7" i="61"/>
  <c r="V7" i="61"/>
  <c r="K7" i="61"/>
  <c r="O7" i="61"/>
  <c r="S7" i="61"/>
  <c r="W7" i="61"/>
  <c r="AA7" i="61"/>
  <c r="AE7" i="61"/>
  <c r="L7" i="61"/>
  <c r="P7" i="61"/>
  <c r="T7" i="61"/>
  <c r="X7" i="61"/>
  <c r="AB7" i="61"/>
  <c r="Z7" i="61"/>
  <c r="I6" i="61"/>
  <c r="M6" i="61"/>
  <c r="Q6" i="61"/>
  <c r="U6" i="61"/>
  <c r="Y6" i="61"/>
  <c r="AC6" i="61"/>
  <c r="J6" i="61"/>
  <c r="V6" i="61"/>
  <c r="AD6" i="61"/>
  <c r="K6" i="61"/>
  <c r="O6" i="61"/>
  <c r="S6" i="61"/>
  <c r="W6" i="61"/>
  <c r="AA6" i="61"/>
  <c r="AE6" i="61"/>
  <c r="H6" i="61"/>
  <c r="L6" i="61"/>
  <c r="P6" i="61"/>
  <c r="T6" i="61"/>
  <c r="X6" i="61"/>
  <c r="AB6" i="61"/>
  <c r="N6" i="61"/>
  <c r="R6" i="61"/>
  <c r="Z6" i="61"/>
  <c r="Q19" i="16"/>
  <c r="AA19" i="16"/>
  <c r="I19" i="16"/>
  <c r="Y13" i="61"/>
  <c r="N13" i="61"/>
  <c r="R13" i="61"/>
  <c r="Z13" i="61"/>
  <c r="K13" i="61"/>
  <c r="O13" i="61"/>
  <c r="S13" i="61"/>
  <c r="W13" i="61"/>
  <c r="AA13" i="61"/>
  <c r="AE13" i="61"/>
  <c r="H13" i="61"/>
  <c r="L13" i="61"/>
  <c r="P13" i="61"/>
  <c r="T13" i="61"/>
  <c r="X13" i="61"/>
  <c r="AB13" i="61"/>
  <c r="I13" i="61"/>
  <c r="M13" i="61"/>
  <c r="Q13" i="61"/>
  <c r="U13" i="61"/>
  <c r="AC13" i="61"/>
  <c r="J13" i="61"/>
  <c r="V13" i="61"/>
  <c r="AD13" i="61"/>
  <c r="E6" i="16"/>
  <c r="M6" i="16"/>
  <c r="J6" i="16"/>
  <c r="Z6" i="16"/>
  <c r="S6" i="16"/>
  <c r="L6" i="16"/>
  <c r="AB6" i="16"/>
  <c r="U6" i="16"/>
  <c r="N6" i="16"/>
  <c r="AD6" i="16"/>
  <c r="W6" i="16"/>
  <c r="P6" i="16"/>
  <c r="Q6" i="16"/>
  <c r="F6" i="16"/>
  <c r="Y6" i="16"/>
  <c r="R6" i="16"/>
  <c r="K6" i="16"/>
  <c r="AA6" i="16"/>
  <c r="T6" i="16"/>
  <c r="I6" i="16"/>
  <c r="AC6" i="16"/>
  <c r="V6" i="16"/>
  <c r="O6" i="16"/>
  <c r="H6" i="16"/>
  <c r="X22" i="61"/>
  <c r="AD22" i="61"/>
  <c r="V22" i="61"/>
  <c r="N22" i="61"/>
  <c r="H22" i="61"/>
  <c r="U22" i="61"/>
  <c r="E22" i="61"/>
  <c r="O22" i="61"/>
  <c r="Z22" i="61"/>
  <c r="AB22" i="61"/>
  <c r="P22" i="61"/>
  <c r="Q22" i="61"/>
  <c r="AA22" i="61"/>
  <c r="K22" i="61"/>
  <c r="F22" i="61"/>
  <c r="M22" i="61"/>
  <c r="J22" i="61"/>
  <c r="L22" i="61"/>
  <c r="I22" i="61"/>
  <c r="R22" i="61"/>
  <c r="AC22" i="61"/>
  <c r="W22" i="61"/>
  <c r="S22" i="61"/>
  <c r="Y22" i="61"/>
  <c r="T22" i="61"/>
  <c r="AD21" i="61"/>
  <c r="J21" i="61"/>
  <c r="Y21" i="61"/>
  <c r="I21" i="61"/>
  <c r="S21" i="61"/>
  <c r="T21" i="61"/>
  <c r="P21" i="61"/>
  <c r="Z21" i="61"/>
  <c r="U21" i="61"/>
  <c r="E21" i="61"/>
  <c r="O21" i="61"/>
  <c r="L21" i="61"/>
  <c r="H21" i="61"/>
  <c r="W21" i="61"/>
  <c r="V21" i="61"/>
  <c r="N21" i="61"/>
  <c r="Q21" i="61"/>
  <c r="AA21" i="61"/>
  <c r="K21" i="61"/>
  <c r="F21" i="61"/>
  <c r="R21" i="61"/>
  <c r="AB21" i="61"/>
  <c r="AC21" i="61"/>
  <c r="M21" i="61"/>
  <c r="X21" i="61"/>
  <c r="Z20" i="61"/>
  <c r="V20" i="61"/>
  <c r="AD20" i="61"/>
  <c r="J20" i="61"/>
  <c r="N20" i="61"/>
  <c r="U20" i="61"/>
  <c r="E20" i="61"/>
  <c r="O20" i="61"/>
  <c r="L20" i="61"/>
  <c r="H20" i="61"/>
  <c r="Q20" i="61"/>
  <c r="AA20" i="61"/>
  <c r="K20" i="61"/>
  <c r="F20" i="61"/>
  <c r="R20" i="61"/>
  <c r="I20" i="61"/>
  <c r="T20" i="61"/>
  <c r="AC20" i="61"/>
  <c r="M20" i="61"/>
  <c r="W20" i="61"/>
  <c r="AB20" i="61"/>
  <c r="X20" i="61"/>
  <c r="Y20" i="61"/>
  <c r="S20" i="61"/>
  <c r="P20" i="61"/>
  <c r="AC19" i="61"/>
  <c r="M19" i="61"/>
  <c r="W19" i="61"/>
  <c r="AB19" i="61"/>
  <c r="X19" i="61"/>
  <c r="J19" i="61"/>
  <c r="Y19" i="61"/>
  <c r="I19" i="61"/>
  <c r="S19" i="61"/>
  <c r="T19" i="61"/>
  <c r="P19" i="61"/>
  <c r="Z19" i="61"/>
  <c r="U19" i="61"/>
  <c r="E19" i="61"/>
  <c r="O19" i="61"/>
  <c r="L19" i="61"/>
  <c r="H19" i="61"/>
  <c r="V19" i="61"/>
  <c r="N19" i="61"/>
  <c r="Q19" i="61"/>
  <c r="AA19" i="61"/>
  <c r="K19" i="61"/>
  <c r="F19" i="61"/>
  <c r="R19" i="61"/>
  <c r="AD19" i="61"/>
  <c r="AC17" i="61"/>
  <c r="M17" i="61"/>
  <c r="AB17" i="61"/>
  <c r="F17" i="61"/>
  <c r="H17" i="61"/>
  <c r="Y17" i="61"/>
  <c r="I17" i="61"/>
  <c r="V17" i="61"/>
  <c r="X17" i="61"/>
  <c r="O17" i="61"/>
  <c r="R17" i="61"/>
  <c r="U17" i="61"/>
  <c r="E17" i="61"/>
  <c r="P17" i="61"/>
  <c r="S17" i="61"/>
  <c r="Z17" i="61"/>
  <c r="AD17" i="61"/>
  <c r="J17" i="61"/>
  <c r="L17" i="61"/>
  <c r="Q17" i="61"/>
  <c r="AA17" i="61"/>
  <c r="K17" i="61"/>
  <c r="N17" i="61"/>
  <c r="T17" i="61"/>
  <c r="W17" i="61"/>
  <c r="AA16" i="61"/>
  <c r="X16" i="61"/>
  <c r="N16" i="61"/>
  <c r="K16" i="61"/>
  <c r="V16" i="61"/>
  <c r="AD16" i="61"/>
  <c r="S16" i="61"/>
  <c r="H16" i="61"/>
  <c r="P16" i="61"/>
  <c r="F16" i="61"/>
  <c r="Y16" i="61"/>
  <c r="I16" i="61"/>
  <c r="T16" i="61"/>
  <c r="R16" i="61"/>
  <c r="Z16" i="61"/>
  <c r="W16" i="61"/>
  <c r="O16" i="61"/>
  <c r="U16" i="61"/>
  <c r="E16" i="61"/>
  <c r="M16" i="61"/>
  <c r="L16" i="61"/>
  <c r="Q16" i="61"/>
  <c r="J16" i="61"/>
  <c r="AB16" i="61"/>
  <c r="AC16" i="61"/>
  <c r="AD15" i="61"/>
  <c r="X15" i="61"/>
  <c r="T15" i="61"/>
  <c r="R15" i="61"/>
  <c r="AB15" i="61"/>
  <c r="N15" i="61"/>
  <c r="J15" i="61"/>
  <c r="Q15" i="61"/>
  <c r="AA15" i="61"/>
  <c r="F15" i="61"/>
  <c r="U15" i="61"/>
  <c r="Z15" i="61"/>
  <c r="H15" i="61"/>
  <c r="AC15" i="61"/>
  <c r="M15" i="61"/>
  <c r="V15" i="61"/>
  <c r="L15" i="61"/>
  <c r="W15" i="61"/>
  <c r="E15" i="61"/>
  <c r="O15" i="61"/>
  <c r="Y15" i="61"/>
  <c r="I15" i="61"/>
  <c r="P15" i="61"/>
  <c r="S15" i="61"/>
  <c r="K15" i="61"/>
  <c r="AD14" i="61"/>
  <c r="N14" i="61"/>
  <c r="T14" i="61"/>
  <c r="AA14" i="61"/>
  <c r="AC14" i="61"/>
  <c r="M14" i="61"/>
  <c r="W14" i="61"/>
  <c r="P14" i="61"/>
  <c r="S14" i="61"/>
  <c r="H14" i="61"/>
  <c r="Y14" i="61"/>
  <c r="I14" i="61"/>
  <c r="R14" i="61"/>
  <c r="X14" i="61"/>
  <c r="Z14" i="61"/>
  <c r="O14" i="61"/>
  <c r="U14" i="61"/>
  <c r="E14" i="61"/>
  <c r="L14" i="61"/>
  <c r="F14" i="61"/>
  <c r="V14" i="61"/>
  <c r="Q14" i="61"/>
  <c r="AB14" i="61"/>
  <c r="J14" i="61"/>
  <c r="K14" i="61"/>
  <c r="G17" i="16"/>
  <c r="G17" i="61"/>
  <c r="M28" i="13"/>
  <c r="G14" i="61"/>
  <c r="E13" i="61"/>
  <c r="F13" i="61"/>
  <c r="F11" i="61"/>
  <c r="E11" i="61"/>
  <c r="E10" i="61"/>
  <c r="F10" i="61"/>
  <c r="G10" i="16"/>
  <c r="G10" i="61"/>
  <c r="M16" i="13"/>
  <c r="G8" i="61"/>
  <c r="F8" i="61"/>
  <c r="E8" i="61"/>
  <c r="E7" i="61"/>
  <c r="F7" i="61"/>
  <c r="M14" i="13"/>
  <c r="G7" i="61"/>
  <c r="F6" i="61"/>
  <c r="E6" i="61"/>
  <c r="O12" i="13"/>
  <c r="G6" i="61"/>
  <c r="V18" i="16"/>
  <c r="Q18" i="16"/>
  <c r="L18" i="16"/>
  <c r="AA18" i="16"/>
  <c r="R18" i="16"/>
  <c r="M18" i="16"/>
  <c r="J18" i="16"/>
  <c r="T18" i="16"/>
  <c r="X18" i="16"/>
  <c r="Z18" i="16"/>
  <c r="AC18" i="16"/>
  <c r="I18" i="16"/>
  <c r="K18" i="16"/>
  <c r="AD18" i="16"/>
  <c r="N18" i="16"/>
  <c r="U18" i="16"/>
  <c r="AB18" i="16"/>
  <c r="H18" i="16"/>
  <c r="O18" i="16"/>
  <c r="W18" i="16"/>
  <c r="AE17" i="14"/>
  <c r="AD17" i="14" s="1"/>
  <c r="X17" i="14" s="1"/>
  <c r="AC17" i="14" s="1"/>
  <c r="C37" i="9" s="1"/>
  <c r="M16" i="14"/>
  <c r="G64" i="5"/>
  <c r="C19" i="9"/>
  <c r="C23" i="3"/>
  <c r="G61" i="5"/>
  <c r="E63" i="5"/>
  <c r="E65" i="5"/>
  <c r="G65" i="5"/>
  <c r="E62" i="5"/>
  <c r="F3" i="21"/>
  <c r="F6" i="21" s="1"/>
  <c r="G35" i="29" s="1"/>
  <c r="G33" i="31"/>
  <c r="E64" i="5"/>
  <c r="E61" i="5"/>
  <c r="G33" i="30"/>
  <c r="G30" i="32"/>
  <c r="G32" i="28"/>
  <c r="F17" i="21"/>
  <c r="L10" i="21"/>
  <c r="L24" i="21" s="1"/>
  <c r="B35" i="24" s="1"/>
  <c r="C35" i="24" s="1"/>
  <c r="G14" i="29"/>
  <c r="G14" i="28"/>
  <c r="F74" i="5" s="1"/>
  <c r="D74" i="5" s="1"/>
  <c r="L74" i="5" s="1"/>
  <c r="J22" i="21"/>
  <c r="J21" i="20"/>
  <c r="J73" i="5" s="1"/>
  <c r="H73" i="5" s="1"/>
  <c r="I21" i="21"/>
  <c r="J20" i="20"/>
  <c r="J72" i="5" s="1"/>
  <c r="H72" i="5" s="1"/>
  <c r="L72" i="5" s="1"/>
  <c r="J17" i="20"/>
  <c r="J70" i="5" s="1"/>
  <c r="L162" i="5"/>
  <c r="E57" i="5"/>
  <c r="G57" i="5"/>
  <c r="E60" i="5"/>
  <c r="G60" i="5"/>
  <c r="E58" i="5"/>
  <c r="G58" i="5"/>
  <c r="E59" i="5"/>
  <c r="G59" i="5"/>
  <c r="E54" i="5"/>
  <c r="G54" i="5"/>
  <c r="E51" i="5"/>
  <c r="G51" i="5"/>
  <c r="E56" i="5"/>
  <c r="G56" i="5"/>
  <c r="E53" i="5"/>
  <c r="G53" i="5"/>
  <c r="L52" i="5"/>
  <c r="E52" i="5"/>
  <c r="G36" i="30"/>
  <c r="G33" i="32"/>
  <c r="G36" i="31"/>
  <c r="G37" i="29"/>
  <c r="G2" i="27"/>
  <c r="G7" i="27"/>
  <c r="B24" i="24" s="1"/>
  <c r="C24" i="24" s="1"/>
  <c r="G9" i="27"/>
  <c r="B31" i="24" s="1"/>
  <c r="C31" i="24" s="1"/>
  <c r="C30" i="24" s="1"/>
  <c r="I38" i="20" s="1"/>
  <c r="G6" i="27"/>
  <c r="B18" i="24" s="1"/>
  <c r="C18" i="24" s="1"/>
  <c r="G5" i="27"/>
  <c r="B14" i="24" s="1"/>
  <c r="C14" i="24" s="1"/>
  <c r="G10" i="27"/>
  <c r="B34" i="24" s="1"/>
  <c r="G8" i="27"/>
  <c r="B28" i="24" s="1"/>
  <c r="C28" i="24" s="1"/>
  <c r="G4" i="27"/>
  <c r="B6" i="24" s="1"/>
  <c r="G3" i="27"/>
  <c r="B10" i="24" s="1"/>
  <c r="B9" i="24" s="1"/>
  <c r="C9" i="24" s="1"/>
  <c r="I34" i="20" s="1"/>
  <c r="H26" i="10" s="1"/>
  <c r="J22" i="10"/>
  <c r="J63" i="5" s="1"/>
  <c r="M15" i="12"/>
  <c r="N13" i="12"/>
  <c r="O18" i="12" s="1"/>
  <c r="M13" i="12"/>
  <c r="K18" i="12"/>
  <c r="J21" i="10"/>
  <c r="J62" i="5" s="1"/>
  <c r="J24" i="10"/>
  <c r="J65" i="5" s="1"/>
  <c r="J23" i="10"/>
  <c r="J64" i="5" s="1"/>
  <c r="J20" i="10"/>
  <c r="J61" i="5" s="1"/>
  <c r="AD14" i="10"/>
  <c r="L161" i="5"/>
  <c r="AC12" i="10"/>
  <c r="AD12" i="10" s="1"/>
  <c r="AD11" i="10"/>
  <c r="AD18" i="10"/>
  <c r="X9" i="14"/>
  <c r="AC9" i="14" s="1"/>
  <c r="C29" i="9" s="1"/>
  <c r="X5" i="14"/>
  <c r="AC5" i="14" s="1"/>
  <c r="C25" i="9" s="1"/>
  <c r="J17" i="13"/>
  <c r="C8" i="16"/>
  <c r="C7" i="16"/>
  <c r="J15" i="13"/>
  <c r="C12" i="16"/>
  <c r="J25" i="13"/>
  <c r="X2" i="14"/>
  <c r="AC2" i="14" s="1"/>
  <c r="C22" i="9" s="1"/>
  <c r="G3" i="16"/>
  <c r="O14" i="16"/>
  <c r="I14" i="16"/>
  <c r="L14" i="16"/>
  <c r="U14" i="16"/>
  <c r="H14" i="16"/>
  <c r="K14" i="16"/>
  <c r="Y14" i="16"/>
  <c r="AA14" i="16"/>
  <c r="E14" i="16"/>
  <c r="M14" i="16"/>
  <c r="AB14" i="16"/>
  <c r="X14" i="16"/>
  <c r="S14" i="16"/>
  <c r="AC14" i="16"/>
  <c r="T14" i="16"/>
  <c r="P14" i="16"/>
  <c r="W14" i="16"/>
  <c r="Q14" i="16"/>
  <c r="F14" i="16"/>
  <c r="L62" i="5"/>
  <c r="L63" i="5"/>
  <c r="Z14" i="16"/>
  <c r="Q12" i="16"/>
  <c r="J14" i="16"/>
  <c r="D9" i="3"/>
  <c r="O12" i="16"/>
  <c r="E3" i="3"/>
  <c r="D39" i="3"/>
  <c r="E23" i="3"/>
  <c r="D38" i="3"/>
  <c r="I12" i="16"/>
  <c r="H12" i="16"/>
  <c r="E12" i="16"/>
  <c r="Y12" i="16"/>
  <c r="AA12" i="16"/>
  <c r="F12" i="16"/>
  <c r="U12" i="16"/>
  <c r="W12" i="16"/>
  <c r="AD14" i="16"/>
  <c r="N14" i="16"/>
  <c r="M12" i="16"/>
  <c r="S12" i="16"/>
  <c r="K12" i="16"/>
  <c r="R12" i="16"/>
  <c r="X12" i="16"/>
  <c r="O16" i="13"/>
  <c r="G8" i="16"/>
  <c r="AD10" i="10"/>
  <c r="G35" i="28"/>
  <c r="G36" i="29"/>
  <c r="J11" i="13"/>
  <c r="C5" i="16"/>
  <c r="C4" i="16"/>
  <c r="J9" i="13"/>
  <c r="Z12" i="16"/>
  <c r="J12" i="16"/>
  <c r="P12" i="16"/>
  <c r="AC9" i="10"/>
  <c r="AD9" i="10" s="1"/>
  <c r="T12" i="16"/>
  <c r="V14" i="16"/>
  <c r="K24" i="21"/>
  <c r="B29" i="24" s="1"/>
  <c r="C29" i="24" s="1"/>
  <c r="M34" i="13"/>
  <c r="AC12" i="16"/>
  <c r="AB12" i="16"/>
  <c r="N12" i="16"/>
  <c r="AD12" i="16"/>
  <c r="L12" i="16"/>
  <c r="O34" i="13"/>
  <c r="G6" i="16"/>
  <c r="M12" i="13"/>
  <c r="M20" i="13"/>
  <c r="AE7" i="14"/>
  <c r="AD7" i="14" s="1"/>
  <c r="X7" i="14" s="1"/>
  <c r="AC7" i="14" s="1"/>
  <c r="C27" i="9" s="1"/>
  <c r="M21" i="14"/>
  <c r="AE4" i="14"/>
  <c r="AD4" i="14" s="1"/>
  <c r="F81" i="5"/>
  <c r="D81" i="5" s="1"/>
  <c r="L81" i="5" s="1"/>
  <c r="O20" i="13"/>
  <c r="G7" i="16"/>
  <c r="O14" i="13"/>
  <c r="AE12" i="14"/>
  <c r="AD12" i="14" s="1"/>
  <c r="X12" i="14" s="1"/>
  <c r="AC12" i="14" s="1"/>
  <c r="C32" i="9" s="1"/>
  <c r="AE11" i="14"/>
  <c r="AD11" i="14" s="1"/>
  <c r="X11" i="14" s="1"/>
  <c r="AC11" i="14" s="1"/>
  <c r="C31" i="9" s="1"/>
  <c r="M5" i="14"/>
  <c r="C6" i="61" s="1"/>
  <c r="AE3" i="14"/>
  <c r="AD3" i="14" s="1"/>
  <c r="M19" i="14"/>
  <c r="M17" i="14"/>
  <c r="C18" i="61" s="1"/>
  <c r="M15" i="14"/>
  <c r="H8" i="5"/>
  <c r="F82" i="5"/>
  <c r="D82" i="5" s="1"/>
  <c r="L82" i="5" s="1"/>
  <c r="H10" i="5"/>
  <c r="H9" i="5"/>
  <c r="AE13" i="14"/>
  <c r="AD13" i="14" s="1"/>
  <c r="X13" i="14" s="1"/>
  <c r="AC13" i="14" s="1"/>
  <c r="C33" i="9" s="1"/>
  <c r="M9" i="14"/>
  <c r="C10" i="61" s="1"/>
  <c r="AE20" i="14"/>
  <c r="AD20" i="14" s="1"/>
  <c r="X20" i="14" s="1"/>
  <c r="AC20" i="14" s="1"/>
  <c r="C40" i="9" s="1"/>
  <c r="G14" i="16"/>
  <c r="O28" i="13"/>
  <c r="F20" i="21"/>
  <c r="J20" i="21" s="1"/>
  <c r="M2" i="14"/>
  <c r="C3" i="61" s="1"/>
  <c r="AE6" i="14"/>
  <c r="AD6" i="14" s="1"/>
  <c r="X6" i="14" s="1"/>
  <c r="AC6" i="14" s="1"/>
  <c r="C26" i="9" s="1"/>
  <c r="AE18" i="14"/>
  <c r="AD18" i="14" s="1"/>
  <c r="AE16" i="14"/>
  <c r="AD16" i="14" s="1"/>
  <c r="X16" i="14" s="1"/>
  <c r="AC16" i="14" s="1"/>
  <c r="C36" i="9" s="1"/>
  <c r="M14" i="14"/>
  <c r="M8" i="14"/>
  <c r="C9" i="61" s="1"/>
  <c r="AE8" i="14"/>
  <c r="AD8" i="14" s="1"/>
  <c r="X8" i="14" s="1"/>
  <c r="AC8" i="14" s="1"/>
  <c r="C28" i="9" s="1"/>
  <c r="M10" i="14"/>
  <c r="AE10" i="14"/>
  <c r="AD10" i="14" s="1"/>
  <c r="X10" i="14" s="1"/>
  <c r="AC10" i="14" s="1"/>
  <c r="C30" i="9" s="1"/>
  <c r="L53" i="5"/>
  <c r="L56" i="5"/>
  <c r="J54" i="5"/>
  <c r="J58" i="5"/>
  <c r="L51" i="5"/>
  <c r="J55" i="5"/>
  <c r="C10" i="9" s="1"/>
  <c r="J56" i="5"/>
  <c r="L60" i="5"/>
  <c r="L54" i="5"/>
  <c r="J60" i="5"/>
  <c r="L58" i="5"/>
  <c r="AC17" i="10"/>
  <c r="AD17" i="10" s="1"/>
  <c r="AC16" i="10"/>
  <c r="AD16" i="10" s="1"/>
  <c r="L59" i="5"/>
  <c r="J59" i="5"/>
  <c r="E2" i="3"/>
  <c r="G16" i="16"/>
  <c r="M32" i="13"/>
  <c r="O32" i="13"/>
  <c r="O10" i="13"/>
  <c r="M10" i="13"/>
  <c r="G7" i="5"/>
  <c r="C7" i="5" s="1"/>
  <c r="C64" i="9" s="1"/>
  <c r="G9" i="20"/>
  <c r="F9" i="16"/>
  <c r="E9" i="16"/>
  <c r="AB9" i="16"/>
  <c r="X9" i="16"/>
  <c r="T9" i="16"/>
  <c r="P9" i="16"/>
  <c r="L9" i="16"/>
  <c r="H9" i="16"/>
  <c r="AD9" i="16"/>
  <c r="Z9" i="16"/>
  <c r="V9" i="16"/>
  <c r="R9" i="16"/>
  <c r="N9" i="16"/>
  <c r="J9" i="16"/>
  <c r="AC9" i="16"/>
  <c r="U9" i="16"/>
  <c r="M9" i="16"/>
  <c r="AA9" i="16"/>
  <c r="S9" i="16"/>
  <c r="K9" i="16"/>
  <c r="Y9" i="16"/>
  <c r="Q9" i="16"/>
  <c r="I9" i="16"/>
  <c r="W9" i="16"/>
  <c r="O9" i="16"/>
  <c r="F13" i="16"/>
  <c r="E13" i="16"/>
  <c r="AB13" i="16"/>
  <c r="X13" i="16"/>
  <c r="T13" i="16"/>
  <c r="P13" i="16"/>
  <c r="L13" i="16"/>
  <c r="H13" i="16"/>
  <c r="AD13" i="16"/>
  <c r="Z13" i="16"/>
  <c r="V13" i="16"/>
  <c r="R13" i="16"/>
  <c r="N13" i="16"/>
  <c r="J13" i="16"/>
  <c r="AA13" i="16"/>
  <c r="S13" i="16"/>
  <c r="K13" i="16"/>
  <c r="Y13" i="16"/>
  <c r="Q13" i="16"/>
  <c r="I13" i="16"/>
  <c r="W13" i="16"/>
  <c r="O13" i="16"/>
  <c r="AC13" i="16"/>
  <c r="U13" i="16"/>
  <c r="M13" i="16"/>
  <c r="E28" i="20"/>
  <c r="O13" i="21"/>
  <c r="G24" i="30"/>
  <c r="G27" i="30" s="1"/>
  <c r="A24" i="30" s="1"/>
  <c r="G24" i="29"/>
  <c r="G27" i="29" s="1"/>
  <c r="A24" i="29" s="1"/>
  <c r="G21" i="32"/>
  <c r="G24" i="32" s="1"/>
  <c r="A21" i="32" s="1"/>
  <c r="G23" i="28"/>
  <c r="G26" i="28" s="1"/>
  <c r="A23" i="28" s="1"/>
  <c r="G24" i="31"/>
  <c r="G27" i="31" s="1"/>
  <c r="A24" i="31" s="1"/>
  <c r="G15" i="16"/>
  <c r="O30" i="13"/>
  <c r="M30" i="13"/>
  <c r="G11" i="16"/>
  <c r="O22" i="13"/>
  <c r="M22" i="13"/>
  <c r="L64" i="5"/>
  <c r="L65" i="5"/>
  <c r="L61" i="5"/>
  <c r="AC13" i="10"/>
  <c r="AD13" i="10" s="1"/>
  <c r="AC15" i="10"/>
  <c r="AD15" i="10" s="1"/>
  <c r="E85" i="5"/>
  <c r="O8" i="13"/>
  <c r="M8" i="13"/>
  <c r="O18" i="13"/>
  <c r="M18" i="13"/>
  <c r="G9" i="16"/>
  <c r="F4" i="16"/>
  <c r="AB4" i="16"/>
  <c r="X4" i="16"/>
  <c r="T4" i="16"/>
  <c r="P4" i="16"/>
  <c r="L4" i="16"/>
  <c r="H4" i="16"/>
  <c r="AA4" i="16"/>
  <c r="W4" i="16"/>
  <c r="S4" i="16"/>
  <c r="O4" i="16"/>
  <c r="K4" i="16"/>
  <c r="E4" i="16"/>
  <c r="AD4" i="16"/>
  <c r="Z4" i="16"/>
  <c r="V4" i="16"/>
  <c r="R4" i="16"/>
  <c r="N4" i="16"/>
  <c r="J4" i="16"/>
  <c r="AC4" i="16"/>
  <c r="Y4" i="16"/>
  <c r="U4" i="16"/>
  <c r="Q4" i="16"/>
  <c r="M4" i="16"/>
  <c r="I4" i="16"/>
  <c r="L57" i="5"/>
  <c r="O26" i="13"/>
  <c r="M26" i="13"/>
  <c r="G13" i="16"/>
  <c r="F16" i="16"/>
  <c r="E16" i="16"/>
  <c r="AA16" i="16"/>
  <c r="W16" i="16"/>
  <c r="S16" i="16"/>
  <c r="O16" i="16"/>
  <c r="K16" i="16"/>
  <c r="AC16" i="16"/>
  <c r="Y16" i="16"/>
  <c r="U16" i="16"/>
  <c r="Q16" i="16"/>
  <c r="M16" i="16"/>
  <c r="I16" i="16"/>
  <c r="AD16" i="16"/>
  <c r="V16" i="16"/>
  <c r="N16" i="16"/>
  <c r="AB16" i="16"/>
  <c r="T16" i="16"/>
  <c r="L16" i="16"/>
  <c r="Z16" i="16"/>
  <c r="R16" i="16"/>
  <c r="J16" i="16"/>
  <c r="X16" i="16"/>
  <c r="P16" i="16"/>
  <c r="H16" i="16"/>
  <c r="E15" i="16"/>
  <c r="AD15" i="16"/>
  <c r="Z15" i="16"/>
  <c r="V15" i="16"/>
  <c r="R15" i="16"/>
  <c r="N15" i="16"/>
  <c r="J15" i="16"/>
  <c r="F15" i="16"/>
  <c r="AB15" i="16"/>
  <c r="X15" i="16"/>
  <c r="T15" i="16"/>
  <c r="P15" i="16"/>
  <c r="L15" i="16"/>
  <c r="H15" i="16"/>
  <c r="AC15" i="16"/>
  <c r="U15" i="16"/>
  <c r="M15" i="16"/>
  <c r="AA15" i="16"/>
  <c r="S15" i="16"/>
  <c r="K15" i="16"/>
  <c r="Y15" i="16"/>
  <c r="Q15" i="16"/>
  <c r="I15" i="16"/>
  <c r="W15" i="16"/>
  <c r="O15" i="16"/>
  <c r="F11" i="16"/>
  <c r="E11" i="16"/>
  <c r="AD11" i="16"/>
  <c r="Z11" i="16"/>
  <c r="V11" i="16"/>
  <c r="R11" i="16"/>
  <c r="N11" i="16"/>
  <c r="J11" i="16"/>
  <c r="AB11" i="16"/>
  <c r="X11" i="16"/>
  <c r="T11" i="16"/>
  <c r="P11" i="16"/>
  <c r="L11" i="16"/>
  <c r="H11" i="16"/>
  <c r="W11" i="16"/>
  <c r="O11" i="16"/>
  <c r="AC11" i="16"/>
  <c r="U11" i="16"/>
  <c r="M11" i="16"/>
  <c r="AA11" i="16"/>
  <c r="S11" i="16"/>
  <c r="K11" i="16"/>
  <c r="Y11" i="16"/>
  <c r="Q11" i="16"/>
  <c r="I11" i="16"/>
  <c r="F5" i="16"/>
  <c r="E5" i="16"/>
  <c r="AD5" i="16"/>
  <c r="Z5" i="16"/>
  <c r="V5" i="16"/>
  <c r="R5" i="16"/>
  <c r="N5" i="16"/>
  <c r="AC5" i="16"/>
  <c r="X5" i="16"/>
  <c r="S5" i="16"/>
  <c r="M5" i="16"/>
  <c r="I5" i="16"/>
  <c r="AB5" i="16"/>
  <c r="W5" i="16"/>
  <c r="Q5" i="16"/>
  <c r="L5" i="16"/>
  <c r="H5" i="16"/>
  <c r="AA5" i="16"/>
  <c r="U5" i="16"/>
  <c r="P5" i="16"/>
  <c r="K5" i="16"/>
  <c r="Y5" i="16"/>
  <c r="T5" i="16"/>
  <c r="O5" i="16"/>
  <c r="J5" i="16"/>
  <c r="G31" i="32" l="1"/>
  <c r="F19" i="20"/>
  <c r="G12" i="16"/>
  <c r="C9" i="9"/>
  <c r="C11" i="61"/>
  <c r="C11" i="16"/>
  <c r="J23" i="13"/>
  <c r="C22" i="61"/>
  <c r="C22" i="16"/>
  <c r="J45" i="13"/>
  <c r="C20" i="61"/>
  <c r="C20" i="16"/>
  <c r="J41" i="13"/>
  <c r="J35" i="13"/>
  <c r="C17" i="61"/>
  <c r="C16" i="61"/>
  <c r="J33" i="13"/>
  <c r="C16" i="16"/>
  <c r="C15" i="61"/>
  <c r="C15" i="16"/>
  <c r="J31" i="13"/>
  <c r="G20" i="28"/>
  <c r="G21" i="28" s="1"/>
  <c r="A14" i="28" s="1"/>
  <c r="E70" i="5" s="1"/>
  <c r="G21" i="29"/>
  <c r="G22" i="29" s="1"/>
  <c r="A14" i="29" s="1"/>
  <c r="G21" i="30"/>
  <c r="G22" i="30" s="1"/>
  <c r="A14" i="30" s="1"/>
  <c r="F73" i="5"/>
  <c r="D73" i="5" s="1"/>
  <c r="L73" i="5" s="1"/>
  <c r="G21" i="31"/>
  <c r="G22" i="31" s="1"/>
  <c r="A13" i="31" s="1"/>
  <c r="B38" i="24"/>
  <c r="C39" i="24"/>
  <c r="C38" i="24" s="1"/>
  <c r="B36" i="24"/>
  <c r="C37" i="24"/>
  <c r="C36" i="24" s="1"/>
  <c r="C41" i="24"/>
  <c r="C40" i="24" s="1"/>
  <c r="B40" i="24"/>
  <c r="G4" i="61"/>
  <c r="C14" i="9"/>
  <c r="C17" i="16"/>
  <c r="C18" i="16"/>
  <c r="J37" i="13"/>
  <c r="C13" i="9"/>
  <c r="D17" i="20"/>
  <c r="E17" i="20" s="1"/>
  <c r="G35" i="30"/>
  <c r="G34" i="28"/>
  <c r="G35" i="31"/>
  <c r="G6" i="21"/>
  <c r="N6" i="21" s="1"/>
  <c r="J6" i="21"/>
  <c r="J24" i="21" s="1"/>
  <c r="B25" i="24" s="1"/>
  <c r="C25" i="24" s="1"/>
  <c r="C23" i="24" s="1"/>
  <c r="D38" i="20" s="1"/>
  <c r="H96" i="5" s="1"/>
  <c r="C83" i="9" s="1"/>
  <c r="I6" i="21"/>
  <c r="E19" i="20"/>
  <c r="F78" i="5"/>
  <c r="D78" i="5" s="1"/>
  <c r="L78" i="5" s="1"/>
  <c r="G32" i="32"/>
  <c r="F24" i="21"/>
  <c r="G34" i="29"/>
  <c r="G39" i="29" s="1"/>
  <c r="A30" i="29" s="1"/>
  <c r="G34" i="31"/>
  <c r="G33" i="28"/>
  <c r="G34" i="30"/>
  <c r="C12" i="9"/>
  <c r="G23" i="20"/>
  <c r="G17" i="21"/>
  <c r="C17" i="9"/>
  <c r="C20" i="9"/>
  <c r="C18" i="9"/>
  <c r="G5" i="16"/>
  <c r="G4" i="16"/>
  <c r="M18" i="12"/>
  <c r="C16" i="9"/>
  <c r="B21" i="24"/>
  <c r="C21" i="24" s="1"/>
  <c r="X4" i="14"/>
  <c r="AC4" i="14" s="1"/>
  <c r="C24" i="9" s="1"/>
  <c r="C11" i="9"/>
  <c r="X3" i="14"/>
  <c r="C10" i="16"/>
  <c r="J21" i="13"/>
  <c r="C9" i="16"/>
  <c r="J19" i="13"/>
  <c r="J13" i="13"/>
  <c r="C6" i="16"/>
  <c r="C8" i="9"/>
  <c r="C15" i="9"/>
  <c r="C27" i="24"/>
  <c r="I36" i="20" s="1"/>
  <c r="H28" i="10" s="1"/>
  <c r="C7" i="9"/>
  <c r="B27" i="24"/>
  <c r="C3" i="16"/>
  <c r="J7" i="13"/>
  <c r="C6" i="9"/>
  <c r="B30" i="24"/>
  <c r="I20" i="21"/>
  <c r="D97" i="5"/>
  <c r="C79" i="9" s="1"/>
  <c r="G20" i="21"/>
  <c r="N20" i="21" s="1"/>
  <c r="J19" i="20"/>
  <c r="C34" i="24"/>
  <c r="C33" i="24" s="1"/>
  <c r="I37" i="20" s="1"/>
  <c r="B33" i="24"/>
  <c r="D85" i="5"/>
  <c r="L85" i="5" s="1"/>
  <c r="J97" i="5"/>
  <c r="C87" i="9" s="1"/>
  <c r="H30" i="10"/>
  <c r="O24" i="21"/>
  <c r="B15" i="24" s="1"/>
  <c r="N13" i="21"/>
  <c r="F7" i="5"/>
  <c r="F88" i="5"/>
  <c r="AC3" i="14" l="1"/>
  <c r="C23" i="9" s="1"/>
  <c r="B7" i="24"/>
  <c r="D7" i="24" s="1"/>
  <c r="D5" i="24" s="1"/>
  <c r="E5" i="24" s="1"/>
  <c r="C10" i="28"/>
  <c r="B4" i="24"/>
  <c r="B2" i="24" s="1"/>
  <c r="C2" i="24" s="1"/>
  <c r="F34" i="20" s="1"/>
  <c r="G35" i="32"/>
  <c r="A27" i="32" s="1"/>
  <c r="F83" i="5"/>
  <c r="D83" i="5" s="1"/>
  <c r="L83" i="5" s="1"/>
  <c r="G38" i="30"/>
  <c r="A30" i="30" s="1"/>
  <c r="G38" i="31"/>
  <c r="A30" i="31" s="1"/>
  <c r="I24" i="21"/>
  <c r="B22" i="24" s="1"/>
  <c r="C22" i="24" s="1"/>
  <c r="C17" i="24" s="1"/>
  <c r="D37" i="20" s="1"/>
  <c r="D29" i="10" s="1"/>
  <c r="C10" i="30"/>
  <c r="C9" i="31"/>
  <c r="C9" i="32"/>
  <c r="C10" i="29"/>
  <c r="G36" i="28"/>
  <c r="A29" i="28" s="1"/>
  <c r="C68" i="9"/>
  <c r="F70" i="5"/>
  <c r="D70" i="5"/>
  <c r="C66" i="9" s="1"/>
  <c r="H97" i="5"/>
  <c r="C84" i="9" s="1"/>
  <c r="G24" i="21"/>
  <c r="B8" i="24" s="1"/>
  <c r="N24" i="21"/>
  <c r="B23" i="24"/>
  <c r="J71" i="5"/>
  <c r="H71" i="5" s="1"/>
  <c r="L71" i="5" s="1"/>
  <c r="D30" i="10"/>
  <c r="H98" i="5"/>
  <c r="C85" i="9" s="1"/>
  <c r="H29" i="10"/>
  <c r="D88" i="5"/>
  <c r="L88" i="5" s="1"/>
  <c r="C15" i="24"/>
  <c r="C13" i="24" s="1"/>
  <c r="I35" i="20" s="1"/>
  <c r="B13" i="24"/>
  <c r="B5" i="24" l="1"/>
  <c r="C5" i="24" s="1"/>
  <c r="D36" i="20" s="1"/>
  <c r="D98" i="5" s="1"/>
  <c r="C80" i="9" s="1"/>
  <c r="E77" i="5"/>
  <c r="B17" i="24"/>
  <c r="D34" i="20"/>
  <c r="D26" i="10" s="1"/>
  <c r="F77" i="5"/>
  <c r="D77" i="5" s="1"/>
  <c r="C69" i="9"/>
  <c r="D42" i="24"/>
  <c r="E42" i="24" s="1"/>
  <c r="E44" i="24" s="1"/>
  <c r="D35" i="20" s="1"/>
  <c r="J96" i="5"/>
  <c r="C86" i="9" s="1"/>
  <c r="C70" i="9"/>
  <c r="F97" i="5"/>
  <c r="C82" i="9" s="1"/>
  <c r="H27" i="10"/>
  <c r="F36" i="20" l="1"/>
  <c r="D28" i="10"/>
  <c r="C67" i="9"/>
  <c r="D96" i="5"/>
  <c r="C78" i="9" s="1"/>
  <c r="F96" i="5"/>
  <c r="C81" i="9" s="1"/>
  <c r="D27" i="10"/>
</calcChain>
</file>

<file path=xl/sharedStrings.xml><?xml version="1.0" encoding="utf-8"?>
<sst xmlns="http://schemas.openxmlformats.org/spreadsheetml/2006/main" count="6106" uniqueCount="2648">
  <si>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</si>
  <si>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</si>
  <si>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</si>
  <si>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</si>
  <si>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</si>
  <si>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</si>
  <si>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</si>
  <si>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</si>
  <si>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</si>
  <si>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</si>
  <si>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</si>
  <si>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</si>
  <si>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</si>
  <si>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</si>
  <si>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</si>
  <si>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</si>
  <si>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StartDatum_13</t>
  </si>
  <si>
    <t>StartDatum_14</t>
  </si>
  <si>
    <t>StartDatum_15</t>
  </si>
  <si>
    <t>StartDatum_16</t>
  </si>
  <si>
    <t>StartDatum_17</t>
  </si>
  <si>
    <t>DosHoev_13</t>
  </si>
  <si>
    <t>DosHoev_14</t>
  </si>
  <si>
    <t>INTRAVENEUZE VOEDING</t>
  </si>
  <si>
    <t>Infatrini</t>
  </si>
  <si>
    <t>06:00 uur</t>
  </si>
  <si>
    <t>X-thorax</t>
  </si>
  <si>
    <t>Pacemaker</t>
  </si>
  <si>
    <t>StandDos_18</t>
  </si>
  <si>
    <t>StandDos_19</t>
  </si>
  <si>
    <t>StandDos_2</t>
  </si>
  <si>
    <t>StandDos_20</t>
  </si>
  <si>
    <t>StandDos_3</t>
  </si>
  <si>
    <t>StandDos_4</t>
  </si>
  <si>
    <t>StandDos_5</t>
  </si>
  <si>
    <t>StandDos_6</t>
  </si>
  <si>
    <t>StandDos_7</t>
  </si>
  <si>
    <t>StandDos_8</t>
  </si>
  <si>
    <t>StandDos_9</t>
  </si>
  <si>
    <t>Leeftijd (jaren)</t>
  </si>
  <si>
    <t>Leeftijd (maanden)</t>
  </si>
  <si>
    <t>Man</t>
  </si>
  <si>
    <t>Vrouw</t>
  </si>
  <si>
    <t>StartDatum_20</t>
  </si>
  <si>
    <t>StartDatum_3</t>
  </si>
  <si>
    <t>StartDatum_4</t>
  </si>
  <si>
    <t>StartDatum_5</t>
  </si>
  <si>
    <t>Intravasale toegang</t>
  </si>
  <si>
    <t>NaCl_2</t>
  </si>
  <si>
    <t>NaClVol_2</t>
  </si>
  <si>
    <t>24 dd</t>
  </si>
  <si>
    <t>salbutamol</t>
  </si>
  <si>
    <t>MedOplVol_3</t>
  </si>
  <si>
    <t>MedOplVol_4</t>
  </si>
  <si>
    <t>Naam:</t>
  </si>
  <si>
    <t>20 mg/kg, max 1500 mg</t>
  </si>
  <si>
    <t>Gebruik algoritme?</t>
  </si>
  <si>
    <t>DosHoev_4</t>
  </si>
  <si>
    <t>DosHoev_5</t>
  </si>
  <si>
    <t>DosHoev_6</t>
  </si>
  <si>
    <t>DosHoev_7</t>
  </si>
  <si>
    <t>DosHoev_8</t>
  </si>
  <si>
    <t>gram</t>
  </si>
  <si>
    <t>X-BOZ</t>
  </si>
  <si>
    <t>ECG</t>
  </si>
  <si>
    <t>KNaFosfaatVol</t>
  </si>
  <si>
    <t>NaCl 2,9% (0,5 mmol/ml)</t>
  </si>
  <si>
    <t>Gluc/zout 2/3 – 1/3  (3,3% / 0,3% Na 51 mmol/l)</t>
  </si>
  <si>
    <t>Gluc/zout 2/3 – 1/3  (3,3% / 0,3% Na 51 mmol/l)  met  KCl 30 mmol/l</t>
  </si>
  <si>
    <t>MedOplVol_13</t>
  </si>
  <si>
    <t>MedOplVol_14</t>
  </si>
  <si>
    <t>MedOplVol_15</t>
  </si>
  <si>
    <t>MedOplVol_16</t>
  </si>
  <si>
    <t>MedOplVol_17</t>
  </si>
  <si>
    <t>MedOplVol_18</t>
  </si>
  <si>
    <t>MedDosHoev_1</t>
  </si>
  <si>
    <t>MedDosHoev_10</t>
  </si>
  <si>
    <t xml:space="preserve">       salt</t>
  </si>
  <si>
    <t>DosHoev_1</t>
  </si>
  <si>
    <t>DosHoev_10</t>
  </si>
  <si>
    <t>DosHoev_11</t>
  </si>
  <si>
    <t>DosHoev_12</t>
  </si>
  <si>
    <t>Nutramigen 2 LGG pdr</t>
  </si>
  <si>
    <t>im</t>
  </si>
  <si>
    <t>rect</t>
  </si>
  <si>
    <t>clonidine</t>
  </si>
  <si>
    <t>Samenstelling D</t>
  </si>
  <si>
    <t>Samenstelling E</t>
  </si>
  <si>
    <t>1,5 ml</t>
  </si>
  <si>
    <t>25 ml</t>
  </si>
  <si>
    <t>35 ml</t>
  </si>
  <si>
    <t>120 ml</t>
  </si>
  <si>
    <t>2-6 kg</t>
  </si>
  <si>
    <t>105 ml</t>
  </si>
  <si>
    <t>90 ml</t>
  </si>
  <si>
    <t>oculair</t>
  </si>
  <si>
    <t>Stand</t>
  </si>
  <si>
    <t>Oppervlak</t>
  </si>
  <si>
    <t>Tube</t>
  </si>
  <si>
    <t>Defribilleren</t>
  </si>
  <si>
    <t>NaBic 8,4%</t>
  </si>
  <si>
    <t>vullen</t>
  </si>
  <si>
    <t>nitroprusside</t>
  </si>
  <si>
    <t>5-30 nanogram/kg/min (moet in zout!)</t>
  </si>
  <si>
    <t>albumine</t>
  </si>
  <si>
    <t>mEq/mmole</t>
  </si>
  <si>
    <t>Modus:</t>
  </si>
  <si>
    <t>Atriale output:</t>
  </si>
  <si>
    <t>Ventriculaire output:</t>
  </si>
  <si>
    <t>AV interval:</t>
  </si>
  <si>
    <t>Atriale sens.:</t>
  </si>
  <si>
    <t>Ventriculaire sens.:</t>
  </si>
  <si>
    <t>PM_Mod</t>
  </si>
  <si>
    <t>PM_Freq</t>
  </si>
  <si>
    <t>PM_AO</t>
  </si>
  <si>
    <t>PM_VO</t>
  </si>
  <si>
    <t>PM_AV</t>
  </si>
  <si>
    <t>PM_AS</t>
  </si>
  <si>
    <t>PM_VS</t>
  </si>
  <si>
    <t>MedicatieIV 1</t>
  </si>
  <si>
    <t>MedicatieIV 2</t>
  </si>
  <si>
    <t>MedicatieIV 3</t>
  </si>
  <si>
    <t>MedicatieIV 4</t>
  </si>
  <si>
    <t>MedicatieIV 5</t>
  </si>
  <si>
    <t>intake IV</t>
  </si>
  <si>
    <t>MedDosHoev_15</t>
  </si>
  <si>
    <t>MedDosHoev_16</t>
  </si>
  <si>
    <t>MedDosHoev_17</t>
  </si>
  <si>
    <t>E/kg/uur</t>
  </si>
  <si>
    <t>E</t>
  </si>
  <si>
    <t>g</t>
  </si>
  <si>
    <t>Aanvullende afspraken</t>
  </si>
  <si>
    <t>MedOplVol_2</t>
  </si>
  <si>
    <t>MedOplVol_20</t>
  </si>
  <si>
    <t>DosHoev_9</t>
  </si>
  <si>
    <t>Eenheid_1</t>
  </si>
  <si>
    <t>Eenheid_10</t>
  </si>
  <si>
    <t>Eenheid_11</t>
  </si>
  <si>
    <t>Eenheid_12</t>
  </si>
  <si>
    <t>Eenheid_13</t>
  </si>
  <si>
    <t>Eenheid_14</t>
  </si>
  <si>
    <t>Eenheid_15</t>
  </si>
  <si>
    <t>Eenheid_16</t>
  </si>
  <si>
    <t>Eenheid_17</t>
  </si>
  <si>
    <t>Eenheid_18</t>
  </si>
  <si>
    <t>Eenheid_19</t>
  </si>
  <si>
    <t>Eenheid_2</t>
  </si>
  <si>
    <t>Eenheid_20</t>
  </si>
  <si>
    <t>Eenheid_3</t>
  </si>
  <si>
    <t>Eenheid_4</t>
  </si>
  <si>
    <t>Eenheid_5</t>
  </si>
  <si>
    <t>Eenheid_6</t>
  </si>
  <si>
    <t>LabDag1_16</t>
  </si>
  <si>
    <t>LabDag1_17</t>
  </si>
  <si>
    <t>LabDag1_18</t>
  </si>
  <si>
    <t>LabDag1_19</t>
  </si>
  <si>
    <t>LabDag1_2</t>
  </si>
  <si>
    <t>LabDag1_20</t>
  </si>
  <si>
    <t>LabDag1_21</t>
  </si>
  <si>
    <t>LabDag1_22</t>
  </si>
  <si>
    <t>LabDag1_23</t>
  </si>
  <si>
    <t>LabDag1_24</t>
  </si>
  <si>
    <t>LabDag1_25</t>
  </si>
  <si>
    <t>LabDag1_26</t>
  </si>
  <si>
    <t>LabDag1_27</t>
  </si>
  <si>
    <t>LabDag1_3</t>
  </si>
  <si>
    <t>LabDag1_4</t>
  </si>
  <si>
    <t>LabDag1_5</t>
  </si>
  <si>
    <t>LabDag1_6</t>
  </si>
  <si>
    <t>LabDag1_7</t>
  </si>
  <si>
    <t>LabDag1_8</t>
  </si>
  <si>
    <t>LabDag1_9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</si>
  <si>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</si>
  <si>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</si>
  <si>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</si>
  <si>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</si>
  <si>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</si>
  <si>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</si>
  <si>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</si>
  <si>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</si>
  <si>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</si>
  <si>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</si>
  <si>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</si>
  <si>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</si>
  <si>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CVL lijn lumen I: medicatie</t>
  </si>
  <si>
    <t>Verwijzing</t>
  </si>
  <si>
    <t>Glucose 17,5%</t>
  </si>
  <si>
    <t>Glucose 12,5 %</t>
  </si>
  <si>
    <t>k</t>
  </si>
  <si>
    <t>Anti-convulsiva</t>
  </si>
  <si>
    <t>Diversen</t>
  </si>
  <si>
    <t>hoeveelheid</t>
  </si>
  <si>
    <t>sterkte</t>
  </si>
  <si>
    <t>iv</t>
  </si>
  <si>
    <t>or</t>
  </si>
  <si>
    <t>flumazenil</t>
  </si>
  <si>
    <t>epoprostenol</t>
  </si>
  <si>
    <t>Glucose 20%</t>
  </si>
  <si>
    <t>Glucose 50%</t>
  </si>
  <si>
    <t>Glucose 15%</t>
  </si>
  <si>
    <t>LabOpn_17</t>
  </si>
  <si>
    <t>LabOpn_18</t>
  </si>
  <si>
    <t>LabOpn_19</t>
  </si>
  <si>
    <t>LabOpn_20</t>
  </si>
  <si>
    <t>LabOpn_21</t>
  </si>
  <si>
    <t>LabOpn_22</t>
  </si>
  <si>
    <t>LabOpn_23</t>
  </si>
  <si>
    <t>LabOpn_24</t>
  </si>
  <si>
    <t>LabOpn_25</t>
  </si>
  <si>
    <t>LabOpn_26</t>
  </si>
  <si>
    <t>LabOpn_27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</si>
  <si>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</si>
  <si>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</si>
  <si>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</si>
  <si>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</si>
  <si>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</si>
  <si>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</si>
  <si>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</si>
  <si>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</si>
  <si>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7-15 kg</t>
  </si>
  <si>
    <t>16-30 kg</t>
  </si>
  <si>
    <t>31-50 kg</t>
  </si>
  <si>
    <t>MedToed_9</t>
  </si>
  <si>
    <t>Infusen</t>
  </si>
  <si>
    <t>MedIVSterkte_15</t>
  </si>
  <si>
    <t>MedKeuze_1</t>
  </si>
  <si>
    <t>MedKeuze_10</t>
  </si>
  <si>
    <t>MedKeuze_11</t>
  </si>
  <si>
    <t>MedKeuze_12</t>
  </si>
  <si>
    <t>MedKeuze_13</t>
  </si>
  <si>
    <t>MedOpl_7</t>
  </si>
  <si>
    <t>berMedDisc</t>
  </si>
  <si>
    <t>opmerkingen bij discontinue medicatie</t>
  </si>
  <si>
    <t>opmAfsprBlad__1</t>
  </si>
  <si>
    <t>opmAfsprBlad__10</t>
  </si>
  <si>
    <t>Per 100 ml:</t>
  </si>
  <si>
    <t>glu</t>
  </si>
  <si>
    <t>na</t>
  </si>
  <si>
    <t>Volume stand</t>
  </si>
  <si>
    <t>extra glucose 5%</t>
  </si>
  <si>
    <t>aminozuren</t>
  </si>
  <si>
    <t>calorieen</t>
  </si>
  <si>
    <t>Totaal</t>
  </si>
  <si>
    <t>frequentie</t>
  </si>
  <si>
    <t>Wel/niet</t>
  </si>
  <si>
    <t>ELECTROLYT/GLUCOSE MENGSEL</t>
  </si>
  <si>
    <t>Lab</t>
  </si>
  <si>
    <t>0,05-0,5 mg/kg/uur</t>
  </si>
  <si>
    <t>morfine</t>
  </si>
  <si>
    <t>albumine 20%</t>
  </si>
  <si>
    <t>Adrenaline</t>
  </si>
  <si>
    <t>CVL lijn lumen II:</t>
  </si>
  <si>
    <t>zout</t>
  </si>
  <si>
    <t>opmMedDisc__16</t>
  </si>
  <si>
    <t>opmMedDisc__17</t>
  </si>
  <si>
    <t>opmMedDisc__18</t>
  </si>
  <si>
    <t>opmMedDisc__19</t>
  </si>
  <si>
    <t>opmMedDisc__2</t>
  </si>
  <si>
    <t>Score</t>
  </si>
  <si>
    <t>Datum en tijd</t>
  </si>
  <si>
    <t>Morfine</t>
  </si>
  <si>
    <t>Bolus (mg)</t>
  </si>
  <si>
    <t>Pompstand (ml/u) + dosering (mg/kg/dag)</t>
  </si>
  <si>
    <t>Pompstand (ml/u) + dosering (mg/kg/uur)</t>
  </si>
  <si>
    <t>Score: Getal is CS/VAS anders "V" verpleegkundig of "M" medische handeling</t>
  </si>
  <si>
    <t>Lengte</t>
  </si>
  <si>
    <t>Oppervlak:</t>
  </si>
  <si>
    <t>1 ml/kg;      max 15 ml</t>
  </si>
  <si>
    <t>60-50 ml</t>
  </si>
  <si>
    <t>50-40 ml</t>
  </si>
  <si>
    <t>40-30 ml</t>
  </si>
  <si>
    <t>Samenstelling E (z.o.z.)</t>
  </si>
  <si>
    <t xml:space="preserve"> 8 ml</t>
  </si>
  <si>
    <t>55-35 ml</t>
  </si>
  <si>
    <t>50-30 ml</t>
  </si>
  <si>
    <t>Glucose 25% (31 – 35 kg)</t>
  </si>
  <si>
    <t>Glucose 40% (36 – 50 kg)</t>
  </si>
  <si>
    <t>12 ml</t>
  </si>
  <si>
    <t>MedOplVol_19</t>
  </si>
  <si>
    <t>KCl</t>
  </si>
  <si>
    <t>KClVol</t>
  </si>
  <si>
    <t>esketamine</t>
  </si>
  <si>
    <t>DosHoev</t>
  </si>
  <si>
    <t>DosTot</t>
  </si>
  <si>
    <t>Toed</t>
  </si>
  <si>
    <t>Laboratorium</t>
  </si>
  <si>
    <t>24:00 uur</t>
  </si>
  <si>
    <t>LabOpn_4</t>
  </si>
  <si>
    <t>LabOpn_5</t>
  </si>
  <si>
    <t>LabOpn_6</t>
  </si>
  <si>
    <t>LabOpn_7</t>
  </si>
  <si>
    <t>Infuus_1</t>
  </si>
  <si>
    <t>Infuus_2</t>
  </si>
  <si>
    <t>Infuus_3</t>
  </si>
  <si>
    <t>Infuus_4</t>
  </si>
  <si>
    <t>Infuus_5</t>
  </si>
  <si>
    <t>overige afspraken 2</t>
  </si>
  <si>
    <t>overige afspraken 3</t>
  </si>
  <si>
    <t>overige afspraken 4</t>
  </si>
  <si>
    <t>overige afspraken 5</t>
  </si>
  <si>
    <t>intake PO</t>
  </si>
  <si>
    <t>FreqPO_1</t>
  </si>
  <si>
    <t>FreqPO_2</t>
  </si>
  <si>
    <t>FreqPO_3</t>
  </si>
  <si>
    <t>FreqPO_4</t>
  </si>
  <si>
    <t>KeuzePO_1</t>
  </si>
  <si>
    <t>KeuzePO_2</t>
  </si>
  <si>
    <t>KeuzePO_3</t>
  </si>
  <si>
    <t>KeuzePO_4</t>
  </si>
  <si>
    <t>VolPO_1</t>
  </si>
  <si>
    <t>MedDosHoev_12</t>
  </si>
  <si>
    <t>MedDosHoev_13</t>
  </si>
  <si>
    <t>MedDosHoev_14</t>
  </si>
  <si>
    <t>MedInloop_1</t>
  </si>
  <si>
    <t>MedInloop_10</t>
  </si>
  <si>
    <t>MedInloop_11</t>
  </si>
  <si>
    <t>MedInloop_12</t>
  </si>
  <si>
    <t>MedInloop_13</t>
  </si>
  <si>
    <t>MedInloop_14</t>
  </si>
  <si>
    <t>1-4 mg/kg/dag</t>
  </si>
  <si>
    <t>opmAfsprBlad__14</t>
  </si>
  <si>
    <t>opmAfsprBlad__2</t>
  </si>
  <si>
    <t>opmAfsprBlad__3</t>
  </si>
  <si>
    <t>opmAfsprBlad__4</t>
  </si>
  <si>
    <t>opmAfsprBlad__5</t>
  </si>
  <si>
    <t>lokaal</t>
  </si>
  <si>
    <t>alprostadil</t>
  </si>
  <si>
    <t>opmMedDisc__1</t>
  </si>
  <si>
    <t>opmMedDisc__10</t>
  </si>
  <si>
    <t>Oplossing</t>
  </si>
  <si>
    <t>mmol/mg</t>
  </si>
  <si>
    <t>MedDosHoev_11</t>
  </si>
  <si>
    <t>StandDos_1</t>
  </si>
  <si>
    <t>StandDos_10</t>
  </si>
  <si>
    <t>StandDos_11</t>
  </si>
  <si>
    <t>StandDos_12</t>
  </si>
  <si>
    <t>StandDos_13</t>
  </si>
  <si>
    <t>StandDos_14</t>
  </si>
  <si>
    <t>StandDos_15</t>
  </si>
  <si>
    <t>StandDos_16</t>
  </si>
  <si>
    <t>StandDos_17</t>
  </si>
  <si>
    <t>MedInloop_4</t>
  </si>
  <si>
    <t>MedInloop_5</t>
  </si>
  <si>
    <t>MedInloop_6</t>
  </si>
  <si>
    <t>Perifeer infuus 1: medicatie</t>
  </si>
  <si>
    <t>Arterielijn:</t>
  </si>
  <si>
    <t>MgCl</t>
  </si>
  <si>
    <t>MgClVol</t>
  </si>
  <si>
    <t>NaCl</t>
  </si>
  <si>
    <t>opmAfsprBlad__7</t>
  </si>
  <si>
    <t>opmAfsprBlad__8</t>
  </si>
  <si>
    <t>opmAfsprBlad__9</t>
  </si>
  <si>
    <t>extra glucose 10%</t>
  </si>
  <si>
    <t>Sonde:</t>
  </si>
  <si>
    <t>Volume tot</t>
  </si>
  <si>
    <t>Range</t>
  </si>
  <si>
    <t>Waarde</t>
  </si>
  <si>
    <t>MedOpl_20</t>
  </si>
  <si>
    <t>MedOpl_3</t>
  </si>
  <si>
    <t>MedOpl_4</t>
  </si>
  <si>
    <t>MedOpl_5</t>
  </si>
  <si>
    <t>MedOpl_6</t>
  </si>
  <si>
    <t>StandDos</t>
  </si>
  <si>
    <t>DosEenh</t>
  </si>
  <si>
    <t>mg</t>
  </si>
  <si>
    <t>ml</t>
  </si>
  <si>
    <t>opmMedDisc__3</t>
  </si>
  <si>
    <t>opmMedDisc__4</t>
  </si>
  <si>
    <t>opmMedDisc__5</t>
  </si>
  <si>
    <t>opmMedDisc__6</t>
  </si>
  <si>
    <t>opmMedDisc__7</t>
  </si>
  <si>
    <t>opmMedDisc__20</t>
  </si>
  <si>
    <t>microg</t>
  </si>
  <si>
    <t>MM</t>
  </si>
  <si>
    <t>Speciale voeding</t>
  </si>
  <si>
    <t>Calorien</t>
  </si>
  <si>
    <t>Koolhydraten</t>
  </si>
  <si>
    <t>Natrium</t>
  </si>
  <si>
    <t>Phosfaat</t>
  </si>
  <si>
    <t>StartDatum_18</t>
  </si>
  <si>
    <t>StartDatum_19</t>
  </si>
  <si>
    <t>StartDatum_2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</si>
  <si>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</si>
  <si>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</si>
  <si>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</si>
  <si>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</si>
  <si>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</si>
  <si>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</si>
  <si>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</si>
  <si>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</si>
  <si>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</si>
  <si>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</si>
  <si>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</si>
  <si>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6 dd</t>
  </si>
  <si>
    <t>8 dd</t>
  </si>
  <si>
    <t>12 dd</t>
  </si>
  <si>
    <t>x</t>
  </si>
  <si>
    <t>Arts:</t>
  </si>
  <si>
    <t>MedKeuze_17</t>
  </si>
  <si>
    <t>MedKeuze_18</t>
  </si>
  <si>
    <t>MedKeuze_19</t>
  </si>
  <si>
    <t>MedKeuze_2</t>
  </si>
  <si>
    <t>MedKeuze_20</t>
  </si>
  <si>
    <t>MedKeuze_3</t>
  </si>
  <si>
    <t>MedKeuze_4</t>
  </si>
  <si>
    <t>MedKeuze_5</t>
  </si>
  <si>
    <t>MedKeuze_6</t>
  </si>
  <si>
    <t>MedKeuze_7</t>
  </si>
  <si>
    <t>MedKeuze_8</t>
  </si>
  <si>
    <t>MedKeuze_9</t>
  </si>
  <si>
    <t>MedOpl_1</t>
  </si>
  <si>
    <t>MedOpl_10</t>
  </si>
  <si>
    <t>MedOpl_11</t>
  </si>
  <si>
    <t>MedOpl_12</t>
  </si>
  <si>
    <t>MedOpl_13</t>
  </si>
  <si>
    <t>MedOpl_14</t>
  </si>
  <si>
    <t>MedOpl_15</t>
  </si>
  <si>
    <t>SpecVoed_7</t>
  </si>
  <si>
    <t>CVL lijn lumen II: medicatie</t>
  </si>
  <si>
    <t>MedToed_11</t>
  </si>
  <si>
    <t>volume</t>
  </si>
  <si>
    <t>heparine</t>
  </si>
  <si>
    <t>IE/kg/uur</t>
  </si>
  <si>
    <t>oplossing</t>
  </si>
  <si>
    <t>mcg/kg/uur</t>
  </si>
  <si>
    <t>glucose</t>
  </si>
  <si>
    <t>per kg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</si>
  <si>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</si>
  <si>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</si>
  <si>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</si>
  <si>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</si>
  <si>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</si>
  <si>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</si>
  <si>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</si>
  <si>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</si>
  <si>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</si>
  <si>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</si>
  <si>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propofol</t>
  </si>
  <si>
    <t>PO</t>
  </si>
  <si>
    <t>ICU-dag</t>
  </si>
  <si>
    <t>Sterkte</t>
  </si>
  <si>
    <t>inh</t>
  </si>
  <si>
    <t>overig</t>
  </si>
  <si>
    <t>X</t>
  </si>
  <si>
    <t>Freq</t>
  </si>
  <si>
    <t>Sonde</t>
  </si>
  <si>
    <t>AfspraakDatum</t>
  </si>
  <si>
    <t>OpnDatum</t>
  </si>
  <si>
    <t>AchterNaam</t>
  </si>
  <si>
    <t>VoorNaam</t>
  </si>
  <si>
    <t>GebDatum</t>
  </si>
  <si>
    <t>opmAfsprBlad__6</t>
  </si>
  <si>
    <t>VolPO_4</t>
  </si>
  <si>
    <t>adrenaline</t>
  </si>
  <si>
    <t>Soluvit N</t>
  </si>
  <si>
    <t>DosHoev_19</t>
  </si>
  <si>
    <t>DosHoev_2</t>
  </si>
  <si>
    <t>DosHoev_20</t>
  </si>
  <si>
    <t>DosHoev_3</t>
  </si>
  <si>
    <t>Glucose 30%</t>
  </si>
  <si>
    <t>Glucose 25%</t>
  </si>
  <si>
    <t>Totaal :</t>
  </si>
  <si>
    <t>**   Toevoegen bij infusiesnelheid £ 5 ml/uur</t>
  </si>
  <si>
    <t>Totaal:</t>
  </si>
  <si>
    <t>Totalen</t>
  </si>
  <si>
    <t>Eiwit</t>
  </si>
  <si>
    <t>Vet</t>
  </si>
  <si>
    <t>Calcium</t>
  </si>
  <si>
    <t>Fosfaat</t>
  </si>
  <si>
    <t>KCl 7,4%</t>
  </si>
  <si>
    <t>AZ</t>
  </si>
  <si>
    <t>gluc</t>
  </si>
  <si>
    <t>Na</t>
  </si>
  <si>
    <t>K</t>
  </si>
  <si>
    <t>Ca</t>
  </si>
  <si>
    <t>Mg</t>
  </si>
  <si>
    <t>Fosf</t>
  </si>
  <si>
    <t>Kcal</t>
  </si>
  <si>
    <t>TPN</t>
  </si>
  <si>
    <t>energy</t>
  </si>
  <si>
    <t>KH</t>
  </si>
  <si>
    <t>P</t>
  </si>
  <si>
    <t xml:space="preserve"> </t>
  </si>
  <si>
    <t>Eenheid_7</t>
  </si>
  <si>
    <t>Eenheid_8</t>
  </si>
  <si>
    <t>MedInloop_19</t>
  </si>
  <si>
    <t>MedInloop_2</t>
  </si>
  <si>
    <t>MedInloop_20</t>
  </si>
  <si>
    <t>RecNo_20</t>
  </si>
  <si>
    <t>RecNo_3</t>
  </si>
  <si>
    <t>RecNo_4</t>
  </si>
  <si>
    <t>RecNo_5</t>
  </si>
  <si>
    <t>RecNo_6</t>
  </si>
  <si>
    <t>RecNo_7</t>
  </si>
  <si>
    <t>RecNo_8</t>
  </si>
  <si>
    <t>RecNo_9</t>
  </si>
  <si>
    <t>langzaam iv, cave bradycardie</t>
  </si>
  <si>
    <t>MedIVKeuze_7</t>
  </si>
  <si>
    <t>MedIVKeuze_8</t>
  </si>
  <si>
    <t>MedIVKeuze_9</t>
  </si>
  <si>
    <t>MedIVMlOpl_11</t>
  </si>
  <si>
    <t>MedIVMlOpl_12</t>
  </si>
  <si>
    <t>MedIVMlOpl_13</t>
  </si>
  <si>
    <t>MedIVMlOpl_14</t>
  </si>
  <si>
    <t>MedIVMlOpl_15</t>
  </si>
  <si>
    <t>Eenheid_9</t>
  </si>
  <si>
    <t>Glucose/KH</t>
  </si>
  <si>
    <t>Oraal of per sonde</t>
  </si>
  <si>
    <t>Keuze</t>
  </si>
  <si>
    <t>flush</t>
  </si>
  <si>
    <t>RecNo_17</t>
  </si>
  <si>
    <t>Paraaf</t>
  </si>
  <si>
    <t>Blanco Patient</t>
  </si>
  <si>
    <t>Blad</t>
  </si>
  <si>
    <t>Opmerking</t>
  </si>
  <si>
    <t>Afspraken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</si>
  <si>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</si>
  <si>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</si>
  <si>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</si>
  <si>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</si>
  <si>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</si>
  <si>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*     Vochtbehoefte neemt af bij toename gewicht</t>
  </si>
  <si>
    <t>Origineel voor 11.00 uur bij apotheek inleveren</t>
  </si>
  <si>
    <t>MedTijden_1</t>
  </si>
  <si>
    <t>MedTijden_10</t>
  </si>
  <si>
    <t>MedTijden_11</t>
  </si>
  <si>
    <t>MedTijden_12</t>
  </si>
  <si>
    <t>MedOpl_19</t>
  </si>
  <si>
    <t>MedOpl_2</t>
  </si>
  <si>
    <t>MedToed_12</t>
  </si>
  <si>
    <t>MedToed_13</t>
  </si>
  <si>
    <t>MedToed_14</t>
  </si>
  <si>
    <t>MedToed_15</t>
  </si>
  <si>
    <t>MedToed_16</t>
  </si>
  <si>
    <t>MedToed_17</t>
  </si>
  <si>
    <t>INFUUS AFSPRAKEN CENTRAAL VENEUZE CATHETERS</t>
  </si>
  <si>
    <t>D.D.</t>
  </si>
  <si>
    <t>Afdeling</t>
  </si>
  <si>
    <t>: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</si>
  <si>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</si>
  <si>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</si>
  <si>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</si>
  <si>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</si>
  <si>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</si>
  <si>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</si>
  <si>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</si>
  <si>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</si>
  <si>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</si>
  <si>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</si>
  <si>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</si>
  <si>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MedDosHoev_4</t>
  </si>
  <si>
    <t>MedDosHoev_5</t>
  </si>
  <si>
    <t>MedDosHoev_6</t>
  </si>
  <si>
    <t>MedDosHoev_7</t>
  </si>
  <si>
    <t>RecNo_1</t>
  </si>
  <si>
    <t>RecNo_10</t>
  </si>
  <si>
    <t>RecNo_11</t>
  </si>
  <si>
    <t>RecNo_12</t>
  </si>
  <si>
    <t>StartDatum_6</t>
  </si>
  <si>
    <t>StartDatum_7</t>
  </si>
  <si>
    <t>StartDatum_8</t>
  </si>
  <si>
    <t>StartDatum_9</t>
  </si>
  <si>
    <t>Achternaam</t>
  </si>
  <si>
    <t>Voornaam</t>
  </si>
  <si>
    <t>Glucose 40%</t>
  </si>
  <si>
    <t>Antidota</t>
  </si>
  <si>
    <t>Inotropica</t>
  </si>
  <si>
    <t>Anti-arrythmica</t>
  </si>
  <si>
    <t>Comfort</t>
  </si>
  <si>
    <t>Midazolam</t>
  </si>
  <si>
    <t xml:space="preserve">fenytoïne </t>
  </si>
  <si>
    <t>rocuronium</t>
  </si>
  <si>
    <t>Gewicht</t>
  </si>
  <si>
    <t>Leeftijd:</t>
  </si>
  <si>
    <t>Vocht</t>
  </si>
  <si>
    <t>Calorieen</t>
  </si>
  <si>
    <t xml:space="preserve">Natrium </t>
  </si>
  <si>
    <t>Kalium</t>
  </si>
  <si>
    <t>FZ</t>
  </si>
  <si>
    <t>gluc 5%</t>
  </si>
  <si>
    <t>gluc 10%</t>
  </si>
  <si>
    <t>totaal</t>
  </si>
  <si>
    <t>Voeding</t>
  </si>
  <si>
    <t>Infuus</t>
  </si>
  <si>
    <t>1.</t>
  </si>
  <si>
    <t>2.</t>
  </si>
  <si>
    <t>3.</t>
  </si>
  <si>
    <t>4.</t>
  </si>
  <si>
    <t>MedIVSterkte_12</t>
  </si>
  <si>
    <t>MedIVSterkte_13</t>
  </si>
  <si>
    <t>MedIVSterkte_14</t>
  </si>
  <si>
    <t>MedKeuze_14</t>
  </si>
  <si>
    <t>MedKeuze_15</t>
  </si>
  <si>
    <t>MedKeuze_16</t>
  </si>
  <si>
    <t>zoemer</t>
  </si>
  <si>
    <t>1 ml (max 10 ml)</t>
  </si>
  <si>
    <t>Opmerking:</t>
  </si>
  <si>
    <t>Medicatie continu intraveneus</t>
  </si>
  <si>
    <t>Infuussnelheid</t>
  </si>
  <si>
    <t>SSTglucose</t>
  </si>
  <si>
    <t>MedDosHoev_8</t>
  </si>
  <si>
    <t>MedDosHoev_9</t>
  </si>
  <si>
    <t>Frequentie:</t>
  </si>
  <si>
    <t>MedOplVol_8</t>
  </si>
  <si>
    <t>LabOpn_8</t>
  </si>
  <si>
    <t>LabOpn_9</t>
  </si>
  <si>
    <t>Patient</t>
  </si>
  <si>
    <t>opmMedDisc__13</t>
  </si>
  <si>
    <t>opmMedDisc__14</t>
  </si>
  <si>
    <t>opmMedDisc__15</t>
  </si>
  <si>
    <t>MedOpl_16</t>
  </si>
  <si>
    <t>MedOpl_17</t>
  </si>
  <si>
    <t>opmAfsprBlad__11</t>
  </si>
  <si>
    <t>opmAfsprBlad__12</t>
  </si>
  <si>
    <t>opmAfsprBlad__13</t>
  </si>
  <si>
    <t>PRVC</t>
  </si>
  <si>
    <t>VS</t>
  </si>
  <si>
    <t>medicament</t>
  </si>
  <si>
    <t>dosering</t>
  </si>
  <si>
    <t>dopamine</t>
  </si>
  <si>
    <t>Glucose 5%</t>
  </si>
  <si>
    <t>Glucose 10%</t>
  </si>
  <si>
    <t>opmMedDisc__8</t>
  </si>
  <si>
    <t>Datum:</t>
  </si>
  <si>
    <t>Opnamedatum:</t>
  </si>
  <si>
    <t>Perifeer infuus 1: SST 2</t>
  </si>
  <si>
    <t>sc</t>
  </si>
  <si>
    <t>Pomp-snelh.</t>
  </si>
  <si>
    <t>SST2Stand</t>
  </si>
  <si>
    <t>NaCl 0,9%</t>
  </si>
  <si>
    <t>Peditrace</t>
  </si>
  <si>
    <t>Volume</t>
  </si>
  <si>
    <t>SpecVoed_1</t>
  </si>
  <si>
    <t>SpecVoed_2</t>
  </si>
  <si>
    <t>SpecVoed_3</t>
  </si>
  <si>
    <t>SpecVoed_4</t>
  </si>
  <si>
    <t>SpecVoed_5</t>
  </si>
  <si>
    <t>SpecVoed_6</t>
  </si>
  <si>
    <t>Geboorte datum:</t>
  </si>
  <si>
    <t>MedOplVol_9</t>
  </si>
  <si>
    <t>calciumchloride 10%</t>
  </si>
  <si>
    <t>Acuut</t>
  </si>
  <si>
    <t>KNaFosfaat</t>
  </si>
  <si>
    <t>Magnesium</t>
  </si>
  <si>
    <t>MgCl 10%</t>
  </si>
  <si>
    <t>25-100 ng/kg/min</t>
  </si>
  <si>
    <t>CVL lijn lumen II: medicatie + SST 2</t>
  </si>
  <si>
    <t>Perifeer infuus 1: SST 1</t>
  </si>
  <si>
    <t>Arts</t>
  </si>
  <si>
    <t>ml/24uur</t>
  </si>
  <si>
    <t>MedOplVol_5</t>
  </si>
  <si>
    <t>MedOplVol_6</t>
  </si>
  <si>
    <t>MedOplVol_7</t>
  </si>
  <si>
    <t>etomidaat</t>
  </si>
  <si>
    <t>atropine</t>
  </si>
  <si>
    <t>naloxon</t>
  </si>
  <si>
    <t>propofol 1%</t>
  </si>
  <si>
    <t>propofol 2%</t>
  </si>
  <si>
    <t>MedIVOplVlst_8</t>
  </si>
  <si>
    <t>MedIVOplVlst_9</t>
  </si>
  <si>
    <t>MedIVStand_1</t>
  </si>
  <si>
    <t>MedIVStand_10</t>
  </si>
  <si>
    <t>MedIVStand_11</t>
  </si>
  <si>
    <t>Adviesdosering</t>
  </si>
  <si>
    <t>MedIVOplVlst_5</t>
  </si>
  <si>
    <t>MedIVOplVlst_6</t>
  </si>
  <si>
    <t>MedIVOplVlst_7</t>
  </si>
  <si>
    <t>MedIVOplVlst_3</t>
  </si>
  <si>
    <t>MedIVOplVlst_4</t>
  </si>
  <si>
    <t>MedIVOplVlst_12</t>
  </si>
  <si>
    <t>opmMedDisc__11</t>
  </si>
  <si>
    <t>opmMedDisc__12</t>
  </si>
  <si>
    <t>MedDosHoev_18</t>
  </si>
  <si>
    <t>MedDosHoev_19</t>
  </si>
  <si>
    <t>MedDosHoev_2</t>
  </si>
  <si>
    <t>MedDosHoev_20</t>
  </si>
  <si>
    <t>MedDosHoev_3</t>
  </si>
  <si>
    <t>MedInloop_15</t>
  </si>
  <si>
    <t>MedInloop_16</t>
  </si>
  <si>
    <t>MedInloop_17</t>
  </si>
  <si>
    <t>MedInloop_18</t>
  </si>
  <si>
    <t>MedTijden_6</t>
  </si>
  <si>
    <t>1-20 mcg/kg/min</t>
  </si>
  <si>
    <t>dobutamine</t>
  </si>
  <si>
    <t>Medicament</t>
  </si>
  <si>
    <t>Dosering</t>
  </si>
  <si>
    <t>Samenstelling B</t>
  </si>
  <si>
    <t>Samenstelling C</t>
  </si>
  <si>
    <t>NaCl 2,9%</t>
  </si>
  <si>
    <t>CaGluc 10%</t>
  </si>
  <si>
    <t>vocht</t>
  </si>
  <si>
    <t>natrium</t>
  </si>
  <si>
    <t>kalium</t>
  </si>
  <si>
    <t>SST_1</t>
  </si>
  <si>
    <t>SST_2</t>
  </si>
  <si>
    <t>SST 1</t>
  </si>
  <si>
    <t>SST 2</t>
  </si>
  <si>
    <t>CVL lijn lumen I: medicatie + SST 1</t>
  </si>
  <si>
    <t>CVL lijn lumen I: medicatie + SST 2</t>
  </si>
  <si>
    <t>CVL lijn lumen II: medicatie + SST 1</t>
  </si>
  <si>
    <t>LipidenStand</t>
  </si>
  <si>
    <t>VolPO_2</t>
  </si>
  <si>
    <t>VolPO_3</t>
  </si>
  <si>
    <t>DosHoev_15</t>
  </si>
  <si>
    <t>DosHoev_16</t>
  </si>
  <si>
    <t>DosHoev_17</t>
  </si>
  <si>
    <t>DosHoev_18</t>
  </si>
  <si>
    <t>Patient nummer:</t>
  </si>
  <si>
    <t>MedToed_19</t>
  </si>
  <si>
    <t>MedToed_2</t>
  </si>
  <si>
    <t>MedToed_20</t>
  </si>
  <si>
    <t>MedToed_3</t>
  </si>
  <si>
    <t>LabDag1_1</t>
  </si>
  <si>
    <t>LabDag1_10</t>
  </si>
  <si>
    <t>LabDag1_11</t>
  </si>
  <si>
    <t>LabDag1_12</t>
  </si>
  <si>
    <t>LabDag1_13</t>
  </si>
  <si>
    <t>LabDag1_14</t>
  </si>
  <si>
    <t>LabDag1_15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</si>
  <si>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</si>
  <si>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</si>
  <si>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</si>
  <si>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</si>
  <si>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</si>
  <si>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</si>
  <si>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</si>
  <si>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3,6 g/kg</t>
  </si>
  <si>
    <t>thiopental</t>
  </si>
  <si>
    <t>Intake</t>
  </si>
  <si>
    <t>opmMedDisc__9</t>
  </si>
  <si>
    <t>midazolam</t>
  </si>
  <si>
    <t>MedToed_18</t>
  </si>
  <si>
    <t>Stof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</si>
  <si>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</si>
  <si>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</si>
  <si>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</si>
  <si>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</si>
  <si>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</si>
  <si>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</si>
  <si>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KCl_2</t>
  </si>
  <si>
    <t>KClVol_2</t>
  </si>
  <si>
    <t>MedIVOplVlst_13</t>
  </si>
  <si>
    <t>MedIVOplVlst_14</t>
  </si>
  <si>
    <t>MedIVOplVlst_15</t>
  </si>
  <si>
    <t>MedIVOplVlst_2</t>
  </si>
  <si>
    <t>Intern</t>
  </si>
  <si>
    <t>MedTijden_7</t>
  </si>
  <si>
    <t>MedTijden_8</t>
  </si>
  <si>
    <t>MedTijden_9</t>
  </si>
  <si>
    <t>MedToed_1</t>
  </si>
  <si>
    <t>MedToed_10</t>
  </si>
  <si>
    <t>trach</t>
  </si>
  <si>
    <t>epid</t>
  </si>
  <si>
    <t>nasaal</t>
  </si>
  <si>
    <t>Opl</t>
  </si>
  <si>
    <t>OplVl</t>
  </si>
  <si>
    <t>TotOpl</t>
  </si>
  <si>
    <t>CaGluc</t>
  </si>
  <si>
    <t>CaGlucVol</t>
  </si>
  <si>
    <t>MedIVOplVlst_1</t>
  </si>
  <si>
    <t>MedIVOplVlst_10</t>
  </si>
  <si>
    <t>MedIVOplVlst_11</t>
  </si>
  <si>
    <t>1 ml/kg;    max 10 ml</t>
  </si>
  <si>
    <t>Infuus_6</t>
  </si>
  <si>
    <t>Gluc5</t>
  </si>
  <si>
    <t>Gluc10</t>
  </si>
  <si>
    <t>an</t>
  </si>
  <si>
    <t>Tijden</t>
  </si>
  <si>
    <t>Inloop</t>
  </si>
  <si>
    <t>PatNummer</t>
  </si>
  <si>
    <t>Opname</t>
  </si>
  <si>
    <t>: Pelikaan</t>
  </si>
  <si>
    <t>Intubatie</t>
  </si>
  <si>
    <t>LabOpn_1</t>
  </si>
  <si>
    <t>LabOpn_10</t>
  </si>
  <si>
    <t>LabOpn_11</t>
  </si>
  <si>
    <t>LabOpn_12</t>
  </si>
  <si>
    <t>LabOpn_13</t>
  </si>
  <si>
    <t>LabOpn_14</t>
  </si>
  <si>
    <t>LabOpn_15</t>
  </si>
  <si>
    <t>LabOpn_16</t>
  </si>
  <si>
    <t>LabOpn_2</t>
  </si>
  <si>
    <t>LabOpn_3</t>
  </si>
  <si>
    <t>MedInloop_7</t>
  </si>
  <si>
    <t>MedInloop_8</t>
  </si>
  <si>
    <t>MedInloop_9</t>
  </si>
  <si>
    <t>MedIVKeuze_1</t>
  </si>
  <si>
    <t>MedIVKeuze_10</t>
  </si>
  <si>
    <t>MedIVKeuze_11</t>
  </si>
  <si>
    <t>MedIVKeuze_12</t>
  </si>
  <si>
    <t>MedIVKeuze_13</t>
  </si>
  <si>
    <t>MedToed_4</t>
  </si>
  <si>
    <t>RecNo_18</t>
  </si>
  <si>
    <t>RecNo_19</t>
  </si>
  <si>
    <t>RecNo_2</t>
  </si>
  <si>
    <t>MedOpl_18</t>
  </si>
  <si>
    <t>Perifeer infuus 2: SST 1</t>
  </si>
  <si>
    <t>Perifeer infuus 2: SST 2</t>
  </si>
  <si>
    <t>Perifeer infuus 2: medicatie</t>
  </si>
  <si>
    <t>NaClVol</t>
  </si>
  <si>
    <t>SoluvitVol</t>
  </si>
  <si>
    <t>SSTStand</t>
  </si>
  <si>
    <t>TPNVol</t>
  </si>
  <si>
    <t>VitIntra</t>
  </si>
  <si>
    <t>VitIntraVol</t>
  </si>
  <si>
    <t>AN</t>
  </si>
  <si>
    <t>boven 50 kg</t>
  </si>
  <si>
    <t>MedTijden_13</t>
  </si>
  <si>
    <t>MedTijden_14</t>
  </si>
  <si>
    <t>MedTijden_15</t>
  </si>
  <si>
    <t>MedTijden_16</t>
  </si>
  <si>
    <t>MedTijden_17</t>
  </si>
  <si>
    <t>5 ml</t>
  </si>
  <si>
    <t>10 ml</t>
  </si>
  <si>
    <t>SpecVoed_8</t>
  </si>
  <si>
    <t>SpecVoed_9</t>
  </si>
  <si>
    <t>MedIVStand_12</t>
  </si>
  <si>
    <t>MedIVStand_13</t>
  </si>
  <si>
    <t>MedIVStand_14</t>
  </si>
  <si>
    <t>MedIVStand_15</t>
  </si>
  <si>
    <t>MedIVStand_2</t>
  </si>
  <si>
    <t>MedIVStand_3</t>
  </si>
  <si>
    <t>MedIVStand_4</t>
  </si>
  <si>
    <t>MedIVStand_5</t>
  </si>
  <si>
    <t>MedIVStand_6</t>
  </si>
  <si>
    <t>MedIVStand_7</t>
  </si>
  <si>
    <t>MedIVStand_8</t>
  </si>
  <si>
    <t>MedIVStand_9</t>
  </si>
  <si>
    <t>MedIVSterkte_11</t>
  </si>
  <si>
    <t>MedTijden_18</t>
  </si>
  <si>
    <t>MedTijden_19</t>
  </si>
  <si>
    <t>MedTijden_2</t>
  </si>
  <si>
    <t>MedTijden_20</t>
  </si>
  <si>
    <t>MedTijden_3</t>
  </si>
  <si>
    <t>MedTijden_4</t>
  </si>
  <si>
    <t>MedTijden_5</t>
  </si>
  <si>
    <t>noradrenaline</t>
  </si>
  <si>
    <t>0,05-2 mcg/kg/min</t>
  </si>
  <si>
    <t>mmol/kg/dag</t>
  </si>
  <si>
    <t>EW</t>
  </si>
  <si>
    <t>MedIVKeuze_14</t>
  </si>
  <si>
    <t>MedIVKeuze_15</t>
  </si>
  <si>
    <t>MedIVKeuze_2</t>
  </si>
  <si>
    <t>MedIVKeuze_3</t>
  </si>
  <si>
    <t>MedIVKeuze_4</t>
  </si>
  <si>
    <t>MedIVKeuze_5</t>
  </si>
  <si>
    <t>MedIVKeuze_6</t>
  </si>
  <si>
    <t>isoprenaline</t>
  </si>
  <si>
    <t>MedToed_5</t>
  </si>
  <si>
    <t>MedToed_6</t>
  </si>
  <si>
    <t>MedToed_7</t>
  </si>
  <si>
    <t>MedToed_8</t>
  </si>
  <si>
    <t>Tabel medicijn verdeelsysteem</t>
  </si>
  <si>
    <t>1 dd</t>
  </si>
  <si>
    <t>2 dd</t>
  </si>
  <si>
    <t>3 dd</t>
  </si>
  <si>
    <t>4 dd</t>
  </si>
  <si>
    <t>RS-diagnostiek</t>
  </si>
  <si>
    <t>CT scan</t>
  </si>
  <si>
    <t>MRI</t>
  </si>
  <si>
    <t>prednisolon</t>
  </si>
  <si>
    <t>SSTGlucose_2</t>
  </si>
  <si>
    <t>RecNo_13</t>
  </si>
  <si>
    <t>RecNo_14</t>
  </si>
  <si>
    <t>RecNo_15</t>
  </si>
  <si>
    <t>RecNo_16</t>
  </si>
  <si>
    <t>CVL lijn lumen I: SST 1</t>
  </si>
  <si>
    <t>CVL lijn lumen I: SST 2</t>
  </si>
  <si>
    <t>KCl 7,4 % (1 mmol/ml)</t>
  </si>
  <si>
    <t>Samenstelling B (z.o.z.)</t>
  </si>
  <si>
    <t>Glucose 12,5%</t>
  </si>
  <si>
    <t>KCl  (7,4%) (1 mmol/ml)</t>
  </si>
  <si>
    <t>Gluc / zout ¾ - ¼ (7,5%  gluc / 0,225 % Na 38 mmol/l)</t>
  </si>
  <si>
    <t>2 ml</t>
  </si>
  <si>
    <t>Samenstelling C (z.o.z.)</t>
  </si>
  <si>
    <t>20 ml</t>
  </si>
  <si>
    <t>80-65 ml</t>
  </si>
  <si>
    <t>65-50 ml</t>
  </si>
  <si>
    <t>Glucose 30% (7 – 10 kg)</t>
  </si>
  <si>
    <t>55 ml</t>
  </si>
  <si>
    <t>Glucose 30% (11 – 15 kg)</t>
  </si>
  <si>
    <t>40 ml</t>
  </si>
  <si>
    <t>Samenstelling D (z.o.z.)</t>
  </si>
  <si>
    <t>MedOpl_8</t>
  </si>
  <si>
    <t>MedOpl_9</t>
  </si>
  <si>
    <t>MedOplVol_1</t>
  </si>
  <si>
    <t>MedOplVol_10</t>
  </si>
  <si>
    <t>MedOplVol_11</t>
  </si>
  <si>
    <t>MedOplVol_12</t>
  </si>
  <si>
    <t>risetime 5%</t>
  </si>
  <si>
    <t>drukbegrenzing 30 cmH2O</t>
  </si>
  <si>
    <t>mcg/kg/min</t>
  </si>
  <si>
    <t>nanog/kg/min</t>
  </si>
  <si>
    <t>Jaren</t>
  </si>
  <si>
    <t>Maanden</t>
  </si>
  <si>
    <t>MedInloop_3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</si>
  <si>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</si>
  <si>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</si>
  <si>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</si>
  <si>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</si>
  <si>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StartDatum_1</t>
  </si>
  <si>
    <t>StartDatum_10</t>
  </si>
  <si>
    <t>StartDatum_11</t>
  </si>
  <si>
    <t>StartDatum_12</t>
  </si>
  <si>
    <t>0,2-0,8 mmol/kg (3-10 kg:0,8; 10-20 kg:0,5; &gt; 20 kg:0,2 mmol/kg)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</si>
  <si>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</si>
  <si>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</si>
  <si>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</si>
  <si>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</si>
  <si>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</si>
  <si>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</si>
  <si>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</si>
  <si>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</si>
  <si>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</si>
  <si>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</si>
  <si>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</si>
  <si>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</si>
  <si>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Op geleide van spiegels</t>
  </si>
  <si>
    <t>5 dd</t>
  </si>
  <si>
    <t>zn</t>
  </si>
  <si>
    <t>ml/u</t>
  </si>
  <si>
    <t>AfsprakenVersie</t>
  </si>
  <si>
    <t>Frequentie</t>
  </si>
  <si>
    <t>Route</t>
  </si>
  <si>
    <t>Opm</t>
  </si>
  <si>
    <t>Paraaf gezien door verpleegkundige:</t>
  </si>
  <si>
    <t>14:00 uur</t>
  </si>
  <si>
    <t>19:00 uur</t>
  </si>
  <si>
    <t>MedicatieContinu</t>
  </si>
  <si>
    <t>MedicatieDiscontinu</t>
  </si>
  <si>
    <t>IntravasaleToegang</t>
  </si>
  <si>
    <t>VoedingEnTPN</t>
  </si>
  <si>
    <t>Glucose 5% + NaCl 0,45%</t>
  </si>
  <si>
    <t>Glucose 5% + NaCl 0,9%</t>
  </si>
  <si>
    <t>Ringer lactaat</t>
  </si>
  <si>
    <t>Geboortedatum</t>
  </si>
  <si>
    <t>Datum</t>
  </si>
  <si>
    <t>Naam</t>
  </si>
  <si>
    <t>Generiek</t>
  </si>
  <si>
    <t>2 tot 6</t>
  </si>
  <si>
    <t>6 tot 11</t>
  </si>
  <si>
    <t>vanaf 11</t>
  </si>
  <si>
    <t>generic</t>
  </si>
  <si>
    <t>doseUnit</t>
  </si>
  <si>
    <t>advice</t>
  </si>
  <si>
    <t>unit</t>
  </si>
  <si>
    <t>strength</t>
  </si>
  <si>
    <t>sol</t>
  </si>
  <si>
    <t>esmolol</t>
  </si>
  <si>
    <t>fenylefrine</t>
  </si>
  <si>
    <t>EH</t>
  </si>
  <si>
    <t>insuline</t>
  </si>
  <si>
    <t>labetalol</t>
  </si>
  <si>
    <t>magnesiumsulfaat</t>
  </si>
  <si>
    <t>milrinone</t>
  </si>
  <si>
    <t>rate</t>
  </si>
  <si>
    <t>dose</t>
  </si>
  <si>
    <t>Standard</t>
  </si>
  <si>
    <t>Set</t>
  </si>
  <si>
    <t>Calculated</t>
  </si>
  <si>
    <t>0,1-1 mg/kg/min</t>
  </si>
  <si>
    <t>mg/kg/min</t>
  </si>
  <si>
    <t>Row</t>
  </si>
  <si>
    <t>Opl Ml</t>
  </si>
  <si>
    <t>Opl Vlstf</t>
  </si>
  <si>
    <t>Vol</t>
  </si>
  <si>
    <t>Gluc 5</t>
  </si>
  <si>
    <t>Gluc 10</t>
  </si>
  <si>
    <t>No</t>
  </si>
  <si>
    <t>_AchterNaam</t>
  </si>
  <si>
    <t>_VoorNaam</t>
  </si>
  <si>
    <t>3-20 mg/kg/uur (=0,01-0,08 mmol/kg/uur)</t>
  </si>
  <si>
    <t>mmol</t>
  </si>
  <si>
    <t>fentanyl</t>
  </si>
  <si>
    <t>epi bupi 2,5mg, sufenta 1 mcg /ml</t>
  </si>
  <si>
    <t>epi bupi 2,5mg /ml</t>
  </si>
  <si>
    <t>N.B. Epiduraal, bereiden en voorschrijven volgens protocol en/of voorschrift anesthesist!</t>
  </si>
  <si>
    <t>3,5-10 kg</t>
  </si>
  <si>
    <t>Ingredienten per mL</t>
  </si>
  <si>
    <t>ingredienten per 100 mL</t>
  </si>
  <si>
    <t>10-20 kg</t>
  </si>
  <si>
    <t>Nutrini Multi Fibre</t>
  </si>
  <si>
    <t>Nutrini Energy Multi Fibre</t>
  </si>
  <si>
    <t>20-45 kg</t>
  </si>
  <si>
    <t>NutriniMax Multi Fibre</t>
  </si>
  <si>
    <t>NutriniMax Energy Multi Fibre</t>
  </si>
  <si>
    <t>&gt; 45 kg</t>
  </si>
  <si>
    <t>Nutrison Multi Fibre</t>
  </si>
  <si>
    <t>Nutrison Energy Multi Fibre</t>
  </si>
  <si>
    <t>Poeder1</t>
  </si>
  <si>
    <t>Poeder2</t>
  </si>
  <si>
    <t>Poeder3</t>
  </si>
  <si>
    <t>Sum</t>
  </si>
  <si>
    <t>SpecVoed</t>
  </si>
  <si>
    <t>Enteraal voeding</t>
  </si>
  <si>
    <t>Maagsonde voeding</t>
  </si>
  <si>
    <t>Maagsonde hevelen</t>
  </si>
  <si>
    <t>Duodenumsonde voeding</t>
  </si>
  <si>
    <t>Sonde keuze</t>
  </si>
  <si>
    <t>AdviseMinimum</t>
  </si>
  <si>
    <t>AdviseMaximum</t>
  </si>
  <si>
    <t>Bed</t>
  </si>
  <si>
    <t>Bed:</t>
  </si>
  <si>
    <t>eind PO</t>
  </si>
  <si>
    <t>start poeder</t>
  </si>
  <si>
    <t>Bednummer:</t>
  </si>
  <si>
    <t>Print:</t>
  </si>
  <si>
    <t>AD:</t>
  </si>
  <si>
    <t xml:space="preserve">Paraaf </t>
  </si>
  <si>
    <t>Verpleging</t>
  </si>
  <si>
    <t>Handtekening supervisor:</t>
  </si>
  <si>
    <t>Extra?</t>
  </si>
  <si>
    <t>Keuze 1</t>
  </si>
  <si>
    <t>Keuze 2</t>
  </si>
  <si>
    <t>Keuze 3</t>
  </si>
  <si>
    <t>Dag 1 tot en met 3</t>
  </si>
  <si>
    <t>Dag 4 en verder</t>
  </si>
  <si>
    <t>WERKBRIEF INFUUSSAMENSTELLING NEONATOLOGIE</t>
  </si>
  <si>
    <t>patient:</t>
  </si>
  <si>
    <t>datum:</t>
  </si>
  <si>
    <t>tijd:</t>
  </si>
  <si>
    <t>Gewicht:</t>
  </si>
  <si>
    <t>naam arts:</t>
  </si>
  <si>
    <t>Paraaf:</t>
  </si>
  <si>
    <t>Totale vochtintake per 24 uur:</t>
  </si>
  <si>
    <t>hoeveelheid in ml</t>
  </si>
  <si>
    <t>correctie</t>
  </si>
  <si>
    <t>Kacetaat (1 mmol/ml)</t>
  </si>
  <si>
    <t>Primene</t>
  </si>
  <si>
    <t>NICU-mix</t>
  </si>
  <si>
    <t>(</t>
  </si>
  <si>
    <t>mg=</t>
  </si>
  <si>
    <t>ml)</t>
  </si>
  <si>
    <t>in</t>
  </si>
  <si>
    <t>PO4</t>
  </si>
  <si>
    <t>Gluc</t>
  </si>
  <si>
    <t>Lip</t>
  </si>
  <si>
    <t>Energie</t>
  </si>
  <si>
    <t>Fantomalt</t>
  </si>
  <si>
    <t>WERKBRIEF APOTHEEK</t>
  </si>
  <si>
    <t>pieper:</t>
  </si>
  <si>
    <t>advies:</t>
  </si>
  <si>
    <t>Intraveneus</t>
  </si>
  <si>
    <t>Oraal</t>
  </si>
  <si>
    <t>Glucose</t>
  </si>
  <si>
    <t>Chloor</t>
  </si>
  <si>
    <t>Vit D</t>
  </si>
  <si>
    <t>Medische Afspraken</t>
  </si>
  <si>
    <t>Afdeling Neonatologie (IC-HC-MC)</t>
  </si>
  <si>
    <t>Divisie Obstetrie Neonatologie en Gynaecologie</t>
  </si>
  <si>
    <t>Geboortedatum:</t>
  </si>
  <si>
    <t>weken</t>
  </si>
  <si>
    <t>dag(-en)</t>
  </si>
  <si>
    <t>Advies</t>
  </si>
  <si>
    <t>Totale vochtintake</t>
  </si>
  <si>
    <t>ml/ kg/ 24 uur</t>
  </si>
  <si>
    <t>Fototherapie</t>
  </si>
  <si>
    <t>Hoeveelheid:</t>
  </si>
  <si>
    <t>maal</t>
  </si>
  <si>
    <t>Voeding:</t>
  </si>
  <si>
    <t>en</t>
  </si>
  <si>
    <t>Infuus/parenterale voeding:</t>
  </si>
  <si>
    <t>ml/ 24 uur</t>
  </si>
  <si>
    <t>Medicatie dosis/ kg /…</t>
  </si>
  <si>
    <t>Normaal waarden</t>
  </si>
  <si>
    <t>Inlooptijd</t>
  </si>
  <si>
    <t>Zijlijn 1</t>
  </si>
  <si>
    <t>Zijlijn 2</t>
  </si>
  <si>
    <t>Zijlijn 3</t>
  </si>
  <si>
    <t>Intralipid 20% (incl vitintra)</t>
  </si>
  <si>
    <t>Samenstelling</t>
  </si>
  <si>
    <t>Kacetaat</t>
  </si>
  <si>
    <t>CaCl2</t>
  </si>
  <si>
    <t>MgCl2</t>
  </si>
  <si>
    <t>Totale vochtintake (ml/kg/24 uur):</t>
  </si>
  <si>
    <t>prematuur/dysmatuur</t>
  </si>
  <si>
    <t>voldragen</t>
  </si>
  <si>
    <t>Samenstelling (ml/kg/24 uur):</t>
  </si>
  <si>
    <t>NICU-mix WKZ</t>
  </si>
  <si>
    <t>3</t>
  </si>
  <si>
    <t>1,5</t>
  </si>
  <si>
    <r>
      <t>Cacl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(0,225 mmol/ml)</t>
    </r>
  </si>
  <si>
    <r>
      <t>MgCl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10% (0,5 mmol/ml)</t>
    </r>
  </si>
  <si>
    <t>Primene 10%</t>
  </si>
  <si>
    <t>Intralipid-20% incl. Vitintra (2 ml per 12 ml)</t>
  </si>
  <si>
    <t>Medicamenten</t>
  </si>
  <si>
    <t>Normaal Waarden</t>
  </si>
  <si>
    <t>Faktor</t>
  </si>
  <si>
    <t>Cl</t>
  </si>
  <si>
    <t>vit D</t>
  </si>
  <si>
    <t>0,1- 0,5 mg/kg/dag</t>
  </si>
  <si>
    <t>glucose 5%</t>
  </si>
  <si>
    <t>microg/kg/min</t>
  </si>
  <si>
    <t>Nutrilon Standaard 1</t>
  </si>
  <si>
    <t>Nutrilon 1 poeder</t>
  </si>
  <si>
    <t>2,5-20 microg/kg/min</t>
  </si>
  <si>
    <t>glucose 10%</t>
  </si>
  <si>
    <t>Nenatal Start poeder</t>
  </si>
  <si>
    <t>1-20 microg/kg/min</t>
  </si>
  <si>
    <t>glucose 15%</t>
  </si>
  <si>
    <t>Nutrilon Nenatal BMF</t>
  </si>
  <si>
    <t>glucose 20%</t>
  </si>
  <si>
    <t>Nenatal Protein Fortifier</t>
  </si>
  <si>
    <t>glucose 25%</t>
  </si>
  <si>
    <t>Solagen/Colagen</t>
  </si>
  <si>
    <t>glucose 30%</t>
  </si>
  <si>
    <t>0,01-1,5 microg/kg/min</t>
  </si>
  <si>
    <t>glucose 35%</t>
  </si>
  <si>
    <t>glucose 40%</t>
  </si>
  <si>
    <t>glucose 45%</t>
  </si>
  <si>
    <t>glucose 50%</t>
  </si>
  <si>
    <t>0,125-0,5 mg/kg/dag</t>
  </si>
  <si>
    <t>0,05-2 microg/kg/min</t>
  </si>
  <si>
    <t>NaBic 4,2%</t>
  </si>
  <si>
    <t>NICU mix</t>
  </si>
  <si>
    <t>_Arts</t>
  </si>
  <si>
    <t>_Bed</t>
  </si>
  <si>
    <t>_CaCl2</t>
  </si>
  <si>
    <t>_Dagen</t>
  </si>
  <si>
    <t>_DagKeuze</t>
  </si>
  <si>
    <t>_Eenheid_1</t>
  </si>
  <si>
    <t>_Eenheid_2</t>
  </si>
  <si>
    <t>_Eenheid_3</t>
  </si>
  <si>
    <t>_Eenheid_4</t>
  </si>
  <si>
    <t>_Eenheid_5</t>
  </si>
  <si>
    <t>_Eenheid_6</t>
  </si>
  <si>
    <t>_Eenheid_7</t>
  </si>
  <si>
    <t>_Eenheid_8</t>
  </si>
  <si>
    <t>_Eenheid_9</t>
  </si>
  <si>
    <t>_Extra</t>
  </si>
  <si>
    <t>_Extra_1</t>
  </si>
  <si>
    <t>_Extra_2</t>
  </si>
  <si>
    <t>_Extra_3</t>
  </si>
  <si>
    <t>_Extra_4</t>
  </si>
  <si>
    <t>_Extra_5</t>
  </si>
  <si>
    <t>_Extra_6</t>
  </si>
  <si>
    <t>_Extra_7</t>
  </si>
  <si>
    <t>_Extra_8</t>
  </si>
  <si>
    <t>_Extra_9</t>
  </si>
  <si>
    <t>_Frequentie_1</t>
  </si>
  <si>
    <t>_Frequentie_2</t>
  </si>
  <si>
    <t>_GeboorteDatum</t>
  </si>
  <si>
    <t>_Gewicht</t>
  </si>
  <si>
    <t>_Hoeveelheid_1</t>
  </si>
  <si>
    <t>_Hoeveelheid_2</t>
  </si>
  <si>
    <t>_IntakePerKg</t>
  </si>
  <si>
    <t>_IntraLipid</t>
  </si>
  <si>
    <t>_KCl</t>
  </si>
  <si>
    <t>_Medicament_1</t>
  </si>
  <si>
    <t>_Medicament_2</t>
  </si>
  <si>
    <t>_Medicament_3</t>
  </si>
  <si>
    <t>_Medicament_4</t>
  </si>
  <si>
    <t>_Medicament_5</t>
  </si>
  <si>
    <t>_Medicament_6</t>
  </si>
  <si>
    <t>_Medicament_7</t>
  </si>
  <si>
    <t>_Medicament_8</t>
  </si>
  <si>
    <t>_Medicament_9</t>
  </si>
  <si>
    <t>_MedSterkte_1</t>
  </si>
  <si>
    <t>_MedSterkte_2</t>
  </si>
  <si>
    <t>_MedSterkte_3</t>
  </si>
  <si>
    <t>_MedSterkte_4</t>
  </si>
  <si>
    <t>_MedSterkte_5</t>
  </si>
  <si>
    <t>_MedSterkte_6</t>
  </si>
  <si>
    <t>_MedSterkte_7</t>
  </si>
  <si>
    <t>_MedSterkte_8</t>
  </si>
  <si>
    <t>_MedSterkte_9</t>
  </si>
  <si>
    <t>_MedTekst_1</t>
  </si>
  <si>
    <t>_MedTekst_2</t>
  </si>
  <si>
    <t>_MgCl2</t>
  </si>
  <si>
    <t>_NaCl</t>
  </si>
  <si>
    <t>_NICUMix</t>
  </si>
  <si>
    <t>_OplHoev_1</t>
  </si>
  <si>
    <t>_OplHoev_2</t>
  </si>
  <si>
    <t>_OplHoev_3</t>
  </si>
  <si>
    <t>_OplHoev_4</t>
  </si>
  <si>
    <t>_OplHoev_5</t>
  </si>
  <si>
    <t>_OplHoev_6</t>
  </si>
  <si>
    <t>_OplHoev_7</t>
  </si>
  <si>
    <t>_OplHoev_8</t>
  </si>
  <si>
    <t>_OplHoev_9</t>
  </si>
  <si>
    <t>_Oplossing_1</t>
  </si>
  <si>
    <t>_Oplossing_2</t>
  </si>
  <si>
    <t>_Oplossing_3</t>
  </si>
  <si>
    <t>_Oplossing_4</t>
  </si>
  <si>
    <t>_Oplossing_5</t>
  </si>
  <si>
    <t>_Oplossing_6</t>
  </si>
  <si>
    <t>_Oplossing_7</t>
  </si>
  <si>
    <t>_Oplossing_8</t>
  </si>
  <si>
    <t>_Oplossing_9</t>
  </si>
  <si>
    <t>_PatNum</t>
  </si>
  <si>
    <t>_Primene</t>
  </si>
  <si>
    <t>_SoluVit</t>
  </si>
  <si>
    <t>_SSTB</t>
  </si>
  <si>
    <t>_Stand_1</t>
  </si>
  <si>
    <t>_Stand_2</t>
  </si>
  <si>
    <t>_Stand_3</t>
  </si>
  <si>
    <t>_Stand_4</t>
  </si>
  <si>
    <t>_Stand_5</t>
  </si>
  <si>
    <t>_Stand_6</t>
  </si>
  <si>
    <t>_Stand_7</t>
  </si>
  <si>
    <t>_Stand_8</t>
  </si>
  <si>
    <t>_Stand_9</t>
  </si>
  <si>
    <t>_Sterkte_1</t>
  </si>
  <si>
    <t>_Sterkte_2</t>
  </si>
  <si>
    <t>_Sterkte_3</t>
  </si>
  <si>
    <t>_Sterkte_4</t>
  </si>
  <si>
    <t>_Sterkte_5</t>
  </si>
  <si>
    <t>_Sterkte_6</t>
  </si>
  <si>
    <t>_Sterkte_7</t>
  </si>
  <si>
    <t>_Sterkte_8</t>
  </si>
  <si>
    <t>_Sterkte_9</t>
  </si>
  <si>
    <t>_Toevoeging_1</t>
  </si>
  <si>
    <t>_Toevoeging_2</t>
  </si>
  <si>
    <t>_Toevoeging_3</t>
  </si>
  <si>
    <t>_Toevoeging_4</t>
  </si>
  <si>
    <t>_Voeding</t>
  </si>
  <si>
    <t>_Voornaam</t>
  </si>
  <si>
    <t>_Weken</t>
  </si>
  <si>
    <t>Nieuwe</t>
  </si>
  <si>
    <t>_Fototherapie</t>
  </si>
  <si>
    <t>_ArtLijn</t>
  </si>
  <si>
    <t>_Parenteraal</t>
  </si>
  <si>
    <t>_GlucSterkte</t>
  </si>
  <si>
    <t>_Extra_10</t>
  </si>
  <si>
    <t>_Extra_11</t>
  </si>
  <si>
    <t>_Extra_12</t>
  </si>
  <si>
    <t>_Extra_13</t>
  </si>
  <si>
    <t>_Oplossing_10</t>
  </si>
  <si>
    <t>_Oplossing_11</t>
  </si>
  <si>
    <t>_Oplossing_12</t>
  </si>
  <si>
    <t>_Stand_10</t>
  </si>
  <si>
    <t>_Stand_11</t>
  </si>
  <si>
    <t>_Stand_12</t>
  </si>
  <si>
    <t>Uren*10</t>
  </si>
  <si>
    <t>PatNum:</t>
  </si>
  <si>
    <t>Weken:</t>
  </si>
  <si>
    <t>Dagen:</t>
  </si>
  <si>
    <t>Dag:</t>
  </si>
  <si>
    <t>Voeding per os:</t>
  </si>
  <si>
    <t>Totale intake per kg</t>
  </si>
  <si>
    <t>Parenteraal</t>
  </si>
  <si>
    <t>Hoeveelheid</t>
  </si>
  <si>
    <t>Opl hoeveelh</t>
  </si>
  <si>
    <t>Dosering_2</t>
  </si>
  <si>
    <t>Berekening</t>
  </si>
  <si>
    <t>Medicament 1</t>
  </si>
  <si>
    <t>Medicament 2</t>
  </si>
  <si>
    <t>Medicament 3</t>
  </si>
  <si>
    <t>Medicament 4</t>
  </si>
  <si>
    <t>Medicament 5</t>
  </si>
  <si>
    <t>Medicament 6</t>
  </si>
  <si>
    <t>Medicament 7</t>
  </si>
  <si>
    <t>Medicament 8</t>
  </si>
  <si>
    <t>Medicament 9</t>
  </si>
  <si>
    <t>Aanbevolen</t>
  </si>
  <si>
    <t>Aangepast</t>
  </si>
  <si>
    <t>Tellerstand</t>
  </si>
  <si>
    <t>GLUCOSE</t>
  </si>
  <si>
    <t>Supervisor</t>
  </si>
  <si>
    <t>(gew. &lt;1 kg)</t>
  </si>
  <si>
    <t>kg</t>
  </si>
  <si>
    <t>NeoPatient</t>
  </si>
  <si>
    <t>NeoLaboratorium</t>
  </si>
  <si>
    <t>NeoIntake</t>
  </si>
  <si>
    <t>10</t>
  </si>
  <si>
    <t>11</t>
  </si>
  <si>
    <t>12</t>
  </si>
  <si>
    <t>Weken</t>
  </si>
  <si>
    <t>Dagen</t>
  </si>
  <si>
    <t>Gewicht (Kg)</t>
  </si>
  <si>
    <t>1 mg/kg, max 2 mg/kg</t>
  </si>
  <si>
    <t>10-100 ng/kg/min</t>
  </si>
  <si>
    <t>Monitor</t>
  </si>
  <si>
    <t>Saturatie meting, pre ductaal</t>
  </si>
  <si>
    <t>Saturatie meting, post ductaal</t>
  </si>
  <si>
    <t>Vochtbalans MC</t>
  </si>
  <si>
    <t>NIRS, nier</t>
  </si>
  <si>
    <t>Schedel</t>
  </si>
  <si>
    <t>Ontslag, in overleg</t>
  </si>
  <si>
    <t>Ontslag, na visite</t>
  </si>
  <si>
    <t>Ontslag, voor 10 uur akkoord</t>
  </si>
  <si>
    <t>Finnigan score</t>
  </si>
  <si>
    <t>Infuus, op slot</t>
  </si>
  <si>
    <t>Brainz</t>
  </si>
  <si>
    <t>Nicoh Coden</t>
  </si>
  <si>
    <t>Nicolet one</t>
  </si>
  <si>
    <t>Kweken</t>
  </si>
  <si>
    <t>aEEG</t>
  </si>
  <si>
    <t>Bloed kweek</t>
  </si>
  <si>
    <t>Faeces kweek</t>
  </si>
  <si>
    <t>Faeces kweek, Bacterieel</t>
  </si>
  <si>
    <t>Faeces kweek, Rota / Adeno</t>
  </si>
  <si>
    <t>Faeces kweek, Schimmel / Gist</t>
  </si>
  <si>
    <t>Faeces kweek, Viraal</t>
  </si>
  <si>
    <t>Keel kweek</t>
  </si>
  <si>
    <t>Neusspoelsel</t>
  </si>
  <si>
    <t>Opname kweken</t>
  </si>
  <si>
    <t>Oppervlakte kweken</t>
  </si>
  <si>
    <t>Sputum kweek</t>
  </si>
  <si>
    <t>Uitzuig kweek</t>
  </si>
  <si>
    <t>Urine kweek</t>
  </si>
  <si>
    <t>Urine</t>
  </si>
  <si>
    <t>Neusspoelsel, Viraal</t>
  </si>
  <si>
    <t>Oppervlakte kweken, Opname</t>
  </si>
  <si>
    <t>Oppervlakte kweken, Gist / Schimmel</t>
  </si>
  <si>
    <t>Sputum kweek, Bacterieel</t>
  </si>
  <si>
    <t>Sputum kweek, Ureaplasma / Mycoplasma</t>
  </si>
  <si>
    <t>Sputum kweek, Viraal</t>
  </si>
  <si>
    <t>Urine kweek, Bacterieel</t>
  </si>
  <si>
    <t>Urine, Natrium / Kalium</t>
  </si>
  <si>
    <t>Urine, Sediment</t>
  </si>
  <si>
    <t>Urine, Sediment en Kweek</t>
  </si>
  <si>
    <t>Urine, Sediment ma-wo-vr</t>
  </si>
  <si>
    <t>Urine, 24 uur</t>
  </si>
  <si>
    <t>Urine, CMV</t>
  </si>
  <si>
    <t>Urine, Metabool</t>
  </si>
  <si>
    <t>Urine, Rchitis screen</t>
  </si>
  <si>
    <t>Wond kweek</t>
  </si>
  <si>
    <t>Catheter a demeure</t>
  </si>
  <si>
    <t>Samenvatting</t>
  </si>
  <si>
    <t>-10 cmH2O</t>
  </si>
  <si>
    <t>-15 cmH2O</t>
  </si>
  <si>
    <t>Thorax drain sub 1</t>
  </si>
  <si>
    <t>Thorax drain sub 2</t>
  </si>
  <si>
    <t>Echo buik</t>
  </si>
  <si>
    <t>Echo hart</t>
  </si>
  <si>
    <t>Gastrostoma</t>
  </si>
  <si>
    <t>Maagsonde open en hoog</t>
  </si>
  <si>
    <t>Urostoma</t>
  </si>
  <si>
    <t>Redon drain</t>
  </si>
  <si>
    <t>Peritoneaal drain</t>
  </si>
  <si>
    <t>Pacemakerdraden</t>
  </si>
  <si>
    <t>Overig</t>
  </si>
  <si>
    <t>NeoAanvullendeAfspraken</t>
  </si>
  <si>
    <t>Nieuw</t>
  </si>
  <si>
    <t>Opname:</t>
  </si>
  <si>
    <t>06:00 uur dag 1</t>
  </si>
  <si>
    <t>06:00 uur dag 2</t>
  </si>
  <si>
    <t>06:00 uur dag 3</t>
  </si>
  <si>
    <t>N.B. De roodomlijnde labbepalingen alleen op stricte indicatie aanvragen (kunnen niet via de POC)</t>
  </si>
  <si>
    <t>12:00 uur</t>
  </si>
  <si>
    <t>16:00 uur</t>
  </si>
  <si>
    <t>20:00 uur</t>
  </si>
  <si>
    <t>04:00 uur</t>
  </si>
  <si>
    <t>08:00 uur dag 1</t>
  </si>
  <si>
    <t>08:00 uur dag 2</t>
  </si>
  <si>
    <t>08:00 uur dag 3</t>
  </si>
  <si>
    <t>08:00 uur</t>
  </si>
  <si>
    <t>Lab Neo</t>
  </si>
  <si>
    <t>10-100 nanogram/kg/min</t>
  </si>
  <si>
    <t>Lab14_1</t>
  </si>
  <si>
    <t>Lab14_10</t>
  </si>
  <si>
    <t>Lab14_11</t>
  </si>
  <si>
    <t>Lab14_12</t>
  </si>
  <si>
    <t>Lab14_13</t>
  </si>
  <si>
    <t>Lab14_14</t>
  </si>
  <si>
    <t>Lab14_15</t>
  </si>
  <si>
    <t>Lab14_16</t>
  </si>
  <si>
    <t>Lab14_17</t>
  </si>
  <si>
    <t>Lab14_18</t>
  </si>
  <si>
    <t>Lab14_19</t>
  </si>
  <si>
    <t>Lab14_2</t>
  </si>
  <si>
    <t>Lab14_20</t>
  </si>
  <si>
    <t>Lab14_21</t>
  </si>
  <si>
    <t>Lab14_22</t>
  </si>
  <si>
    <t>Lab14_23</t>
  </si>
  <si>
    <t>Lab14_24</t>
  </si>
  <si>
    <t>Lab14_25</t>
  </si>
  <si>
    <t>Lab14_26</t>
  </si>
  <si>
    <t>Lab14_27</t>
  </si>
  <si>
    <t>Lab14_3</t>
  </si>
  <si>
    <t>Lab14_4</t>
  </si>
  <si>
    <t>Lab14_5</t>
  </si>
  <si>
    <t>Lab14_6</t>
  </si>
  <si>
    <t>Lab14_7</t>
  </si>
  <si>
    <t>Lab14_8</t>
  </si>
  <si>
    <t>Lab14_9</t>
  </si>
  <si>
    <t>Lab19_1</t>
  </si>
  <si>
    <t>Lab19_10</t>
  </si>
  <si>
    <t>Lab19_11</t>
  </si>
  <si>
    <t>Lab19_12</t>
  </si>
  <si>
    <t>Lab19_13</t>
  </si>
  <si>
    <t>Lab19_14</t>
  </si>
  <si>
    <t>Lab19_15</t>
  </si>
  <si>
    <t>Lab19_16</t>
  </si>
  <si>
    <t>Lab19_17</t>
  </si>
  <si>
    <t>Lab19_18</t>
  </si>
  <si>
    <t>Lab19_19</t>
  </si>
  <si>
    <t>Lab19_2</t>
  </si>
  <si>
    <t>Lab19_20</t>
  </si>
  <si>
    <t>Lab19_21</t>
  </si>
  <si>
    <t>Lab19_22</t>
  </si>
  <si>
    <t>Lab19_23</t>
  </si>
  <si>
    <t>Lab19_24</t>
  </si>
  <si>
    <t>Lab19_25</t>
  </si>
  <si>
    <t>Lab19_26</t>
  </si>
  <si>
    <t>Lab19_27</t>
  </si>
  <si>
    <t>Lab19_3</t>
  </si>
  <si>
    <t>Lab19_4</t>
  </si>
  <si>
    <t>Lab19_5</t>
  </si>
  <si>
    <t>Lab19_6</t>
  </si>
  <si>
    <t>Lab19_7</t>
  </si>
  <si>
    <t>Lab19_8</t>
  </si>
  <si>
    <t>Lab19_9</t>
  </si>
  <si>
    <t>Lab24_1</t>
  </si>
  <si>
    <t>Lab24_10</t>
  </si>
  <si>
    <t>Lab24_11</t>
  </si>
  <si>
    <t>Lab24_12</t>
  </si>
  <si>
    <t>Lab24_13</t>
  </si>
  <si>
    <t>Lab24_14</t>
  </si>
  <si>
    <t>Lab24_15</t>
  </si>
  <si>
    <t>Lab24_16</t>
  </si>
  <si>
    <t>Lab24_17</t>
  </si>
  <si>
    <t>Lab24_18</t>
  </si>
  <si>
    <t>Lab24_19</t>
  </si>
  <si>
    <t>Lab24_2</t>
  </si>
  <si>
    <t>Lab24_20</t>
  </si>
  <si>
    <t>Lab24_21</t>
  </si>
  <si>
    <t>Lab24_22</t>
  </si>
  <si>
    <t>Lab24_23</t>
  </si>
  <si>
    <t>Lab24_24</t>
  </si>
  <si>
    <t>Lab24_25</t>
  </si>
  <si>
    <t>Lab24_26</t>
  </si>
  <si>
    <t>Lab24_27</t>
  </si>
  <si>
    <t>Lab24_3</t>
  </si>
  <si>
    <t>Lab24_4</t>
  </si>
  <si>
    <t>Lab24_5</t>
  </si>
  <si>
    <t>Lab24_6</t>
  </si>
  <si>
    <t>Lab24_7</t>
  </si>
  <si>
    <t>Lab24_8</t>
  </si>
  <si>
    <t>Lab24_9</t>
  </si>
  <si>
    <t>LabOpn_28</t>
  </si>
  <si>
    <t>LabOpn_29</t>
  </si>
  <si>
    <t>LabOpn_30</t>
  </si>
  <si>
    <t>LabOpn_31</t>
  </si>
  <si>
    <t>LabOpn_32</t>
  </si>
  <si>
    <t>LabDag1_28</t>
  </si>
  <si>
    <t>LabDag1_29</t>
  </si>
  <si>
    <t>LabDag1_30</t>
  </si>
  <si>
    <t>LabDag1_31</t>
  </si>
  <si>
    <t>Lab24_28</t>
  </si>
  <si>
    <t>Lab24_29</t>
  </si>
  <si>
    <t>Lab24_30</t>
  </si>
  <si>
    <t>Lab24_31</t>
  </si>
  <si>
    <t>Lab19_28</t>
  </si>
  <si>
    <t>Lab19_29</t>
  </si>
  <si>
    <t>Lab19_30</t>
  </si>
  <si>
    <t>Lab19_31</t>
  </si>
  <si>
    <t>Lab14_28</t>
  </si>
  <si>
    <t>Lab14_29</t>
  </si>
  <si>
    <t>Lab14_30</t>
  </si>
  <si>
    <t>Lab14_31</t>
  </si>
  <si>
    <t>Arterielijn: 12 ml NaCl 0,45% + hep. (5EH/ml)</t>
  </si>
  <si>
    <t>opmAfsprBlad__15</t>
  </si>
  <si>
    <t>Generic_1</t>
  </si>
  <si>
    <t>Generic_2</t>
  </si>
  <si>
    <t>Generic_3</t>
  </si>
  <si>
    <t>Generic_4</t>
  </si>
  <si>
    <t>Generic_5</t>
  </si>
  <si>
    <t>Generic_6</t>
  </si>
  <si>
    <t>Generic_7</t>
  </si>
  <si>
    <t>Generic_8</t>
  </si>
  <si>
    <t>Generic_9</t>
  </si>
  <si>
    <t>Generic_10</t>
  </si>
  <si>
    <t>Generic_11</t>
  </si>
  <si>
    <t>Generic_12</t>
  </si>
  <si>
    <t>Generic_13</t>
  </si>
  <si>
    <t>Generic_14</t>
  </si>
  <si>
    <t>Generic_15</t>
  </si>
  <si>
    <t>Generic_16</t>
  </si>
  <si>
    <t>Generic_17</t>
  </si>
  <si>
    <t>Generic_18</t>
  </si>
  <si>
    <t>Generic_19</t>
  </si>
  <si>
    <t>Generic_20</t>
  </si>
  <si>
    <t>Controles</t>
  </si>
  <si>
    <t>NIBD</t>
  </si>
  <si>
    <t>Arm links</t>
  </si>
  <si>
    <t>Arm rechts</t>
  </si>
  <si>
    <t>Been links</t>
  </si>
  <si>
    <t>Been rechts</t>
  </si>
  <si>
    <t>Onderzoek</t>
  </si>
  <si>
    <t>Overige</t>
  </si>
  <si>
    <t>Verwijderen</t>
  </si>
  <si>
    <t>CAD</t>
  </si>
  <si>
    <t>NVL</t>
  </si>
  <si>
    <t>PAL</t>
  </si>
  <si>
    <t>Silastic</t>
  </si>
  <si>
    <t>vertrek afdeling</t>
  </si>
  <si>
    <t>13</t>
  </si>
  <si>
    <t>14</t>
  </si>
  <si>
    <t>0,05-0,1 microg/kg/min</t>
  </si>
  <si>
    <t>Albumine 20%</t>
  </si>
  <si>
    <t>Alprostadil (Prostin)</t>
  </si>
  <si>
    <t>Amiodarone</t>
  </si>
  <si>
    <t>5-15 microg/kg/min</t>
  </si>
  <si>
    <t>Clonidine</t>
  </si>
  <si>
    <t>microg/kg/uur</t>
  </si>
  <si>
    <t>Dobutamine</t>
  </si>
  <si>
    <t>Dopamine</t>
  </si>
  <si>
    <t>Epi bupi 2,5 mg/ml</t>
  </si>
  <si>
    <t>Epoprostenol (Flolan)</t>
  </si>
  <si>
    <t>Esmolol</t>
  </si>
  <si>
    <t>Epi bupi 2,5 mg, sufenta 1 mcg /ml</t>
  </si>
  <si>
    <t>Furosemide</t>
  </si>
  <si>
    <t>Insuline</t>
  </si>
  <si>
    <t>Isoprenaline</t>
  </si>
  <si>
    <t>Labetalol</t>
  </si>
  <si>
    <t>0,25-3 mg/kg/uur</t>
  </si>
  <si>
    <t>Milrinone</t>
  </si>
  <si>
    <t>Nitroprusside</t>
  </si>
  <si>
    <t>Noradrenaline</t>
  </si>
  <si>
    <t>0,25-0,75 microg/kg/min</t>
  </si>
  <si>
    <t>0,5-8 microg/kg/min</t>
  </si>
  <si>
    <t>Rocuronium</t>
  </si>
  <si>
    <t>0,3-1,2 mg/kg/uur</t>
  </si>
  <si>
    <t>Clonazepam</t>
  </si>
  <si>
    <t>Lidocaine</t>
  </si>
  <si>
    <t>4-7 mg/kg/uur (volgens protocol, let op hypothermie)</t>
  </si>
  <si>
    <t>Nicardipine</t>
  </si>
  <si>
    <t>0,5 -2 microg/kg/min</t>
  </si>
  <si>
    <t>0,25-2 microg/kg/uur</t>
  </si>
  <si>
    <t>Leeftijd jr</t>
  </si>
  <si>
    <t>Tube maat</t>
  </si>
  <si>
    <t>Vullen</t>
  </si>
  <si>
    <t>Propofol</t>
  </si>
  <si>
    <t>Fumazenil</t>
  </si>
  <si>
    <t>Naloxon</t>
  </si>
  <si>
    <t>Dopa(Dobuta-)mine</t>
  </si>
  <si>
    <t>(Nor)Adrenaline</t>
  </si>
  <si>
    <t>Ademfreq</t>
  </si>
  <si>
    <t>Joule berekend</t>
  </si>
  <si>
    <t>Joule afgerond</t>
  </si>
  <si>
    <t>NIBD meting</t>
  </si>
  <si>
    <t>NIBD alle ledematen, eenmalig</t>
  </si>
  <si>
    <t>dd</t>
  </si>
  <si>
    <t>NIRS, cerebraal eenzijdig</t>
  </si>
  <si>
    <t>NIRS, cerebraal tweezijdig</t>
  </si>
  <si>
    <t>Thorax drain 1</t>
  </si>
  <si>
    <t>Vertrek</t>
  </si>
  <si>
    <t>'00:00</t>
  </si>
  <si>
    <t>'00:15</t>
  </si>
  <si>
    <t>'00:30</t>
  </si>
  <si>
    <t>'00:45</t>
  </si>
  <si>
    <t>'01:00</t>
  </si>
  <si>
    <t>'01:15</t>
  </si>
  <si>
    <t>'01:30</t>
  </si>
  <si>
    <t>'01:45</t>
  </si>
  <si>
    <t>'02:00</t>
  </si>
  <si>
    <t>'02:15</t>
  </si>
  <si>
    <t>'02:30</t>
  </si>
  <si>
    <t>'02:45</t>
  </si>
  <si>
    <t>'03:00</t>
  </si>
  <si>
    <t>'03:15</t>
  </si>
  <si>
    <t>'03:30</t>
  </si>
  <si>
    <t>'03:45</t>
  </si>
  <si>
    <t>'04:00</t>
  </si>
  <si>
    <t>'04:15</t>
  </si>
  <si>
    <t>'04:30</t>
  </si>
  <si>
    <t>'04:45</t>
  </si>
  <si>
    <t>'05:00</t>
  </si>
  <si>
    <t>'05:15</t>
  </si>
  <si>
    <t>'05:30</t>
  </si>
  <si>
    <t>'05:45</t>
  </si>
  <si>
    <t>'06:00</t>
  </si>
  <si>
    <t>'06:15</t>
  </si>
  <si>
    <t>'06:30</t>
  </si>
  <si>
    <t>'06:45</t>
  </si>
  <si>
    <t>'07:00</t>
  </si>
  <si>
    <t>'07:15</t>
  </si>
  <si>
    <t>'07:30</t>
  </si>
  <si>
    <t>'07:45</t>
  </si>
  <si>
    <t>'08:00</t>
  </si>
  <si>
    <t>'08:15</t>
  </si>
  <si>
    <t>'08:30</t>
  </si>
  <si>
    <t>'08:45</t>
  </si>
  <si>
    <t>'09:00</t>
  </si>
  <si>
    <t>'09:15</t>
  </si>
  <si>
    <t>'09:30</t>
  </si>
  <si>
    <t>'09:45</t>
  </si>
  <si>
    <t>'10:00</t>
  </si>
  <si>
    <t>'10:15</t>
  </si>
  <si>
    <t>'10:30</t>
  </si>
  <si>
    <t>'10:45</t>
  </si>
  <si>
    <t>'11:00</t>
  </si>
  <si>
    <t>'11:15</t>
  </si>
  <si>
    <t>'11:30</t>
  </si>
  <si>
    <t>'11:45</t>
  </si>
  <si>
    <t>'12:00</t>
  </si>
  <si>
    <t>'12:15</t>
  </si>
  <si>
    <t>'12:30</t>
  </si>
  <si>
    <t>'12:45</t>
  </si>
  <si>
    <t>'13:00</t>
  </si>
  <si>
    <t>'13:15</t>
  </si>
  <si>
    <t>'13:30</t>
  </si>
  <si>
    <t>'13:45</t>
  </si>
  <si>
    <t>'14:00</t>
  </si>
  <si>
    <t>'14:15</t>
  </si>
  <si>
    <t>'14:30</t>
  </si>
  <si>
    <t>'14:45</t>
  </si>
  <si>
    <t>'15:00</t>
  </si>
  <si>
    <t>'15:15</t>
  </si>
  <si>
    <t>'15:30</t>
  </si>
  <si>
    <t>'15:45</t>
  </si>
  <si>
    <t>'16:00</t>
  </si>
  <si>
    <t>'16:15</t>
  </si>
  <si>
    <t>'16:30</t>
  </si>
  <si>
    <t>'16:45</t>
  </si>
  <si>
    <t>'17:00</t>
  </si>
  <si>
    <t>'17:15</t>
  </si>
  <si>
    <t>'17:30</t>
  </si>
  <si>
    <t>'17:45</t>
  </si>
  <si>
    <t>'18:00</t>
  </si>
  <si>
    <t>'18:15</t>
  </si>
  <si>
    <t>'18:30</t>
  </si>
  <si>
    <t>'18:45</t>
  </si>
  <si>
    <t>'19:00</t>
  </si>
  <si>
    <t>'19:15</t>
  </si>
  <si>
    <t>'19:30</t>
  </si>
  <si>
    <t>'19:45</t>
  </si>
  <si>
    <t>'20:00</t>
  </si>
  <si>
    <t>'20:15</t>
  </si>
  <si>
    <t>'20:30</t>
  </si>
  <si>
    <t>'20:45</t>
  </si>
  <si>
    <t>'21:00</t>
  </si>
  <si>
    <t>'21:15</t>
  </si>
  <si>
    <t>'21:30</t>
  </si>
  <si>
    <t>'21:45</t>
  </si>
  <si>
    <t>'22:00</t>
  </si>
  <si>
    <t>'22:15</t>
  </si>
  <si>
    <t>'22:30</t>
  </si>
  <si>
    <t>'22:45</t>
  </si>
  <si>
    <t>'23:00</t>
  </si>
  <si>
    <t>'23:15</t>
  </si>
  <si>
    <t>'23:30</t>
  </si>
  <si>
    <t>'23:45</t>
  </si>
  <si>
    <t>Thorax drain 2</t>
  </si>
  <si>
    <t>Fototherapie, stop per 17:00 uur</t>
  </si>
  <si>
    <t>Rickham punctie</t>
  </si>
  <si>
    <t>Verliezen compenseren</t>
  </si>
  <si>
    <t>Ringerslactaat</t>
  </si>
  <si>
    <t>FFP</t>
  </si>
  <si>
    <t>Opmerkingen</t>
  </si>
  <si>
    <t>Voeding 1</t>
  </si>
  <si>
    <t>Voeding 2</t>
  </si>
  <si>
    <t>Voeding 3</t>
  </si>
  <si>
    <t>Voeding 4</t>
  </si>
  <si>
    <t>Voeding 5</t>
  </si>
  <si>
    <t>Voeding 6</t>
  </si>
  <si>
    <t>Voeding 7</t>
  </si>
  <si>
    <t>Voeding 8</t>
  </si>
  <si>
    <t>Voeding 9</t>
  </si>
  <si>
    <t>Voeding 10</t>
  </si>
  <si>
    <t>Schedelomvang</t>
  </si>
  <si>
    <t>-20 cmH2O</t>
  </si>
  <si>
    <t>Pigtail drain</t>
  </si>
  <si>
    <t>Overige (vrije tekst)</t>
  </si>
  <si>
    <t>AanvullendeAfspraken</t>
  </si>
  <si>
    <t>Toevoegingen in MOEDERMELK</t>
  </si>
  <si>
    <t>Toevoegingen in KUNSTVOEDING</t>
  </si>
  <si>
    <t>BMF Waarden</t>
  </si>
  <si>
    <t>Toevoegingen waarden</t>
  </si>
  <si>
    <t>Toevoegingen MOEDERMELK</t>
  </si>
  <si>
    <t>Toevoegingen KUNSTVOEDING</t>
  </si>
  <si>
    <t>Calogen in KV</t>
  </si>
  <si>
    <t>Fantomalt in KV</t>
  </si>
  <si>
    <t>Nenatal Start Pdr in KV</t>
  </si>
  <si>
    <t>Nutriton in KV</t>
  </si>
  <si>
    <t>Toevoeging MM 1</t>
  </si>
  <si>
    <t>Toevoeging MM 2</t>
  </si>
  <si>
    <t>Toevoeging MM 3</t>
  </si>
  <si>
    <t>Toevoeging MM 4</t>
  </si>
  <si>
    <t>Toevoeging KV 1</t>
  </si>
  <si>
    <t>Toevoeging KV 2</t>
  </si>
  <si>
    <t>Toevoeging KV 3</t>
  </si>
  <si>
    <t>Toevoeging KV 4</t>
  </si>
  <si>
    <t>BMF in MM</t>
  </si>
  <si>
    <t>Toevoeging MM BMF</t>
  </si>
  <si>
    <t>_Toevoeging_0</t>
  </si>
  <si>
    <t>_Toevoeging_5</t>
  </si>
  <si>
    <t>_Toevoeging_6</t>
  </si>
  <si>
    <t>_Toevoeging_7</t>
  </si>
  <si>
    <t>_Toevoeging_8</t>
  </si>
  <si>
    <t>Fe</t>
  </si>
  <si>
    <t>VitD</t>
  </si>
  <si>
    <t>ug</t>
  </si>
  <si>
    <t>&lt;10 kg</t>
  </si>
  <si>
    <t>&lt;3,5 kg</t>
  </si>
  <si>
    <t>Nutrilon Nenatal Start</t>
  </si>
  <si>
    <t>Nutrilon Nenatal 1</t>
  </si>
  <si>
    <t>Nutrilon Hypoallergeen 1</t>
  </si>
  <si>
    <t>Nutrilon Neocate</t>
  </si>
  <si>
    <t>Nutrilon Pepti Junior</t>
  </si>
  <si>
    <t>Hero Baby 1 NS Standaard</t>
  </si>
  <si>
    <t>Hero Baby 2 NS Standaard</t>
  </si>
  <si>
    <t>Hero Baby 1 NS Comfort</t>
  </si>
  <si>
    <t>Hero Baby 2 NS Comfort</t>
  </si>
  <si>
    <t>Hero Baby 1 NS Pep</t>
  </si>
  <si>
    <t>Hero Baby 2 NS Pep</t>
  </si>
  <si>
    <t>Nutramigen 1 LGG pdr</t>
  </si>
  <si>
    <t>Nutrison Advanced Peptisorb Powder</t>
  </si>
  <si>
    <t>Nutrilon Pepti Junior pdr</t>
  </si>
  <si>
    <t>Nutrilon Nenatal Start pdr</t>
  </si>
  <si>
    <t>Nutrilon Nenatal Protein Fortifier</t>
  </si>
  <si>
    <t>Calogen neutraal</t>
  </si>
  <si>
    <t>Liquigen</t>
  </si>
  <si>
    <t>Nutrilon Pepti 1 pdr</t>
  </si>
  <si>
    <t>Nutrilon Hypoallergeen 1 pdr</t>
  </si>
  <si>
    <t>Neocate LCP</t>
  </si>
  <si>
    <t>Neocate Junior</t>
  </si>
  <si>
    <t>CFM</t>
  </si>
  <si>
    <t>ControlePerPeriode</t>
  </si>
  <si>
    <t>Buikomvang</t>
  </si>
  <si>
    <t>-5 cmH2O</t>
  </si>
  <si>
    <t>-25 cmH2O</t>
  </si>
  <si>
    <t>-30 cmH2O</t>
  </si>
  <si>
    <t>Pleura li</t>
  </si>
  <si>
    <t>Pleura re</t>
  </si>
  <si>
    <t>Mediast/Pericard</t>
  </si>
  <si>
    <t>Gecombineerd</t>
  </si>
  <si>
    <t>Thorax drain sub 3</t>
  </si>
  <si>
    <t xml:space="preserve">hevelen </t>
  </si>
  <si>
    <t>afgeklemd</t>
  </si>
  <si>
    <t>waterslot</t>
  </si>
  <si>
    <t>Instellingen</t>
  </si>
  <si>
    <t>Liquor drain</t>
  </si>
  <si>
    <t>cm hoogte tov Monroe</t>
  </si>
  <si>
    <t>Thorax drain 3</t>
  </si>
  <si>
    <t>Vacuum</t>
  </si>
  <si>
    <t>Liquor drain sub 1</t>
  </si>
  <si>
    <t>EVD li</t>
  </si>
  <si>
    <t>EVD re</t>
  </si>
  <si>
    <t>LD</t>
  </si>
  <si>
    <t>Maagsonde</t>
  </si>
  <si>
    <t>Duodenumsonde</t>
  </si>
  <si>
    <t>PEG</t>
  </si>
  <si>
    <t>Headblocks</t>
  </si>
  <si>
    <t>Zachte kraag</t>
  </si>
  <si>
    <t>Harde kraag</t>
  </si>
  <si>
    <t>ICP meting</t>
  </si>
  <si>
    <t>TOSCA meting</t>
  </si>
  <si>
    <t>dag</t>
  </si>
  <si>
    <t>week</t>
  </si>
  <si>
    <t>maand</t>
  </si>
  <si>
    <t>Toevoeging in MM</t>
  </si>
  <si>
    <t>Toevoeging in KV</t>
  </si>
  <si>
    <t>Toevoeging Voeding</t>
  </si>
  <si>
    <t>Maagretentie</t>
  </si>
  <si>
    <t>met</t>
  </si>
  <si>
    <t>GCS</t>
  </si>
  <si>
    <t>Pupil controles</t>
  </si>
  <si>
    <t>Sedatie vlg Comfort Score</t>
  </si>
  <si>
    <t>CVL lijn lumen I:</t>
  </si>
  <si>
    <t>Nutrilon Standaard 2</t>
  </si>
  <si>
    <t>MM of Nenatal 1</t>
  </si>
  <si>
    <t>MM of Nenatal Start</t>
  </si>
  <si>
    <t>MM of Nutrilon Standaard 1</t>
  </si>
  <si>
    <t>MM of Nutrilon Standaard 2</t>
  </si>
  <si>
    <t>MM of Hypoallergeen</t>
  </si>
  <si>
    <t>MM of Neocate</t>
  </si>
  <si>
    <t>ingredienten per 100 gram</t>
  </si>
  <si>
    <t>Ingredienten per gram</t>
  </si>
  <si>
    <t xml:space="preserve">Nutrilon 1 </t>
  </si>
  <si>
    <t>Nutriton</t>
  </si>
  <si>
    <t>BASISLIJST</t>
  </si>
  <si>
    <t>NICU</t>
  </si>
  <si>
    <t>Peli</t>
  </si>
  <si>
    <t>Nutrilon Caprilon</t>
  </si>
  <si>
    <t>Hero Baby 1 NS Prematuur</t>
  </si>
  <si>
    <t>Hero Baby Prematuur Start</t>
  </si>
  <si>
    <t>Nutrilon Pepti 1</t>
  </si>
  <si>
    <t>Totalen MM</t>
  </si>
  <si>
    <t>Totalen KV</t>
  </si>
  <si>
    <t>MM/KV</t>
  </si>
  <si>
    <t>KV</t>
  </si>
  <si>
    <t>opm</t>
  </si>
  <si>
    <t>chloor</t>
  </si>
  <si>
    <t>vitamine D</t>
  </si>
  <si>
    <t>ijzer</t>
  </si>
  <si>
    <t>AanvullendPedBool_ArmLinks</t>
  </si>
  <si>
    <t>AanvullendPedBool_ArmRechts</t>
  </si>
  <si>
    <t>AanvullendPedBool_BeenLinks</t>
  </si>
  <si>
    <t>AanvullendPedBool_BeenRechts</t>
  </si>
  <si>
    <t>AanvullendPedBool_Buik</t>
  </si>
  <si>
    <t>AanvullendPedBool_Catheter</t>
  </si>
  <si>
    <t>AanvullendPedBool_CFM</t>
  </si>
  <si>
    <t>AanvullendPedBool_Duodenumsonde</t>
  </si>
  <si>
    <t>AanvullendPedBool_ECG</t>
  </si>
  <si>
    <t>AanvullendPedBool_Gastrostoma</t>
  </si>
  <si>
    <t>AanvullendPedBool_GCS</t>
  </si>
  <si>
    <t>AanvullendPedBool_Gewicht</t>
  </si>
  <si>
    <t>AanvullendPedBool_HardeKraag</t>
  </si>
  <si>
    <t>AanvullendPedBool_Headblocks</t>
  </si>
  <si>
    <t>AanvullendPedBool_ICP</t>
  </si>
  <si>
    <t>AanvullendPedBool_Lengte</t>
  </si>
  <si>
    <t>AanvullendPedBool_Liquor</t>
  </si>
  <si>
    <t>AanvullendPedBool_Maagretentie</t>
  </si>
  <si>
    <t>AanvullendPedBool_Maagsonde</t>
  </si>
  <si>
    <t>AanvullendPedBool_NIBD</t>
  </si>
  <si>
    <t>AanvullendPedBool_NIBDAlle</t>
  </si>
  <si>
    <t>AanvullendPedBool_NIRS1</t>
  </si>
  <si>
    <t>AanvullendPedBool_NIRS2</t>
  </si>
  <si>
    <t>AanvullendPedBool_PEG</t>
  </si>
  <si>
    <t>AanvullendPedBool_Peritoneaal</t>
  </si>
  <si>
    <t>AanvullendPedBool_PeritoneaalVacuum</t>
  </si>
  <si>
    <t>AanvullendPedBool_Pigtail</t>
  </si>
  <si>
    <t>AanvullendPedBool_PigtailVacuum</t>
  </si>
  <si>
    <t>AanvullendPedBool_Pupil</t>
  </si>
  <si>
    <t>AanvullendPedBool_Redon</t>
  </si>
  <si>
    <t>AanvullendPedBool_RedonVacuum</t>
  </si>
  <si>
    <t>AanvullendPedBool_SaturatiePost</t>
  </si>
  <si>
    <t>AanvullendPedBool_SaturatiePre</t>
  </si>
  <si>
    <t>AanvullendPedBool_Schedel</t>
  </si>
  <si>
    <t>AanvullendPedBool_Sedatie</t>
  </si>
  <si>
    <t>AanvullendPedBool_Thorax1</t>
  </si>
  <si>
    <t>AanvullendPedBool_Thorax2</t>
  </si>
  <si>
    <t>AanvullendPedBool_Thorax3</t>
  </si>
  <si>
    <t>AanvullendPedBool_TOSCA</t>
  </si>
  <si>
    <t>AanvullendPedBool_Urostoma</t>
  </si>
  <si>
    <t>AanvullendPedBool_Verliezen</t>
  </si>
  <si>
    <t>AanvullendPedBool_ZachteKraag</t>
  </si>
  <si>
    <t>AanvullendPedData_GCSdd</t>
  </si>
  <si>
    <t>AanvullendPedData_GewichtFrequentie</t>
  </si>
  <si>
    <t>AanvullendPedData_GewichtPer</t>
  </si>
  <si>
    <t>AanvullendPedData_LengteFrequentie</t>
  </si>
  <si>
    <t>AanvullendPedData_LengtePer</t>
  </si>
  <si>
    <t>AanvullendPedData_LiquorHoogte</t>
  </si>
  <si>
    <t>AanvullendPedData_LiquorSub</t>
  </si>
  <si>
    <t>AanvullendPedData_MaagretentieUur</t>
  </si>
  <si>
    <t>AanvullendPedData_NIBDdd</t>
  </si>
  <si>
    <t>AanvullendPedData_Overig</t>
  </si>
  <si>
    <t>AanvullendPedData_SchedelFrequentie</t>
  </si>
  <si>
    <t>AanvullendPedData_SchedelPer</t>
  </si>
  <si>
    <t>AanvullendPedData_Thorax1Sub1</t>
  </si>
  <si>
    <t>AanvullendPedData_Thorax1Sub2</t>
  </si>
  <si>
    <t>AanvullendPedData_Thorax1Sub3</t>
  </si>
  <si>
    <t>AanvullendPedData_Thorax2Sub1</t>
  </si>
  <si>
    <t>AanvullendPedData_Thorax2Sub2</t>
  </si>
  <si>
    <t>AanvullendPedData_Thorax2Sub3</t>
  </si>
  <si>
    <t>AanvullendPedData_Thorax3Sub1</t>
  </si>
  <si>
    <t>AanvullendPedData_Thorax3Sub2</t>
  </si>
  <si>
    <t>AanvullendPedData_Thorax3Sub3</t>
  </si>
  <si>
    <t>AanvullendPedData_VerliezenStof</t>
  </si>
  <si>
    <t>AanvullendPedData_VerliezenUur</t>
  </si>
  <si>
    <t>AanvullendNeoBool_aEEG</t>
  </si>
  <si>
    <t>AanvullendNeoBool_ArmLinks</t>
  </si>
  <si>
    <t>AanvullendNeoBool_ArmRechts</t>
  </si>
  <si>
    <t>AanvullendNeoBool_BeenLinks</t>
  </si>
  <si>
    <t>AanvullendNeoBool_BeenRechts</t>
  </si>
  <si>
    <t>AanvullendNeoBool_Bloedkweek</t>
  </si>
  <si>
    <t>AanvullendNeoBool_CatheterDemeure</t>
  </si>
  <si>
    <t>AanvullendNeoBool_CT</t>
  </si>
  <si>
    <t>AanvullendNeoBool_ECG</t>
  </si>
  <si>
    <t>AanvullendNeoBool_EchoBuik</t>
  </si>
  <si>
    <t>AanvullendNeoBool_EchoHart</t>
  </si>
  <si>
    <t>AanvullendNeoBool_FaecesBacterieel</t>
  </si>
  <si>
    <t>AanvullendNeoBool_Faeceskweek</t>
  </si>
  <si>
    <t>AanvullendNeoBool_FaecesRotaAdeno</t>
  </si>
  <si>
    <t>AanvullendNeoBool_FaecesSchimmelGist</t>
  </si>
  <si>
    <t>AanvullendNeoBool_FaecesViraal</t>
  </si>
  <si>
    <t>AanvullendNeoBool_Finnigan</t>
  </si>
  <si>
    <t>AanvullendNeoBool_Fototherapie</t>
  </si>
  <si>
    <t>AanvullendNeoBool_Gatrostoma</t>
  </si>
  <si>
    <t>AanvullendNeoBool_Gewicht</t>
  </si>
  <si>
    <t>AanvullendNeoBool_InfuusOpSlot</t>
  </si>
  <si>
    <t>AanvullendNeoBool_InfuusUit</t>
  </si>
  <si>
    <t>AanvullendNeoBool_Keelkweek</t>
  </si>
  <si>
    <t>AanvullendNeoBool_Lengte</t>
  </si>
  <si>
    <t>AanvullendNeoBool_Liquor</t>
  </si>
  <si>
    <t>AanvullendNeoBool_MaagsondeOpenHoog</t>
  </si>
  <si>
    <t>AanvullendNeoBool_Monitor</t>
  </si>
  <si>
    <t>AanvullendNeoBool_MRI</t>
  </si>
  <si>
    <t>AanvullendNeoBool_Neusspoelsel</t>
  </si>
  <si>
    <t>AanvullendNeoBool_NeusspoelselViraal</t>
  </si>
  <si>
    <t>AanvullendNeoBool_NIBD</t>
  </si>
  <si>
    <t>AanvullendNeoBool_NIBDAll</t>
  </si>
  <si>
    <t>AanvullendNeoBool_NIRS1</t>
  </si>
  <si>
    <t>AanvullendNeoBool_NIRS2</t>
  </si>
  <si>
    <t>AanvullendNeoBool_NIRSnier</t>
  </si>
  <si>
    <t>AanvullendNeoBool_OntslagAkkoord</t>
  </si>
  <si>
    <t>AanvullendNeoBool_OntslagInOverleg</t>
  </si>
  <si>
    <t>AanvullendNeoBool_OntslagNaVisite</t>
  </si>
  <si>
    <t>AanvullendNeoBool_Opnamekweken</t>
  </si>
  <si>
    <t>AanvullendNeoBool_OppervlakteGistSchimmel</t>
  </si>
  <si>
    <t>AanvullendNeoBool_Oppervlaktekweken</t>
  </si>
  <si>
    <t>AanvullendNeoBool_OppervlakteOpname</t>
  </si>
  <si>
    <t>AanvullendNeoBool_Pacemakerdraden</t>
  </si>
  <si>
    <t>AanvullendNeoBool_Peritoneaal</t>
  </si>
  <si>
    <t>AanvullendNeoBool_PeritoneaalVacuum</t>
  </si>
  <si>
    <t>AanvullendNeoBool_Pigtail</t>
  </si>
  <si>
    <t>AanvullendNeoBool_PigtailVacuum</t>
  </si>
  <si>
    <t>AanvullendNeoBool_Redon</t>
  </si>
  <si>
    <t>AanvullendNeoBool_RedonVacuum</t>
  </si>
  <si>
    <t>AanvullendNeoBool_Rickham</t>
  </si>
  <si>
    <t>AanvullendNeoBool_RS</t>
  </si>
  <si>
    <t>AanvullendNeoBool_RSdiagnostiek</t>
  </si>
  <si>
    <t>AanvullendNeoBool_SaturatiePost</t>
  </si>
  <si>
    <t>AanvullendNeoBool_SaturatiePre</t>
  </si>
  <si>
    <t>AanvullendNeoBool_Schedel</t>
  </si>
  <si>
    <t>AanvullendNeoBool_SputumBacterieel</t>
  </si>
  <si>
    <t>AanvullendNeoBool_Sputumkweek</t>
  </si>
  <si>
    <t>AanvullendNeoBool_SputumUreaplasmaMycoplasma</t>
  </si>
  <si>
    <t>AanvullendNeoBool_SputumViraal</t>
  </si>
  <si>
    <t>AanvullendNeoBool_Thorax1</t>
  </si>
  <si>
    <t>AanvullendNeoBool_Thorax2</t>
  </si>
  <si>
    <t>AanvullendNeoBool_Thorax3</t>
  </si>
  <si>
    <t>AanvullendNeoBool_Uitzuigkweek</t>
  </si>
  <si>
    <t>AanvullendNeoBool_Urine</t>
  </si>
  <si>
    <t>AanvullendNeoBool_Urine24uur</t>
  </si>
  <si>
    <t>AanvullendNeoBool_UrineCMV</t>
  </si>
  <si>
    <t>AanvullendNeoBool_Urinekweek</t>
  </si>
  <si>
    <t>AanvullendNeoBool_UrinekweekBacterieel</t>
  </si>
  <si>
    <t>AanvullendNeoBool_UrineMetabool</t>
  </si>
  <si>
    <t>AanvullendNeoBool_UrineNatriumKalium</t>
  </si>
  <si>
    <t>AanvullendNeoBool_UrineRchitis</t>
  </si>
  <si>
    <t>AanvullendNeoBool_UrineSediment</t>
  </si>
  <si>
    <t>AanvullendNeoBool_UrineSedimentKweek</t>
  </si>
  <si>
    <t>AanvullendNeoBool_UrineSedimentMaWoVr</t>
  </si>
  <si>
    <t>AanvullendNeoBool_Urostoma</t>
  </si>
  <si>
    <t>AanvullendNeoBool_Verliezen</t>
  </si>
  <si>
    <t>AanvullendNeoBool_VerliezenFFP</t>
  </si>
  <si>
    <t>AanvullendNeoBool_VerliezenNaCl</t>
  </si>
  <si>
    <t>AanvullendNeoBool_VerliezenRingerslactaat</t>
  </si>
  <si>
    <t>AanvullendNeoBool_Verwijderen</t>
  </si>
  <si>
    <t>AanvullendNeoBool_VerwijderenCAD</t>
  </si>
  <si>
    <t>AanvullendNeoBool_VerwijderenNVL</t>
  </si>
  <si>
    <t>AanvullendNeoBool_VerwijderenPAL</t>
  </si>
  <si>
    <t>AanvullendNeoBool_VerwijderenSilastic</t>
  </si>
  <si>
    <t>AanvullendNeoBool_Vochtbalans</t>
  </si>
  <si>
    <t>AanvullendNeoBool_XBOZ</t>
  </si>
  <si>
    <t>AanvullendNeoBool_XThorax</t>
  </si>
  <si>
    <t>AanvullendNeoData_aEEG</t>
  </si>
  <si>
    <t>AanvullendNeoData_LiquorHoogte</t>
  </si>
  <si>
    <t>AanvullendNeoData_LiquorSub</t>
  </si>
  <si>
    <t>AanvullendNeoData_NIBDdd</t>
  </si>
  <si>
    <t>AanvullendNeoData_Rickhamdd</t>
  </si>
  <si>
    <t>AanvullendNeoData_Rickhamml</t>
  </si>
  <si>
    <t>AanvullendNeoData_Thorax1Sub1</t>
  </si>
  <si>
    <t>AanvullendNeoData_Thorax1Sub2</t>
  </si>
  <si>
    <t>AanvullendNeoData_Thorax1Sub3</t>
  </si>
  <si>
    <t>AanvullendNeoData_Thorax2Sub1</t>
  </si>
  <si>
    <t>AanvullendNeoData_Thorax2Sub2</t>
  </si>
  <si>
    <t>AanvullendNeoData_Thorax2Sub3</t>
  </si>
  <si>
    <t>AanvullendNeoData_Thorax3Sub1</t>
  </si>
  <si>
    <t>AanvullendNeoData_Thorax3Sub2</t>
  </si>
  <si>
    <t>AanvullendNeoData_Thorax3Sub3</t>
  </si>
  <si>
    <t>AanvullendNeoData_Vertrek</t>
  </si>
  <si>
    <t>AanvullendNeoData_Wondkweek</t>
  </si>
  <si>
    <t>Infatrini Peptisorb</t>
  </si>
  <si>
    <t>Nutrini Peptisorb</t>
  </si>
  <si>
    <t>Nutrison Adv Peptisorb</t>
  </si>
  <si>
    <t>POEDER</t>
  </si>
  <si>
    <t>tblMedDiscToed</t>
  </si>
  <si>
    <t>tblMedDiscOplVl</t>
  </si>
  <si>
    <t>tblMedDiscTijdenIndex</t>
  </si>
  <si>
    <t>tblMedDiscTijden</t>
  </si>
  <si>
    <t>tblMedDiscEenh</t>
  </si>
  <si>
    <t>tblInfusen</t>
  </si>
  <si>
    <t>Zout</t>
  </si>
  <si>
    <t>Infuus nummer</t>
  </si>
  <si>
    <t>Infuus keuze</t>
  </si>
  <si>
    <t>Pacemaker Positie</t>
  </si>
  <si>
    <t>Pacemaker Modus</t>
  </si>
  <si>
    <t>&lt;10 kg: MM</t>
  </si>
  <si>
    <t>&lt;3,5 kg: Nutrilon Nenatal Start</t>
  </si>
  <si>
    <t>&lt;3,5 kg: Nutrilon Nenatal 1</t>
  </si>
  <si>
    <t>kg: Nutrilon Hypoallergeen 1</t>
  </si>
  <si>
    <t>3,5-10 kg: Nutrilon Standaard 1 (&lt; 6 mnd)</t>
  </si>
  <si>
    <t>3,5-10 kg: Nutrilon Standaard 2 (&gt; 6 mnd)</t>
  </si>
  <si>
    <t>&lt;10 kg: Infatrini</t>
  </si>
  <si>
    <t>&lt;10 kg: Infatrini Peptisorb (resorptie)</t>
  </si>
  <si>
    <t>&lt;10 kg: Nutrilon Pepti 1 (allergie)</t>
  </si>
  <si>
    <t>10-20 kg: Nutrini Multi Fibre</t>
  </si>
  <si>
    <t>10-20 kg: Nutrini Energy Multi Fibre</t>
  </si>
  <si>
    <t>10-20 kg: Nutrini Peptisorb (resorptie)</t>
  </si>
  <si>
    <t>10-20 kg: Nutrilon Pepti 2 (allergie)</t>
  </si>
  <si>
    <t>20-45 kg: NutriniMax Multi Fibre</t>
  </si>
  <si>
    <t>20-45 kg: NutriniMax Energy Multi Fibre</t>
  </si>
  <si>
    <t>20-45 kg: Nutrini Peptisorb (resorptie)</t>
  </si>
  <si>
    <t>20-45 kg: Nutrilon Pepti 2 (allergie)</t>
  </si>
  <si>
    <t>&gt; 45 kg: Nutrison Multi Fibre</t>
  </si>
  <si>
    <t>&gt; 45 kg: Nutrison Energy Multi Fibre</t>
  </si>
  <si>
    <t>&gt; 45 kg: Nutrison Adv Peptisorb (resorptie)</t>
  </si>
  <si>
    <t>&gt; 45 kg: Nutrilon Pepti 2 (allergie)</t>
  </si>
  <si>
    <t>kg: Nutrilon Neocate</t>
  </si>
  <si>
    <t>kg: Nutrilon Pepti Junior</t>
  </si>
  <si>
    <t>Nutrilon Pepti 2</t>
  </si>
  <si>
    <t>Nutrilon 1</t>
  </si>
  <si>
    <t>Voeding lijst</t>
  </si>
  <si>
    <t>Omrekentabel</t>
  </si>
  <si>
    <t>ug/IE</t>
  </si>
  <si>
    <t>mmol/ml</t>
  </si>
  <si>
    <t>Voeding 11</t>
  </si>
  <si>
    <t>Voeding 12</t>
  </si>
  <si>
    <t>Voeding 13</t>
  </si>
  <si>
    <t>Voeding 14</t>
  </si>
  <si>
    <t>Voeding 15</t>
  </si>
  <si>
    <t>15</t>
  </si>
  <si>
    <t>_PercentageKeuze_0</t>
  </si>
  <si>
    <t>_PercentageKeuze_1</t>
  </si>
  <si>
    <t>_PercentageKeuze_2</t>
  </si>
  <si>
    <t>_PercentageKeuze_3</t>
  </si>
  <si>
    <t>_PercentageKeuze_4</t>
  </si>
  <si>
    <t>_PercentageKeuze_5</t>
  </si>
  <si>
    <t>_PercentageKeuze_6</t>
  </si>
  <si>
    <t>_PercentageKeuze_7</t>
  </si>
  <si>
    <t>_PercentageKeuze_8</t>
  </si>
  <si>
    <t>MedIVSterkte_1</t>
  </si>
  <si>
    <t>MedIVSterkte_2</t>
  </si>
  <si>
    <t>MedIVSterkte_3</t>
  </si>
  <si>
    <t>MedIVSterkte_4</t>
  </si>
  <si>
    <t>MedIVSterkte_5</t>
  </si>
  <si>
    <t>MedIVSterkte_6</t>
  </si>
  <si>
    <t>MedIVSterkte_7</t>
  </si>
  <si>
    <t>MedIVSterkte_8</t>
  </si>
  <si>
    <t>MedIVSterkte_9</t>
  </si>
  <si>
    <t>MedIVSterkte_10</t>
  </si>
  <si>
    <t>MedIVMlOpl_1</t>
  </si>
  <si>
    <t>MedIVMlOpl_2</t>
  </si>
  <si>
    <t>MedIVMlOpl_3</t>
  </si>
  <si>
    <t>MedIVMlOpl_4</t>
  </si>
  <si>
    <t>MedIVMlOpl_5</t>
  </si>
  <si>
    <t>MedIVMlOpl_6</t>
  </si>
  <si>
    <t>MedIVMlOpl_7</t>
  </si>
  <si>
    <t>MedIVMlOpl_8</t>
  </si>
  <si>
    <t>MedIVMlOpl_9</t>
  </si>
  <si>
    <t>MedIVMlOpl_10</t>
  </si>
  <si>
    <t>LabNeoOpn_1</t>
  </si>
  <si>
    <t>LabNeoOpn_2</t>
  </si>
  <si>
    <t>LabNeoOpn_3</t>
  </si>
  <si>
    <t>LabNeoOpn_4</t>
  </si>
  <si>
    <t>LabNeoOpn_5</t>
  </si>
  <si>
    <t>LabNeoOpn_6</t>
  </si>
  <si>
    <t>LabNeoOpn_7</t>
  </si>
  <si>
    <t>LabNeoOpn_8</t>
  </si>
  <si>
    <t>LabNeoOpn_9</t>
  </si>
  <si>
    <t>LabNeoOpn_10</t>
  </si>
  <si>
    <t>LabNeoOpn_11</t>
  </si>
  <si>
    <t>LabNeoOpn_12</t>
  </si>
  <si>
    <t>LabNeoOpn_13</t>
  </si>
  <si>
    <t>LabNeoOpn_14</t>
  </si>
  <si>
    <t>LabNeoOpn_15</t>
  </si>
  <si>
    <t>LabNeoOpn_16</t>
  </si>
  <si>
    <t>LabNeoOpn_17</t>
  </si>
  <si>
    <t>LabNeoOpn_18</t>
  </si>
  <si>
    <t>LabNeoOpn_19</t>
  </si>
  <si>
    <t>LabNeoOpn_20</t>
  </si>
  <si>
    <t>LabNeoOpn_21</t>
  </si>
  <si>
    <t>LabNeoOpn_22</t>
  </si>
  <si>
    <t>LabNeoOpn_23</t>
  </si>
  <si>
    <t>LabNeoOpn_24</t>
  </si>
  <si>
    <t>LabNeoOpn_25</t>
  </si>
  <si>
    <t>LabNeoOpn_26</t>
  </si>
  <si>
    <t>LabNeoOpn_27</t>
  </si>
  <si>
    <t>LabNeoOpn_28</t>
  </si>
  <si>
    <t>LabNeoOpn_29</t>
  </si>
  <si>
    <t>LabNeoOpn_30</t>
  </si>
  <si>
    <t>LabNeoOpn_31</t>
  </si>
  <si>
    <t>LabNeo12_1</t>
  </si>
  <si>
    <t>LabNeo12_2</t>
  </si>
  <si>
    <t>LabNeo12_3</t>
  </si>
  <si>
    <t>LabNeo12_4</t>
  </si>
  <si>
    <t>LabNeo12_5</t>
  </si>
  <si>
    <t>LabNeo12_6</t>
  </si>
  <si>
    <t>LabNeo12_7</t>
  </si>
  <si>
    <t>LabNeo12_8</t>
  </si>
  <si>
    <t>LabNeo12_9</t>
  </si>
  <si>
    <t>LabNeo12_10</t>
  </si>
  <si>
    <t>LabNeo12_11</t>
  </si>
  <si>
    <t>LabNeo12_12</t>
  </si>
  <si>
    <t>LabNeo12_13</t>
  </si>
  <si>
    <t>LabNeo12_14</t>
  </si>
  <si>
    <t>LabNeo12_15</t>
  </si>
  <si>
    <t>LabNeo12_16</t>
  </si>
  <si>
    <t>LabNeo12_17</t>
  </si>
  <si>
    <t>LabNeo12_18</t>
  </si>
  <si>
    <t>LabNeo12_19</t>
  </si>
  <si>
    <t>LabNeo12_20</t>
  </si>
  <si>
    <t>LabNeo12_21</t>
  </si>
  <si>
    <t>LabNeo12_22</t>
  </si>
  <si>
    <t>LabNeo12_23</t>
  </si>
  <si>
    <t>LabNeo12_24</t>
  </si>
  <si>
    <t>LabNeo12_25</t>
  </si>
  <si>
    <t>LabNeo12_26</t>
  </si>
  <si>
    <t>LabNeo12_27</t>
  </si>
  <si>
    <t>LabNeo12_28</t>
  </si>
  <si>
    <t>LabNeo12_29</t>
  </si>
  <si>
    <t>LabNeo12_30</t>
  </si>
  <si>
    <t>LabNeo12_31</t>
  </si>
  <si>
    <t>LabNeo16_1</t>
  </si>
  <si>
    <t>LabNeo16_2</t>
  </si>
  <si>
    <t>LabNeo16_3</t>
  </si>
  <si>
    <t>LabNeo16_4</t>
  </si>
  <si>
    <t>LabNeo16_5</t>
  </si>
  <si>
    <t>LabNeo16_6</t>
  </si>
  <si>
    <t>LabNeo16_7</t>
  </si>
  <si>
    <t>LabNeo16_8</t>
  </si>
  <si>
    <t>LabNeo16_9</t>
  </si>
  <si>
    <t>LabNeo16_10</t>
  </si>
  <si>
    <t>LabNeo16_11</t>
  </si>
  <si>
    <t>LabNeo16_12</t>
  </si>
  <si>
    <t>LabNeo16_13</t>
  </si>
  <si>
    <t>LabNeo16_14</t>
  </si>
  <si>
    <t>LabNeo16_15</t>
  </si>
  <si>
    <t>LabNeo16_16</t>
  </si>
  <si>
    <t>LabNeo16_17</t>
  </si>
  <si>
    <t>LabNeo16_18</t>
  </si>
  <si>
    <t>LabNeo16_19</t>
  </si>
  <si>
    <t>LabNeo16_20</t>
  </si>
  <si>
    <t>LabNeo16_21</t>
  </si>
  <si>
    <t>LabNeo16_22</t>
  </si>
  <si>
    <t>LabNeo16_23</t>
  </si>
  <si>
    <t>LabNeo16_24</t>
  </si>
  <si>
    <t>LabNeo16_25</t>
  </si>
  <si>
    <t>LabNeo16_26</t>
  </si>
  <si>
    <t>LabNeo16_27</t>
  </si>
  <si>
    <t>LabNeo16_28</t>
  </si>
  <si>
    <t>LabNeo16_29</t>
  </si>
  <si>
    <t>LabNeo16_30</t>
  </si>
  <si>
    <t>LabNeo16_31</t>
  </si>
  <si>
    <t>LabNeo20_1</t>
  </si>
  <si>
    <t>LabNeo20_2</t>
  </si>
  <si>
    <t>LabNeo20_3</t>
  </si>
  <si>
    <t>LabNeo20_4</t>
  </si>
  <si>
    <t>LabNeo20_5</t>
  </si>
  <si>
    <t>LabNeo20_6</t>
  </si>
  <si>
    <t>LabNeo20_7</t>
  </si>
  <si>
    <t>LabNeo20_8</t>
  </si>
  <si>
    <t>LabNeo20_9</t>
  </si>
  <si>
    <t>LabNeo20_10</t>
  </si>
  <si>
    <t>LabNeo20_11</t>
  </si>
  <si>
    <t>LabNeo20_12</t>
  </si>
  <si>
    <t>LabNeo20_13</t>
  </si>
  <si>
    <t>LabNeo20_14</t>
  </si>
  <si>
    <t>LabNeo20_15</t>
  </si>
  <si>
    <t>LabNeo20_16</t>
  </si>
  <si>
    <t>LabNeo20_17</t>
  </si>
  <si>
    <t>LabNeo20_18</t>
  </si>
  <si>
    <t>LabNeo20_19</t>
  </si>
  <si>
    <t>LabNeo20_20</t>
  </si>
  <si>
    <t>LabNeo20_21</t>
  </si>
  <si>
    <t>LabNeo20_22</t>
  </si>
  <si>
    <t>LabNeo20_23</t>
  </si>
  <si>
    <t>LabNeo20_24</t>
  </si>
  <si>
    <t>LabNeo20_25</t>
  </si>
  <si>
    <t>LabNeo20_26</t>
  </si>
  <si>
    <t>LabNeo20_27</t>
  </si>
  <si>
    <t>LabNeo20_28</t>
  </si>
  <si>
    <t>LabNeo20_29</t>
  </si>
  <si>
    <t>LabNeo20_30</t>
  </si>
  <si>
    <t>LabNeo20_31</t>
  </si>
  <si>
    <t>LabNeo24_1</t>
  </si>
  <si>
    <t>LabNeo24_2</t>
  </si>
  <si>
    <t>LabNeo24_3</t>
  </si>
  <si>
    <t>LabNeo24_4</t>
  </si>
  <si>
    <t>LabNeo24_5</t>
  </si>
  <si>
    <t>LabNeo24_6</t>
  </si>
  <si>
    <t>LabNeo24_7</t>
  </si>
  <si>
    <t>LabNeo24_8</t>
  </si>
  <si>
    <t>LabNeo24_9</t>
  </si>
  <si>
    <t>LabNeo24_10</t>
  </si>
  <si>
    <t>LabNeo24_11</t>
  </si>
  <si>
    <t>LabNeo24_12</t>
  </si>
  <si>
    <t>LabNeo24_13</t>
  </si>
  <si>
    <t>LabNeo24_14</t>
  </si>
  <si>
    <t>LabNeo24_15</t>
  </si>
  <si>
    <t>LabNeo24_16</t>
  </si>
  <si>
    <t>LabNeo24_17</t>
  </si>
  <si>
    <t>LabNeo24_18</t>
  </si>
  <si>
    <t>LabNeo24_19</t>
  </si>
  <si>
    <t>LabNeo24_20</t>
  </si>
  <si>
    <t>LabNeo24_21</t>
  </si>
  <si>
    <t>LabNeo24_22</t>
  </si>
  <si>
    <t>LabNeo24_23</t>
  </si>
  <si>
    <t>LabNeo24_24</t>
  </si>
  <si>
    <t>LabNeo24_25</t>
  </si>
  <si>
    <t>LabNeo24_26</t>
  </si>
  <si>
    <t>LabNeo24_27</t>
  </si>
  <si>
    <t>LabNeo24_28</t>
  </si>
  <si>
    <t>LabNeo24_29</t>
  </si>
  <si>
    <t>LabNeo24_30</t>
  </si>
  <si>
    <t>LabNeo24_31</t>
  </si>
  <si>
    <t>LabNeoOpn_32</t>
  </si>
  <si>
    <t>LabNeo04_1</t>
  </si>
  <si>
    <t>LabNeo04_2</t>
  </si>
  <si>
    <t>LabNeo04_3</t>
  </si>
  <si>
    <t>LabNeo04_4</t>
  </si>
  <si>
    <t>LabNeo04_5</t>
  </si>
  <si>
    <t>LabNeo04_6</t>
  </si>
  <si>
    <t>LabNeo04_7</t>
  </si>
  <si>
    <t>LabNeo04_8</t>
  </si>
  <si>
    <t>LabNeo04_9</t>
  </si>
  <si>
    <t>LabNeo04_10</t>
  </si>
  <si>
    <t>LabNeo04_11</t>
  </si>
  <si>
    <t>LabNeo04_12</t>
  </si>
  <si>
    <t>LabNeo04_13</t>
  </si>
  <si>
    <t>LabNeo04_14</t>
  </si>
  <si>
    <t>LabNeo04_15</t>
  </si>
  <si>
    <t>LabNeo04_16</t>
  </si>
  <si>
    <t>LabNeo04_17</t>
  </si>
  <si>
    <t>LabNeo04_18</t>
  </si>
  <si>
    <t>LabNeo04_19</t>
  </si>
  <si>
    <t>LabNeo04_20</t>
  </si>
  <si>
    <t>LabNeo04_21</t>
  </si>
  <si>
    <t>LabNeo04_22</t>
  </si>
  <si>
    <t>LabNeo04_23</t>
  </si>
  <si>
    <t>LabNeo04_24</t>
  </si>
  <si>
    <t>LabNeo04_25</t>
  </si>
  <si>
    <t>LabNeo04_26</t>
  </si>
  <si>
    <t>LabNeo04_27</t>
  </si>
  <si>
    <t>LabNeo04_28</t>
  </si>
  <si>
    <t>LabNeo04_29</t>
  </si>
  <si>
    <t>LabNeo04_30</t>
  </si>
  <si>
    <t>LabNeo04_31</t>
  </si>
  <si>
    <t>LabNeoDag1_1</t>
  </si>
  <si>
    <t>LabNeoDag1_2</t>
  </si>
  <si>
    <t>LabNeoDag1_3</t>
  </si>
  <si>
    <t>LabNeoDag1_4</t>
  </si>
  <si>
    <t>LabNeoDag1_5</t>
  </si>
  <si>
    <t>LabNeoDag1_6</t>
  </si>
  <si>
    <t>LabNeoDag1_7</t>
  </si>
  <si>
    <t>LabNeoDag1_8</t>
  </si>
  <si>
    <t>LabNeoDag1_9</t>
  </si>
  <si>
    <t>LabNeoDag1_10</t>
  </si>
  <si>
    <t>LabNeoDag1_11</t>
  </si>
  <si>
    <t>LabNeoDag1_12</t>
  </si>
  <si>
    <t>LabNeoDag1_13</t>
  </si>
  <si>
    <t>LabNeoDag1_14</t>
  </si>
  <si>
    <t>LabNeoDag1_15</t>
  </si>
  <si>
    <t>LabNeoDag1_16</t>
  </si>
  <si>
    <t>LabNeoDag1_17</t>
  </si>
  <si>
    <t>LabNeoDag1_18</t>
  </si>
  <si>
    <t>LabNeoDag1_19</t>
  </si>
  <si>
    <t>LabNeoDag1_20</t>
  </si>
  <si>
    <t>LabNeoDag1_21</t>
  </si>
  <si>
    <t>LabNeoDag1_22</t>
  </si>
  <si>
    <t>LabNeoDag1_23</t>
  </si>
  <si>
    <t>LabNeoDag1_24</t>
  </si>
  <si>
    <t>LabNeoDag1_25</t>
  </si>
  <si>
    <t>LabNeoDag1_26</t>
  </si>
  <si>
    <t>LabNeoDag1_27</t>
  </si>
  <si>
    <t>LabNeoDag1_28</t>
  </si>
  <si>
    <t>LabNeoDag1_29</t>
  </si>
  <si>
    <t>LabNeoDag1_30</t>
  </si>
  <si>
    <t>LabNeoDag1_31</t>
  </si>
  <si>
    <t>NaCl 0.9%</t>
  </si>
  <si>
    <t>Arterielijn: (&lt; 15 kg) flush 1E heparine/ml NaCl 0.9%: 2 ml/uur</t>
  </si>
  <si>
    <t>Arterielijn: (&gt; 15 kg) flush via drukzak NaCl 0.9%: 3 ml/uur</t>
  </si>
  <si>
    <t>CVL lijn lumen I: meting + (&lt; 15 kg) flush NaCl 0.9%: 2 ml/uur</t>
  </si>
  <si>
    <t>CVL lijn lumen I: meting + (&gt; 15 kg) flush via drukzak NaCl 0.9%: 3 ml/uur</t>
  </si>
  <si>
    <t>CVL lijn lumen II: meting + (&lt; 15 kg) flush NaCl 0.9%: 2 ml/uur</t>
  </si>
  <si>
    <t>CVL lijn lumen II: meting + (&gt; 15 kg) flush via drukzak NaCl 0.9%: 3 ml/uur</t>
  </si>
  <si>
    <t xml:space="preserve">Perifeer infuus 1: lock 4 dd 3 ml NaCl 0.9%  </t>
  </si>
  <si>
    <t>Perifeer infuus 2: lock 4 dd 3 ml NaCl 0.9%</t>
  </si>
  <si>
    <t>Diurese compenseren om de 1 uur met NaCl 0.9%</t>
  </si>
  <si>
    <t>Absoluut Maximum</t>
  </si>
  <si>
    <t>Advies Minimum</t>
  </si>
  <si>
    <t>Advies Maximum</t>
  </si>
  <si>
    <t>Infuusbrief keuzelijst infuusvloeistof (Opl)</t>
  </si>
  <si>
    <t>Infuusbrief keuzelijst dosering (Dos)</t>
  </si>
  <si>
    <t>Infuusbrief keuzelijst Voeding inclusief berekeningen obv basislijst voeding (tblVoeding)</t>
  </si>
  <si>
    <t>Infuusbrief keuzelijst Toevoeging KV inclusief berekeningen obv basislijst voeding (tblVoeding)</t>
  </si>
  <si>
    <t>Infuusbrief keuzelijst Toevoeging MM inclusief berekeningen obv basislijst voeding (tblVoeding)</t>
  </si>
  <si>
    <t>Infuusbrief samenstelling TPN inclusief berekeningen</t>
  </si>
  <si>
    <t>Infuusbrief Toevoeging BMF in MM inclusief berekeningen obv basislijst voeding (tblVoeding)</t>
  </si>
  <si>
    <t>Infuusbrief</t>
  </si>
  <si>
    <t>AanvullendNeoData_GewichtFrequentie</t>
  </si>
  <si>
    <t>AanvullendNeoData_GewichtPer</t>
  </si>
  <si>
    <t>AanvullendNeoData_LengteFrequentie</t>
  </si>
  <si>
    <t>AanvullendNeoData_LengtePer</t>
  </si>
  <si>
    <t>AanvullendNeoData_VerliezenFrequentie</t>
  </si>
  <si>
    <t>Advise Opl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</si>
  <si>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</si>
  <si>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</si>
  <si>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</si>
  <si>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</si>
  <si>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</si>
  <si>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</si>
  <si>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</si>
  <si>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</si>
  <si>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</si>
  <si>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</si>
  <si>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</si>
  <si>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</si>
  <si>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NeoInfuusContinu</t>
  </si>
  <si>
    <t>NeoVoeding</t>
  </si>
  <si>
    <t>Medicament 13</t>
  </si>
  <si>
    <t>Medicament 14</t>
  </si>
  <si>
    <t>17.00 uur afspraken</t>
  </si>
  <si>
    <t>Actuele afspraken</t>
  </si>
  <si>
    <t>_AchterNaamNICU1700</t>
  </si>
  <si>
    <t>_ArtLijn1700</t>
  </si>
  <si>
    <t>_Arts1700</t>
  </si>
  <si>
    <t>_Bed1700</t>
  </si>
  <si>
    <t>_CaCl21700</t>
  </si>
  <si>
    <t>_Dagen1700</t>
  </si>
  <si>
    <t>_DagKeuze1700</t>
  </si>
  <si>
    <t>_Eenheid1700_1</t>
  </si>
  <si>
    <t>_Eenheid1700_2</t>
  </si>
  <si>
    <t>_Eenheid1700_3</t>
  </si>
  <si>
    <t>_Eenheid1700_4</t>
  </si>
  <si>
    <t>_Eenheid1700_5</t>
  </si>
  <si>
    <t>_Eenheid1700_6</t>
  </si>
  <si>
    <t>_Eenheid1700_7</t>
  </si>
  <si>
    <t>_Eenheid1700_8</t>
  </si>
  <si>
    <t>_Eenheid1700_9</t>
  </si>
  <si>
    <t>_Extra1700</t>
  </si>
  <si>
    <t>_Extra1700_1</t>
  </si>
  <si>
    <t>_Extra1700_10</t>
  </si>
  <si>
    <t>_Extra1700_11</t>
  </si>
  <si>
    <t>_Extra1700_12</t>
  </si>
  <si>
    <t>_Extra1700_13</t>
  </si>
  <si>
    <t>_Extra1700_2</t>
  </si>
  <si>
    <t>_Extra1700_3</t>
  </si>
  <si>
    <t>_Extra1700_4</t>
  </si>
  <si>
    <t>_Extra1700_5</t>
  </si>
  <si>
    <t>_Extra1700_6</t>
  </si>
  <si>
    <t>_Extra1700_7</t>
  </si>
  <si>
    <t>_Extra1700_8</t>
  </si>
  <si>
    <t>_Extra1700_9</t>
  </si>
  <si>
    <t>_Fototherapie1700</t>
  </si>
  <si>
    <t>_Frequentie1700_1</t>
  </si>
  <si>
    <t>_Frequentie1700_2</t>
  </si>
  <si>
    <t>_GlucSterkte1700</t>
  </si>
  <si>
    <t>_Hoeveelheid1700_1</t>
  </si>
  <si>
    <t>_Hoeveelheid1700_2</t>
  </si>
  <si>
    <t>_IntakePerKg1700</t>
  </si>
  <si>
    <t>_IntraLipid1700</t>
  </si>
  <si>
    <t>_KCl1700</t>
  </si>
  <si>
    <t>_Medicament1700_1</t>
  </si>
  <si>
    <t>_Medicament1700_2</t>
  </si>
  <si>
    <t>_Medicament1700_3</t>
  </si>
  <si>
    <t>_Medicament1700_4</t>
  </si>
  <si>
    <t>_Medicament1700_5</t>
  </si>
  <si>
    <t>_Medicament1700_6</t>
  </si>
  <si>
    <t>_Medicament1700_7</t>
  </si>
  <si>
    <t>_Medicament1700_8</t>
  </si>
  <si>
    <t>_Medicament1700_9</t>
  </si>
  <si>
    <t>_MedSterkte1700_1</t>
  </si>
  <si>
    <t>_MedSterkte1700_2</t>
  </si>
  <si>
    <t>_MedSterkte1700_3</t>
  </si>
  <si>
    <t>_MedSterkte1700_4</t>
  </si>
  <si>
    <t>_MedSterkte1700_5</t>
  </si>
  <si>
    <t>_MedSterkte1700_6</t>
  </si>
  <si>
    <t>_MedSterkte1700_7</t>
  </si>
  <si>
    <t>_MedSterkte1700_8</t>
  </si>
  <si>
    <t>_MedSterkte1700_9</t>
  </si>
  <si>
    <t>_MedTekst1700_1</t>
  </si>
  <si>
    <t>_MedTekst1700_2</t>
  </si>
  <si>
    <t>_MgCl21700</t>
  </si>
  <si>
    <t>_NaCl1700</t>
  </si>
  <si>
    <t>_NICUMix1700</t>
  </si>
  <si>
    <t>_OplHoev1700_1</t>
  </si>
  <si>
    <t>_OplHoev1700_2</t>
  </si>
  <si>
    <t>_OplHoev1700_3</t>
  </si>
  <si>
    <t>_OplHoev1700_4</t>
  </si>
  <si>
    <t>_OplHoev1700_5</t>
  </si>
  <si>
    <t>_OplHoev1700_6</t>
  </si>
  <si>
    <t>_OplHoev1700_7</t>
  </si>
  <si>
    <t>_OplHoev1700_8</t>
  </si>
  <si>
    <t>_OplHoev1700_9</t>
  </si>
  <si>
    <t>_Oplossing1700_1</t>
  </si>
  <si>
    <t>_Oplossing1700_10</t>
  </si>
  <si>
    <t>_Oplossing1700_11</t>
  </si>
  <si>
    <t>_Oplossing1700_12</t>
  </si>
  <si>
    <t>_Oplossing1700_2</t>
  </si>
  <si>
    <t>_Oplossing1700_3</t>
  </si>
  <si>
    <t>_Oplossing1700_4</t>
  </si>
  <si>
    <t>_Oplossing1700_5</t>
  </si>
  <si>
    <t>_Oplossing1700_6</t>
  </si>
  <si>
    <t>_Oplossing1700_7</t>
  </si>
  <si>
    <t>_Oplossing1700_8</t>
  </si>
  <si>
    <t>_Oplossing1700_9</t>
  </si>
  <si>
    <t>_Parenteraal1700</t>
  </si>
  <si>
    <t>_PatNum1700</t>
  </si>
  <si>
    <t>_PercentageKeuze1700_0</t>
  </si>
  <si>
    <t>_PercentageKeuze1700_1</t>
  </si>
  <si>
    <t>_PercentageKeuze1700_2</t>
  </si>
  <si>
    <t>_PercentageKeuze1700_3</t>
  </si>
  <si>
    <t>_PercentageKeuze1700_4</t>
  </si>
  <si>
    <t>_PercentageKeuze1700_5</t>
  </si>
  <si>
    <t>_PercentageKeuze1700_6</t>
  </si>
  <si>
    <t>_PercentageKeuze1700_7</t>
  </si>
  <si>
    <t>_PercentageKeuze1700_8</t>
  </si>
  <si>
    <t>_Primene1700</t>
  </si>
  <si>
    <t>_SoluVit1700</t>
  </si>
  <si>
    <t>_SSTB1700</t>
  </si>
  <si>
    <t>_Stand1700_1</t>
  </si>
  <si>
    <t>_Stand1700_10</t>
  </si>
  <si>
    <t>_Stand1700_11</t>
  </si>
  <si>
    <t>_Stand1700_12</t>
  </si>
  <si>
    <t>_Stand1700_2</t>
  </si>
  <si>
    <t>_Stand1700_3</t>
  </si>
  <si>
    <t>_Stand1700_4</t>
  </si>
  <si>
    <t>_Stand1700_5</t>
  </si>
  <si>
    <t>_Stand1700_6</t>
  </si>
  <si>
    <t>_Stand1700_7</t>
  </si>
  <si>
    <t>_Stand1700_8</t>
  </si>
  <si>
    <t>_Stand1700_9</t>
  </si>
  <si>
    <t>_Supervisor1700</t>
  </si>
  <si>
    <t>_Toevoeging1700_0</t>
  </si>
  <si>
    <t>_Toevoeging1700_1</t>
  </si>
  <si>
    <t>_Toevoeging1700_2</t>
  </si>
  <si>
    <t>_Toevoeging1700_3</t>
  </si>
  <si>
    <t>_Toevoeging1700_4</t>
  </si>
  <si>
    <t>_Toevoeging1700_5</t>
  </si>
  <si>
    <t>_Toevoeging1700_6</t>
  </si>
  <si>
    <t>_Toevoeging1700_7</t>
  </si>
  <si>
    <t>_Toevoeging1700_8</t>
  </si>
  <si>
    <t>_Voeding1700</t>
  </si>
  <si>
    <t>_VoornaamNICU1700</t>
  </si>
  <si>
    <t>_Weken1700</t>
  </si>
  <si>
    <t>Doxapram (Dopram)</t>
  </si>
  <si>
    <t>0,5-2 mg/kg/uur</t>
  </si>
  <si>
    <t>AanvullendNeoBool_FototherapieStop</t>
  </si>
  <si>
    <t>AanvullendNeoData_AantalLampen</t>
  </si>
  <si>
    <t>Voeding via gastrostoma</t>
  </si>
  <si>
    <t>Silastic: NaCl 0.9%: 2 ml/uur</t>
  </si>
  <si>
    <t>SMOF</t>
  </si>
  <si>
    <t>0,01-0,1 E/kg/uur (in NaCl 0,9%, met 0,1 ml Albumine 20%)</t>
  </si>
  <si>
    <t>Zondag</t>
  </si>
  <si>
    <t>Lijsten/Factor</t>
  </si>
  <si>
    <t xml:space="preserve">Zaterdag </t>
  </si>
  <si>
    <t>Maandag</t>
  </si>
  <si>
    <t>Selectie</t>
  </si>
  <si>
    <t>SelectedIntralipidSmof</t>
  </si>
  <si>
    <t xml:space="preserve">rect                          </t>
  </si>
  <si>
    <t xml:space="preserve">or                            </t>
  </si>
  <si>
    <t>paracetamol</t>
  </si>
  <si>
    <t>PICC</t>
  </si>
  <si>
    <t>SelectedIntralipidSmof1700</t>
  </si>
  <si>
    <t>Zaterdag 08:00 uur</t>
  </si>
  <si>
    <t>Maandag 08:00 uur</t>
  </si>
  <si>
    <t>Zondag 08:00 uur</t>
  </si>
  <si>
    <t>LabNeoDag2_1</t>
  </si>
  <si>
    <t>LabNeoDag2_2</t>
  </si>
  <si>
    <t>LabNeoDag2_3</t>
  </si>
  <si>
    <t>LabNeoDag2_4</t>
  </si>
  <si>
    <t>LabNeoDag2_5</t>
  </si>
  <si>
    <t>LabNeoDag2_6</t>
  </si>
  <si>
    <t>LabNeoDag2_7</t>
  </si>
  <si>
    <t>LabNeoDag2_8</t>
  </si>
  <si>
    <t>LabNeoDag2_9</t>
  </si>
  <si>
    <t>LabNeoDag2_10</t>
  </si>
  <si>
    <t>LabNeoDag2_11</t>
  </si>
  <si>
    <t>LabNeoDag2_12</t>
  </si>
  <si>
    <t>LabNeoDag2_13</t>
  </si>
  <si>
    <t>LabNeoDag2_14</t>
  </si>
  <si>
    <t>LabNeoDag2_15</t>
  </si>
  <si>
    <t>LabNeoDag2_16</t>
  </si>
  <si>
    <t>LabNeoDag2_17</t>
  </si>
  <si>
    <t>LabNeoDag2_18</t>
  </si>
  <si>
    <t>LabNeoDag2_19</t>
  </si>
  <si>
    <t>LabNeoDag2_20</t>
  </si>
  <si>
    <t>LabNeoDag2_21</t>
  </si>
  <si>
    <t>LabNeoDag2_22</t>
  </si>
  <si>
    <t>LabNeoDag2_23</t>
  </si>
  <si>
    <t>LabNeoDag2_24</t>
  </si>
  <si>
    <t>LabNeoDag2_25</t>
  </si>
  <si>
    <t>LabNeoDag2_26</t>
  </si>
  <si>
    <t>LabNeoDag2_27</t>
  </si>
  <si>
    <t>LabNeoDag2_28</t>
  </si>
  <si>
    <t>LabNeoDag2_29</t>
  </si>
  <si>
    <t>LabNeoDag2_30</t>
  </si>
  <si>
    <t>LabNeoDag2_31</t>
  </si>
  <si>
    <t>LabNeoDag3_1</t>
  </si>
  <si>
    <t>LabNeoDag3_2</t>
  </si>
  <si>
    <t>LabNeoDag3_3</t>
  </si>
  <si>
    <t>LabNeoDag3_4</t>
  </si>
  <si>
    <t>LabNeoDag3_5</t>
  </si>
  <si>
    <t>LabNeoDag3_6</t>
  </si>
  <si>
    <t>LabNeoDag3_7</t>
  </si>
  <si>
    <t>LabNeoDag3_8</t>
  </si>
  <si>
    <t>LabNeoDag3_9</t>
  </si>
  <si>
    <t>LabNeoDag3_10</t>
  </si>
  <si>
    <t>LabNeoDag3_11</t>
  </si>
  <si>
    <t>LabNeoDag3_12</t>
  </si>
  <si>
    <t>LabNeoDag3_13</t>
  </si>
  <si>
    <t>LabNeoDag3_14</t>
  </si>
  <si>
    <t>LabNeoDag3_15</t>
  </si>
  <si>
    <t>LabNeoDag3_16</t>
  </si>
  <si>
    <t>LabNeoDag3_17</t>
  </si>
  <si>
    <t>LabNeoDag3_18</t>
  </si>
  <si>
    <t>LabNeoDag3_19</t>
  </si>
  <si>
    <t>LabNeoDag3_20</t>
  </si>
  <si>
    <t>LabNeoDag3_21</t>
  </si>
  <si>
    <t>LabNeoDag3_22</t>
  </si>
  <si>
    <t>LabNeoDag3_23</t>
  </si>
  <si>
    <t>LabNeoDag3_24</t>
  </si>
  <si>
    <t>LabNeoDag3_25</t>
  </si>
  <si>
    <t>LabNeoDag3_26</t>
  </si>
  <si>
    <t>LabNeoDag3_27</t>
  </si>
  <si>
    <t>LabNeoDag3_28</t>
  </si>
  <si>
    <t>LabNeoDag3_29</t>
  </si>
  <si>
    <t>LabNeoDag3_30</t>
  </si>
  <si>
    <t>LabNeoDag3_31</t>
  </si>
  <si>
    <t>SMOF 20% (incl vitintra)</t>
  </si>
  <si>
    <t>StartDatum_21</t>
  </si>
  <si>
    <t>StartDatum_22</t>
  </si>
  <si>
    <t>StartDatum_23</t>
  </si>
  <si>
    <t>StartDatum_24</t>
  </si>
  <si>
    <t>StartDatum_25</t>
  </si>
  <si>
    <t>StartDatum_26</t>
  </si>
  <si>
    <t>StartDatum_27</t>
  </si>
  <si>
    <t>StartDatum_28</t>
  </si>
  <si>
    <t>StartDatum_29</t>
  </si>
  <si>
    <t>StartDatum_30</t>
  </si>
  <si>
    <t>MedKeuze_21</t>
  </si>
  <si>
    <t>MedKeuze_22</t>
  </si>
  <si>
    <t>MedKeuze_23</t>
  </si>
  <si>
    <t>MedKeuze_24</t>
  </si>
  <si>
    <t>MedKeuze_25</t>
  </si>
  <si>
    <t>MedKeuze_26</t>
  </si>
  <si>
    <t>MedKeuze_27</t>
  </si>
  <si>
    <t>MedKeuze_28</t>
  </si>
  <si>
    <t>MedKeuze_29</t>
  </si>
  <si>
    <t>MedKeuze_30</t>
  </si>
  <si>
    <t>Generic_21</t>
  </si>
  <si>
    <t>Generic_22</t>
  </si>
  <si>
    <t>Generic_23</t>
  </si>
  <si>
    <t>Generic_24</t>
  </si>
  <si>
    <t>Generic_25</t>
  </si>
  <si>
    <t>Generic_26</t>
  </si>
  <si>
    <t>Generic_27</t>
  </si>
  <si>
    <t>Generic_28</t>
  </si>
  <si>
    <t>Generic_29</t>
  </si>
  <si>
    <t>Generic_30</t>
  </si>
  <si>
    <t>StandDos_21</t>
  </si>
  <si>
    <t>StandDos_22</t>
  </si>
  <si>
    <t>StandDos_23</t>
  </si>
  <si>
    <t>StandDos_24</t>
  </si>
  <si>
    <t>StandDos_25</t>
  </si>
  <si>
    <t>StandDos_26</t>
  </si>
  <si>
    <t>StandDos_27</t>
  </si>
  <si>
    <t>StandDos_28</t>
  </si>
  <si>
    <t>StandDos_29</t>
  </si>
  <si>
    <t>StandDos_30</t>
  </si>
  <si>
    <t>Eenheid_21</t>
  </si>
  <si>
    <t>Eenheid_22</t>
  </si>
  <si>
    <t>Eenheid_23</t>
  </si>
  <si>
    <t>Eenheid_24</t>
  </si>
  <si>
    <t>Eenheid_25</t>
  </si>
  <si>
    <t>Eenheid_26</t>
  </si>
  <si>
    <t>Eenheid_27</t>
  </si>
  <si>
    <t>Eenheid_28</t>
  </si>
  <si>
    <t>Eenheid_29</t>
  </si>
  <si>
    <t>Eenheid_30</t>
  </si>
  <si>
    <t>DosHoev_21</t>
  </si>
  <si>
    <t>DosHoev_22</t>
  </si>
  <si>
    <t>DosHoev_23</t>
  </si>
  <si>
    <t>DosHoev_24</t>
  </si>
  <si>
    <t>DosHoev_25</t>
  </si>
  <si>
    <t>DosHoev_26</t>
  </si>
  <si>
    <t>DosHoev_27</t>
  </si>
  <si>
    <t>DosHoev_28</t>
  </si>
  <si>
    <t>DosHoev_29</t>
  </si>
  <si>
    <t>DosHoev_30</t>
  </si>
  <si>
    <t>MedTijden_21</t>
  </si>
  <si>
    <t>MedTijden_22</t>
  </si>
  <si>
    <t>MedTijden_23</t>
  </si>
  <si>
    <t>MedTijden_24</t>
  </si>
  <si>
    <t>MedTijden_25</t>
  </si>
  <si>
    <t>MedTijden_26</t>
  </si>
  <si>
    <t>MedTijden_27</t>
  </si>
  <si>
    <t>MedTijden_28</t>
  </si>
  <si>
    <t>MedTijden_29</t>
  </si>
  <si>
    <t>MedTijden_30</t>
  </si>
  <si>
    <t>MedToed_21</t>
  </si>
  <si>
    <t>MedToed_22</t>
  </si>
  <si>
    <t>MedToed_23</t>
  </si>
  <si>
    <t>MedToed_24</t>
  </si>
  <si>
    <t>MedToed_25</t>
  </si>
  <si>
    <t>MedToed_26</t>
  </si>
  <si>
    <t>MedToed_27</t>
  </si>
  <si>
    <t>MedToed_28</t>
  </si>
  <si>
    <t>MedToed_29</t>
  </si>
  <si>
    <t>MedToed_30</t>
  </si>
  <si>
    <t>MedOpl_21</t>
  </si>
  <si>
    <t>MedOpl_22</t>
  </si>
  <si>
    <t>MedOpl_23</t>
  </si>
  <si>
    <t>MedOpl_24</t>
  </si>
  <si>
    <t>MedOpl_25</t>
  </si>
  <si>
    <t>MedOpl_26</t>
  </si>
  <si>
    <t>MedOpl_27</t>
  </si>
  <si>
    <t>MedOpl_28</t>
  </si>
  <si>
    <t>MedOpl_29</t>
  </si>
  <si>
    <t>MedOpl_30</t>
  </si>
  <si>
    <t>MedInloop_21</t>
  </si>
  <si>
    <t>MedInloop_22</t>
  </si>
  <si>
    <t>MedInloop_23</t>
  </si>
  <si>
    <t>MedInloop_24</t>
  </si>
  <si>
    <t>MedInloop_25</t>
  </si>
  <si>
    <t>MedInloop_26</t>
  </si>
  <si>
    <t>MedInloop_27</t>
  </si>
  <si>
    <t>MedInloop_28</t>
  </si>
  <si>
    <t>MedInloop_29</t>
  </si>
  <si>
    <t>MedInloop_30</t>
  </si>
  <si>
    <t>RecNo_21</t>
  </si>
  <si>
    <t>RecNo_22</t>
  </si>
  <si>
    <t>RecNo_23</t>
  </si>
  <si>
    <t>RecNo_24</t>
  </si>
  <si>
    <t>RecNo_25</t>
  </si>
  <si>
    <t>RecNo_26</t>
  </si>
  <si>
    <t>RecNo_27</t>
  </si>
  <si>
    <t>RecNo_28</t>
  </si>
  <si>
    <t>RecNo_29</t>
  </si>
  <si>
    <t>RecNo_30</t>
  </si>
  <si>
    <t>opmMedDisc__21</t>
  </si>
  <si>
    <t>opmMedDisc__22</t>
  </si>
  <si>
    <t>opmMedDisc__23</t>
  </si>
  <si>
    <t>opmMedDisc__24</t>
  </si>
  <si>
    <t>opmMedDisc__25</t>
  </si>
  <si>
    <t>opmMedDisc__26</t>
  </si>
  <si>
    <t>opmMedDisc__27</t>
  </si>
  <si>
    <t>opmMedDisc__28</t>
  </si>
  <si>
    <t>opmMedDisc__29</t>
  </si>
  <si>
    <t>opmMedDisc__30</t>
  </si>
  <si>
    <t>MedOplVol_21</t>
  </si>
  <si>
    <t>MedOplVol_22</t>
  </si>
  <si>
    <t>MedOplVol_23</t>
  </si>
  <si>
    <t>MedOplVol_24</t>
  </si>
  <si>
    <t>MedOplVol_25</t>
  </si>
  <si>
    <t>MedOplVol_26</t>
  </si>
  <si>
    <t>MedOplVol_27</t>
  </si>
  <si>
    <t>MedOplVol_28</t>
  </si>
  <si>
    <t>MedOplVol_29</t>
  </si>
  <si>
    <t>MedOplVol_30</t>
  </si>
  <si>
    <t>Gewicht min(Kg)</t>
  </si>
  <si>
    <t>Gewicht max(Kg)</t>
  </si>
  <si>
    <t>Navelvenelijn</t>
  </si>
  <si>
    <t>Navelarterielijn</t>
  </si>
  <si>
    <t>0,5ml/uur = 10 nanog/kg/min</t>
  </si>
  <si>
    <t>0,5ml/uur = 5 mcg/kg/min</t>
  </si>
  <si>
    <t>0,5ml/uur = 0,05 mcg/kg/min</t>
  </si>
  <si>
    <t>Fenobarbital</t>
  </si>
  <si>
    <t>CalciumGluconaat</t>
  </si>
  <si>
    <t>tblBerMedContIV</t>
  </si>
  <si>
    <t>Calculated Strength</t>
  </si>
  <si>
    <t>Calculated Sol</t>
  </si>
  <si>
    <t>Dose</t>
  </si>
  <si>
    <t>Test</t>
  </si>
  <si>
    <t xml:space="preserve">foliumzuur 5 mg/tabl        </t>
  </si>
  <si>
    <t xml:space="preserve">Ziagen (abacavir) 20 mg/ml          </t>
  </si>
  <si>
    <t xml:space="preserve">paracetamol 120 mg/zetp        </t>
  </si>
  <si>
    <t>foliumzuur</t>
  </si>
  <si>
    <t>abacavir</t>
  </si>
  <si>
    <t>GPK</t>
  </si>
  <si>
    <t>Indicatie</t>
  </si>
  <si>
    <t>100 mcg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</si>
</sst>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dd\/mm\/\y\y"/>
    <numFmt numFmtId="165" formatCode="d/mmm/yyyy"/>
    <numFmt numFmtId="166" formatCode="d\ mmmm\ yyyy"/>
    <numFmt numFmtId="167" formatCode="0.0"/>
    <numFmt numFmtId="168" formatCode="0.000"/>
    <numFmt numFmtId="169" formatCode="0.0000"/>
    <numFmt numFmtId="170" formatCode="dd/mmm/yy"/>
    <numFmt numFmtId="171" formatCode="00"/>
    <numFmt numFmtId="172" formatCode="dd/mm/yy"/>
    <numFmt numFmtId="173" formatCode="#,##0.000"/>
    <numFmt numFmtId="174" formatCode="d\ mmmm\ \y\y\y\y"/>
  </numFmts>
  <fonts count="8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9"/>
      <name val="Times New Roman"/>
      <family val="1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b/>
      <sz val="11"/>
      <name val="Times New Roman"/>
      <family val="1"/>
    </font>
    <font>
      <sz val="7"/>
      <name val="Arial"/>
      <family val="2"/>
    </font>
    <font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sz val="8"/>
      <color indexed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b/>
      <i/>
      <u/>
      <sz val="10"/>
      <name val="Arial"/>
      <family val="2"/>
    </font>
    <font>
      <sz val="9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b/>
      <sz val="10"/>
      <color theme="0"/>
      <name val="Arial"/>
      <family val="2"/>
    </font>
    <font>
      <b/>
      <i/>
      <sz val="10"/>
      <name val="Arial"/>
      <family val="2"/>
    </font>
    <font>
      <b/>
      <i/>
      <sz val="12"/>
      <name val="Arial"/>
      <family val="2"/>
    </font>
    <font>
      <b/>
      <sz val="12"/>
      <name val="Courier"/>
      <family val="3"/>
    </font>
    <font>
      <b/>
      <sz val="10"/>
      <name val="Courier"/>
      <family val="3"/>
    </font>
    <font>
      <sz val="10"/>
      <name val="Courier"/>
      <family val="3"/>
    </font>
    <font>
      <b/>
      <i/>
      <sz val="11"/>
      <color indexed="23"/>
      <name val="Arial"/>
      <family val="2"/>
    </font>
    <font>
      <b/>
      <sz val="12"/>
      <name val="Arial"/>
      <family val="2"/>
    </font>
    <font>
      <i/>
      <sz val="10"/>
      <color indexed="23"/>
      <name val="Arial"/>
      <family val="2"/>
    </font>
    <font>
      <b/>
      <i/>
      <sz val="10"/>
      <color indexed="10"/>
      <name val="Arial"/>
      <family val="2"/>
    </font>
    <font>
      <b/>
      <i/>
      <sz val="12"/>
      <color indexed="18"/>
      <name val="Arial"/>
      <family val="2"/>
    </font>
    <font>
      <i/>
      <sz val="10"/>
      <color indexed="18"/>
      <name val="Arial"/>
      <family val="2"/>
    </font>
    <font>
      <b/>
      <sz val="10"/>
      <color indexed="54"/>
      <name val="Arial"/>
      <family val="2"/>
    </font>
    <font>
      <b/>
      <sz val="10"/>
      <color indexed="10"/>
      <name val="Arial"/>
      <family val="2"/>
    </font>
    <font>
      <vertAlign val="subscript"/>
      <sz val="10"/>
      <name val="Arial"/>
      <family val="2"/>
    </font>
    <font>
      <sz val="10"/>
      <color rgb="FFFF0000"/>
      <name val="Arial"/>
      <family val="2"/>
    </font>
    <font>
      <sz val="10"/>
      <color indexed="10"/>
      <name val="Arial"/>
      <family val="2"/>
    </font>
    <font>
      <sz val="10"/>
      <color indexed="42"/>
      <name val="Arial"/>
      <family val="2"/>
    </font>
    <font>
      <b/>
      <sz val="10"/>
      <color rgb="FFFF0000"/>
      <name val="Arial"/>
      <family val="2"/>
    </font>
    <font>
      <sz val="11"/>
      <color rgb="FF1F497D"/>
      <name val="Calibri"/>
      <family val="2"/>
    </font>
    <font>
      <sz val="10"/>
      <color indexed="56"/>
      <name val="Arial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theme="1"/>
      <name val="Arial"/>
      <family val="2"/>
    </font>
    <font>
      <b/>
      <sz val="11"/>
      <name val="Calibri"/>
      <family val="2"/>
      <scheme val="minor"/>
    </font>
    <font>
      <sz val="8"/>
      <color indexed="10"/>
      <name val="Arial"/>
      <family val="2"/>
    </font>
    <font>
      <sz val="8"/>
      <color indexed="9"/>
      <name val="Arial"/>
      <family val="2"/>
    </font>
    <font>
      <u/>
      <sz val="8"/>
      <name val="Arial"/>
      <family val="2"/>
    </font>
    <font>
      <sz val="9"/>
      <color rgb="FF000000"/>
      <name val="Arial"/>
      <family val="2"/>
    </font>
    <font>
      <b/>
      <sz val="20"/>
      <color rgb="FFFF0000"/>
      <name val="Arial"/>
      <family val="2"/>
    </font>
  </fonts>
  <fills count="40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1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79998168889431442"/>
        <bgColor indexed="64"/>
      </patternFill>
    </fill>
  </fills>
  <borders count="9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thin">
        <color indexed="40"/>
      </bottom>
      <diagonal/>
    </border>
    <border>
      <left/>
      <right/>
      <top style="thin">
        <color indexed="40"/>
      </top>
      <bottom style="thin">
        <color indexed="40"/>
      </bottom>
      <diagonal/>
    </border>
    <border>
      <left/>
      <right/>
      <top style="thin">
        <color indexed="9"/>
      </top>
      <bottom style="thin">
        <color indexed="40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15"/>
      </bottom>
      <diagonal/>
    </border>
    <border>
      <left/>
      <right/>
      <top/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/>
      <right style="thin">
        <color indexed="9"/>
      </right>
      <top/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/>
      <right style="thin">
        <color indexed="9"/>
      </right>
      <top/>
      <bottom style="thin">
        <color indexed="9"/>
      </bottom>
      <diagonal/>
    </border>
    <border>
      <left/>
      <right/>
      <top style="thin">
        <color indexed="55"/>
      </top>
      <bottom/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64"/>
      </right>
      <top/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/>
      <top/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64"/>
      </bottom>
      <diagonal/>
    </border>
    <border>
      <left/>
      <right style="thin">
        <color indexed="64"/>
      </right>
      <top style="thin">
        <color indexed="23"/>
      </top>
      <bottom style="thin">
        <color indexed="64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/>
      <top/>
      <bottom style="thick">
        <color indexed="18"/>
      </bottom>
      <diagonal/>
    </border>
    <border>
      <left/>
      <right/>
      <top/>
      <bottom style="thin">
        <color indexed="18"/>
      </bottom>
      <diagonal/>
    </border>
    <border>
      <left/>
      <right/>
      <top/>
      <bottom style="thin">
        <color indexed="54"/>
      </bottom>
      <diagonal/>
    </border>
    <border>
      <left/>
      <right/>
      <top style="thin">
        <color indexed="54"/>
      </top>
      <bottom style="thin">
        <color indexed="54"/>
      </bottom>
      <diagonal/>
    </border>
    <border>
      <left/>
      <right/>
      <top/>
      <bottom style="thin">
        <color indexed="55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/>
      <right/>
      <top style="thin">
        <color indexed="54"/>
      </top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theme="0" tint="-0.24994659260841701"/>
      </top>
      <bottom/>
      <diagonal/>
    </border>
    <border>
      <left/>
      <right/>
      <top/>
      <bottom style="thin">
        <color auto="1"/>
      </bottom>
      <diagonal/>
    </border>
  </borders>
  <cellStyleXfs count="208">
    <xf numFmtId="0" fontId="0" fillId="0" borderId="0"/>
    <xf numFmtId="0" fontId="36" fillId="2" borderId="0" applyNumberFormat="0" applyBorder="0" applyAlignment="0" applyProtection="0"/>
    <xf numFmtId="0" fontId="36" fillId="3" borderId="0" applyNumberFormat="0" applyBorder="0" applyAlignment="0" applyProtection="0"/>
    <xf numFmtId="0" fontId="36" fillId="4" borderId="0" applyNumberFormat="0" applyBorder="0" applyAlignment="0" applyProtection="0"/>
    <xf numFmtId="0" fontId="36" fillId="5" borderId="0" applyNumberFormat="0" applyBorder="0" applyAlignment="0" applyProtection="0"/>
    <xf numFmtId="0" fontId="36" fillId="6" borderId="0" applyNumberFormat="0" applyBorder="0" applyAlignment="0" applyProtection="0"/>
    <xf numFmtId="0" fontId="36" fillId="7" borderId="0" applyNumberFormat="0" applyBorder="0" applyAlignment="0" applyProtection="0"/>
    <xf numFmtId="0" fontId="36" fillId="8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5" borderId="0" applyNumberFormat="0" applyBorder="0" applyAlignment="0" applyProtection="0"/>
    <xf numFmtId="0" fontId="36" fillId="8" borderId="0" applyNumberFormat="0" applyBorder="0" applyAlignment="0" applyProtection="0"/>
    <xf numFmtId="0" fontId="36" fillId="11" borderId="0" applyNumberFormat="0" applyBorder="0" applyAlignment="0" applyProtection="0"/>
    <xf numFmtId="0" fontId="37" fillId="12" borderId="0" applyNumberFormat="0" applyBorder="0" applyAlignment="0" applyProtection="0"/>
    <xf numFmtId="0" fontId="37" fillId="9" borderId="0" applyNumberFormat="0" applyBorder="0" applyAlignment="0" applyProtection="0"/>
    <xf numFmtId="0" fontId="37" fillId="10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5" borderId="0" applyNumberFormat="0" applyBorder="0" applyAlignment="0" applyProtection="0"/>
    <xf numFmtId="0" fontId="37" fillId="16" borderId="0" applyNumberFormat="0" applyBorder="0" applyAlignment="0" applyProtection="0"/>
    <xf numFmtId="0" fontId="37" fillId="17" borderId="0" applyNumberFormat="0" applyBorder="0" applyAlignment="0" applyProtection="0"/>
    <xf numFmtId="0" fontId="37" fillId="18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9" borderId="0" applyNumberFormat="0" applyBorder="0" applyAlignment="0" applyProtection="0"/>
    <xf numFmtId="0" fontId="38" fillId="3" borderId="0" applyNumberFormat="0" applyBorder="0" applyAlignment="0" applyProtection="0"/>
    <xf numFmtId="0" fontId="39" fillId="20" borderId="1" applyNumberFormat="0" applyAlignment="0" applyProtection="0"/>
    <xf numFmtId="0" fontId="40" fillId="21" borderId="2" applyNumberFormat="0" applyAlignment="0" applyProtection="0"/>
    <xf numFmtId="0" fontId="41" fillId="0" borderId="0" applyNumberFormat="0" applyFill="0" applyBorder="0" applyAlignment="0" applyProtection="0"/>
    <xf numFmtId="0" fontId="42" fillId="4" borderId="0" applyNumberFormat="0" applyBorder="0" applyAlignment="0" applyProtection="0"/>
    <xf numFmtId="0" fontId="43" fillId="0" borderId="3" applyNumberFormat="0" applyFill="0" applyAlignment="0" applyProtection="0"/>
    <xf numFmtId="0" fontId="44" fillId="0" borderId="4" applyNumberFormat="0" applyFill="0" applyAlignment="0" applyProtection="0"/>
    <xf numFmtId="0" fontId="45" fillId="0" borderId="5" applyNumberFormat="0" applyFill="0" applyAlignment="0" applyProtection="0"/>
    <xf numFmtId="0" fontId="45" fillId="0" borderId="0" applyNumberFormat="0" applyFill="0" applyBorder="0" applyAlignment="0" applyProtection="0"/>
    <xf numFmtId="0" fontId="46" fillId="7" borderId="1" applyNumberFormat="0" applyAlignment="0" applyProtection="0"/>
    <xf numFmtId="0" fontId="47" fillId="0" borderId="6" applyNumberFormat="0" applyFill="0" applyAlignment="0" applyProtection="0"/>
    <xf numFmtId="0" fontId="48" fillId="22" borderId="0" applyNumberFormat="0" applyBorder="0" applyAlignment="0" applyProtection="0"/>
    <xf numFmtId="0" fontId="10" fillId="23" borderId="7" applyNumberFormat="0" applyFont="0" applyAlignment="0" applyProtection="0"/>
    <xf numFmtId="0" fontId="49" fillId="20" borderId="8" applyNumberFormat="0" applyAlignment="0" applyProtection="0"/>
    <xf numFmtId="0" fontId="50" fillId="0" borderId="0" applyNumberFormat="0" applyFill="0" applyBorder="0" applyAlignment="0" applyProtection="0"/>
    <xf numFmtId="0" fontId="51" fillId="0" borderId="9" applyNumberFormat="0" applyFill="0" applyAlignment="0" applyProtection="0"/>
    <xf numFmtId="0" fontId="52" fillId="0" borderId="0" applyNumberFormat="0" applyFill="0" applyBorder="0" applyAlignment="0" applyProtection="0"/>
    <xf numFmtId="0" fontId="10" fillId="0" borderId="0"/>
    <xf numFmtId="0" fontId="10" fillId="0" borderId="0"/>
    <xf numFmtId="0" fontId="9" fillId="0" borderId="0"/>
    <xf numFmtId="0" fontId="36" fillId="2" borderId="0" applyNumberFormat="0" applyBorder="0" applyAlignment="0" applyProtection="0"/>
    <xf numFmtId="0" fontId="36" fillId="3" borderId="0" applyNumberFormat="0" applyBorder="0" applyAlignment="0" applyProtection="0"/>
    <xf numFmtId="0" fontId="36" fillId="4" borderId="0" applyNumberFormat="0" applyBorder="0" applyAlignment="0" applyProtection="0"/>
    <xf numFmtId="0" fontId="36" fillId="5" borderId="0" applyNumberFormat="0" applyBorder="0" applyAlignment="0" applyProtection="0"/>
    <xf numFmtId="0" fontId="36" fillId="6" borderId="0" applyNumberFormat="0" applyBorder="0" applyAlignment="0" applyProtection="0"/>
    <xf numFmtId="0" fontId="36" fillId="7" borderId="0" applyNumberFormat="0" applyBorder="0" applyAlignment="0" applyProtection="0"/>
    <xf numFmtId="0" fontId="36" fillId="8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5" borderId="0" applyNumberFormat="0" applyBorder="0" applyAlignment="0" applyProtection="0"/>
    <xf numFmtId="0" fontId="36" fillId="8" borderId="0" applyNumberFormat="0" applyBorder="0" applyAlignment="0" applyProtection="0"/>
    <xf numFmtId="0" fontId="36" fillId="11" borderId="0" applyNumberFormat="0" applyBorder="0" applyAlignment="0" applyProtection="0"/>
    <xf numFmtId="0" fontId="37" fillId="12" borderId="0" applyNumberFormat="0" applyBorder="0" applyAlignment="0" applyProtection="0"/>
    <xf numFmtId="0" fontId="37" fillId="9" borderId="0" applyNumberFormat="0" applyBorder="0" applyAlignment="0" applyProtection="0"/>
    <xf numFmtId="0" fontId="37" fillId="10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5" borderId="0" applyNumberFormat="0" applyBorder="0" applyAlignment="0" applyProtection="0"/>
    <xf numFmtId="0" fontId="37" fillId="16" borderId="0" applyNumberFormat="0" applyBorder="0" applyAlignment="0" applyProtection="0"/>
    <xf numFmtId="0" fontId="37" fillId="17" borderId="0" applyNumberFormat="0" applyBorder="0" applyAlignment="0" applyProtection="0"/>
    <xf numFmtId="0" fontId="37" fillId="18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9" borderId="0" applyNumberFormat="0" applyBorder="0" applyAlignment="0" applyProtection="0"/>
    <xf numFmtId="0" fontId="8" fillId="0" borderId="0"/>
    <xf numFmtId="0" fontId="7" fillId="0" borderId="0"/>
    <xf numFmtId="0" fontId="10" fillId="0" borderId="0"/>
    <xf numFmtId="0" fontId="36" fillId="2" borderId="0" applyNumberFormat="0" applyBorder="0" applyAlignment="0" applyProtection="0"/>
    <xf numFmtId="0" fontId="36" fillId="3" borderId="0" applyNumberFormat="0" applyBorder="0" applyAlignment="0" applyProtection="0"/>
    <xf numFmtId="0" fontId="36" fillId="4" borderId="0" applyNumberFormat="0" applyBorder="0" applyAlignment="0" applyProtection="0"/>
    <xf numFmtId="0" fontId="36" fillId="5" borderId="0" applyNumberFormat="0" applyBorder="0" applyAlignment="0" applyProtection="0"/>
    <xf numFmtId="0" fontId="36" fillId="6" borderId="0" applyNumberFormat="0" applyBorder="0" applyAlignment="0" applyProtection="0"/>
    <xf numFmtId="0" fontId="36" fillId="7" borderId="0" applyNumberFormat="0" applyBorder="0" applyAlignment="0" applyProtection="0"/>
    <xf numFmtId="0" fontId="36" fillId="8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5" borderId="0" applyNumberFormat="0" applyBorder="0" applyAlignment="0" applyProtection="0"/>
    <xf numFmtId="0" fontId="36" fillId="8" borderId="0" applyNumberFormat="0" applyBorder="0" applyAlignment="0" applyProtection="0"/>
    <xf numFmtId="0" fontId="36" fillId="11" borderId="0" applyNumberFormat="0" applyBorder="0" applyAlignment="0" applyProtection="0"/>
    <xf numFmtId="0" fontId="37" fillId="12" borderId="0" applyNumberFormat="0" applyBorder="0" applyAlignment="0" applyProtection="0"/>
    <xf numFmtId="0" fontId="37" fillId="9" borderId="0" applyNumberFormat="0" applyBorder="0" applyAlignment="0" applyProtection="0"/>
    <xf numFmtId="0" fontId="37" fillId="10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5" borderId="0" applyNumberFormat="0" applyBorder="0" applyAlignment="0" applyProtection="0"/>
    <xf numFmtId="0" fontId="37" fillId="16" borderId="0" applyNumberFormat="0" applyBorder="0" applyAlignment="0" applyProtection="0"/>
    <xf numFmtId="0" fontId="37" fillId="17" borderId="0" applyNumberFormat="0" applyBorder="0" applyAlignment="0" applyProtection="0"/>
    <xf numFmtId="0" fontId="37" fillId="18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9" borderId="0" applyNumberFormat="0" applyBorder="0" applyAlignment="0" applyProtection="0"/>
    <xf numFmtId="0" fontId="7" fillId="0" borderId="0"/>
    <xf numFmtId="0" fontId="7" fillId="0" borderId="0"/>
    <xf numFmtId="0" fontId="10" fillId="0" borderId="0"/>
    <xf numFmtId="0" fontId="6" fillId="0" borderId="0"/>
    <xf numFmtId="0" fontId="10" fillId="0" borderId="0"/>
    <xf numFmtId="0" fontId="36" fillId="2" borderId="0" applyNumberFormat="0" applyBorder="0" applyAlignment="0" applyProtection="0"/>
    <xf numFmtId="0" fontId="36" fillId="3" borderId="0" applyNumberFormat="0" applyBorder="0" applyAlignment="0" applyProtection="0"/>
    <xf numFmtId="0" fontId="36" fillId="4" borderId="0" applyNumberFormat="0" applyBorder="0" applyAlignment="0" applyProtection="0"/>
    <xf numFmtId="0" fontId="36" fillId="5" borderId="0" applyNumberFormat="0" applyBorder="0" applyAlignment="0" applyProtection="0"/>
    <xf numFmtId="0" fontId="36" fillId="6" borderId="0" applyNumberFormat="0" applyBorder="0" applyAlignment="0" applyProtection="0"/>
    <xf numFmtId="0" fontId="36" fillId="7" borderId="0" applyNumberFormat="0" applyBorder="0" applyAlignment="0" applyProtection="0"/>
    <xf numFmtId="0" fontId="36" fillId="8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5" borderId="0" applyNumberFormat="0" applyBorder="0" applyAlignment="0" applyProtection="0"/>
    <xf numFmtId="0" fontId="36" fillId="8" borderId="0" applyNumberFormat="0" applyBorder="0" applyAlignment="0" applyProtection="0"/>
    <xf numFmtId="0" fontId="36" fillId="11" borderId="0" applyNumberFormat="0" applyBorder="0" applyAlignment="0" applyProtection="0"/>
    <xf numFmtId="0" fontId="37" fillId="12" borderId="0" applyNumberFormat="0" applyBorder="0" applyAlignment="0" applyProtection="0"/>
    <xf numFmtId="0" fontId="37" fillId="9" borderId="0" applyNumberFormat="0" applyBorder="0" applyAlignment="0" applyProtection="0"/>
    <xf numFmtId="0" fontId="37" fillId="10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5" borderId="0" applyNumberFormat="0" applyBorder="0" applyAlignment="0" applyProtection="0"/>
    <xf numFmtId="0" fontId="37" fillId="16" borderId="0" applyNumberFormat="0" applyBorder="0" applyAlignment="0" applyProtection="0"/>
    <xf numFmtId="0" fontId="37" fillId="17" borderId="0" applyNumberFormat="0" applyBorder="0" applyAlignment="0" applyProtection="0"/>
    <xf numFmtId="0" fontId="37" fillId="18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9" borderId="0" applyNumberFormat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0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960">
    <xf numFmtId="0" fontId="0" fillId="0" borderId="0" xfId="0"/>
    <xf numFmtId="0" fontId="0" fillId="0" borderId="0" xfId="0" applyAlignment="1">
      <alignment horizontal="left"/>
    </xf>
    <xf numFmtId="0" fontId="11" fillId="24" borderId="0" xfId="0" applyFont="1" applyFill="1"/>
    <xf numFmtId="0" fontId="13" fillId="0" borderId="0" xfId="0" applyFont="1"/>
    <xf numFmtId="10" fontId="0" fillId="0" borderId="0" xfId="0" applyNumberFormat="1"/>
    <xf numFmtId="0" fontId="0" fillId="0" borderId="0" xfId="0" applyAlignment="1">
      <alignment horizontal="right"/>
    </xf>
    <xf numFmtId="3" fontId="0" fillId="0" borderId="0" xfId="0" applyNumberFormat="1"/>
    <xf numFmtId="164" fontId="0" fillId="0" borderId="0" xfId="0" applyNumberFormat="1"/>
    <xf numFmtId="0" fontId="13" fillId="0" borderId="0" xfId="0" applyFont="1" applyAlignment="1">
      <alignment horizontal="center"/>
    </xf>
    <xf numFmtId="0" fontId="22" fillId="0" borderId="0" xfId="0" applyFont="1"/>
    <xf numFmtId="0" fontId="13" fillId="0" borderId="10" xfId="0" applyFont="1" applyBorder="1"/>
    <xf numFmtId="0" fontId="0" fillId="0" borderId="11" xfId="0" applyBorder="1"/>
    <xf numFmtId="0" fontId="0" fillId="0" borderId="12" xfId="0" applyBorder="1"/>
    <xf numFmtId="0" fontId="13" fillId="0" borderId="10" xfId="0" applyFont="1" applyBorder="1" applyAlignment="1">
      <alignment horizontal="left"/>
    </xf>
    <xf numFmtId="0" fontId="24" fillId="0" borderId="7" xfId="0" quotePrefix="1" applyNumberFormat="1" applyFont="1" applyBorder="1"/>
    <xf numFmtId="0" fontId="21" fillId="0" borderId="7" xfId="0" applyFont="1" applyBorder="1"/>
    <xf numFmtId="0" fontId="21" fillId="0" borderId="0" xfId="0" applyFont="1"/>
    <xf numFmtId="0" fontId="0" fillId="0" borderId="7" xfId="0" applyBorder="1"/>
    <xf numFmtId="0" fontId="11" fillId="24" borderId="0" xfId="0" applyFont="1" applyFill="1" applyProtection="1"/>
    <xf numFmtId="0" fontId="17" fillId="24" borderId="0" xfId="0" applyFont="1" applyFill="1" applyProtection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22" fillId="0" borderId="0" xfId="0" applyFont="1" applyFill="1"/>
    <xf numFmtId="0" fontId="22" fillId="0" borderId="0" xfId="0" applyFont="1" applyFill="1" applyBorder="1"/>
    <xf numFmtId="0" fontId="0" fillId="0" borderId="0" xfId="0" applyAlignment="1">
      <alignment wrapText="1"/>
    </xf>
    <xf numFmtId="0" fontId="22" fillId="0" borderId="0" xfId="0" applyFont="1" applyFill="1" applyProtection="1">
      <protection locked="0" hidden="1"/>
    </xf>
    <xf numFmtId="0" fontId="21" fillId="0" borderId="7" xfId="0" quotePrefix="1" applyNumberFormat="1" applyFont="1" applyBorder="1"/>
    <xf numFmtId="0" fontId="21" fillId="0" borderId="0" xfId="0" quotePrefix="1" applyNumberFormat="1" applyFont="1" applyBorder="1"/>
    <xf numFmtId="0" fontId="21" fillId="0" borderId="7" xfId="0" applyNumberFormat="1" applyFont="1" applyBorder="1"/>
    <xf numFmtId="15" fontId="0" fillId="0" borderId="0" xfId="0" applyNumberFormat="1"/>
    <xf numFmtId="0" fontId="0" fillId="24" borderId="0" xfId="0" applyFill="1"/>
    <xf numFmtId="0" fontId="22" fillId="0" borderId="14" xfId="0" applyFont="1" applyBorder="1" applyAlignment="1">
      <alignment vertical="top" wrapText="1"/>
    </xf>
    <xf numFmtId="0" fontId="22" fillId="0" borderId="15" xfId="0" applyFont="1" applyBorder="1" applyAlignment="1">
      <alignment vertical="top" wrapText="1"/>
    </xf>
    <xf numFmtId="0" fontId="22" fillId="0" borderId="16" xfId="0" applyFont="1" applyBorder="1" applyAlignment="1">
      <alignment vertical="top" wrapText="1"/>
    </xf>
    <xf numFmtId="0" fontId="22" fillId="0" borderId="17" xfId="0" applyFont="1" applyBorder="1" applyAlignment="1">
      <alignment vertical="top" wrapText="1"/>
    </xf>
    <xf numFmtId="0" fontId="22" fillId="0" borderId="12" xfId="0" applyFont="1" applyBorder="1" applyAlignment="1">
      <alignment vertical="top" wrapText="1"/>
    </xf>
    <xf numFmtId="0" fontId="22" fillId="0" borderId="0" xfId="0" applyFont="1" applyAlignment="1">
      <alignment vertical="top" wrapText="1"/>
    </xf>
    <xf numFmtId="0" fontId="22" fillId="0" borderId="18" xfId="0" applyFont="1" applyBorder="1" applyAlignment="1">
      <alignment vertical="top" wrapText="1"/>
    </xf>
    <xf numFmtId="0" fontId="22" fillId="0" borderId="19" xfId="0" applyFont="1" applyBorder="1" applyAlignment="1">
      <alignment vertical="top" wrapText="1"/>
    </xf>
    <xf numFmtId="0" fontId="22" fillId="0" borderId="20" xfId="0" applyFont="1" applyBorder="1" applyAlignment="1">
      <alignment vertical="top" wrapText="1"/>
    </xf>
    <xf numFmtId="0" fontId="22" fillId="0" borderId="21" xfId="0" applyFont="1" applyBorder="1" applyAlignment="1">
      <alignment vertical="top" wrapText="1"/>
    </xf>
    <xf numFmtId="0" fontId="22" fillId="0" borderId="22" xfId="0" applyFont="1" applyBorder="1" applyAlignment="1">
      <alignment vertical="top" wrapText="1"/>
    </xf>
    <xf numFmtId="166" fontId="22" fillId="0" borderId="0" xfId="0" applyNumberFormat="1" applyFont="1" applyAlignment="1">
      <alignment horizontal="left"/>
    </xf>
    <xf numFmtId="0" fontId="0" fillId="0" borderId="0" xfId="0" applyAlignment="1">
      <alignment horizontal="center"/>
    </xf>
    <xf numFmtId="0" fontId="22" fillId="0" borderId="0" xfId="0" applyFont="1" applyFill="1" applyProtection="1"/>
    <xf numFmtId="0" fontId="22" fillId="0" borderId="0" xfId="0" applyFont="1" applyFill="1" applyBorder="1" applyProtection="1"/>
    <xf numFmtId="0" fontId="13" fillId="0" borderId="0" xfId="0" applyFont="1" applyFill="1" applyBorder="1" applyProtection="1"/>
    <xf numFmtId="0" fontId="22" fillId="0" borderId="23" xfId="0" applyFont="1" applyFill="1" applyBorder="1" applyProtection="1"/>
    <xf numFmtId="0" fontId="22" fillId="25" borderId="0" xfId="0" applyFont="1" applyFill="1" applyBorder="1" applyProtection="1"/>
    <xf numFmtId="0" fontId="22" fillId="0" borderId="23" xfId="0" applyFont="1" applyBorder="1"/>
    <xf numFmtId="0" fontId="22" fillId="0" borderId="25" xfId="0" applyFont="1" applyBorder="1"/>
    <xf numFmtId="0" fontId="22" fillId="0" borderId="22" xfId="0" applyFont="1" applyBorder="1"/>
    <xf numFmtId="0" fontId="22" fillId="0" borderId="18" xfId="0" applyFont="1" applyBorder="1"/>
    <xf numFmtId="0" fontId="22" fillId="0" borderId="14" xfId="0" applyFont="1" applyBorder="1"/>
    <xf numFmtId="0" fontId="22" fillId="0" borderId="0" xfId="0" applyFont="1" applyBorder="1"/>
    <xf numFmtId="0" fontId="22" fillId="0" borderId="15" xfId="0" applyFont="1" applyBorder="1"/>
    <xf numFmtId="15" fontId="22" fillId="0" borderId="14" xfId="0" applyNumberFormat="1" applyFont="1" applyBorder="1"/>
    <xf numFmtId="0" fontId="22" fillId="0" borderId="16" xfId="0" applyFont="1" applyBorder="1"/>
    <xf numFmtId="0" fontId="22" fillId="0" borderId="17" xfId="0" applyFont="1" applyBorder="1"/>
    <xf numFmtId="0" fontId="22" fillId="0" borderId="26" xfId="0" applyFont="1" applyBorder="1" applyAlignment="1">
      <alignment vertical="top" wrapText="1"/>
    </xf>
    <xf numFmtId="0" fontId="0" fillId="0" borderId="24" xfId="0" applyBorder="1" applyAlignment="1">
      <alignment horizontal="center"/>
    </xf>
    <xf numFmtId="0" fontId="22" fillId="0" borderId="14" xfId="0" applyFont="1" applyBorder="1" applyAlignment="1">
      <alignment horizontal="center" vertical="top" wrapText="1"/>
    </xf>
    <xf numFmtId="0" fontId="22" fillId="0" borderId="0" xfId="0" applyFont="1" applyFill="1" applyBorder="1" applyAlignment="1"/>
    <xf numFmtId="0" fontId="27" fillId="0" borderId="0" xfId="0" applyFont="1" applyAlignment="1">
      <alignment vertical="top" wrapText="1"/>
    </xf>
    <xf numFmtId="0" fontId="22" fillId="0" borderId="15" xfId="0" applyFont="1" applyBorder="1" applyAlignment="1">
      <alignment horizontal="left" vertical="top" wrapText="1"/>
    </xf>
    <xf numFmtId="0" fontId="22" fillId="0" borderId="15" xfId="0" applyFont="1" applyBorder="1" applyAlignment="1">
      <alignment horizontal="center" vertical="top" wrapText="1"/>
    </xf>
    <xf numFmtId="0" fontId="22" fillId="0" borderId="0" xfId="0" applyFont="1" applyBorder="1" applyAlignment="1">
      <alignment horizontal="center" vertical="top" wrapText="1"/>
    </xf>
    <xf numFmtId="0" fontId="22" fillId="0" borderId="0" xfId="0" applyFont="1" applyAlignment="1">
      <alignment horizontal="center" vertical="top"/>
    </xf>
    <xf numFmtId="0" fontId="22" fillId="0" borderId="0" xfId="0" applyFont="1" applyAlignment="1">
      <alignment horizontal="center" vertical="top" wrapText="1"/>
    </xf>
    <xf numFmtId="0" fontId="27" fillId="0" borderId="22" xfId="0" applyFont="1" applyBorder="1" applyAlignment="1">
      <alignment vertical="top" wrapText="1"/>
    </xf>
    <xf numFmtId="0" fontId="22" fillId="0" borderId="0" xfId="0" applyFont="1" applyFill="1" applyBorder="1" applyAlignment="1">
      <alignment horizontal="left"/>
    </xf>
    <xf numFmtId="0" fontId="27" fillId="0" borderId="10" xfId="0" applyFont="1" applyBorder="1" applyAlignment="1">
      <alignment vertical="center" wrapText="1"/>
    </xf>
    <xf numFmtId="0" fontId="27" fillId="0" borderId="11" xfId="0" applyFont="1" applyBorder="1" applyAlignment="1">
      <alignment vertical="center" wrapText="1"/>
    </xf>
    <xf numFmtId="0" fontId="27" fillId="0" borderId="12" xfId="0" applyFont="1" applyBorder="1" applyAlignment="1">
      <alignment vertical="center" wrapText="1"/>
    </xf>
    <xf numFmtId="0" fontId="22" fillId="0" borderId="12" xfId="0" applyFont="1" applyBorder="1" applyAlignment="1">
      <alignment horizontal="center" vertical="center" wrapText="1"/>
    </xf>
    <xf numFmtId="0" fontId="27" fillId="0" borderId="16" xfId="0" applyFont="1" applyBorder="1" applyAlignment="1">
      <alignment vertical="center" wrapText="1"/>
    </xf>
    <xf numFmtId="0" fontId="27" fillId="0" borderId="23" xfId="0" applyFont="1" applyBorder="1" applyAlignment="1">
      <alignment vertical="center" wrapText="1"/>
    </xf>
    <xf numFmtId="0" fontId="27" fillId="0" borderId="17" xfId="0" applyFont="1" applyBorder="1" applyAlignment="1">
      <alignment vertical="center" wrapText="1"/>
    </xf>
    <xf numFmtId="0" fontId="22" fillId="0" borderId="17" xfId="0" applyFont="1" applyBorder="1" applyAlignment="1">
      <alignment horizontal="center" vertical="center" wrapText="1"/>
    </xf>
    <xf numFmtId="0" fontId="27" fillId="0" borderId="14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0" fontId="27" fillId="0" borderId="15" xfId="0" applyFont="1" applyBorder="1" applyAlignment="1">
      <alignment vertical="center" wrapText="1"/>
    </xf>
    <xf numFmtId="0" fontId="27" fillId="0" borderId="10" xfId="0" applyFont="1" applyBorder="1" applyAlignment="1">
      <alignment vertical="center"/>
    </xf>
    <xf numFmtId="0" fontId="27" fillId="0" borderId="16" xfId="0" applyFont="1" applyBorder="1" applyAlignment="1">
      <alignment vertical="center"/>
    </xf>
    <xf numFmtId="0" fontId="27" fillId="0" borderId="11" xfId="0" applyFont="1" applyBorder="1" applyAlignment="1">
      <alignment vertical="center"/>
    </xf>
    <xf numFmtId="0" fontId="27" fillId="0" borderId="12" xfId="0" applyFont="1" applyBorder="1" applyAlignment="1">
      <alignment vertical="center"/>
    </xf>
    <xf numFmtId="0" fontId="27" fillId="0" borderId="23" xfId="0" applyFont="1" applyBorder="1" applyAlignment="1">
      <alignment vertical="center"/>
    </xf>
    <xf numFmtId="0" fontId="27" fillId="0" borderId="17" xfId="0" applyFont="1" applyBorder="1" applyAlignment="1">
      <alignment vertical="center"/>
    </xf>
    <xf numFmtId="0" fontId="28" fillId="0" borderId="12" xfId="0" applyFont="1" applyBorder="1" applyAlignment="1">
      <alignment vertical="center"/>
    </xf>
    <xf numFmtId="0" fontId="22" fillId="0" borderId="12" xfId="0" applyFont="1" applyBorder="1" applyAlignment="1">
      <alignment horizontal="center" vertical="center"/>
    </xf>
    <xf numFmtId="0" fontId="28" fillId="0" borderId="17" xfId="0" applyFont="1" applyBorder="1" applyAlignment="1">
      <alignment vertical="center"/>
    </xf>
    <xf numFmtId="0" fontId="22" fillId="0" borderId="17" xfId="0" applyFont="1" applyBorder="1" applyAlignment="1">
      <alignment horizontal="center" vertical="center"/>
    </xf>
    <xf numFmtId="0" fontId="22" fillId="0" borderId="30" xfId="0" applyFont="1" applyBorder="1" applyAlignment="1">
      <alignment vertical="top" wrapText="1"/>
    </xf>
    <xf numFmtId="0" fontId="22" fillId="0" borderId="31" xfId="0" applyFont="1" applyBorder="1" applyAlignment="1">
      <alignment vertical="top" wrapText="1"/>
    </xf>
    <xf numFmtId="0" fontId="22" fillId="0" borderId="23" xfId="0" applyFont="1" applyBorder="1" applyAlignment="1">
      <alignment horizontal="center" vertical="center" wrapText="1"/>
    </xf>
    <xf numFmtId="0" fontId="27" fillId="0" borderId="22" xfId="0" applyFont="1" applyBorder="1" applyAlignment="1">
      <alignment vertical="center" wrapText="1"/>
    </xf>
    <xf numFmtId="0" fontId="22" fillId="0" borderId="22" xfId="0" applyFont="1" applyBorder="1" applyAlignment="1">
      <alignment horizontal="center" vertical="center" wrapText="1"/>
    </xf>
    <xf numFmtId="0" fontId="22" fillId="0" borderId="24" xfId="0" applyFont="1" applyBorder="1" applyAlignment="1">
      <alignment horizontal="center" vertical="center" wrapText="1"/>
    </xf>
    <xf numFmtId="0" fontId="19" fillId="26" borderId="7" xfId="0" applyFont="1" applyFill="1" applyBorder="1" applyAlignment="1">
      <alignment wrapText="1"/>
    </xf>
    <xf numFmtId="0" fontId="19" fillId="26" borderId="32" xfId="0" applyFont="1" applyFill="1" applyBorder="1"/>
    <xf numFmtId="0" fontId="19" fillId="26" borderId="33" xfId="0" applyFont="1" applyFill="1" applyBorder="1"/>
    <xf numFmtId="0" fontId="19" fillId="26" borderId="34" xfId="0" applyFont="1" applyFill="1" applyBorder="1"/>
    <xf numFmtId="0" fontId="24" fillId="26" borderId="7" xfId="0" quotePrefix="1" applyNumberFormat="1" applyFont="1" applyFill="1" applyBorder="1"/>
    <xf numFmtId="0" fontId="24" fillId="26" borderId="35" xfId="0" quotePrefix="1" applyNumberFormat="1" applyFont="1" applyFill="1" applyBorder="1"/>
    <xf numFmtId="0" fontId="0" fillId="26" borderId="7" xfId="0" applyFill="1" applyBorder="1"/>
    <xf numFmtId="0" fontId="21" fillId="26" borderId="7" xfId="0" applyFont="1" applyFill="1" applyBorder="1"/>
    <xf numFmtId="16" fontId="21" fillId="26" borderId="7" xfId="0" applyNumberFormat="1" applyFont="1" applyFill="1" applyBorder="1" applyAlignment="1">
      <alignment horizontal="center" vertical="center" wrapText="1"/>
    </xf>
    <xf numFmtId="0" fontId="14" fillId="26" borderId="0" xfId="0" applyFont="1" applyFill="1"/>
    <xf numFmtId="0" fontId="14" fillId="26" borderId="0" xfId="0" applyFont="1" applyFill="1" applyBorder="1" applyAlignment="1">
      <alignment horizontal="left"/>
    </xf>
    <xf numFmtId="15" fontId="20" fillId="26" borderId="0" xfId="0" applyNumberFormat="1" applyFont="1" applyFill="1" applyBorder="1" applyAlignment="1">
      <alignment horizontal="left"/>
    </xf>
    <xf numFmtId="0" fontId="14" fillId="26" borderId="0" xfId="0" applyFont="1" applyFill="1" applyBorder="1" applyAlignment="1"/>
    <xf numFmtId="15" fontId="20" fillId="26" borderId="0" xfId="0" applyNumberFormat="1" applyFont="1" applyFill="1" applyBorder="1" applyAlignment="1" applyProtection="1">
      <alignment horizontal="left"/>
      <protection locked="0"/>
    </xf>
    <xf numFmtId="0" fontId="20" fillId="26" borderId="0" xfId="0" applyFont="1" applyFill="1" applyBorder="1" applyAlignment="1" applyProtection="1">
      <alignment horizontal="left"/>
      <protection locked="0"/>
    </xf>
    <xf numFmtId="0" fontId="20" fillId="26" borderId="0" xfId="0" applyFont="1" applyFill="1" applyBorder="1" applyAlignment="1">
      <alignment horizontal="left"/>
    </xf>
    <xf numFmtId="0" fontId="14" fillId="26" borderId="0" xfId="0" applyFont="1" applyFill="1" applyBorder="1"/>
    <xf numFmtId="1" fontId="20" fillId="26" borderId="0" xfId="0" applyNumberFormat="1" applyFont="1" applyFill="1" applyBorder="1" applyAlignment="1">
      <alignment horizontal="left"/>
    </xf>
    <xf numFmtId="0" fontId="14" fillId="27" borderId="0" xfId="0" applyFont="1" applyFill="1"/>
    <xf numFmtId="0" fontId="14" fillId="27" borderId="0" xfId="0" applyFont="1" applyFill="1" applyBorder="1"/>
    <xf numFmtId="0" fontId="14" fillId="27" borderId="0" xfId="0" applyFont="1" applyFill="1" applyAlignment="1">
      <alignment horizontal="left"/>
    </xf>
    <xf numFmtId="14" fontId="30" fillId="27" borderId="0" xfId="0" applyNumberFormat="1" applyFont="1" applyFill="1" applyAlignment="1">
      <alignment horizontal="left" vertical="center"/>
    </xf>
    <xf numFmtId="0" fontId="20" fillId="27" borderId="0" xfId="0" applyFont="1" applyFill="1" applyAlignment="1">
      <alignment horizontal="left"/>
    </xf>
    <xf numFmtId="0" fontId="20" fillId="27" borderId="0" xfId="0" applyNumberFormat="1" applyFont="1" applyFill="1"/>
    <xf numFmtId="0" fontId="20" fillId="27" borderId="0" xfId="0" applyFont="1" applyFill="1" applyAlignment="1">
      <alignment horizontal="center"/>
    </xf>
    <xf numFmtId="0" fontId="20" fillId="27" borderId="0" xfId="0" applyFont="1" applyFill="1"/>
    <xf numFmtId="0" fontId="14" fillId="27" borderId="36" xfId="0" applyFont="1" applyFill="1" applyBorder="1" applyAlignment="1">
      <alignment horizontal="left"/>
    </xf>
    <xf numFmtId="0" fontId="14" fillId="27" borderId="36" xfId="0" applyFont="1" applyFill="1" applyBorder="1"/>
    <xf numFmtId="0" fontId="14" fillId="27" borderId="36" xfId="0" applyFont="1" applyFill="1" applyBorder="1" applyAlignment="1"/>
    <xf numFmtId="0" fontId="14" fillId="27" borderId="36" xfId="0" applyNumberFormat="1" applyFont="1" applyFill="1" applyBorder="1"/>
    <xf numFmtId="0" fontId="14" fillId="27" borderId="0" xfId="0" applyFont="1" applyFill="1" applyAlignment="1">
      <alignment wrapText="1"/>
    </xf>
    <xf numFmtId="14" fontId="14" fillId="27" borderId="0" xfId="0" applyNumberFormat="1" applyFont="1" applyFill="1" applyAlignment="1">
      <alignment horizontal="left"/>
    </xf>
    <xf numFmtId="0" fontId="11" fillId="0" borderId="0" xfId="0" applyFont="1" applyFill="1" applyProtection="1"/>
    <xf numFmtId="0" fontId="22" fillId="26" borderId="0" xfId="0" applyFont="1" applyFill="1" applyProtection="1"/>
    <xf numFmtId="0" fontId="22" fillId="26" borderId="0" xfId="0" applyFont="1" applyFill="1"/>
    <xf numFmtId="0" fontId="22" fillId="26" borderId="0" xfId="0" applyFont="1" applyFill="1" applyBorder="1" applyAlignment="1">
      <alignment horizontal="left"/>
    </xf>
    <xf numFmtId="15" fontId="13" fillId="26" borderId="0" xfId="0" applyNumberFormat="1" applyFont="1" applyFill="1" applyBorder="1" applyAlignment="1">
      <alignment horizontal="left"/>
    </xf>
    <xf numFmtId="0" fontId="22" fillId="26" borderId="0" xfId="0" applyFont="1" applyFill="1" applyBorder="1" applyAlignment="1"/>
    <xf numFmtId="15" fontId="13" fillId="26" borderId="0" xfId="0" applyNumberFormat="1" applyFont="1" applyFill="1" applyBorder="1" applyAlignment="1" applyProtection="1">
      <alignment horizontal="left"/>
      <protection locked="0"/>
    </xf>
    <xf numFmtId="0" fontId="13" fillId="26" borderId="0" xfId="0" applyFont="1" applyFill="1" applyBorder="1" applyAlignment="1" applyProtection="1">
      <alignment horizontal="left"/>
      <protection locked="0"/>
    </xf>
    <xf numFmtId="0" fontId="13" fillId="26" borderId="0" xfId="0" applyFont="1" applyFill="1" applyBorder="1" applyAlignment="1">
      <alignment horizontal="left"/>
    </xf>
    <xf numFmtId="0" fontId="22" fillId="26" borderId="0" xfId="0" applyFont="1" applyFill="1" applyBorder="1" applyProtection="1"/>
    <xf numFmtId="1" fontId="13" fillId="26" borderId="0" xfId="0" applyNumberFormat="1" applyFont="1" applyFill="1" applyBorder="1" applyAlignment="1">
      <alignment horizontal="left"/>
    </xf>
    <xf numFmtId="0" fontId="12" fillId="0" borderId="0" xfId="0" applyFont="1" applyFill="1" applyBorder="1" applyProtection="1"/>
    <xf numFmtId="0" fontId="18" fillId="0" borderId="0" xfId="0" applyFont="1" applyFill="1" applyBorder="1" applyProtection="1"/>
    <xf numFmtId="0" fontId="22" fillId="0" borderId="0" xfId="0" applyFont="1" applyFill="1" applyBorder="1" applyAlignment="1">
      <alignment horizontal="center"/>
    </xf>
    <xf numFmtId="0" fontId="13" fillId="0" borderId="0" xfId="0" applyFont="1" applyFill="1" applyBorder="1" applyAlignment="1">
      <alignment horizontal="left"/>
    </xf>
    <xf numFmtId="1" fontId="13" fillId="0" borderId="0" xfId="0" applyNumberFormat="1" applyFont="1" applyFill="1" applyBorder="1" applyAlignment="1">
      <alignment horizontal="left"/>
    </xf>
    <xf numFmtId="0" fontId="13" fillId="0" borderId="0" xfId="0" applyFont="1" applyFill="1" applyBorder="1" applyAlignment="1" applyProtection="1">
      <alignment horizontal="center"/>
    </xf>
    <xf numFmtId="0" fontId="22" fillId="0" borderId="0" xfId="0" applyFont="1" applyFill="1" applyAlignment="1"/>
    <xf numFmtId="0" fontId="13" fillId="0" borderId="36" xfId="0" applyFont="1" applyFill="1" applyBorder="1" applyProtection="1"/>
    <xf numFmtId="0" fontId="22" fillId="0" borderId="36" xfId="0" applyFont="1" applyFill="1" applyBorder="1" applyProtection="1"/>
    <xf numFmtId="0" fontId="13" fillId="0" borderId="37" xfId="0" applyFont="1" applyFill="1" applyBorder="1" applyProtection="1"/>
    <xf numFmtId="0" fontId="22" fillId="0" borderId="37" xfId="0" applyFont="1" applyFill="1" applyBorder="1" applyProtection="1"/>
    <xf numFmtId="0" fontId="13" fillId="0" borderId="36" xfId="0" applyFont="1" applyFill="1" applyBorder="1" applyAlignment="1" applyProtection="1">
      <alignment horizontal="center"/>
      <protection locked="0"/>
    </xf>
    <xf numFmtId="0" fontId="13" fillId="0" borderId="38" xfId="0" applyFont="1" applyFill="1" applyBorder="1" applyAlignment="1" applyProtection="1">
      <alignment horizontal="center"/>
      <protection locked="0"/>
    </xf>
    <xf numFmtId="0" fontId="13" fillId="0" borderId="38" xfId="0" applyFont="1" applyFill="1" applyBorder="1" applyProtection="1"/>
    <xf numFmtId="0" fontId="22" fillId="0" borderId="38" xfId="0" applyFont="1" applyFill="1" applyBorder="1" applyProtection="1"/>
    <xf numFmtId="0" fontId="13" fillId="0" borderId="37" xfId="0" applyFont="1" applyFill="1" applyBorder="1" applyAlignment="1" applyProtection="1">
      <alignment horizontal="center"/>
      <protection locked="0"/>
    </xf>
    <xf numFmtId="0" fontId="18" fillId="0" borderId="0" xfId="0" applyFont="1" applyFill="1" applyBorder="1" applyAlignment="1" applyProtection="1">
      <alignment horizontal="left"/>
    </xf>
    <xf numFmtId="0" fontId="16" fillId="0" borderId="0" xfId="0" applyFont="1" applyFill="1" applyBorder="1" applyProtection="1"/>
    <xf numFmtId="0" fontId="16" fillId="27" borderId="0" xfId="0" applyFont="1" applyFill="1" applyProtection="1"/>
    <xf numFmtId="0" fontId="13" fillId="0" borderId="36" xfId="0" applyFont="1" applyFill="1" applyBorder="1" applyAlignment="1" applyProtection="1">
      <alignment horizontal="left"/>
    </xf>
    <xf numFmtId="0" fontId="18" fillId="25" borderId="0" xfId="0" applyFont="1" applyFill="1" applyBorder="1" applyProtection="1"/>
    <xf numFmtId="0" fontId="22" fillId="26" borderId="0" xfId="0" applyFont="1" applyFill="1" applyBorder="1"/>
    <xf numFmtId="0" fontId="16" fillId="28" borderId="0" xfId="0" applyFont="1" applyFill="1" applyBorder="1" applyProtection="1"/>
    <xf numFmtId="0" fontId="18" fillId="28" borderId="0" xfId="0" applyFont="1" applyFill="1" applyBorder="1" applyProtection="1"/>
    <xf numFmtId="0" fontId="16" fillId="28" borderId="0" xfId="0" applyFont="1" applyFill="1" applyProtection="1"/>
    <xf numFmtId="0" fontId="32" fillId="0" borderId="36" xfId="0" applyFont="1" applyFill="1" applyBorder="1" applyProtection="1"/>
    <xf numFmtId="0" fontId="32" fillId="0" borderId="37" xfId="0" applyFont="1" applyFill="1" applyBorder="1" applyProtection="1"/>
    <xf numFmtId="0" fontId="32" fillId="0" borderId="0" xfId="0" applyFont="1" applyFill="1" applyBorder="1" applyProtection="1"/>
    <xf numFmtId="166" fontId="22" fillId="26" borderId="0" xfId="0" applyNumberFormat="1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center" vertical="center"/>
    </xf>
    <xf numFmtId="0" fontId="18" fillId="26" borderId="0" xfId="0" applyFont="1" applyFill="1" applyBorder="1" applyAlignment="1" applyProtection="1">
      <alignment horizontal="center"/>
    </xf>
    <xf numFmtId="0" fontId="22" fillId="0" borderId="0" xfId="0" applyFont="1" applyFill="1" applyBorder="1" applyAlignment="1" applyProtection="1">
      <alignment horizontal="left" vertical="center" wrapText="1"/>
    </xf>
    <xf numFmtId="0" fontId="33" fillId="26" borderId="0" xfId="0" applyFont="1" applyFill="1" applyBorder="1" applyProtection="1"/>
    <xf numFmtId="0" fontId="18" fillId="0" borderId="0" xfId="0" applyFont="1" applyFill="1" applyBorder="1" applyAlignment="1" applyProtection="1">
      <alignment horizontal="center"/>
    </xf>
    <xf numFmtId="0" fontId="14" fillId="26" borderId="0" xfId="0" applyFont="1" applyFill="1" applyBorder="1" applyProtection="1"/>
    <xf numFmtId="0" fontId="31" fillId="26" borderId="0" xfId="0" applyFont="1" applyFill="1" applyBorder="1" applyProtection="1"/>
    <xf numFmtId="0" fontId="18" fillId="25" borderId="39" xfId="0" applyFont="1" applyFill="1" applyBorder="1" applyProtection="1"/>
    <xf numFmtId="0" fontId="13" fillId="0" borderId="39" xfId="0" applyFont="1" applyFill="1" applyBorder="1" applyProtection="1"/>
    <xf numFmtId="0" fontId="22" fillId="0" borderId="39" xfId="0" applyFont="1" applyFill="1" applyBorder="1" applyProtection="1"/>
    <xf numFmtId="0" fontId="18" fillId="25" borderId="40" xfId="0" applyFont="1" applyFill="1" applyBorder="1" applyProtection="1"/>
    <xf numFmtId="0" fontId="13" fillId="0" borderId="40" xfId="0" applyFont="1" applyFill="1" applyBorder="1" applyProtection="1"/>
    <xf numFmtId="0" fontId="22" fillId="0" borderId="40" xfId="0" applyFont="1" applyFill="1" applyBorder="1" applyProtection="1"/>
    <xf numFmtId="0" fontId="22" fillId="25" borderId="40" xfId="0" applyFont="1" applyFill="1" applyBorder="1" applyProtection="1"/>
    <xf numFmtId="0" fontId="14" fillId="0" borderId="0" xfId="0" applyFont="1" applyFill="1" applyProtection="1"/>
    <xf numFmtId="0" fontId="20" fillId="0" borderId="0" xfId="0" applyFont="1" applyFill="1" applyProtection="1"/>
    <xf numFmtId="0" fontId="14" fillId="0" borderId="0" xfId="0" applyFont="1" applyFill="1" applyAlignment="1" applyProtection="1">
      <alignment horizontal="center" vertical="center"/>
    </xf>
    <xf numFmtId="168" fontId="0" fillId="0" borderId="0" xfId="0" applyNumberFormat="1"/>
    <xf numFmtId="167" fontId="0" fillId="0" borderId="0" xfId="0" applyNumberFormat="1"/>
    <xf numFmtId="165" fontId="22" fillId="26" borderId="0" xfId="0" applyNumberFormat="1" applyFont="1" applyFill="1" applyBorder="1" applyAlignment="1" applyProtection="1">
      <alignment horizontal="left"/>
    </xf>
    <xf numFmtId="0" fontId="22" fillId="26" borderId="0" xfId="0" applyFont="1" applyFill="1" applyBorder="1" applyAlignment="1">
      <alignment horizontal="right"/>
    </xf>
    <xf numFmtId="0" fontId="22" fillId="26" borderId="41" xfId="0" applyFont="1" applyFill="1" applyBorder="1" applyAlignment="1">
      <alignment horizontal="right"/>
    </xf>
    <xf numFmtId="0" fontId="22" fillId="0" borderId="0" xfId="0" applyFont="1" applyFill="1" applyBorder="1" applyAlignment="1">
      <alignment horizontal="right"/>
    </xf>
    <xf numFmtId="0" fontId="13" fillId="0" borderId="0" xfId="0" applyFont="1" applyFill="1" applyBorder="1"/>
    <xf numFmtId="0" fontId="22" fillId="0" borderId="0" xfId="0" applyFont="1" applyFill="1" applyAlignment="1">
      <alignment horizontal="right"/>
    </xf>
    <xf numFmtId="0" fontId="22" fillId="0" borderId="42" xfId="0" applyFont="1" applyFill="1" applyBorder="1"/>
    <xf numFmtId="0" fontId="22" fillId="0" borderId="43" xfId="0" applyFont="1" applyFill="1" applyBorder="1"/>
    <xf numFmtId="49" fontId="22" fillId="0" borderId="0" xfId="0" applyNumberFormat="1" applyFont="1" applyFill="1" applyBorder="1" applyAlignment="1">
      <alignment horizontal="left" vertical="top" wrapText="1"/>
    </xf>
    <xf numFmtId="0" fontId="13" fillId="0" borderId="0" xfId="0" applyFont="1" applyFill="1" applyAlignment="1">
      <alignment horizontal="center"/>
    </xf>
    <xf numFmtId="0" fontId="18" fillId="0" borderId="0" xfId="0" applyFont="1" applyFill="1"/>
    <xf numFmtId="0" fontId="34" fillId="0" borderId="0" xfId="0" applyFont="1" applyFill="1" applyBorder="1"/>
    <xf numFmtId="0" fontId="22" fillId="0" borderId="42" xfId="0" applyFont="1" applyFill="1" applyBorder="1" applyAlignment="1">
      <alignment horizontal="center"/>
    </xf>
    <xf numFmtId="0" fontId="22" fillId="0" borderId="42" xfId="0" applyFont="1" applyFill="1" applyBorder="1" applyAlignment="1">
      <alignment horizontal="left"/>
    </xf>
    <xf numFmtId="0" fontId="13" fillId="0" borderId="42" xfId="0" applyFont="1" applyFill="1" applyBorder="1"/>
    <xf numFmtId="0" fontId="13" fillId="0" borderId="44" xfId="0" applyFont="1" applyFill="1" applyBorder="1"/>
    <xf numFmtId="0" fontId="22" fillId="0" borderId="44" xfId="0" applyFont="1" applyFill="1" applyBorder="1"/>
    <xf numFmtId="0" fontId="13" fillId="0" borderId="45" xfId="0" applyFont="1" applyFill="1" applyBorder="1"/>
    <xf numFmtId="0" fontId="22" fillId="0" borderId="0" xfId="0" applyFont="1" applyFill="1" applyBorder="1" applyProtection="1">
      <protection locked="0" hidden="1"/>
    </xf>
    <xf numFmtId="0" fontId="22" fillId="0" borderId="45" xfId="0" applyFont="1" applyFill="1" applyBorder="1" applyProtection="1">
      <protection locked="0" hidden="1"/>
    </xf>
    <xf numFmtId="0" fontId="22" fillId="0" borderId="46" xfId="0" applyFont="1" applyFill="1" applyBorder="1"/>
    <xf numFmtId="0" fontId="22" fillId="0" borderId="45" xfId="0" applyFont="1" applyFill="1" applyBorder="1"/>
    <xf numFmtId="0" fontId="22" fillId="0" borderId="47" xfId="0" applyFont="1" applyFill="1" applyBorder="1"/>
    <xf numFmtId="0" fontId="18" fillId="0" borderId="0" xfId="0" applyFont="1" applyFill="1" applyBorder="1"/>
    <xf numFmtId="0" fontId="22" fillId="26" borderId="42" xfId="0" applyFont="1" applyFill="1" applyBorder="1"/>
    <xf numFmtId="0" fontId="22" fillId="26" borderId="44" xfId="0" applyFont="1" applyFill="1" applyBorder="1"/>
    <xf numFmtId="0" fontId="22" fillId="26" borderId="0" xfId="0" applyFont="1" applyFill="1" applyBorder="1" applyAlignment="1">
      <alignment horizontal="center"/>
    </xf>
    <xf numFmtId="0" fontId="22" fillId="26" borderId="0" xfId="0" applyFont="1" applyFill="1" applyAlignment="1" applyProtection="1">
      <alignment horizontal="right"/>
      <protection locked="0" hidden="1"/>
    </xf>
    <xf numFmtId="0" fontId="22" fillId="26" borderId="0" xfId="0" applyFont="1" applyFill="1" applyProtection="1">
      <protection locked="0" hidden="1"/>
    </xf>
    <xf numFmtId="0" fontId="22" fillId="26" borderId="0" xfId="0" applyFont="1" applyFill="1" applyAlignment="1">
      <alignment horizontal="right"/>
    </xf>
    <xf numFmtId="0" fontId="16" fillId="28" borderId="0" xfId="0" applyFont="1" applyFill="1" applyBorder="1"/>
    <xf numFmtId="0" fontId="18" fillId="28" borderId="0" xfId="0" applyFont="1" applyFill="1" applyBorder="1"/>
    <xf numFmtId="0" fontId="22" fillId="26" borderId="41" xfId="0" applyFont="1" applyFill="1" applyBorder="1"/>
    <xf numFmtId="0" fontId="22" fillId="0" borderId="41" xfId="0" applyFont="1" applyFill="1" applyBorder="1" applyAlignment="1">
      <alignment horizontal="left"/>
    </xf>
    <xf numFmtId="0" fontId="22" fillId="0" borderId="41" xfId="0" applyFont="1" applyFill="1" applyBorder="1"/>
    <xf numFmtId="0" fontId="22" fillId="0" borderId="41" xfId="0" applyFont="1" applyFill="1" applyBorder="1" applyProtection="1">
      <protection locked="0" hidden="1"/>
    </xf>
    <xf numFmtId="0" fontId="13" fillId="26" borderId="0" xfId="0" applyFont="1" applyFill="1" applyBorder="1"/>
    <xf numFmtId="0" fontId="12" fillId="0" borderId="38" xfId="0" applyFont="1" applyFill="1" applyBorder="1" applyProtection="1"/>
    <xf numFmtId="0" fontId="12" fillId="0" borderId="37" xfId="0" applyFont="1" applyFill="1" applyBorder="1" applyProtection="1"/>
    <xf numFmtId="0" fontId="22" fillId="28" borderId="0" xfId="0" applyFont="1" applyFill="1" applyBorder="1"/>
    <xf numFmtId="0" fontId="22" fillId="28" borderId="0" xfId="0" applyFont="1" applyFill="1"/>
    <xf numFmtId="0" fontId="26" fillId="0" borderId="33" xfId="0" applyFont="1" applyBorder="1" applyAlignment="1">
      <alignment vertical="top" wrapText="1"/>
    </xf>
    <xf numFmtId="0" fontId="21" fillId="0" borderId="33" xfId="0" applyFont="1" applyBorder="1" applyAlignment="1">
      <alignment horizontal="right" vertical="top" wrapText="1"/>
    </xf>
    <xf numFmtId="0" fontId="21" fillId="0" borderId="33" xfId="0" applyFont="1" applyBorder="1" applyAlignment="1">
      <alignment vertical="top" wrapText="1"/>
    </xf>
    <xf numFmtId="14" fontId="0" fillId="0" borderId="0" xfId="0" applyNumberFormat="1"/>
    <xf numFmtId="49" fontId="0" fillId="0" borderId="0" xfId="0" quotePrefix="1" applyNumberFormat="1"/>
    <xf numFmtId="49" fontId="0" fillId="0" borderId="0" xfId="0" applyNumberFormat="1"/>
    <xf numFmtId="22" fontId="0" fillId="0" borderId="0" xfId="0" applyNumberFormat="1"/>
    <xf numFmtId="0" fontId="18" fillId="25" borderId="39" xfId="0" applyFont="1" applyFill="1" applyBorder="1" applyAlignment="1" applyProtection="1">
      <alignment horizontal="right"/>
    </xf>
    <xf numFmtId="0" fontId="53" fillId="0" borderId="39" xfId="0" applyFont="1" applyFill="1" applyBorder="1" applyProtection="1"/>
    <xf numFmtId="0" fontId="53" fillId="0" borderId="0" xfId="0" applyFont="1" applyFill="1" applyBorder="1" applyProtection="1"/>
    <xf numFmtId="0" fontId="53" fillId="0" borderId="40" xfId="0" applyFont="1" applyFill="1" applyBorder="1" applyProtection="1"/>
    <xf numFmtId="0" fontId="53" fillId="0" borderId="0" xfId="0" applyFont="1" applyBorder="1" applyAlignment="1"/>
    <xf numFmtId="0" fontId="53" fillId="0" borderId="40" xfId="0" applyFont="1" applyBorder="1" applyAlignment="1"/>
    <xf numFmtId="0" fontId="53" fillId="0" borderId="0" xfId="0" applyFont="1" applyFill="1" applyProtection="1"/>
    <xf numFmtId="0" fontId="21" fillId="0" borderId="0" xfId="0" applyFont="1" applyFill="1" applyBorder="1" applyProtection="1"/>
    <xf numFmtId="0" fontId="11" fillId="27" borderId="0" xfId="0" applyFont="1" applyFill="1"/>
    <xf numFmtId="0" fontId="11" fillId="27" borderId="0" xfId="0" applyFont="1" applyFill="1" applyAlignment="1">
      <alignment wrapText="1"/>
    </xf>
    <xf numFmtId="0" fontId="10" fillId="0" borderId="0" xfId="0" applyFont="1"/>
    <xf numFmtId="0" fontId="17" fillId="0" borderId="0" xfId="0" applyFont="1" applyFill="1" applyProtection="1"/>
    <xf numFmtId="0" fontId="22" fillId="29" borderId="0" xfId="0" applyFont="1" applyFill="1" applyProtection="1"/>
    <xf numFmtId="0" fontId="11" fillId="29" borderId="0" xfId="0" applyFont="1" applyFill="1" applyProtection="1"/>
    <xf numFmtId="0" fontId="22" fillId="29" borderId="0" xfId="0" applyFont="1" applyFill="1" applyBorder="1" applyAlignment="1">
      <alignment horizontal="left"/>
    </xf>
    <xf numFmtId="15" fontId="13" fillId="29" borderId="0" xfId="0" applyNumberFormat="1" applyFont="1" applyFill="1" applyBorder="1" applyAlignment="1">
      <alignment horizontal="left"/>
    </xf>
    <xf numFmtId="0" fontId="22" fillId="29" borderId="0" xfId="0" applyFont="1" applyFill="1" applyBorder="1" applyAlignment="1"/>
    <xf numFmtId="15" fontId="13" fillId="29" borderId="0" xfId="0" applyNumberFormat="1" applyFont="1" applyFill="1" applyBorder="1" applyAlignment="1" applyProtection="1">
      <alignment horizontal="left"/>
      <protection locked="0"/>
    </xf>
    <xf numFmtId="0" fontId="22" fillId="29" borderId="0" xfId="0" applyFont="1" applyFill="1"/>
    <xf numFmtId="0" fontId="13" fillId="29" borderId="0" xfId="0" applyFont="1" applyFill="1" applyBorder="1" applyAlignment="1" applyProtection="1">
      <alignment horizontal="left"/>
      <protection locked="0"/>
    </xf>
    <xf numFmtId="0" fontId="13" fillId="29" borderId="0" xfId="0" applyFont="1" applyFill="1" applyBorder="1" applyAlignment="1">
      <alignment horizontal="left"/>
    </xf>
    <xf numFmtId="0" fontId="22" fillId="29" borderId="0" xfId="0" applyFont="1" applyFill="1" applyBorder="1" applyProtection="1"/>
    <xf numFmtId="1" fontId="13" fillId="29" borderId="0" xfId="0" applyNumberFormat="1" applyFont="1" applyFill="1" applyBorder="1" applyAlignment="1">
      <alignment horizontal="left"/>
    </xf>
    <xf numFmtId="0" fontId="17" fillId="29" borderId="0" xfId="0" applyFont="1" applyFill="1" applyProtection="1"/>
    <xf numFmtId="0" fontId="17" fillId="0" borderId="0" xfId="0" applyFont="1" applyFill="1" applyBorder="1" applyProtection="1"/>
    <xf numFmtId="0" fontId="10" fillId="0" borderId="0" xfId="0" applyFont="1" applyFill="1" applyBorder="1"/>
    <xf numFmtId="0" fontId="10" fillId="0" borderId="0" xfId="0" applyFont="1" applyAlignment="1">
      <alignment wrapText="1"/>
    </xf>
    <xf numFmtId="0" fontId="56" fillId="0" borderId="0" xfId="0" applyFont="1" applyFill="1" applyBorder="1" applyAlignment="1" applyProtection="1">
      <alignment horizontal="center"/>
    </xf>
    <xf numFmtId="0" fontId="10" fillId="0" borderId="0" xfId="0" applyFont="1" applyFill="1" applyProtection="1">
      <protection locked="0" hidden="1"/>
    </xf>
    <xf numFmtId="169" fontId="0" fillId="0" borderId="0" xfId="0" applyNumberFormat="1"/>
    <xf numFmtId="0" fontId="10" fillId="29" borderId="0" xfId="0" applyFont="1" applyFill="1" applyBorder="1" applyAlignment="1">
      <alignment horizontal="left"/>
    </xf>
    <xf numFmtId="0" fontId="20" fillId="26" borderId="0" xfId="0" applyFont="1" applyFill="1"/>
    <xf numFmtId="0" fontId="10" fillId="26" borderId="0" xfId="0" applyFont="1" applyFill="1" applyBorder="1" applyAlignment="1">
      <alignment horizontal="left"/>
    </xf>
    <xf numFmtId="0" fontId="10" fillId="0" borderId="0" xfId="42"/>
    <xf numFmtId="49" fontId="10" fillId="0" borderId="0" xfId="42" applyNumberFormat="1"/>
    <xf numFmtId="20" fontId="10" fillId="0" borderId="0" xfId="42" applyNumberFormat="1"/>
    <xf numFmtId="0" fontId="57" fillId="0" borderId="0" xfId="42" applyFont="1"/>
    <xf numFmtId="0" fontId="10" fillId="0" borderId="0" xfId="42" applyAlignment="1"/>
    <xf numFmtId="0" fontId="13" fillId="0" borderId="0" xfId="42" applyFont="1" applyAlignment="1">
      <alignment horizontal="left"/>
    </xf>
    <xf numFmtId="0" fontId="13" fillId="0" borderId="0" xfId="42" applyFont="1"/>
    <xf numFmtId="0" fontId="58" fillId="0" borderId="0" xfId="42" applyFont="1" applyBorder="1"/>
    <xf numFmtId="0" fontId="10" fillId="0" borderId="0" xfId="42" applyBorder="1"/>
    <xf numFmtId="0" fontId="58" fillId="0" borderId="23" xfId="42" applyFont="1" applyBorder="1"/>
    <xf numFmtId="0" fontId="10" fillId="0" borderId="23" xfId="42" applyBorder="1"/>
    <xf numFmtId="15" fontId="10" fillId="0" borderId="23" xfId="42" applyNumberFormat="1" applyBorder="1" applyAlignment="1">
      <alignment horizontal="left"/>
    </xf>
    <xf numFmtId="0" fontId="10" fillId="0" borderId="14" xfId="42" applyBorder="1"/>
    <xf numFmtId="0" fontId="10" fillId="0" borderId="15" xfId="42" applyBorder="1"/>
    <xf numFmtId="0" fontId="57" fillId="0" borderId="0" xfId="42" applyFont="1" applyBorder="1"/>
    <xf numFmtId="0" fontId="13" fillId="0" borderId="0" xfId="42" applyFont="1" applyBorder="1"/>
    <xf numFmtId="0" fontId="10" fillId="0" borderId="0" xfId="42" applyFont="1"/>
    <xf numFmtId="0" fontId="10" fillId="0" borderId="0" xfId="42" applyAlignment="1">
      <alignment horizontal="right"/>
    </xf>
    <xf numFmtId="0" fontId="10" fillId="0" borderId="0" xfId="42" applyBorder="1" applyAlignment="1">
      <alignment horizontal="center"/>
    </xf>
    <xf numFmtId="0" fontId="10" fillId="0" borderId="23" xfId="42" applyFont="1" applyBorder="1"/>
    <xf numFmtId="0" fontId="10" fillId="0" borderId="53" xfId="42" applyBorder="1"/>
    <xf numFmtId="0" fontId="10" fillId="0" borderId="54" xfId="42" applyBorder="1"/>
    <xf numFmtId="0" fontId="10" fillId="0" borderId="0" xfId="42" applyAlignment="1">
      <alignment horizontal="left"/>
    </xf>
    <xf numFmtId="0" fontId="10" fillId="0" borderId="55" xfId="42" applyFont="1" applyBorder="1"/>
    <xf numFmtId="0" fontId="13" fillId="0" borderId="55" xfId="42" applyFont="1" applyBorder="1"/>
    <xf numFmtId="0" fontId="10" fillId="0" borderId="56" xfId="42" applyFont="1" applyBorder="1"/>
    <xf numFmtId="0" fontId="10" fillId="0" borderId="55" xfId="42" applyFont="1" applyBorder="1" applyAlignment="1">
      <alignment horizontal="center"/>
    </xf>
    <xf numFmtId="0" fontId="10" fillId="0" borderId="56" xfId="42" applyBorder="1"/>
    <xf numFmtId="0" fontId="10" fillId="0" borderId="57" xfId="42" applyFont="1" applyBorder="1"/>
    <xf numFmtId="0" fontId="13" fillId="0" borderId="57" xfId="42" applyFont="1" applyBorder="1"/>
    <xf numFmtId="0" fontId="13" fillId="0" borderId="57" xfId="42" applyFont="1" applyBorder="1" applyAlignment="1">
      <alignment horizontal="right"/>
    </xf>
    <xf numFmtId="0" fontId="10" fillId="0" borderId="57" xfId="42" applyFont="1" applyBorder="1" applyAlignment="1">
      <alignment horizontal="center"/>
    </xf>
    <xf numFmtId="0" fontId="10" fillId="0" borderId="57" xfId="42" applyFont="1" applyBorder="1" applyAlignment="1">
      <alignment horizontal="right"/>
    </xf>
    <xf numFmtId="0" fontId="35" fillId="0" borderId="57" xfId="42" applyFont="1" applyBorder="1" applyAlignment="1">
      <alignment horizontal="left"/>
    </xf>
    <xf numFmtId="0" fontId="10" fillId="0" borderId="58" xfId="42" applyFont="1" applyBorder="1"/>
    <xf numFmtId="0" fontId="10" fillId="0" borderId="58" xfId="42" applyBorder="1"/>
    <xf numFmtId="0" fontId="10" fillId="0" borderId="59" xfId="42" applyBorder="1"/>
    <xf numFmtId="0" fontId="10" fillId="0" borderId="60" xfId="42" applyBorder="1"/>
    <xf numFmtId="0" fontId="10" fillId="0" borderId="34" xfId="42" applyBorder="1"/>
    <xf numFmtId="0" fontId="10" fillId="0" borderId="32" xfId="42" applyBorder="1"/>
    <xf numFmtId="0" fontId="10" fillId="0" borderId="61" xfId="42" applyBorder="1"/>
    <xf numFmtId="0" fontId="10" fillId="0" borderId="33" xfId="42" applyBorder="1"/>
    <xf numFmtId="0" fontId="13" fillId="0" borderId="32" xfId="42" applyFont="1" applyBorder="1"/>
    <xf numFmtId="0" fontId="10" fillId="0" borderId="33" xfId="42" applyFont="1" applyBorder="1"/>
    <xf numFmtId="0" fontId="10" fillId="0" borderId="34" xfId="42" applyFont="1" applyBorder="1"/>
    <xf numFmtId="0" fontId="10" fillId="0" borderId="62" xfId="42" applyBorder="1"/>
    <xf numFmtId="0" fontId="10" fillId="0" borderId="63" xfId="42" applyBorder="1"/>
    <xf numFmtId="0" fontId="10" fillId="0" borderId="64" xfId="42" applyBorder="1"/>
    <xf numFmtId="0" fontId="10" fillId="0" borderId="65" xfId="42" applyBorder="1"/>
    <xf numFmtId="0" fontId="21" fillId="0" borderId="0" xfId="42" applyFont="1"/>
    <xf numFmtId="0" fontId="10" fillId="0" borderId="0" xfId="42" applyFill="1"/>
    <xf numFmtId="0" fontId="10" fillId="0" borderId="0" xfId="42" applyFill="1" applyAlignment="1">
      <alignment horizontal="left"/>
    </xf>
    <xf numFmtId="0" fontId="13" fillId="0" borderId="0" xfId="42" applyFont="1" applyFill="1"/>
    <xf numFmtId="170" fontId="13" fillId="0" borderId="0" xfId="42" applyNumberFormat="1" applyFont="1" applyFill="1" applyAlignment="1">
      <alignment horizontal="left"/>
    </xf>
    <xf numFmtId="20" fontId="10" fillId="0" borderId="0" xfId="42" applyNumberFormat="1" applyFill="1" applyAlignment="1"/>
    <xf numFmtId="0" fontId="10" fillId="0" borderId="23" xfId="42" applyFill="1" applyBorder="1"/>
    <xf numFmtId="0" fontId="10" fillId="0" borderId="32" xfId="42" applyFill="1" applyBorder="1"/>
    <xf numFmtId="0" fontId="10" fillId="0" borderId="34" xfId="42" applyFill="1" applyBorder="1"/>
    <xf numFmtId="0" fontId="10" fillId="0" borderId="60" xfId="42" applyFill="1" applyBorder="1"/>
    <xf numFmtId="0" fontId="13" fillId="0" borderId="60" xfId="42" applyFont="1" applyFill="1" applyBorder="1"/>
    <xf numFmtId="0" fontId="10" fillId="0" borderId="0" xfId="42" applyFill="1" applyBorder="1"/>
    <xf numFmtId="0" fontId="10" fillId="0" borderId="68" xfId="42" applyFill="1" applyBorder="1"/>
    <xf numFmtId="0" fontId="13" fillId="0" borderId="32" xfId="42" applyFont="1" applyFill="1" applyBorder="1"/>
    <xf numFmtId="0" fontId="10" fillId="0" borderId="33" xfId="42" applyFill="1" applyBorder="1"/>
    <xf numFmtId="171" fontId="59" fillId="0" borderId="7" xfId="42" applyNumberFormat="1" applyFont="1" applyFill="1" applyBorder="1" applyAlignment="1">
      <alignment horizontal="right"/>
    </xf>
    <xf numFmtId="171" fontId="59" fillId="0" borderId="33" xfId="42" applyNumberFormat="1" applyFont="1" applyFill="1" applyBorder="1" applyAlignment="1">
      <alignment horizontal="right"/>
    </xf>
    <xf numFmtId="0" fontId="13" fillId="0" borderId="69" xfId="42" applyFont="1" applyFill="1" applyBorder="1"/>
    <xf numFmtId="0" fontId="10" fillId="0" borderId="66" xfId="42" applyFill="1" applyBorder="1"/>
    <xf numFmtId="0" fontId="10" fillId="0" borderId="49" xfId="42" applyFill="1" applyBorder="1"/>
    <xf numFmtId="0" fontId="10" fillId="0" borderId="67" xfId="42" applyFill="1" applyBorder="1"/>
    <xf numFmtId="1" fontId="59" fillId="0" borderId="35" xfId="42" applyNumberFormat="1" applyFont="1" applyFill="1" applyBorder="1" applyAlignment="1">
      <alignment horizontal="right"/>
    </xf>
    <xf numFmtId="171" fontId="59" fillId="0" borderId="35" xfId="42" applyNumberFormat="1" applyFont="1" applyFill="1" applyBorder="1" applyAlignment="1">
      <alignment horizontal="right"/>
    </xf>
    <xf numFmtId="0" fontId="10" fillId="0" borderId="69" xfId="42" applyFill="1" applyBorder="1"/>
    <xf numFmtId="1" fontId="59" fillId="0" borderId="7" xfId="42" applyNumberFormat="1" applyFont="1" applyFill="1" applyBorder="1" applyAlignment="1">
      <alignment horizontal="right"/>
    </xf>
    <xf numFmtId="0" fontId="13" fillId="0" borderId="33" xfId="42" applyFont="1" applyFill="1" applyBorder="1"/>
    <xf numFmtId="0" fontId="13" fillId="0" borderId="0" xfId="42" applyFont="1" applyFill="1" applyBorder="1"/>
    <xf numFmtId="1" fontId="59" fillId="0" borderId="0" xfId="42" applyNumberFormat="1" applyFont="1" applyFill="1" applyBorder="1" applyAlignment="1">
      <alignment horizontal="right"/>
    </xf>
    <xf numFmtId="171" fontId="59" fillId="0" borderId="0" xfId="42" applyNumberFormat="1" applyFont="1" applyFill="1" applyBorder="1" applyAlignment="1">
      <alignment horizontal="right"/>
    </xf>
    <xf numFmtId="1" fontId="60" fillId="0" borderId="0" xfId="42" applyNumberFormat="1" applyFont="1" applyFill="1" applyBorder="1" applyAlignment="1">
      <alignment horizontal="right"/>
    </xf>
    <xf numFmtId="171" fontId="60" fillId="0" borderId="0" xfId="42" applyNumberFormat="1" applyFont="1" applyFill="1" applyBorder="1" applyAlignment="1">
      <alignment horizontal="right"/>
    </xf>
    <xf numFmtId="0" fontId="13" fillId="0" borderId="7" xfId="42" applyFont="1" applyFill="1" applyBorder="1"/>
    <xf numFmtId="0" fontId="10" fillId="0" borderId="7" xfId="42" applyFill="1" applyBorder="1"/>
    <xf numFmtId="0" fontId="13" fillId="0" borderId="7" xfId="42" applyFont="1" applyFill="1" applyBorder="1" applyAlignment="1">
      <alignment horizontal="left"/>
    </xf>
    <xf numFmtId="1" fontId="60" fillId="0" borderId="60" xfId="42" applyNumberFormat="1" applyFont="1" applyFill="1" applyBorder="1" applyAlignment="1">
      <alignment horizontal="right"/>
    </xf>
    <xf numFmtId="171" fontId="60" fillId="0" borderId="60" xfId="42" applyNumberFormat="1" applyFont="1" applyFill="1" applyBorder="1" applyAlignment="1">
      <alignment horizontal="right"/>
    </xf>
    <xf numFmtId="0" fontId="10" fillId="0" borderId="59" xfId="42" applyFill="1" applyBorder="1"/>
    <xf numFmtId="0" fontId="10" fillId="0" borderId="60" xfId="42" applyFill="1" applyBorder="1" applyAlignment="1">
      <alignment horizontal="right"/>
    </xf>
    <xf numFmtId="1" fontId="59" fillId="0" borderId="70" xfId="42" applyNumberFormat="1" applyFont="1" applyFill="1" applyBorder="1" applyAlignment="1">
      <alignment horizontal="right"/>
    </xf>
    <xf numFmtId="171" fontId="59" fillId="0" borderId="70" xfId="42" applyNumberFormat="1" applyFont="1" applyFill="1" applyBorder="1" applyAlignment="1">
      <alignment horizontal="right"/>
    </xf>
    <xf numFmtId="0" fontId="10" fillId="0" borderId="0" xfId="42" applyFill="1" applyBorder="1" applyAlignment="1">
      <alignment horizontal="right"/>
    </xf>
    <xf numFmtId="1" fontId="59" fillId="0" borderId="71" xfId="42" applyNumberFormat="1" applyFont="1" applyFill="1" applyBorder="1" applyAlignment="1">
      <alignment horizontal="right"/>
    </xf>
    <xf numFmtId="171" fontId="59" fillId="0" borderId="71" xfId="42" applyNumberFormat="1" applyFont="1" applyFill="1" applyBorder="1" applyAlignment="1">
      <alignment horizontal="right"/>
    </xf>
    <xf numFmtId="0" fontId="10" fillId="0" borderId="49" xfId="42" applyFill="1" applyBorder="1" applyAlignment="1">
      <alignment horizontal="right"/>
    </xf>
    <xf numFmtId="0" fontId="13" fillId="0" borderId="49" xfId="42" applyFont="1" applyFill="1" applyBorder="1"/>
    <xf numFmtId="0" fontId="61" fillId="0" borderId="0" xfId="42" applyFont="1" applyFill="1" applyBorder="1" applyAlignment="1">
      <alignment horizontal="right"/>
    </xf>
    <xf numFmtId="0" fontId="61" fillId="0" borderId="33" xfId="42" applyFont="1" applyFill="1" applyBorder="1" applyAlignment="1">
      <alignment horizontal="right"/>
    </xf>
    <xf numFmtId="0" fontId="57" fillId="0" borderId="32" xfId="42" applyFont="1" applyFill="1" applyBorder="1"/>
    <xf numFmtId="0" fontId="10" fillId="0" borderId="33" xfId="42" applyFill="1" applyBorder="1" applyAlignment="1">
      <alignment horizontal="right"/>
    </xf>
    <xf numFmtId="0" fontId="61" fillId="0" borderId="7" xfId="42" applyFont="1" applyFill="1" applyBorder="1" applyAlignment="1">
      <alignment horizontal="right"/>
    </xf>
    <xf numFmtId="0" fontId="10" fillId="0" borderId="0" xfId="42" applyFill="1" applyAlignment="1">
      <alignment horizontal="right"/>
    </xf>
    <xf numFmtId="0" fontId="62" fillId="0" borderId="0" xfId="42" applyFont="1"/>
    <xf numFmtId="0" fontId="13" fillId="26" borderId="7" xfId="42" applyFont="1" applyFill="1" applyBorder="1"/>
    <xf numFmtId="0" fontId="10" fillId="26" borderId="59" xfId="42" applyFill="1" applyBorder="1"/>
    <xf numFmtId="0" fontId="10" fillId="26" borderId="60" xfId="42" applyFill="1" applyBorder="1"/>
    <xf numFmtId="0" fontId="13" fillId="26" borderId="60" xfId="42" applyFont="1" applyFill="1" applyBorder="1"/>
    <xf numFmtId="0" fontId="10" fillId="26" borderId="60" xfId="42" applyFill="1" applyBorder="1" applyAlignment="1">
      <alignment horizontal="right"/>
    </xf>
    <xf numFmtId="1" fontId="63" fillId="26" borderId="70" xfId="42" applyNumberFormat="1" applyFont="1" applyFill="1" applyBorder="1" applyAlignment="1">
      <alignment horizontal="right"/>
    </xf>
    <xf numFmtId="171" fontId="63" fillId="26" borderId="70" xfId="42" applyNumberFormat="1" applyFont="1" applyFill="1" applyBorder="1" applyAlignment="1">
      <alignment horizontal="right"/>
    </xf>
    <xf numFmtId="0" fontId="10" fillId="26" borderId="69" xfId="42" applyFill="1" applyBorder="1"/>
    <xf numFmtId="0" fontId="10" fillId="26" borderId="0" xfId="42" applyFill="1" applyBorder="1"/>
    <xf numFmtId="0" fontId="10" fillId="26" borderId="0" xfId="42" applyFill="1" applyBorder="1" applyAlignment="1">
      <alignment horizontal="right"/>
    </xf>
    <xf numFmtId="0" fontId="13" fillId="26" borderId="0" xfId="42" applyFont="1" applyFill="1" applyBorder="1"/>
    <xf numFmtId="1" fontId="63" fillId="26" borderId="71" xfId="42" applyNumberFormat="1" applyFont="1" applyFill="1" applyBorder="1" applyAlignment="1">
      <alignment horizontal="right"/>
    </xf>
    <xf numFmtId="171" fontId="63" fillId="26" borderId="71" xfId="42" applyNumberFormat="1" applyFont="1" applyFill="1" applyBorder="1" applyAlignment="1">
      <alignment horizontal="right"/>
    </xf>
    <xf numFmtId="0" fontId="31" fillId="26" borderId="66" xfId="42" applyFont="1" applyFill="1" applyBorder="1"/>
    <xf numFmtId="0" fontId="31" fillId="26" borderId="49" xfId="42" applyFont="1" applyFill="1" applyBorder="1"/>
    <xf numFmtId="0" fontId="64" fillId="26" borderId="49" xfId="42" applyFont="1" applyFill="1" applyBorder="1"/>
    <xf numFmtId="0" fontId="10" fillId="26" borderId="49" xfId="42" applyFill="1" applyBorder="1"/>
    <xf numFmtId="0" fontId="10" fillId="26" borderId="49" xfId="42" applyFont="1" applyFill="1" applyBorder="1"/>
    <xf numFmtId="1" fontId="63" fillId="26" borderId="7" xfId="42" applyNumberFormat="1" applyFont="1" applyFill="1" applyBorder="1" applyAlignment="1">
      <alignment horizontal="right"/>
    </xf>
    <xf numFmtId="171" fontId="63" fillId="26" borderId="7" xfId="42" applyNumberFormat="1" applyFont="1" applyFill="1" applyBorder="1" applyAlignment="1">
      <alignment horizontal="right"/>
    </xf>
    <xf numFmtId="0" fontId="64" fillId="0" borderId="60" xfId="42" applyFont="1" applyFill="1" applyBorder="1"/>
    <xf numFmtId="1" fontId="63" fillId="0" borderId="33" xfId="42" applyNumberFormat="1" applyFont="1" applyFill="1" applyBorder="1" applyAlignment="1">
      <alignment horizontal="right"/>
    </xf>
    <xf numFmtId="171" fontId="63" fillId="0" borderId="33" xfId="42" applyNumberFormat="1" applyFont="1" applyFill="1" applyBorder="1" applyAlignment="1">
      <alignment horizontal="right"/>
    </xf>
    <xf numFmtId="0" fontId="13" fillId="0" borderId="7" xfId="42" applyFont="1" applyBorder="1"/>
    <xf numFmtId="0" fontId="13" fillId="0" borderId="60" xfId="42" applyFont="1" applyBorder="1"/>
    <xf numFmtId="0" fontId="10" fillId="0" borderId="60" xfId="42" applyBorder="1" applyAlignment="1">
      <alignment horizontal="right"/>
    </xf>
    <xf numFmtId="1" fontId="63" fillId="0" borderId="71" xfId="42" applyNumberFormat="1" applyFont="1" applyBorder="1" applyAlignment="1">
      <alignment horizontal="right"/>
    </xf>
    <xf numFmtId="171" fontId="63" fillId="0" borderId="71" xfId="42" applyNumberFormat="1" applyFont="1" applyBorder="1" applyAlignment="1">
      <alignment horizontal="right"/>
    </xf>
    <xf numFmtId="0" fontId="10" fillId="0" borderId="69" xfId="42" applyBorder="1"/>
    <xf numFmtId="0" fontId="10" fillId="0" borderId="0" xfId="42" applyBorder="1" applyAlignment="1">
      <alignment horizontal="right"/>
    </xf>
    <xf numFmtId="0" fontId="31" fillId="0" borderId="66" xfId="42" applyFont="1" applyBorder="1"/>
    <xf numFmtId="0" fontId="31" fillId="0" borderId="49" xfId="42" applyFont="1" applyBorder="1"/>
    <xf numFmtId="0" fontId="64" fillId="0" borderId="49" xfId="42" applyFont="1" applyBorder="1"/>
    <xf numFmtId="0" fontId="31" fillId="0" borderId="49" xfId="42" applyFont="1" applyBorder="1" applyAlignment="1">
      <alignment horizontal="right"/>
    </xf>
    <xf numFmtId="0" fontId="10" fillId="0" borderId="49" xfId="42" applyBorder="1"/>
    <xf numFmtId="0" fontId="10" fillId="0" borderId="49" xfId="42" applyFont="1" applyBorder="1"/>
    <xf numFmtId="1" fontId="63" fillId="0" borderId="7" xfId="42" applyNumberFormat="1" applyFont="1" applyBorder="1" applyAlignment="1">
      <alignment horizontal="right"/>
    </xf>
    <xf numFmtId="171" fontId="63" fillId="0" borderId="7" xfId="42" applyNumberFormat="1" applyFont="1" applyBorder="1" applyAlignment="1">
      <alignment horizontal="right"/>
    </xf>
    <xf numFmtId="0" fontId="13" fillId="0" borderId="33" xfId="42" applyFont="1" applyBorder="1"/>
    <xf numFmtId="0" fontId="64" fillId="0" borderId="60" xfId="42" applyFont="1" applyBorder="1"/>
    <xf numFmtId="1" fontId="63" fillId="0" borderId="60" xfId="42" applyNumberFormat="1" applyFont="1" applyBorder="1" applyAlignment="1">
      <alignment horizontal="right"/>
    </xf>
    <xf numFmtId="171" fontId="63" fillId="0" borderId="60" xfId="42" applyNumberFormat="1" applyFont="1" applyBorder="1" applyAlignment="1">
      <alignment horizontal="right"/>
    </xf>
    <xf numFmtId="0" fontId="10" fillId="26" borderId="49" xfId="42" applyFill="1" applyBorder="1" applyAlignment="1">
      <alignment horizontal="right"/>
    </xf>
    <xf numFmtId="0" fontId="10" fillId="0" borderId="49" xfId="42" applyBorder="1" applyAlignment="1">
      <alignment horizontal="right"/>
    </xf>
    <xf numFmtId="0" fontId="10" fillId="0" borderId="33" xfId="42" applyBorder="1" applyAlignment="1">
      <alignment horizontal="right"/>
    </xf>
    <xf numFmtId="0" fontId="57" fillId="0" borderId="33" xfId="42" applyFont="1" applyBorder="1"/>
    <xf numFmtId="0" fontId="10" fillId="0" borderId="34" xfId="42" applyBorder="1" applyAlignment="1">
      <alignment horizontal="right"/>
    </xf>
    <xf numFmtId="0" fontId="24" fillId="0" borderId="0" xfId="42" applyFont="1"/>
    <xf numFmtId="0" fontId="21" fillId="0" borderId="0" xfId="42" applyFont="1" applyAlignment="1">
      <alignment horizontal="left"/>
    </xf>
    <xf numFmtId="0" fontId="10" fillId="30" borderId="0" xfId="42" applyFill="1"/>
    <xf numFmtId="0" fontId="65" fillId="30" borderId="0" xfId="42" applyFont="1" applyFill="1" applyAlignment="1">
      <alignment horizontal="left"/>
    </xf>
    <xf numFmtId="0" fontId="57" fillId="30" borderId="0" xfId="42" applyFont="1" applyFill="1"/>
    <xf numFmtId="0" fontId="18" fillId="30" borderId="0" xfId="42" applyFont="1" applyFill="1"/>
    <xf numFmtId="0" fontId="21" fillId="30" borderId="0" xfId="42" applyFont="1" applyFill="1"/>
    <xf numFmtId="0" fontId="10" fillId="30" borderId="72" xfId="42" applyFill="1" applyBorder="1"/>
    <xf numFmtId="0" fontId="18" fillId="30" borderId="72" xfId="42" applyFont="1" applyFill="1" applyBorder="1"/>
    <xf numFmtId="0" fontId="21" fillId="30" borderId="72" xfId="42" applyFont="1" applyFill="1" applyBorder="1"/>
    <xf numFmtId="0" fontId="10" fillId="30" borderId="0" xfId="42" applyFill="1" applyBorder="1"/>
    <xf numFmtId="0" fontId="18" fillId="30" borderId="0" xfId="42" applyFont="1" applyFill="1" applyBorder="1"/>
    <xf numFmtId="0" fontId="21" fillId="30" borderId="0" xfId="42" applyFont="1" applyFill="1" applyBorder="1"/>
    <xf numFmtId="0" fontId="10" fillId="30" borderId="0" xfId="42" applyFill="1" applyAlignment="1">
      <alignment horizontal="right"/>
    </xf>
    <xf numFmtId="0" fontId="18" fillId="30" borderId="73" xfId="42" applyFont="1" applyFill="1" applyBorder="1"/>
    <xf numFmtId="0" fontId="10" fillId="30" borderId="73" xfId="42" applyFill="1" applyBorder="1"/>
    <xf numFmtId="0" fontId="67" fillId="30" borderId="0" xfId="42" applyFont="1" applyFill="1"/>
    <xf numFmtId="0" fontId="13" fillId="27" borderId="0" xfId="42" applyFont="1" applyFill="1" applyAlignment="1">
      <alignment horizontal="left"/>
    </xf>
    <xf numFmtId="0" fontId="13" fillId="30" borderId="0" xfId="42" applyFont="1" applyFill="1"/>
    <xf numFmtId="0" fontId="68" fillId="30" borderId="74" xfId="42" applyFont="1" applyFill="1" applyBorder="1" applyAlignment="1">
      <alignment horizontal="left"/>
    </xf>
    <xf numFmtId="0" fontId="10" fillId="30" borderId="74" xfId="42" applyFill="1" applyBorder="1"/>
    <xf numFmtId="0" fontId="68" fillId="30" borderId="0" xfId="42" applyFont="1" applyFill="1" applyBorder="1" applyAlignment="1">
      <alignment horizontal="left"/>
    </xf>
    <xf numFmtId="0" fontId="33" fillId="30" borderId="0" xfId="42" applyFont="1" applyFill="1"/>
    <xf numFmtId="0" fontId="10" fillId="27" borderId="0" xfId="42" applyFill="1" applyAlignment="1">
      <alignment horizontal="center"/>
    </xf>
    <xf numFmtId="0" fontId="10" fillId="30" borderId="0" xfId="42" applyFill="1" applyAlignment="1">
      <alignment horizontal="center"/>
    </xf>
    <xf numFmtId="0" fontId="10" fillId="27" borderId="0" xfId="42" applyFill="1" applyAlignment="1">
      <alignment horizontal="left"/>
    </xf>
    <xf numFmtId="0" fontId="33" fillId="30" borderId="0" xfId="42" applyFont="1" applyFill="1" applyAlignment="1">
      <alignment horizontal="right"/>
    </xf>
    <xf numFmtId="0" fontId="10" fillId="0" borderId="74" xfId="42" applyFill="1" applyBorder="1"/>
    <xf numFmtId="0" fontId="10" fillId="30" borderId="23" xfId="42" applyFill="1" applyBorder="1"/>
    <xf numFmtId="0" fontId="33" fillId="30" borderId="23" xfId="42" applyFont="1" applyFill="1" applyBorder="1"/>
    <xf numFmtId="0" fontId="13" fillId="30" borderId="0" xfId="42" applyFont="1" applyFill="1" applyAlignment="1">
      <alignment horizontal="left"/>
    </xf>
    <xf numFmtId="0" fontId="67" fillId="30" borderId="0" xfId="42" applyFont="1" applyFill="1" applyAlignment="1">
      <alignment horizontal="center"/>
    </xf>
    <xf numFmtId="0" fontId="68" fillId="30" borderId="0" xfId="42" applyFont="1" applyFill="1"/>
    <xf numFmtId="0" fontId="10" fillId="27" borderId="0" xfId="42" applyFill="1" applyBorder="1" applyAlignment="1">
      <alignment horizontal="left"/>
    </xf>
    <xf numFmtId="0" fontId="69" fillId="30" borderId="0" xfId="42" applyFont="1" applyFill="1" applyBorder="1"/>
    <xf numFmtId="0" fontId="10" fillId="30" borderId="0" xfId="42" applyFill="1" applyBorder="1" applyAlignment="1">
      <alignment horizontal="left"/>
    </xf>
    <xf numFmtId="0" fontId="10" fillId="30" borderId="76" xfId="42" applyFill="1" applyBorder="1"/>
    <xf numFmtId="0" fontId="10" fillId="27" borderId="76" xfId="42" applyFill="1" applyBorder="1" applyAlignment="1">
      <alignment horizontal="right"/>
    </xf>
    <xf numFmtId="0" fontId="10" fillId="27" borderId="76" xfId="42" applyFill="1" applyBorder="1"/>
    <xf numFmtId="0" fontId="10" fillId="27" borderId="76" xfId="42" applyFill="1" applyBorder="1" applyAlignment="1">
      <alignment horizontal="left"/>
    </xf>
    <xf numFmtId="49" fontId="32" fillId="30" borderId="74" xfId="42" applyNumberFormat="1" applyFont="1" applyFill="1" applyBorder="1"/>
    <xf numFmtId="0" fontId="10" fillId="30" borderId="74" xfId="42" applyFill="1" applyBorder="1" applyAlignment="1">
      <alignment horizontal="left"/>
    </xf>
    <xf numFmtId="0" fontId="10" fillId="30" borderId="77" xfId="42" applyFill="1" applyBorder="1"/>
    <xf numFmtId="0" fontId="10" fillId="27" borderId="77" xfId="42" applyFill="1" applyBorder="1" applyAlignment="1">
      <alignment horizontal="right"/>
    </xf>
    <xf numFmtId="0" fontId="10" fillId="27" borderId="77" xfId="42" applyFill="1" applyBorder="1"/>
    <xf numFmtId="0" fontId="10" fillId="27" borderId="77" xfId="42" applyFill="1" applyBorder="1" applyAlignment="1">
      <alignment horizontal="left"/>
    </xf>
    <xf numFmtId="0" fontId="10" fillId="30" borderId="75" xfId="42" applyFill="1" applyBorder="1"/>
    <xf numFmtId="0" fontId="68" fillId="30" borderId="75" xfId="42" applyFont="1" applyFill="1" applyBorder="1" applyAlignment="1">
      <alignment horizontal="left"/>
    </xf>
    <xf numFmtId="49" fontId="32" fillId="30" borderId="75" xfId="42" applyNumberFormat="1" applyFont="1" applyFill="1" applyBorder="1"/>
    <xf numFmtId="0" fontId="10" fillId="30" borderId="75" xfId="42" applyFill="1" applyBorder="1" applyAlignment="1">
      <alignment horizontal="left"/>
    </xf>
    <xf numFmtId="0" fontId="10" fillId="30" borderId="48" xfId="42" applyFill="1" applyBorder="1"/>
    <xf numFmtId="0" fontId="10" fillId="30" borderId="48" xfId="42" applyFill="1" applyBorder="1" applyAlignment="1">
      <alignment horizontal="right"/>
    </xf>
    <xf numFmtId="0" fontId="68" fillId="30" borderId="78" xfId="42" applyFont="1" applyFill="1" applyBorder="1" applyAlignment="1">
      <alignment horizontal="left"/>
    </xf>
    <xf numFmtId="49" fontId="32" fillId="30" borderId="78" xfId="42" applyNumberFormat="1" applyFont="1" applyFill="1" applyBorder="1"/>
    <xf numFmtId="0" fontId="10" fillId="30" borderId="78" xfId="42" applyFill="1" applyBorder="1" applyAlignment="1">
      <alignment horizontal="left"/>
    </xf>
    <xf numFmtId="0" fontId="18" fillId="30" borderId="76" xfId="42" applyFont="1" applyFill="1" applyBorder="1" applyAlignment="1">
      <alignment horizontal="left"/>
    </xf>
    <xf numFmtId="0" fontId="10" fillId="30" borderId="76" xfId="42" applyFill="1" applyBorder="1" applyAlignment="1">
      <alignment horizontal="right"/>
    </xf>
    <xf numFmtId="0" fontId="10" fillId="30" borderId="0" xfId="42" applyFill="1" applyBorder="1" applyAlignment="1">
      <alignment horizontal="right"/>
    </xf>
    <xf numFmtId="49" fontId="32" fillId="30" borderId="0" xfId="42" applyNumberFormat="1" applyFont="1" applyFill="1" applyBorder="1"/>
    <xf numFmtId="0" fontId="10" fillId="27" borderId="0" xfId="42" applyFill="1" applyBorder="1" applyAlignment="1">
      <alignment horizontal="right"/>
    </xf>
    <xf numFmtId="0" fontId="67" fillId="30" borderId="0" xfId="42" applyFont="1" applyFill="1" applyBorder="1"/>
    <xf numFmtId="0" fontId="10" fillId="30" borderId="73" xfId="42" applyFill="1" applyBorder="1" applyAlignment="1">
      <alignment horizontal="right"/>
    </xf>
    <xf numFmtId="0" fontId="10" fillId="27" borderId="73" xfId="42" applyFill="1" applyBorder="1" applyAlignment="1">
      <alignment horizontal="left"/>
    </xf>
    <xf numFmtId="0" fontId="16" fillId="30" borderId="0" xfId="42" applyFont="1" applyFill="1"/>
    <xf numFmtId="0" fontId="18" fillId="30" borderId="74" xfId="42" applyFont="1" applyFill="1" applyBorder="1"/>
    <xf numFmtId="0" fontId="10" fillId="27" borderId="74" xfId="42" applyFill="1" applyBorder="1" applyAlignment="1">
      <alignment horizontal="left"/>
    </xf>
    <xf numFmtId="0" fontId="18" fillId="30" borderId="75" xfId="42" applyFont="1" applyFill="1" applyBorder="1"/>
    <xf numFmtId="0" fontId="10" fillId="27" borderId="75" xfId="42" applyFill="1" applyBorder="1" applyAlignment="1">
      <alignment horizontal="left"/>
    </xf>
    <xf numFmtId="0" fontId="10" fillId="30" borderId="75" xfId="42" applyFill="1" applyBorder="1" applyAlignment="1">
      <alignment horizontal="right"/>
    </xf>
    <xf numFmtId="0" fontId="10" fillId="30" borderId="75" xfId="42" applyFill="1" applyBorder="1" applyAlignment="1">
      <alignment horizontal="center"/>
    </xf>
    <xf numFmtId="0" fontId="13" fillId="0" borderId="0" xfId="42" applyFont="1" applyAlignment="1">
      <alignment wrapText="1"/>
    </xf>
    <xf numFmtId="49" fontId="10" fillId="0" borderId="0" xfId="42" applyNumberFormat="1" applyAlignment="1">
      <alignment wrapText="1"/>
    </xf>
    <xf numFmtId="2" fontId="10" fillId="0" borderId="0" xfId="42" applyNumberFormat="1" applyAlignment="1">
      <alignment wrapText="1"/>
    </xf>
    <xf numFmtId="2" fontId="10" fillId="0" borderId="0" xfId="42" applyNumberFormat="1"/>
    <xf numFmtId="49" fontId="13" fillId="0" borderId="0" xfId="42" applyNumberFormat="1" applyFont="1" applyAlignment="1">
      <alignment wrapText="1"/>
    </xf>
    <xf numFmtId="2" fontId="13" fillId="0" borderId="0" xfId="42" applyNumberFormat="1" applyFont="1" applyAlignment="1">
      <alignment wrapText="1"/>
    </xf>
    <xf numFmtId="0" fontId="10" fillId="0" borderId="0" xfId="42" applyAlignment="1">
      <alignment wrapText="1"/>
    </xf>
    <xf numFmtId="0" fontId="10" fillId="0" borderId="0" xfId="42" applyNumberFormat="1"/>
    <xf numFmtId="14" fontId="10" fillId="0" borderId="0" xfId="42" applyNumberFormat="1"/>
    <xf numFmtId="0" fontId="66" fillId="29" borderId="0" xfId="42" applyFont="1" applyFill="1"/>
    <xf numFmtId="0" fontId="10" fillId="29" borderId="0" xfId="42" applyFill="1"/>
    <xf numFmtId="0" fontId="18" fillId="29" borderId="0" xfId="42" applyFont="1" applyFill="1"/>
    <xf numFmtId="0" fontId="10" fillId="29" borderId="0" xfId="42" applyFill="1" applyProtection="1"/>
    <xf numFmtId="0" fontId="10" fillId="29" borderId="0" xfId="42" applyFill="1" applyProtection="1">
      <protection locked="0"/>
    </xf>
    <xf numFmtId="170" fontId="10" fillId="29" borderId="0" xfId="42" applyNumberFormat="1" applyFill="1" applyAlignment="1">
      <alignment horizontal="left"/>
    </xf>
    <xf numFmtId="0" fontId="10" fillId="29" borderId="0" xfId="42" applyFill="1" applyAlignment="1">
      <alignment horizontal="right"/>
    </xf>
    <xf numFmtId="0" fontId="10" fillId="29" borderId="0" xfId="42" applyFill="1" applyAlignment="1">
      <alignment horizontal="center"/>
    </xf>
    <xf numFmtId="0" fontId="10" fillId="29" borderId="0" xfId="42" applyFill="1" applyAlignment="1">
      <alignment horizontal="left"/>
    </xf>
    <xf numFmtId="0" fontId="18" fillId="29" borderId="0" xfId="42" applyFont="1" applyFill="1" applyBorder="1"/>
    <xf numFmtId="0" fontId="10" fillId="29" borderId="0" xfId="42" applyFill="1" applyBorder="1" applyAlignment="1" applyProtection="1">
      <alignment vertical="center"/>
      <protection locked="0"/>
    </xf>
    <xf numFmtId="0" fontId="10" fillId="29" borderId="0" xfId="42" applyFill="1" applyBorder="1" applyProtection="1">
      <protection locked="0"/>
    </xf>
    <xf numFmtId="2" fontId="10" fillId="29" borderId="0" xfId="42" applyNumberFormat="1" applyFill="1"/>
    <xf numFmtId="0" fontId="18" fillId="29" borderId="73" xfId="42" applyFont="1" applyFill="1" applyBorder="1"/>
    <xf numFmtId="0" fontId="10" fillId="29" borderId="73" xfId="42" applyFill="1" applyBorder="1"/>
    <xf numFmtId="0" fontId="10" fillId="26" borderId="0" xfId="0" applyFont="1" applyFill="1" applyAlignment="1">
      <alignment horizontal="right"/>
    </xf>
    <xf numFmtId="0" fontId="13" fillId="26" borderId="0" xfId="0" applyFont="1" applyFill="1"/>
    <xf numFmtId="173" fontId="10" fillId="0" borderId="0" xfId="42" applyNumberFormat="1"/>
    <xf numFmtId="0" fontId="10" fillId="29" borderId="0" xfId="0" applyFont="1" applyFill="1" applyProtection="1"/>
    <xf numFmtId="0" fontId="0" fillId="0" borderId="0" xfId="0"/>
    <xf numFmtId="0" fontId="10" fillId="0" borderId="0" xfId="0" applyFont="1"/>
    <xf numFmtId="2" fontId="0" fillId="0" borderId="0" xfId="0" applyNumberFormat="1"/>
    <xf numFmtId="49" fontId="0" fillId="0" borderId="0" xfId="0" quotePrefix="1" applyNumberFormat="1"/>
    <xf numFmtId="49" fontId="10" fillId="0" borderId="0" xfId="0" quotePrefix="1" applyNumberFormat="1" applyFont="1"/>
    <xf numFmtId="0" fontId="0" fillId="0" borderId="0" xfId="0" applyFont="1"/>
    <xf numFmtId="0" fontId="0" fillId="0" borderId="79" xfId="0" applyBorder="1"/>
    <xf numFmtId="0" fontId="71" fillId="0" borderId="0" xfId="0" applyFont="1"/>
    <xf numFmtId="0" fontId="10" fillId="0" borderId="0" xfId="0" quotePrefix="1" applyFont="1"/>
    <xf numFmtId="0" fontId="10" fillId="0" borderId="0" xfId="42" applyFont="1" applyFill="1" applyBorder="1"/>
    <xf numFmtId="0" fontId="18" fillId="0" borderId="0" xfId="42" applyFont="1" applyFill="1" applyBorder="1"/>
    <xf numFmtId="174" fontId="10" fillId="0" borderId="0" xfId="42" applyNumberFormat="1" applyFont="1" applyFill="1" applyBorder="1" applyAlignment="1">
      <alignment horizontal="left"/>
    </xf>
    <xf numFmtId="174" fontId="72" fillId="0" borderId="0" xfId="42" applyNumberFormat="1" applyFont="1" applyFill="1" applyBorder="1" applyAlignment="1">
      <alignment horizontal="left"/>
    </xf>
    <xf numFmtId="0" fontId="10" fillId="0" borderId="0" xfId="42" applyFont="1" applyFill="1" applyBorder="1" applyAlignment="1">
      <alignment horizontal="left"/>
    </xf>
    <xf numFmtId="0" fontId="10" fillId="0" borderId="0" xfId="42" applyFont="1" applyFill="1"/>
    <xf numFmtId="0" fontId="18" fillId="0" borderId="0" xfId="42" applyFont="1" applyFill="1"/>
    <xf numFmtId="0" fontId="10" fillId="26" borderId="0" xfId="42" applyFont="1" applyFill="1" applyBorder="1"/>
    <xf numFmtId="0" fontId="73" fillId="26" borderId="0" xfId="42" applyFont="1" applyFill="1" applyBorder="1"/>
    <xf numFmtId="0" fontId="10" fillId="26" borderId="0" xfId="42" applyFill="1"/>
    <xf numFmtId="0" fontId="10" fillId="26" borderId="0" xfId="42" applyFont="1" applyFill="1"/>
    <xf numFmtId="0" fontId="10" fillId="30" borderId="0" xfId="42" applyFill="1" applyAlignment="1">
      <alignment vertical="center"/>
    </xf>
    <xf numFmtId="0" fontId="15" fillId="31" borderId="80" xfId="0" applyFont="1" applyFill="1" applyBorder="1"/>
    <xf numFmtId="0" fontId="25" fillId="31" borderId="23" xfId="0" applyFont="1" applyFill="1" applyBorder="1"/>
    <xf numFmtId="0" fontId="15" fillId="31" borderId="23" xfId="0" applyFont="1" applyFill="1" applyBorder="1"/>
    <xf numFmtId="0" fontId="15" fillId="31" borderId="0" xfId="0" applyFont="1" applyFill="1" applyBorder="1"/>
    <xf numFmtId="0" fontId="15" fillId="31" borderId="0" xfId="0" applyFont="1" applyFill="1" applyBorder="1" applyAlignment="1">
      <alignment vertical="center"/>
    </xf>
    <xf numFmtId="0" fontId="15" fillId="31" borderId="23" xfId="0" applyFont="1" applyFill="1" applyBorder="1" applyAlignment="1">
      <alignment horizontal="left" vertical="top"/>
    </xf>
    <xf numFmtId="0" fontId="71" fillId="0" borderId="0" xfId="0" applyFont="1" applyFill="1" applyProtection="1"/>
    <xf numFmtId="0" fontId="74" fillId="0" borderId="0" xfId="0" applyFont="1" applyFill="1" applyProtection="1"/>
    <xf numFmtId="0" fontId="71" fillId="0" borderId="0" xfId="0" applyFont="1" applyFill="1" applyAlignment="1" applyProtection="1">
      <alignment horizontal="center" vertical="center"/>
    </xf>
    <xf numFmtId="0" fontId="0" fillId="0" borderId="0" xfId="0" applyFill="1"/>
    <xf numFmtId="0" fontId="10" fillId="0" borderId="0" xfId="0" applyFont="1" applyFill="1"/>
    <xf numFmtId="0" fontId="75" fillId="0" borderId="0" xfId="0" applyFont="1"/>
    <xf numFmtId="0" fontId="10" fillId="0" borderId="0" xfId="0" applyFont="1" applyBorder="1"/>
    <xf numFmtId="20" fontId="0" fillId="0" borderId="0" xfId="0" applyNumberFormat="1"/>
    <xf numFmtId="49" fontId="13" fillId="0" borderId="0" xfId="0" applyNumberFormat="1" applyFont="1"/>
    <xf numFmtId="0" fontId="13" fillId="0" borderId="81" xfId="0" applyFont="1" applyBorder="1"/>
    <xf numFmtId="0" fontId="10" fillId="0" borderId="81" xfId="0" applyFont="1" applyBorder="1"/>
    <xf numFmtId="0" fontId="0" fillId="0" borderId="81" xfId="0" applyBorder="1"/>
    <xf numFmtId="0" fontId="13" fillId="0" borderId="0" xfId="43" applyFont="1"/>
    <xf numFmtId="0" fontId="10" fillId="0" borderId="0" xfId="43"/>
    <xf numFmtId="0" fontId="10" fillId="0" borderId="79" xfId="43" applyBorder="1"/>
    <xf numFmtId="0" fontId="13" fillId="0" borderId="81" xfId="43" applyFont="1" applyBorder="1"/>
    <xf numFmtId="0" fontId="10" fillId="0" borderId="0" xfId="43" applyFont="1"/>
    <xf numFmtId="0" fontId="10" fillId="0" borderId="81" xfId="43" applyFont="1" applyBorder="1"/>
    <xf numFmtId="0" fontId="10" fillId="0" borderId="0" xfId="43" applyFont="1" applyBorder="1"/>
    <xf numFmtId="0" fontId="10" fillId="0" borderId="81" xfId="43" applyBorder="1"/>
    <xf numFmtId="0" fontId="10" fillId="26" borderId="0" xfId="43" applyFont="1" applyFill="1"/>
    <xf numFmtId="0" fontId="10" fillId="26" borderId="0" xfId="43" applyFont="1" applyFill="1" applyBorder="1" applyAlignment="1">
      <alignment horizontal="left"/>
    </xf>
    <xf numFmtId="15" fontId="13" fillId="26" borderId="0" xfId="43" applyNumberFormat="1" applyFont="1" applyFill="1" applyBorder="1" applyAlignment="1">
      <alignment horizontal="left"/>
    </xf>
    <xf numFmtId="0" fontId="10" fillId="26" borderId="0" xfId="43" applyFont="1" applyFill="1" applyBorder="1" applyAlignment="1"/>
    <xf numFmtId="15" fontId="13" fillId="26" borderId="0" xfId="43" applyNumberFormat="1" applyFont="1" applyFill="1" applyBorder="1" applyAlignment="1" applyProtection="1">
      <alignment horizontal="left"/>
      <protection locked="0"/>
    </xf>
    <xf numFmtId="0" fontId="13" fillId="26" borderId="0" xfId="43" applyFont="1" applyFill="1" applyBorder="1" applyAlignment="1">
      <alignment horizontal="left"/>
    </xf>
    <xf numFmtId="0" fontId="13" fillId="26" borderId="0" xfId="43" applyFont="1" applyFill="1" applyBorder="1" applyAlignment="1" applyProtection="1">
      <alignment horizontal="left"/>
      <protection locked="0"/>
    </xf>
    <xf numFmtId="0" fontId="10" fillId="26" borderId="0" xfId="43" applyFont="1" applyFill="1" applyBorder="1"/>
    <xf numFmtId="1" fontId="13" fillId="26" borderId="0" xfId="43" applyNumberFormat="1" applyFont="1" applyFill="1" applyBorder="1" applyAlignment="1">
      <alignment horizontal="left"/>
    </xf>
    <xf numFmtId="0" fontId="10" fillId="0" borderId="0" xfId="43" applyFont="1" applyFill="1"/>
    <xf numFmtId="0" fontId="10" fillId="0" borderId="0" xfId="43" applyFill="1"/>
    <xf numFmtId="0" fontId="71" fillId="0" borderId="0" xfId="43" applyFont="1"/>
    <xf numFmtId="0" fontId="10" fillId="0" borderId="0" xfId="42" applyProtection="1">
      <protection locked="0"/>
    </xf>
    <xf numFmtId="0" fontId="0" fillId="0" borderId="0" xfId="0" applyProtection="1">
      <protection locked="0"/>
    </xf>
    <xf numFmtId="0" fontId="0" fillId="0" borderId="79" xfId="0" applyBorder="1" applyProtection="1">
      <protection locked="0"/>
    </xf>
    <xf numFmtId="0" fontId="10" fillId="0" borderId="0" xfId="43" applyProtection="1">
      <protection locked="0"/>
    </xf>
    <xf numFmtId="0" fontId="10" fillId="0" borderId="79" xfId="43" applyBorder="1" applyProtection="1">
      <protection locked="0"/>
    </xf>
    <xf numFmtId="0" fontId="10" fillId="0" borderId="0" xfId="43" applyFont="1" applyFill="1" applyAlignment="1">
      <alignment horizontal="left" vertical="top"/>
    </xf>
    <xf numFmtId="0" fontId="10" fillId="0" borderId="0" xfId="43" applyBorder="1"/>
    <xf numFmtId="0" fontId="10" fillId="0" borderId="0" xfId="0" applyFont="1" applyProtection="1">
      <protection locked="0"/>
    </xf>
    <xf numFmtId="0" fontId="0" fillId="0" borderId="0" xfId="0" applyAlignment="1" applyProtection="1">
      <alignment wrapText="1"/>
      <protection locked="0"/>
    </xf>
    <xf numFmtId="0" fontId="22" fillId="0" borderId="0" xfId="0" applyFont="1" applyFill="1" applyProtection="1">
      <protection locked="0"/>
    </xf>
    <xf numFmtId="0" fontId="10" fillId="26" borderId="0" xfId="43" applyFont="1" applyFill="1" applyProtection="1">
      <protection locked="0"/>
    </xf>
    <xf numFmtId="0" fontId="22" fillId="29" borderId="0" xfId="0" applyFont="1" applyFill="1" applyProtection="1">
      <protection locked="0"/>
    </xf>
    <xf numFmtId="0" fontId="10" fillId="0" borderId="0" xfId="0" applyFont="1" applyAlignment="1" applyProtection="1">
      <alignment wrapText="1"/>
      <protection locked="0"/>
    </xf>
    <xf numFmtId="0" fontId="14" fillId="26" borderId="0" xfId="0" applyFont="1" applyFill="1" applyProtection="1">
      <protection locked="0"/>
    </xf>
    <xf numFmtId="0" fontId="22" fillId="26" borderId="0" xfId="0" applyFont="1" applyFill="1" applyProtection="1">
      <protection locked="0"/>
    </xf>
    <xf numFmtId="0" fontId="13" fillId="0" borderId="0" xfId="0" applyFont="1" applyProtection="1">
      <protection locked="0"/>
    </xf>
    <xf numFmtId="0" fontId="22" fillId="26" borderId="0" xfId="0" applyFont="1" applyFill="1" applyBorder="1" applyProtection="1">
      <protection locked="0"/>
    </xf>
    <xf numFmtId="0" fontId="10" fillId="0" borderId="0" xfId="42" applyFont="1" applyFill="1" applyBorder="1" applyProtection="1">
      <protection locked="0"/>
    </xf>
    <xf numFmtId="0" fontId="10" fillId="0" borderId="0" xfId="42" applyFont="1" applyProtection="1">
      <protection locked="0"/>
    </xf>
    <xf numFmtId="0" fontId="22" fillId="0" borderId="0" xfId="0" applyFont="1" applyProtection="1">
      <protection locked="0"/>
    </xf>
    <xf numFmtId="0" fontId="10" fillId="0" borderId="0" xfId="42" applyFill="1" applyProtection="1">
      <protection locked="0"/>
    </xf>
    <xf numFmtId="0" fontId="10" fillId="30" borderId="0" xfId="42" applyFill="1" applyProtection="1">
      <protection locked="0"/>
    </xf>
    <xf numFmtId="0" fontId="13" fillId="0" borderId="0" xfId="42" applyFont="1" applyAlignment="1" applyProtection="1">
      <alignment wrapText="1"/>
      <protection locked="0"/>
    </xf>
    <xf numFmtId="0" fontId="13" fillId="0" borderId="0" xfId="43" applyFont="1" applyProtection="1">
      <protection locked="0"/>
    </xf>
    <xf numFmtId="0" fontId="14" fillId="27" borderId="0" xfId="0" applyFont="1" applyFill="1" applyProtection="1">
      <protection locked="0"/>
    </xf>
    <xf numFmtId="0" fontId="22" fillId="0" borderId="0" xfId="0" applyFont="1" applyFill="1" applyBorder="1" applyProtection="1">
      <protection locked="0"/>
    </xf>
    <xf numFmtId="0" fontId="10" fillId="0" borderId="0" xfId="42" applyFont="1" applyFill="1" applyProtection="1">
      <protection locked="0"/>
    </xf>
    <xf numFmtId="0" fontId="0" fillId="0" borderId="0" xfId="0" applyAlignment="1" applyProtection="1">
      <alignment horizontal="right"/>
      <protection locked="0"/>
    </xf>
    <xf numFmtId="0" fontId="13" fillId="0" borderId="32" xfId="42" applyFont="1" applyFill="1" applyBorder="1" applyProtection="1">
      <protection locked="0"/>
    </xf>
    <xf numFmtId="0" fontId="62" fillId="0" borderId="0" xfId="42" applyFont="1" applyProtection="1">
      <protection locked="0"/>
    </xf>
    <xf numFmtId="49" fontId="10" fillId="0" borderId="0" xfId="42" applyNumberFormat="1" applyAlignment="1" applyProtection="1">
      <alignment wrapText="1"/>
      <protection locked="0"/>
    </xf>
    <xf numFmtId="0" fontId="10" fillId="30" borderId="0" xfId="42" applyFill="1" applyBorder="1" applyProtection="1">
      <protection locked="0"/>
    </xf>
    <xf numFmtId="0" fontId="10" fillId="0" borderId="0" xfId="43" applyFont="1" applyFill="1" applyAlignment="1">
      <alignment vertical="top" wrapText="1"/>
    </xf>
    <xf numFmtId="0" fontId="76" fillId="30" borderId="0" xfId="42" applyFont="1" applyFill="1"/>
    <xf numFmtId="0" fontId="10" fillId="0" borderId="0" xfId="0" applyFont="1" applyFill="1" applyBorder="1" applyProtection="1"/>
    <xf numFmtId="0" fontId="21" fillId="0" borderId="7" xfId="0" applyFont="1" applyFill="1" applyBorder="1"/>
    <xf numFmtId="0" fontId="10" fillId="0" borderId="0" xfId="44" applyFont="1"/>
    <xf numFmtId="0" fontId="77" fillId="0" borderId="0" xfId="44" applyFont="1"/>
    <xf numFmtId="20" fontId="10" fillId="0" borderId="0" xfId="0" applyNumberFormat="1" applyFont="1"/>
    <xf numFmtId="0" fontId="10" fillId="0" borderId="0" xfId="43" applyAlignment="1">
      <alignment horizontal="left"/>
    </xf>
    <xf numFmtId="0" fontId="10" fillId="0" borderId="0" xfId="0" applyFont="1" applyAlignment="1">
      <alignment horizontal="left"/>
    </xf>
    <xf numFmtId="0" fontId="10" fillId="0" borderId="0" xfId="43" applyFont="1" applyBorder="1" applyProtection="1">
      <protection locked="0"/>
    </xf>
    <xf numFmtId="0" fontId="10" fillId="0" borderId="81" xfId="42" applyBorder="1"/>
    <xf numFmtId="0" fontId="10" fillId="0" borderId="79" xfId="42" applyBorder="1"/>
    <xf numFmtId="0" fontId="10" fillId="0" borderId="0" xfId="43" applyBorder="1" applyAlignment="1">
      <alignment vertical="top"/>
    </xf>
    <xf numFmtId="0" fontId="10" fillId="0" borderId="0" xfId="43" applyAlignment="1">
      <alignment vertical="center"/>
    </xf>
    <xf numFmtId="0" fontId="10" fillId="0" borderId="0" xfId="0" applyFont="1" applyAlignment="1">
      <alignment horizontal="left" vertical="center"/>
    </xf>
    <xf numFmtId="0" fontId="10" fillId="0" borderId="0" xfId="43" applyBorder="1" applyAlignment="1">
      <alignment horizontal="left" vertical="center"/>
    </xf>
    <xf numFmtId="0" fontId="10" fillId="0" borderId="0" xfId="0" applyFont="1" applyAlignment="1">
      <alignment vertical="center"/>
    </xf>
    <xf numFmtId="0" fontId="10" fillId="0" borderId="0" xfId="0" applyFont="1" applyAlignment="1">
      <alignment horizontal="right" vertical="center"/>
    </xf>
    <xf numFmtId="0" fontId="27" fillId="0" borderId="0" xfId="0" applyFont="1"/>
    <xf numFmtId="0" fontId="71" fillId="0" borderId="0" xfId="0" applyFont="1" applyFill="1"/>
    <xf numFmtId="0" fontId="78" fillId="0" borderId="0" xfId="0" applyFont="1" applyFill="1"/>
    <xf numFmtId="0" fontId="10" fillId="0" borderId="0" xfId="96" applyFont="1" applyFill="1"/>
    <xf numFmtId="167" fontId="10" fillId="0" borderId="0" xfId="96" applyNumberFormat="1" applyFont="1"/>
    <xf numFmtId="0" fontId="10" fillId="0" borderId="0" xfId="96" applyFont="1" applyAlignment="1">
      <alignment horizontal="right"/>
    </xf>
    <xf numFmtId="0" fontId="77" fillId="0" borderId="0" xfId="96" applyFont="1" applyFill="1"/>
    <xf numFmtId="167" fontId="10" fillId="0" borderId="0" xfId="96" applyNumberFormat="1" applyFont="1" applyFill="1"/>
    <xf numFmtId="0" fontId="10" fillId="0" borderId="0" xfId="96" applyFont="1" applyFill="1" applyAlignment="1">
      <alignment horizontal="right"/>
    </xf>
    <xf numFmtId="167" fontId="10" fillId="0" borderId="0" xfId="96" applyNumberFormat="1" applyFont="1" applyFill="1" applyAlignment="1">
      <alignment horizontal="right"/>
    </xf>
    <xf numFmtId="167" fontId="10" fillId="0" borderId="0" xfId="96" applyNumberFormat="1" applyFont="1" applyAlignment="1">
      <alignment horizontal="right"/>
    </xf>
    <xf numFmtId="0" fontId="10" fillId="0" borderId="0" xfId="42" applyFont="1" applyFill="1" applyAlignment="1">
      <alignment horizontal="right"/>
    </xf>
    <xf numFmtId="0" fontId="10" fillId="0" borderId="0" xfId="42"/>
    <xf numFmtId="168" fontId="10" fillId="0" borderId="0" xfId="42" applyNumberFormat="1"/>
    <xf numFmtId="2" fontId="10" fillId="0" borderId="0" xfId="42" applyNumberFormat="1" applyFont="1"/>
    <xf numFmtId="0" fontId="10" fillId="0" borderId="0" xfId="42" applyFont="1"/>
    <xf numFmtId="0" fontId="10" fillId="0" borderId="0" xfId="42" applyFont="1" applyFill="1"/>
    <xf numFmtId="0" fontId="10" fillId="0" borderId="0" xfId="96" applyFont="1"/>
    <xf numFmtId="167" fontId="10" fillId="0" borderId="0" xfId="42" applyNumberFormat="1" applyFont="1"/>
    <xf numFmtId="167" fontId="10" fillId="0" borderId="0" xfId="42" applyNumberFormat="1" applyFont="1" applyFill="1"/>
    <xf numFmtId="167" fontId="80" fillId="0" borderId="0" xfId="42" applyNumberFormat="1" applyFont="1" applyFill="1"/>
    <xf numFmtId="0" fontId="80" fillId="0" borderId="0" xfId="42" applyFont="1" applyProtection="1">
      <protection locked="0"/>
    </xf>
    <xf numFmtId="0" fontId="80" fillId="0" borderId="0" xfId="42" applyFont="1" applyFill="1" applyAlignment="1">
      <alignment horizontal="right"/>
    </xf>
    <xf numFmtId="167" fontId="80" fillId="0" borderId="0" xfId="42" applyNumberFormat="1" applyFont="1"/>
    <xf numFmtId="2" fontId="80" fillId="0" borderId="0" xfId="42" applyNumberFormat="1" applyFont="1"/>
    <xf numFmtId="169" fontId="10" fillId="0" borderId="0" xfId="42" applyNumberFormat="1" applyFill="1"/>
    <xf numFmtId="0" fontId="13" fillId="0" borderId="0" xfId="42" applyFont="1"/>
    <xf numFmtId="0" fontId="80" fillId="0" borderId="0" xfId="42" applyFont="1"/>
    <xf numFmtId="0" fontId="80" fillId="0" borderId="0" xfId="42" applyFont="1" applyFill="1"/>
    <xf numFmtId="0" fontId="22" fillId="0" borderId="0" xfId="0" applyFont="1" applyFill="1" applyBorder="1" applyAlignment="1">
      <alignment shrinkToFit="1"/>
    </xf>
    <xf numFmtId="0" fontId="71" fillId="0" borderId="0" xfId="0" applyFont="1" applyFill="1" applyBorder="1"/>
    <xf numFmtId="0" fontId="78" fillId="0" borderId="0" xfId="0" applyFont="1" applyFill="1" applyBorder="1" applyAlignment="1">
      <alignment shrinkToFit="1"/>
    </xf>
    <xf numFmtId="0" fontId="22" fillId="0" borderId="0" xfId="0" applyNumberFormat="1" applyFont="1" applyFill="1" applyBorder="1" applyAlignment="1"/>
    <xf numFmtId="0" fontId="22" fillId="0" borderId="0" xfId="0" applyFont="1" applyFill="1" applyBorder="1" applyAlignment="1" applyProtection="1">
      <alignment horizontal="left"/>
      <protection locked="0"/>
    </xf>
    <xf numFmtId="0" fontId="10" fillId="0" borderId="0" xfId="42"/>
    <xf numFmtId="0" fontId="13" fillId="0" borderId="0" xfId="42" applyFont="1" applyAlignment="1">
      <alignment wrapText="1"/>
    </xf>
    <xf numFmtId="0" fontId="5" fillId="0" borderId="0" xfId="131" applyFont="1"/>
    <xf numFmtId="0" fontId="79" fillId="0" borderId="0" xfId="131" applyFont="1"/>
    <xf numFmtId="0" fontId="81" fillId="0" borderId="0" xfId="42" applyFont="1" applyFill="1"/>
    <xf numFmtId="0" fontId="0" fillId="0" borderId="0" xfId="132" applyFont="1"/>
    <xf numFmtId="0" fontId="80" fillId="0" borderId="0" xfId="132" applyFont="1"/>
    <xf numFmtId="167" fontId="80" fillId="0" borderId="0" xfId="132" applyNumberFormat="1" applyFont="1"/>
    <xf numFmtId="0" fontId="81" fillId="0" borderId="0" xfId="132" applyFont="1" applyFill="1"/>
    <xf numFmtId="1" fontId="80" fillId="0" borderId="0" xfId="42" applyNumberFormat="1" applyFont="1"/>
    <xf numFmtId="1" fontId="81" fillId="0" borderId="0" xfId="42" applyNumberFormat="1" applyFont="1" applyFill="1"/>
    <xf numFmtId="0" fontId="80" fillId="0" borderId="0" xfId="132" applyFont="1" applyFill="1"/>
    <xf numFmtId="0" fontId="80" fillId="0" borderId="0" xfId="131" applyFont="1" applyFill="1"/>
    <xf numFmtId="0" fontId="81" fillId="0" borderId="0" xfId="131" applyFont="1" applyFill="1"/>
    <xf numFmtId="167" fontId="80" fillId="0" borderId="0" xfId="132" applyNumberFormat="1" applyFont="1" applyFill="1"/>
    <xf numFmtId="167" fontId="80" fillId="0" borderId="0" xfId="132" applyNumberFormat="1" applyFont="1" applyFill="1" applyAlignment="1">
      <alignment horizontal="right"/>
    </xf>
    <xf numFmtId="0" fontId="80" fillId="0" borderId="0" xfId="132" applyFont="1" applyFill="1" applyAlignment="1">
      <alignment horizontal="right"/>
    </xf>
    <xf numFmtId="0" fontId="81" fillId="0" borderId="0" xfId="132" applyFont="1" applyFill="1" applyAlignment="1">
      <alignment horizontal="right"/>
    </xf>
    <xf numFmtId="0" fontId="81" fillId="0" borderId="0" xfId="132" applyFont="1"/>
    <xf numFmtId="167" fontId="80" fillId="0" borderId="0" xfId="132" applyNumberFormat="1" applyFont="1" applyAlignment="1">
      <alignment horizontal="right"/>
    </xf>
    <xf numFmtId="0" fontId="80" fillId="0" borderId="0" xfId="132" applyFont="1" applyAlignment="1">
      <alignment horizontal="right"/>
    </xf>
    <xf numFmtId="0" fontId="81" fillId="0" borderId="0" xfId="132" applyFont="1" applyAlignment="1">
      <alignment horizontal="right"/>
    </xf>
    <xf numFmtId="0" fontId="5" fillId="0" borderId="0" xfId="131" applyFill="1"/>
    <xf numFmtId="168" fontId="10" fillId="0" borderId="0" xfId="42" applyNumberFormat="1" applyFont="1"/>
    <xf numFmtId="0" fontId="82" fillId="0" borderId="0" xfId="96" applyFont="1"/>
    <xf numFmtId="0" fontId="77" fillId="0" borderId="0" xfId="96" applyFont="1"/>
    <xf numFmtId="0" fontId="54" fillId="0" borderId="0" xfId="0" applyFont="1" applyFill="1"/>
    <xf numFmtId="0" fontId="13" fillId="0" borderId="0" xfId="0" applyFont="1" applyAlignment="1"/>
    <xf numFmtId="0" fontId="5" fillId="0" borderId="0" xfId="131" applyFont="1" applyFill="1"/>
    <xf numFmtId="0" fontId="83" fillId="32" borderId="82" xfId="0" applyFont="1" applyFill="1" applyBorder="1"/>
    <xf numFmtId="0" fontId="80" fillId="32" borderId="83" xfId="0" applyFont="1" applyFill="1" applyBorder="1"/>
    <xf numFmtId="0" fontId="80" fillId="32" borderId="84" xfId="0" applyFont="1" applyFill="1" applyBorder="1"/>
    <xf numFmtId="0" fontId="80" fillId="32" borderId="85" xfId="42" applyFont="1" applyFill="1" applyBorder="1"/>
    <xf numFmtId="0" fontId="80" fillId="32" borderId="0" xfId="42" applyFont="1" applyFill="1" applyBorder="1" applyAlignment="1">
      <alignment horizontal="left"/>
    </xf>
    <xf numFmtId="0" fontId="80" fillId="32" borderId="0" xfId="42" applyFont="1" applyFill="1" applyBorder="1"/>
    <xf numFmtId="0" fontId="80" fillId="32" borderId="86" xfId="42" applyFont="1" applyFill="1" applyBorder="1"/>
    <xf numFmtId="0" fontId="80" fillId="32" borderId="85" xfId="42" applyFont="1" applyFill="1" applyBorder="1" applyAlignment="1">
      <alignment horizontal="center"/>
    </xf>
    <xf numFmtId="0" fontId="80" fillId="32" borderId="0" xfId="42" applyFont="1" applyFill="1" applyBorder="1" applyAlignment="1">
      <alignment horizontal="center"/>
    </xf>
    <xf numFmtId="0" fontId="80" fillId="32" borderId="86" xfId="42" applyFont="1" applyFill="1" applyBorder="1" applyAlignment="1">
      <alignment horizontal="center"/>
    </xf>
    <xf numFmtId="0" fontId="80" fillId="32" borderId="87" xfId="42" applyFont="1" applyFill="1" applyBorder="1" applyAlignment="1">
      <alignment horizontal="center"/>
    </xf>
    <xf numFmtId="0" fontId="80" fillId="32" borderId="13" xfId="42" applyFont="1" applyFill="1" applyBorder="1" applyAlignment="1">
      <alignment horizontal="center"/>
    </xf>
    <xf numFmtId="0" fontId="83" fillId="32" borderId="13" xfId="42" applyFont="1" applyFill="1" applyBorder="1"/>
    <xf numFmtId="0" fontId="80" fillId="32" borderId="13" xfId="42" applyFont="1" applyFill="1" applyBorder="1"/>
    <xf numFmtId="0" fontId="80" fillId="32" borderId="88" xfId="0" applyFont="1" applyFill="1" applyBorder="1"/>
    <xf numFmtId="0" fontId="13" fillId="0" borderId="0" xfId="42" applyFont="1" applyAlignment="1">
      <alignment wrapText="1"/>
    </xf>
    <xf numFmtId="0" fontId="10" fillId="0" borderId="0" xfId="0" applyFont="1" applyBorder="1" applyProtection="1">
      <protection locked="0"/>
    </xf>
    <xf numFmtId="0" fontId="54" fillId="0" borderId="0" xfId="0" applyFont="1"/>
    <xf numFmtId="0" fontId="21" fillId="0" borderId="0" xfId="0" applyFont="1" applyFill="1" applyBorder="1" applyAlignment="1">
      <alignment horizontal="left"/>
    </xf>
    <xf numFmtId="0" fontId="21" fillId="0" borderId="0" xfId="0" applyFont="1" applyAlignment="1">
      <alignment horizontal="left"/>
    </xf>
    <xf numFmtId="0" fontId="21" fillId="0" borderId="0" xfId="0" applyFont="1" applyFill="1" applyBorder="1" applyProtection="1">
      <protection locked="0"/>
    </xf>
    <xf numFmtId="0" fontId="21" fillId="0" borderId="0" xfId="0" applyFont="1" applyFill="1" applyBorder="1" applyAlignment="1">
      <alignment horizontal="center"/>
    </xf>
    <xf numFmtId="0" fontId="21" fillId="0" borderId="0" xfId="0" applyFont="1" applyFill="1" applyBorder="1"/>
    <xf numFmtId="0" fontId="84" fillId="0" borderId="0" xfId="0" applyFont="1" applyFill="1" applyBorder="1"/>
    <xf numFmtId="0" fontId="21" fillId="26" borderId="0" xfId="0" applyFont="1" applyFill="1" applyBorder="1" applyAlignment="1">
      <alignment horizontal="center"/>
    </xf>
    <xf numFmtId="0" fontId="21" fillId="26" borderId="0" xfId="0" applyFont="1" applyFill="1" applyBorder="1" applyAlignment="1">
      <alignment horizontal="right"/>
    </xf>
    <xf numFmtId="15" fontId="21" fillId="0" borderId="0" xfId="0" applyNumberFormat="1" applyFont="1" applyFill="1" applyBorder="1" applyAlignment="1">
      <alignment horizontal="left"/>
    </xf>
    <xf numFmtId="0" fontId="21" fillId="26" borderId="0" xfId="0" applyFont="1" applyFill="1" applyBorder="1"/>
    <xf numFmtId="0" fontId="85" fillId="0" borderId="0" xfId="0" applyFont="1" applyFill="1" applyBorder="1"/>
    <xf numFmtId="1" fontId="21" fillId="0" borderId="0" xfId="0" applyNumberFormat="1" applyFont="1" applyFill="1" applyBorder="1" applyAlignment="1">
      <alignment horizontal="left"/>
    </xf>
    <xf numFmtId="165" fontId="21" fillId="0" borderId="0" xfId="0" applyNumberFormat="1" applyFont="1" applyFill="1" applyBorder="1" applyAlignment="1">
      <alignment horizontal="left"/>
    </xf>
    <xf numFmtId="0" fontId="21" fillId="0" borderId="23" xfId="0" applyFont="1" applyFill="1" applyBorder="1"/>
    <xf numFmtId="0" fontId="24" fillId="0" borderId="23" xfId="0" applyFont="1" applyFill="1" applyBorder="1"/>
    <xf numFmtId="0" fontId="21" fillId="0" borderId="0" xfId="0" quotePrefix="1" applyFont="1" applyFill="1" applyBorder="1"/>
    <xf numFmtId="0" fontId="21" fillId="0" borderId="0" xfId="0" applyFont="1" applyFill="1" applyBorder="1" applyAlignment="1"/>
    <xf numFmtId="0" fontId="21" fillId="26" borderId="23" xfId="0" applyFont="1" applyFill="1" applyBorder="1" applyAlignment="1">
      <alignment horizontal="center"/>
    </xf>
    <xf numFmtId="0" fontId="21" fillId="26" borderId="23" xfId="0" applyFont="1" applyFill="1" applyBorder="1"/>
    <xf numFmtId="0" fontId="21" fillId="26" borderId="0" xfId="0" applyFont="1" applyFill="1" applyBorder="1" applyAlignment="1">
      <alignment horizontal="left" vertical="top"/>
    </xf>
    <xf numFmtId="0" fontId="21" fillId="26" borderId="23" xfId="0" applyFont="1" applyFill="1" applyBorder="1" applyAlignment="1">
      <alignment horizontal="left" vertical="top"/>
    </xf>
    <xf numFmtId="0" fontId="86" fillId="0" borderId="23" xfId="0" applyFont="1" applyFill="1" applyBorder="1"/>
    <xf numFmtId="0" fontId="21" fillId="0" borderId="0" xfId="43" applyFont="1"/>
    <xf numFmtId="49" fontId="21" fillId="0" borderId="0" xfId="0" applyNumberFormat="1" applyFont="1" applyBorder="1" applyAlignment="1">
      <alignment horizontal="left" vertical="top"/>
    </xf>
    <xf numFmtId="49" fontId="21" fillId="0" borderId="0" xfId="0" applyNumberFormat="1" applyFont="1" applyBorder="1" applyAlignment="1">
      <alignment horizontal="left" vertical="top" wrapText="1"/>
    </xf>
    <xf numFmtId="49" fontId="24" fillId="0" borderId="0" xfId="0" applyNumberFormat="1" applyFont="1" applyBorder="1" applyAlignment="1">
      <alignment horizontal="left" vertical="top"/>
    </xf>
    <xf numFmtId="0" fontId="21" fillId="0" borderId="23" xfId="0" applyFont="1" applyFill="1" applyBorder="1" applyAlignment="1">
      <alignment horizontal="left"/>
    </xf>
    <xf numFmtId="0" fontId="24" fillId="26" borderId="11" xfId="0" applyFont="1" applyFill="1" applyBorder="1"/>
    <xf numFmtId="0" fontId="21" fillId="0" borderId="11" xfId="0" applyFont="1" applyFill="1" applyBorder="1"/>
    <xf numFmtId="0" fontId="21" fillId="26" borderId="22" xfId="0" applyFont="1" applyFill="1" applyBorder="1"/>
    <xf numFmtId="0" fontId="21" fillId="0" borderId="0" xfId="0" applyFont="1" applyFill="1" applyBorder="1" applyAlignment="1">
      <alignment horizontal="right"/>
    </xf>
    <xf numFmtId="0" fontId="24" fillId="26" borderId="23" xfId="0" applyFont="1" applyFill="1" applyBorder="1" applyAlignment="1">
      <alignment horizontal="right"/>
    </xf>
    <xf numFmtId="0" fontId="21" fillId="0" borderId="23" xfId="0" applyFont="1" applyFill="1" applyBorder="1" applyAlignment="1">
      <alignment horizontal="right"/>
    </xf>
    <xf numFmtId="0" fontId="86" fillId="0" borderId="0" xfId="0" applyFont="1" applyFill="1" applyBorder="1"/>
    <xf numFmtId="0" fontId="24" fillId="26" borderId="23" xfId="0" applyFont="1" applyFill="1" applyBorder="1"/>
    <xf numFmtId="0" fontId="24" fillId="26" borderId="23" xfId="0" applyFont="1" applyFill="1" applyBorder="1" applyAlignment="1">
      <alignment horizontal="left"/>
    </xf>
    <xf numFmtId="0" fontId="21" fillId="26" borderId="23" xfId="0" applyFont="1" applyFill="1" applyBorder="1" applyAlignment="1">
      <alignment horizontal="right"/>
    </xf>
    <xf numFmtId="0" fontId="24" fillId="0" borderId="0" xfId="0" applyFont="1" applyFill="1" applyBorder="1"/>
    <xf numFmtId="0" fontId="21" fillId="0" borderId="27" xfId="0" applyFont="1" applyFill="1" applyBorder="1"/>
    <xf numFmtId="0" fontId="21" fillId="0" borderId="28" xfId="0" applyFont="1" applyFill="1" applyBorder="1"/>
    <xf numFmtId="0" fontId="21" fillId="0" borderId="29" xfId="0" applyFont="1" applyFill="1" applyBorder="1" applyAlignment="1">
      <alignment horizontal="center"/>
    </xf>
    <xf numFmtId="0" fontId="21" fillId="0" borderId="27" xfId="0" applyFont="1" applyFill="1" applyBorder="1" applyAlignment="1">
      <alignment horizontal="center"/>
    </xf>
    <xf numFmtId="0" fontId="21" fillId="0" borderId="29" xfId="0" applyFont="1" applyFill="1" applyBorder="1"/>
    <xf numFmtId="0" fontId="21" fillId="0" borderId="48" xfId="0" applyFont="1" applyFill="1" applyBorder="1"/>
    <xf numFmtId="0" fontId="21" fillId="0" borderId="48" xfId="0" applyFont="1" applyFill="1" applyBorder="1" applyAlignment="1">
      <alignment horizontal="center"/>
    </xf>
    <xf numFmtId="0" fontId="79" fillId="35" borderId="0" xfId="131" applyFont="1" applyFill="1"/>
    <xf numFmtId="0" fontId="13" fillId="36" borderId="0" xfId="42" applyFont="1" applyFill="1"/>
    <xf numFmtId="0" fontId="10" fillId="37" borderId="0" xfId="42" applyFill="1" applyProtection="1">
      <protection locked="0"/>
    </xf>
    <xf numFmtId="0" fontId="65" fillId="37" borderId="0" xfId="42" applyFont="1" applyFill="1" applyAlignment="1">
      <alignment horizontal="left"/>
    </xf>
    <xf numFmtId="0" fontId="10" fillId="37" borderId="0" xfId="42" applyFill="1"/>
    <xf numFmtId="0" fontId="57" fillId="37" borderId="0" xfId="42" applyFont="1" applyFill="1"/>
    <xf numFmtId="0" fontId="18" fillId="37" borderId="0" xfId="42" applyFont="1" applyFill="1"/>
    <xf numFmtId="0" fontId="21" fillId="37" borderId="0" xfId="42" applyFont="1" applyFill="1"/>
    <xf numFmtId="0" fontId="10" fillId="37" borderId="72" xfId="42" applyFill="1" applyBorder="1"/>
    <xf numFmtId="0" fontId="18" fillId="37" borderId="72" xfId="42" applyFont="1" applyFill="1" applyBorder="1"/>
    <xf numFmtId="0" fontId="21" fillId="37" borderId="72" xfId="42" applyFont="1" applyFill="1" applyBorder="1"/>
    <xf numFmtId="0" fontId="10" fillId="37" borderId="0" xfId="42" applyFill="1" applyBorder="1" applyProtection="1">
      <protection locked="0"/>
    </xf>
    <xf numFmtId="0" fontId="18" fillId="37" borderId="0" xfId="42" applyFont="1" applyFill="1" applyBorder="1"/>
    <xf numFmtId="0" fontId="21" fillId="37" borderId="0" xfId="42" applyFont="1" applyFill="1" applyBorder="1"/>
    <xf numFmtId="0" fontId="10" fillId="37" borderId="0" xfId="42" applyFill="1" applyBorder="1"/>
    <xf numFmtId="0" fontId="10" fillId="37" borderId="0" xfId="42" applyFill="1" applyAlignment="1">
      <alignment horizontal="right"/>
    </xf>
    <xf numFmtId="0" fontId="10" fillId="37" borderId="0" xfId="42" applyFill="1" applyAlignment="1">
      <alignment horizontal="center"/>
    </xf>
    <xf numFmtId="0" fontId="10" fillId="37" borderId="0" xfId="42" applyFill="1" applyAlignment="1">
      <alignment horizontal="left"/>
    </xf>
    <xf numFmtId="0" fontId="18" fillId="37" borderId="73" xfId="42" applyFont="1" applyFill="1" applyBorder="1"/>
    <xf numFmtId="0" fontId="10" fillId="37" borderId="73" xfId="42" applyFill="1" applyBorder="1"/>
    <xf numFmtId="0" fontId="67" fillId="37" borderId="0" xfId="42" applyFont="1" applyFill="1"/>
    <xf numFmtId="0" fontId="13" fillId="37" borderId="0" xfId="42" applyFont="1" applyFill="1" applyAlignment="1">
      <alignment horizontal="left"/>
    </xf>
    <xf numFmtId="0" fontId="13" fillId="37" borderId="0" xfId="42" applyFont="1" applyFill="1"/>
    <xf numFmtId="0" fontId="68" fillId="37" borderId="74" xfId="42" applyFont="1" applyFill="1" applyBorder="1" applyAlignment="1">
      <alignment horizontal="left"/>
    </xf>
    <xf numFmtId="0" fontId="10" fillId="37" borderId="74" xfId="42" applyFill="1" applyBorder="1"/>
    <xf numFmtId="0" fontId="68" fillId="37" borderId="0" xfId="42" applyFont="1" applyFill="1" applyBorder="1" applyAlignment="1">
      <alignment horizontal="left"/>
    </xf>
    <xf numFmtId="0" fontId="33" fillId="37" borderId="0" xfId="42" applyFont="1" applyFill="1"/>
    <xf numFmtId="0" fontId="33" fillId="37" borderId="0" xfId="42" applyFont="1" applyFill="1" applyAlignment="1">
      <alignment horizontal="right"/>
    </xf>
    <xf numFmtId="0" fontId="76" fillId="37" borderId="0" xfId="42" applyFont="1" applyFill="1"/>
    <xf numFmtId="0" fontId="10" fillId="37" borderId="23" xfId="42" applyFill="1" applyBorder="1"/>
    <xf numFmtId="0" fontId="33" fillId="37" borderId="23" xfId="42" applyFont="1" applyFill="1" applyBorder="1"/>
    <xf numFmtId="0" fontId="67" fillId="37" borderId="0" xfId="42" applyFont="1" applyFill="1" applyAlignment="1">
      <alignment horizontal="center"/>
    </xf>
    <xf numFmtId="0" fontId="68" fillId="37" borderId="0" xfId="42" applyFont="1" applyFill="1"/>
    <xf numFmtId="0" fontId="10" fillId="37" borderId="0" xfId="42" applyFill="1" applyBorder="1" applyAlignment="1">
      <alignment horizontal="left"/>
    </xf>
    <xf numFmtId="0" fontId="69" fillId="37" borderId="0" xfId="42" applyFont="1" applyFill="1" applyBorder="1"/>
    <xf numFmtId="0" fontId="10" fillId="37" borderId="76" xfId="42" applyFill="1" applyBorder="1"/>
    <xf numFmtId="0" fontId="10" fillId="37" borderId="76" xfId="42" applyFill="1" applyBorder="1" applyAlignment="1">
      <alignment horizontal="right"/>
    </xf>
    <xf numFmtId="0" fontId="10" fillId="37" borderId="76" xfId="42" applyFill="1" applyBorder="1" applyAlignment="1">
      <alignment horizontal="left"/>
    </xf>
    <xf numFmtId="49" fontId="32" fillId="37" borderId="74" xfId="42" applyNumberFormat="1" applyFont="1" applyFill="1" applyBorder="1"/>
    <xf numFmtId="0" fontId="10" fillId="37" borderId="74" xfId="42" applyFill="1" applyBorder="1" applyAlignment="1">
      <alignment horizontal="left"/>
    </xf>
    <xf numFmtId="0" fontId="10" fillId="37" borderId="77" xfId="42" applyFill="1" applyBorder="1"/>
    <xf numFmtId="0" fontId="10" fillId="37" borderId="77" xfId="42" applyFill="1" applyBorder="1" applyAlignment="1">
      <alignment horizontal="right"/>
    </xf>
    <xf numFmtId="0" fontId="10" fillId="37" borderId="77" xfId="42" applyFill="1" applyBorder="1" applyAlignment="1">
      <alignment horizontal="left"/>
    </xf>
    <xf numFmtId="0" fontId="10" fillId="37" borderId="75" xfId="42" applyFill="1" applyBorder="1"/>
    <xf numFmtId="0" fontId="68" fillId="37" borderId="75" xfId="42" applyFont="1" applyFill="1" applyBorder="1" applyAlignment="1">
      <alignment horizontal="left"/>
    </xf>
    <xf numFmtId="49" fontId="32" fillId="37" borderId="75" xfId="42" applyNumberFormat="1" applyFont="1" applyFill="1" applyBorder="1"/>
    <xf numFmtId="0" fontId="10" fillId="37" borderId="75" xfId="42" applyFill="1" applyBorder="1" applyAlignment="1">
      <alignment horizontal="left"/>
    </xf>
    <xf numFmtId="0" fontId="10" fillId="37" borderId="48" xfId="42" applyFill="1" applyBorder="1"/>
    <xf numFmtId="0" fontId="10" fillId="37" borderId="48" xfId="42" applyFill="1" applyBorder="1" applyAlignment="1">
      <alignment horizontal="right"/>
    </xf>
    <xf numFmtId="0" fontId="68" fillId="37" borderId="78" xfId="42" applyFont="1" applyFill="1" applyBorder="1" applyAlignment="1">
      <alignment horizontal="left"/>
    </xf>
    <xf numFmtId="49" fontId="32" fillId="37" borderId="78" xfId="42" applyNumberFormat="1" applyFont="1" applyFill="1" applyBorder="1"/>
    <xf numFmtId="0" fontId="10" fillId="37" borderId="78" xfId="42" applyFill="1" applyBorder="1" applyAlignment="1">
      <alignment horizontal="left"/>
    </xf>
    <xf numFmtId="0" fontId="18" fillId="37" borderId="76" xfId="42" applyFont="1" applyFill="1" applyBorder="1" applyAlignment="1">
      <alignment horizontal="left"/>
    </xf>
    <xf numFmtId="0" fontId="10" fillId="37" borderId="0" xfId="42" applyFill="1" applyBorder="1" applyAlignment="1">
      <alignment horizontal="right"/>
    </xf>
    <xf numFmtId="49" fontId="32" fillId="37" borderId="0" xfId="42" applyNumberFormat="1" applyFont="1" applyFill="1" applyBorder="1"/>
    <xf numFmtId="0" fontId="67" fillId="37" borderId="0" xfId="42" applyFont="1" applyFill="1" applyBorder="1"/>
    <xf numFmtId="0" fontId="10" fillId="37" borderId="73" xfId="42" applyFill="1" applyBorder="1" applyAlignment="1">
      <alignment horizontal="right"/>
    </xf>
    <xf numFmtId="0" fontId="10" fillId="37" borderId="73" xfId="42" applyFill="1" applyBorder="1" applyAlignment="1">
      <alignment horizontal="left"/>
    </xf>
    <xf numFmtId="0" fontId="16" fillId="37" borderId="0" xfId="42" applyFont="1" applyFill="1"/>
    <xf numFmtId="0" fontId="18" fillId="37" borderId="74" xfId="42" applyFont="1" applyFill="1" applyBorder="1"/>
    <xf numFmtId="0" fontId="18" fillId="37" borderId="75" xfId="42" applyFont="1" applyFill="1" applyBorder="1"/>
    <xf numFmtId="0" fontId="10" fillId="37" borderId="75" xfId="42" applyFill="1" applyBorder="1" applyAlignment="1">
      <alignment horizontal="right"/>
    </xf>
    <xf numFmtId="0" fontId="10" fillId="37" borderId="75" xfId="42" applyFill="1" applyBorder="1" applyAlignment="1">
      <alignment horizontal="center"/>
    </xf>
    <xf numFmtId="0" fontId="10" fillId="0" borderId="0" xfId="42" applyNumberFormat="1" applyFill="1"/>
    <xf numFmtId="0" fontId="10" fillId="0" borderId="0" xfId="42" applyNumberFormat="1"/>
    <xf numFmtId="0" fontId="10" fillId="0" borderId="0" xfId="42" applyNumberFormat="1"/>
    <xf numFmtId="0" fontId="10" fillId="0" borderId="0" xfId="42"/>
    <xf numFmtId="0" fontId="10" fillId="0" borderId="0" xfId="42"/>
    <xf numFmtId="0" fontId="10" fillId="0" borderId="0" xfId="42" applyNumberFormat="1"/>
    <xf numFmtId="0" fontId="10" fillId="0" borderId="0" xfId="42"/>
    <xf numFmtId="0" fontId="10" fillId="0" borderId="0" xfId="42" applyNumberFormat="1"/>
    <xf numFmtId="0" fontId="10" fillId="0" borderId="0" xfId="42" applyNumberFormat="1"/>
    <xf numFmtId="170" fontId="13" fillId="0" borderId="0" xfId="42" applyNumberFormat="1" applyFont="1" applyFill="1" applyAlignment="1">
      <alignment horizontal="left"/>
    </xf>
    <xf numFmtId="0" fontId="2" fillId="0" borderId="0" xfId="158" applyFont="1" applyFill="1"/>
    <xf numFmtId="0" fontId="10" fillId="0" borderId="0" xfId="100" applyFont="1" applyFill="1"/>
    <xf numFmtId="0" fontId="10" fillId="0" borderId="0" xfId="100" applyFont="1" applyFill="1" applyBorder="1"/>
    <xf numFmtId="0" fontId="10" fillId="0" borderId="79" xfId="0" applyFont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13" fillId="38" borderId="0" xfId="42" applyFont="1" applyFill="1"/>
    <xf numFmtId="0" fontId="10" fillId="38" borderId="0" xfId="42" applyFont="1" applyFill="1"/>
    <xf numFmtId="0" fontId="13" fillId="0" borderId="0" xfId="0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left" vertical="center" wrapText="1"/>
    </xf>
    <xf numFmtId="0" fontId="0" fillId="39" borderId="0" xfId="0" applyFill="1"/>
    <xf numFmtId="0" fontId="13" fillId="0" borderId="89" xfId="0" applyFont="1" applyFill="1" applyBorder="1" applyProtection="1"/>
    <xf numFmtId="0" fontId="10" fillId="0" borderId="40" xfId="42" applyFont="1" applyFill="1" applyBorder="1" applyProtection="1"/>
    <xf numFmtId="0" fontId="10" fillId="26" borderId="0" xfId="42" applyFont="1" applyFill="1" applyBorder="1"/>
    <xf numFmtId="0" fontId="13" fillId="0" borderId="39" xfId="42" applyFont="1" applyFill="1" applyBorder="1" applyProtection="1"/>
    <xf numFmtId="0" fontId="10" fillId="0" borderId="39" xfId="42" applyFont="1" applyFill="1" applyBorder="1" applyProtection="1"/>
    <xf numFmtId="0" fontId="18" fillId="25" borderId="40" xfId="42" applyFont="1" applyFill="1" applyBorder="1" applyProtection="1"/>
    <xf numFmtId="0" fontId="13" fillId="0" borderId="40" xfId="42" applyFont="1" applyFill="1" applyBorder="1" applyProtection="1"/>
    <xf numFmtId="0" fontId="10" fillId="0" borderId="40" xfId="42" applyFont="1" applyFill="1" applyBorder="1" applyProtection="1"/>
    <xf numFmtId="0" fontId="53" fillId="0" borderId="40" xfId="42" applyFont="1" applyFill="1" applyBorder="1" applyProtection="1"/>
    <xf numFmtId="0" fontId="10" fillId="26" borderId="0" xfId="42" applyFont="1" applyFill="1" applyBorder="1" applyAlignment="1">
      <alignment vertical="top" wrapText="1"/>
    </xf>
    <xf numFmtId="0" fontId="53" fillId="0" borderId="39" xfId="42" applyFont="1" applyBorder="1" applyAlignment="1"/>
    <xf numFmtId="0" fontId="10" fillId="0" borderId="0" xfId="42"/>
    <xf numFmtId="0" fontId="10" fillId="0" borderId="0" xfId="42" applyFont="1" applyFill="1"/>
    <xf numFmtId="0" fontId="10" fillId="0" borderId="0" xfId="42" applyFont="1" applyFill="1" applyBorder="1"/>
    <xf numFmtId="0" fontId="10" fillId="0" borderId="0" xfId="42" applyFont="1" applyFill="1" applyBorder="1" applyProtection="1"/>
    <xf numFmtId="0" fontId="13" fillId="0" borderId="0" xfId="42" applyFont="1" applyFill="1" applyBorder="1" applyProtection="1"/>
    <xf numFmtId="0" fontId="10" fillId="0" borderId="90" xfId="42" applyFont="1" applyFill="1" applyBorder="1" applyProtection="1"/>
    <xf numFmtId="0" fontId="10" fillId="26" borderId="0" xfId="42" applyFont="1" applyFill="1" applyBorder="1" applyProtection="1"/>
    <xf numFmtId="0" fontId="18" fillId="25" borderId="0" xfId="42" applyFont="1" applyFill="1" applyBorder="1" applyProtection="1"/>
    <xf numFmtId="0" fontId="10" fillId="26" borderId="0" xfId="42" applyFont="1" applyFill="1" applyBorder="1"/>
    <xf numFmtId="0" fontId="18" fillId="25" borderId="39" xfId="42" applyFont="1" applyFill="1" applyBorder="1" applyProtection="1"/>
    <xf numFmtId="0" fontId="10" fillId="0" borderId="39" xfId="42" applyFont="1" applyFill="1" applyBorder="1" applyProtection="1"/>
    <xf numFmtId="0" fontId="18" fillId="25" borderId="40" xfId="42" applyFont="1" applyFill="1" applyBorder="1" applyProtection="1"/>
    <xf numFmtId="0" fontId="13" fillId="0" borderId="40" xfId="42" applyFont="1" applyFill="1" applyBorder="1" applyProtection="1"/>
    <xf numFmtId="0" fontId="10" fillId="0" borderId="40" xfId="42" applyFont="1" applyFill="1" applyBorder="1" applyProtection="1"/>
    <xf numFmtId="0" fontId="14" fillId="0" borderId="0" xfId="42" applyFont="1" applyFill="1" applyProtection="1"/>
    <xf numFmtId="0" fontId="53" fillId="0" borderId="39" xfId="42" applyFont="1" applyFill="1" applyBorder="1" applyProtection="1"/>
    <xf numFmtId="0" fontId="53" fillId="0" borderId="0" xfId="42" applyFont="1" applyFill="1" applyBorder="1" applyProtection="1"/>
    <xf numFmtId="0" fontId="53" fillId="0" borderId="40" xfId="42" applyFont="1" applyFill="1" applyBorder="1" applyProtection="1"/>
    <xf numFmtId="0" fontId="53" fillId="0" borderId="0" xfId="42" applyFont="1" applyFill="1" applyProtection="1"/>
    <xf numFmtId="0" fontId="71" fillId="0" borderId="0" xfId="42" applyFont="1" applyFill="1" applyProtection="1"/>
    <xf numFmtId="0" fontId="75" fillId="0" borderId="0" xfId="42" applyFont="1"/>
    <xf numFmtId="0" fontId="13" fillId="0" borderId="89" xfId="42" applyFont="1" applyFill="1" applyBorder="1" applyProtection="1"/>
    <xf numFmtId="0" fontId="22" fillId="0" borderId="0" xfId="0" applyFont="1" applyFill="1" applyBorder="1" applyAlignment="1">
      <alignment horizontal="left" vertical="top" wrapText="1"/>
    </xf>
    <xf numFmtId="0" fontId="22" fillId="0" borderId="0" xfId="0" applyFont="1" applyFill="1" applyAlignment="1"/>
    <xf numFmtId="0" fontId="14" fillId="27" borderId="0" xfId="0" applyFont="1" applyFill="1" applyBorder="1" applyAlignment="1"/>
    <xf numFmtId="0" fontId="35" fillId="0" borderId="0" xfId="0" applyFont="1" applyFill="1" applyBorder="1" applyAlignment="1">
      <alignment horizontal="center" vertical="top"/>
    </xf>
    <xf numFmtId="0" fontId="10" fillId="0" borderId="0" xfId="43" applyBorder="1" applyAlignment="1">
      <alignment horizontal="left" vertical="top"/>
    </xf>
    <xf numFmtId="0" fontId="22" fillId="26" borderId="0" xfId="0" applyFont="1" applyFill="1" applyBorder="1" applyAlignment="1">
      <alignment vertical="top" wrapText="1"/>
    </xf>
    <xf numFmtId="0" fontId="22" fillId="26" borderId="0" xfId="0" applyFont="1" applyFill="1" applyBorder="1" applyAlignment="1">
      <alignment horizontal="left" vertical="top" wrapText="1"/>
    </xf>
    <xf numFmtId="0" fontId="22" fillId="26" borderId="0" xfId="0" applyFont="1" applyFill="1" applyBorder="1" applyAlignment="1">
      <alignment wrapText="1"/>
    </xf>
    <xf numFmtId="0" fontId="22" fillId="0" borderId="0" xfId="0" applyFont="1" applyFill="1" applyBorder="1" applyAlignment="1" applyProtection="1">
      <alignment horizontal="left" vertical="center" wrapText="1"/>
    </xf>
    <xf numFmtId="0" fontId="22" fillId="0" borderId="40" xfId="0" applyFont="1" applyFill="1" applyBorder="1" applyAlignment="1" applyProtection="1">
      <alignment horizontal="left" vertical="center" wrapText="1"/>
    </xf>
    <xf numFmtId="0" fontId="21" fillId="0" borderId="28" xfId="0" applyFont="1" applyFill="1" applyBorder="1" applyAlignment="1">
      <alignment horizontal="left" wrapText="1"/>
    </xf>
    <xf numFmtId="0" fontId="21" fillId="0" borderId="29" xfId="0" applyFont="1" applyFill="1" applyBorder="1" applyAlignment="1">
      <alignment horizontal="left" wrapText="1"/>
    </xf>
    <xf numFmtId="0" fontId="21" fillId="0" borderId="0" xfId="0" applyFont="1" applyFill="1" applyBorder="1" applyAlignment="1">
      <alignment horizontal="left"/>
    </xf>
    <xf numFmtId="0" fontId="21" fillId="0" borderId="23" xfId="0" applyFont="1" applyFill="1" applyBorder="1" applyAlignment="1" applyProtection="1">
      <alignment horizontal="left" shrinkToFit="1"/>
      <protection locked="0"/>
    </xf>
    <xf numFmtId="0" fontId="21" fillId="0" borderId="23" xfId="0" applyFont="1" applyBorder="1" applyAlignment="1">
      <alignment shrinkToFit="1"/>
    </xf>
    <xf numFmtId="0" fontId="21" fillId="0" borderId="0" xfId="0" applyFont="1" applyFill="1" applyBorder="1" applyAlignment="1">
      <alignment horizontal="left" vertical="top" wrapText="1"/>
    </xf>
    <xf numFmtId="0" fontId="21" fillId="0" borderId="0" xfId="0" applyFont="1" applyBorder="1" applyAlignment="1">
      <alignment horizontal="left" vertical="top" wrapText="1"/>
    </xf>
    <xf numFmtId="0" fontId="21" fillId="0" borderId="23" xfId="0" applyFont="1" applyBorder="1" applyAlignment="1">
      <alignment horizontal="left" vertical="top" wrapText="1"/>
    </xf>
    <xf numFmtId="0" fontId="21" fillId="0" borderId="0" xfId="0" applyFont="1" applyAlignment="1">
      <alignment horizontal="left" vertical="top" wrapText="1"/>
    </xf>
    <xf numFmtId="0" fontId="21" fillId="0" borderId="0" xfId="0" applyFont="1" applyFill="1" applyBorder="1" applyAlignment="1">
      <alignment horizontal="left" vertical="top" shrinkToFit="1"/>
    </xf>
    <xf numFmtId="0" fontId="21" fillId="0" borderId="0" xfId="0" applyFont="1" applyBorder="1" applyAlignment="1">
      <alignment shrinkToFit="1"/>
    </xf>
    <xf numFmtId="0" fontId="21" fillId="0" borderId="22" xfId="0" applyFont="1" applyFill="1" applyBorder="1" applyAlignment="1">
      <alignment horizontal="left" vertical="top" shrinkToFit="1"/>
    </xf>
    <xf numFmtId="0" fontId="21" fillId="0" borderId="22" xfId="0" applyFont="1" applyBorder="1" applyAlignment="1">
      <alignment shrinkToFit="1"/>
    </xf>
    <xf numFmtId="0" fontId="21" fillId="0" borderId="0" xfId="0" applyFont="1" applyAlignment="1">
      <alignment shrinkToFit="1"/>
    </xf>
    <xf numFmtId="0" fontId="21" fillId="0" borderId="0" xfId="0" applyFont="1" applyBorder="1" applyAlignment="1">
      <alignment horizontal="left" vertical="top" shrinkToFit="1"/>
    </xf>
    <xf numFmtId="0" fontId="22" fillId="0" borderId="13" xfId="0" applyFont="1" applyBorder="1" applyAlignment="1"/>
    <xf numFmtId="15" fontId="0" fillId="0" borderId="49" xfId="0" applyNumberFormat="1" applyBorder="1" applyAlignment="1"/>
    <xf numFmtId="15" fontId="0" fillId="0" borderId="49" xfId="0" applyNumberFormat="1" applyBorder="1" applyAlignment="1">
      <alignment horizontal="left"/>
    </xf>
    <xf numFmtId="0" fontId="22" fillId="0" borderId="51" xfId="0" applyFont="1" applyBorder="1" applyAlignment="1">
      <alignment horizontal="center" vertical="top" wrapText="1"/>
    </xf>
    <xf numFmtId="0" fontId="22" fillId="0" borderId="52" xfId="0" applyFont="1" applyBorder="1" applyAlignment="1">
      <alignment horizontal="center" vertical="top" wrapText="1"/>
    </xf>
    <xf numFmtId="0" fontId="22" fillId="0" borderId="20" xfId="0" applyFont="1" applyBorder="1" applyAlignment="1">
      <alignment horizontal="center" vertical="top" wrapText="1"/>
    </xf>
    <xf numFmtId="0" fontId="22" fillId="0" borderId="25" xfId="0" applyFont="1" applyBorder="1" applyAlignment="1">
      <alignment vertical="top" wrapText="1"/>
    </xf>
    <xf numFmtId="0" fontId="22" fillId="0" borderId="16" xfId="0" applyFont="1" applyBorder="1" applyAlignment="1">
      <alignment vertical="top" wrapText="1"/>
    </xf>
    <xf numFmtId="0" fontId="22" fillId="0" borderId="22" xfId="0" applyFont="1" applyBorder="1" applyAlignment="1">
      <alignment vertical="top" wrapText="1"/>
    </xf>
    <xf numFmtId="0" fontId="22" fillId="0" borderId="23" xfId="0" applyFont="1" applyBorder="1" applyAlignment="1">
      <alignment vertical="top" wrapText="1"/>
    </xf>
    <xf numFmtId="0" fontId="13" fillId="0" borderId="22" xfId="0" applyFont="1" applyBorder="1" applyAlignment="1">
      <alignment vertical="top" wrapText="1"/>
    </xf>
    <xf numFmtId="0" fontId="13" fillId="0" borderId="23" xfId="0" applyFont="1" applyBorder="1" applyAlignment="1">
      <alignment vertical="top" wrapText="1"/>
    </xf>
    <xf numFmtId="0" fontId="27" fillId="0" borderId="10" xfId="0" applyFont="1" applyBorder="1" applyAlignment="1">
      <alignment vertical="top" wrapText="1"/>
    </xf>
    <xf numFmtId="0" fontId="27" fillId="0" borderId="11" xfId="0" applyFont="1" applyBorder="1" applyAlignment="1">
      <alignment vertical="top" wrapText="1"/>
    </xf>
    <xf numFmtId="0" fontId="27" fillId="0" borderId="12" xfId="0" applyFont="1" applyBorder="1" applyAlignment="1">
      <alignment vertical="top" wrapText="1"/>
    </xf>
    <xf numFmtId="0" fontId="22" fillId="0" borderId="30" xfId="0" applyFont="1" applyBorder="1" applyAlignment="1">
      <alignment horizontal="center" vertical="top" wrapText="1"/>
    </xf>
    <xf numFmtId="0" fontId="22" fillId="0" borderId="31" xfId="0" applyFont="1" applyBorder="1" applyAlignment="1">
      <alignment horizontal="center" vertical="top" wrapText="1"/>
    </xf>
    <xf numFmtId="0" fontId="22" fillId="0" borderId="30" xfId="0" applyFont="1" applyBorder="1" applyAlignment="1">
      <alignment vertical="top" wrapText="1"/>
    </xf>
    <xf numFmtId="0" fontId="22" fillId="0" borderId="31" xfId="0" applyFont="1" applyBorder="1" applyAlignment="1">
      <alignment vertical="top" wrapText="1"/>
    </xf>
    <xf numFmtId="0" fontId="27" fillId="0" borderId="50" xfId="0" applyFont="1" applyBorder="1" applyAlignment="1">
      <alignment horizontal="center" vertical="top" wrapText="1"/>
    </xf>
    <xf numFmtId="0" fontId="27" fillId="0" borderId="26" xfId="0" applyFont="1" applyBorder="1" applyAlignment="1">
      <alignment horizontal="center" vertical="top" wrapText="1"/>
    </xf>
    <xf numFmtId="0" fontId="22" fillId="0" borderId="22" xfId="0" applyFont="1" applyBorder="1" applyAlignment="1">
      <alignment horizontal="right" vertical="top" wrapText="1"/>
    </xf>
    <xf numFmtId="0" fontId="27" fillId="0" borderId="11" xfId="0" applyFont="1" applyBorder="1" applyAlignment="1">
      <alignment horizontal="left" vertical="center" wrapText="1"/>
    </xf>
    <xf numFmtId="0" fontId="27" fillId="0" borderId="12" xfId="0" applyFont="1" applyBorder="1" applyAlignment="1">
      <alignment horizontal="left" vertical="center" wrapText="1"/>
    </xf>
    <xf numFmtId="0" fontId="27" fillId="0" borderId="22" xfId="0" applyFont="1" applyBorder="1" applyAlignment="1">
      <alignment horizontal="right" vertical="top" wrapText="1"/>
    </xf>
    <xf numFmtId="0" fontId="27" fillId="0" borderId="51" xfId="0" applyFont="1" applyBorder="1" applyAlignment="1">
      <alignment vertical="top" wrapText="1"/>
    </xf>
    <xf numFmtId="0" fontId="27" fillId="0" borderId="52" xfId="0" applyFont="1" applyBorder="1" applyAlignment="1">
      <alignment vertical="top" wrapText="1"/>
    </xf>
    <xf numFmtId="0" fontId="27" fillId="0" borderId="20" xfId="0" applyFont="1" applyBorder="1" applyAlignment="1">
      <alignment vertical="top" wrapText="1"/>
    </xf>
    <xf numFmtId="0" fontId="23" fillId="0" borderId="51" xfId="0" applyFont="1" applyBorder="1" applyAlignment="1">
      <alignment vertical="top" wrapText="1"/>
    </xf>
    <xf numFmtId="0" fontId="23" fillId="0" borderId="52" xfId="0" applyFont="1" applyBorder="1" applyAlignment="1">
      <alignment vertical="top" wrapText="1"/>
    </xf>
    <xf numFmtId="0" fontId="23" fillId="0" borderId="20" xfId="0" applyFont="1" applyBorder="1" applyAlignment="1">
      <alignment vertical="top" wrapText="1"/>
    </xf>
    <xf numFmtId="0" fontId="23" fillId="0" borderId="10" xfId="0" applyFont="1" applyBorder="1" applyAlignment="1">
      <alignment vertical="top" wrapText="1"/>
    </xf>
    <xf numFmtId="0" fontId="23" fillId="0" borderId="11" xfId="0" applyFont="1" applyBorder="1" applyAlignment="1">
      <alignment vertical="top" wrapText="1"/>
    </xf>
    <xf numFmtId="0" fontId="23" fillId="0" borderId="12" xfId="0" applyFont="1" applyBorder="1" applyAlignment="1">
      <alignment vertical="top" wrapText="1"/>
    </xf>
    <xf numFmtId="0" fontId="27" fillId="0" borderId="10" xfId="0" applyFont="1" applyBorder="1" applyAlignment="1">
      <alignment vertical="center"/>
    </xf>
    <xf numFmtId="0" fontId="27" fillId="0" borderId="11" xfId="0" applyFont="1" applyBorder="1" applyAlignment="1">
      <alignment vertical="center"/>
    </xf>
    <xf numFmtId="0" fontId="22" fillId="0" borderId="50" xfId="0" applyFont="1" applyBorder="1" applyAlignment="1">
      <alignment horizontal="center" vertical="top" wrapText="1"/>
    </xf>
    <xf numFmtId="0" fontId="22" fillId="0" borderId="26" xfId="0" applyFont="1" applyBorder="1" applyAlignment="1">
      <alignment horizontal="center" vertical="top" wrapText="1"/>
    </xf>
    <xf numFmtId="0" fontId="27" fillId="0" borderId="11" xfId="0" applyFont="1" applyBorder="1" applyAlignment="1">
      <alignment vertical="center" wrapText="1"/>
    </xf>
    <xf numFmtId="0" fontId="27" fillId="0" borderId="12" xfId="0" applyFont="1" applyBorder="1" applyAlignment="1">
      <alignment vertical="center" wrapText="1"/>
    </xf>
    <xf numFmtId="0" fontId="88" fillId="31" borderId="0" xfId="42" applyFont="1" applyFill="1" applyAlignment="1">
      <alignment horizontal="center" vertical="center"/>
    </xf>
    <xf numFmtId="0" fontId="15" fillId="0" borderId="0" xfId="0" applyFont="1" applyFill="1" applyBorder="1" applyAlignment="1">
      <alignment horizontal="left" vertical="top" wrapText="1"/>
    </xf>
    <xf numFmtId="0" fontId="15" fillId="0" borderId="23" xfId="0" applyFont="1" applyFill="1" applyBorder="1" applyAlignment="1">
      <alignment horizontal="left" vertical="top" wrapText="1"/>
    </xf>
    <xf numFmtId="170" fontId="13" fillId="0" borderId="0" xfId="42" applyNumberFormat="1" applyFont="1" applyFill="1" applyAlignment="1">
      <alignment horizontal="left"/>
    </xf>
    <xf numFmtId="21" fontId="10" fillId="0" borderId="0" xfId="42" applyNumberFormat="1" applyFill="1" applyAlignment="1">
      <alignment horizontal="left"/>
    </xf>
    <xf numFmtId="0" fontId="10" fillId="0" borderId="66" xfId="42" applyFill="1" applyBorder="1" applyAlignment="1">
      <alignment horizontal="left" wrapText="1"/>
    </xf>
    <xf numFmtId="0" fontId="10" fillId="0" borderId="67" xfId="42" applyFill="1" applyBorder="1" applyAlignment="1">
      <alignment horizontal="left" wrapText="1"/>
    </xf>
    <xf numFmtId="0" fontId="88" fillId="37" borderId="0" xfId="42" applyFont="1" applyFill="1" applyAlignment="1">
      <alignment horizontal="center" vertical="center"/>
    </xf>
    <xf numFmtId="0" fontId="10" fillId="0" borderId="0" xfId="42" applyAlignment="1">
      <alignment wrapText="1"/>
    </xf>
    <xf numFmtId="0" fontId="13" fillId="0" borderId="0" xfId="42" applyFont="1" applyAlignment="1">
      <alignment wrapText="1"/>
    </xf>
    <xf numFmtId="0" fontId="13" fillId="36" borderId="0" xfId="42" applyFont="1" applyFill="1" applyAlignment="1">
      <alignment horizontal="center"/>
    </xf>
    <xf numFmtId="0" fontId="13" fillId="33" borderId="0" xfId="42" applyFont="1" applyFill="1" applyAlignment="1">
      <alignment horizontal="center"/>
    </xf>
    <xf numFmtId="0" fontId="13" fillId="34" borderId="0" xfId="42" applyFont="1" applyFill="1" applyAlignment="1">
      <alignment horizontal="center"/>
    </xf>
    <xf numFmtId="0" fontId="10" fillId="0" borderId="0" xfId="0" applyFont="1" applyFill="1" applyAlignment="1">
      <alignment horizontal="left" vertical="top" wrapText="1"/>
    </xf>
    <xf numFmtId="0" fontId="13" fillId="0" borderId="23" xfId="42" applyFont="1" applyBorder="1" applyAlignment="1">
      <alignment horizontal="left"/>
    </xf>
    <xf numFmtId="14" fontId="10" fillId="0" borderId="0" xfId="42" applyNumberFormat="1" applyAlignment="1"/>
    <xf numFmtId="0" fontId="10" fillId="0" borderId="0" xfId="42" applyAlignment="1"/>
    <xf numFmtId="0" fontId="13" fillId="0" borderId="0" xfId="42" applyFont="1" applyAlignment="1">
      <alignment horizontal="left"/>
    </xf>
    <xf numFmtId="166" fontId="13" fillId="0" borderId="0" xfId="42" applyNumberFormat="1" applyFont="1" applyAlignment="1">
      <alignment horizontal="left"/>
    </xf>
    <xf numFmtId="166" fontId="10" fillId="0" borderId="0" xfId="42" applyNumberFormat="1" applyAlignment="1">
      <alignment horizontal="left"/>
    </xf>
    <xf numFmtId="2" fontId="10" fillId="0" borderId="0" xfId="42" applyNumberFormat="1" applyAlignment="1"/>
    <xf numFmtId="0" fontId="10" fillId="0" borderId="15" xfId="42" applyBorder="1" applyAlignment="1"/>
    <xf numFmtId="172" fontId="21" fillId="0" borderId="0" xfId="42" applyNumberFormat="1" applyFont="1" applyAlignment="1">
      <alignment horizontal="left"/>
    </xf>
    <xf numFmtId="14" fontId="21" fillId="0" borderId="0" xfId="42" applyNumberFormat="1" applyFont="1" applyAlignment="1">
      <alignment horizontal="left"/>
    </xf>
    <xf numFmtId="0" fontId="10" fillId="0" borderId="0" xfId="42" applyAlignment="1">
      <alignment horizontal="left"/>
    </xf>
    <xf numFmtId="170" fontId="13" fillId="0" borderId="0" xfId="42" applyNumberFormat="1" applyFont="1" applyAlignment="1">
      <alignment horizontal="center"/>
    </xf>
    <xf numFmtId="21" fontId="10" fillId="0" borderId="0" xfId="42" applyNumberFormat="1" applyAlignment="1">
      <alignment horizontal="left"/>
    </xf>
  </cellXfs>
  <cellStyles count="208">
    <cellStyle name="20% - Accent1" xfId="1" builtinId="30" customBuiltin="1"/>
    <cellStyle name="20% - Accent1 2" xfId="45"/>
    <cellStyle name="20% - Accent1 3" xfId="72"/>
    <cellStyle name="20% - Accent1 4" xfId="101"/>
    <cellStyle name="20% - Accent2" xfId="2" builtinId="34" customBuiltin="1"/>
    <cellStyle name="20% - Accent2 2" xfId="46"/>
    <cellStyle name="20% - Accent2 3" xfId="73"/>
    <cellStyle name="20% - Accent2 4" xfId="102"/>
    <cellStyle name="20% - Accent3" xfId="3" builtinId="38" customBuiltin="1"/>
    <cellStyle name="20% - Accent3 2" xfId="47"/>
    <cellStyle name="20% - Accent3 3" xfId="74"/>
    <cellStyle name="20% - Accent3 4" xfId="103"/>
    <cellStyle name="20% - Accent4" xfId="4" builtinId="42" customBuiltin="1"/>
    <cellStyle name="20% - Accent4 2" xfId="48"/>
    <cellStyle name="20% - Accent4 3" xfId="75"/>
    <cellStyle name="20% - Accent4 4" xfId="104"/>
    <cellStyle name="20% - Accent5" xfId="5" builtinId="46" customBuiltin="1"/>
    <cellStyle name="20% - Accent5 2" xfId="49"/>
    <cellStyle name="20% - Accent5 3" xfId="76"/>
    <cellStyle name="20% - Accent5 4" xfId="105"/>
    <cellStyle name="20% - Accent6" xfId="6" builtinId="50" customBuiltin="1"/>
    <cellStyle name="20% - Accent6 2" xfId="50"/>
    <cellStyle name="20% - Accent6 3" xfId="77"/>
    <cellStyle name="20% - Accent6 4" xfId="106"/>
    <cellStyle name="40% - Accent1" xfId="7" builtinId="31" customBuiltin="1"/>
    <cellStyle name="40% - Accent1 2" xfId="51"/>
    <cellStyle name="40% - Accent1 3" xfId="78"/>
    <cellStyle name="40% - Accent1 4" xfId="107"/>
    <cellStyle name="40% - Accent2" xfId="8" builtinId="35" customBuiltin="1"/>
    <cellStyle name="40% - Accent2 2" xfId="52"/>
    <cellStyle name="40% - Accent2 3" xfId="79"/>
    <cellStyle name="40% - Accent2 4" xfId="108"/>
    <cellStyle name="40% - Accent3" xfId="9" builtinId="39" customBuiltin="1"/>
    <cellStyle name="40% - Accent3 2" xfId="53"/>
    <cellStyle name="40% - Accent3 3" xfId="80"/>
    <cellStyle name="40% - Accent3 4" xfId="109"/>
    <cellStyle name="40% - Accent4" xfId="10" builtinId="43" customBuiltin="1"/>
    <cellStyle name="40% - Accent4 2" xfId="54"/>
    <cellStyle name="40% - Accent4 3" xfId="81"/>
    <cellStyle name="40% - Accent4 4" xfId="110"/>
    <cellStyle name="40% - Accent5" xfId="11" builtinId="47" customBuiltin="1"/>
    <cellStyle name="40% - Accent5 2" xfId="55"/>
    <cellStyle name="40% - Accent5 3" xfId="82"/>
    <cellStyle name="40% - Accent5 4" xfId="111"/>
    <cellStyle name="40% - Accent6" xfId="12" builtinId="51" customBuiltin="1"/>
    <cellStyle name="40% - Accent6 2" xfId="56"/>
    <cellStyle name="40% - Accent6 3" xfId="83"/>
    <cellStyle name="40% - Accent6 4" xfId="112"/>
    <cellStyle name="60% - Accent1" xfId="13" builtinId="32" customBuiltin="1"/>
    <cellStyle name="60% - Accent1 2" xfId="57"/>
    <cellStyle name="60% - Accent1 3" xfId="84"/>
    <cellStyle name="60% - Accent1 4" xfId="113"/>
    <cellStyle name="60% - Accent2" xfId="14" builtinId="36" customBuiltin="1"/>
    <cellStyle name="60% - Accent2 2" xfId="58"/>
    <cellStyle name="60% - Accent2 3" xfId="85"/>
    <cellStyle name="60% - Accent2 4" xfId="114"/>
    <cellStyle name="60% - Accent3" xfId="15" builtinId="40" customBuiltin="1"/>
    <cellStyle name="60% - Accent3 2" xfId="59"/>
    <cellStyle name="60% - Accent3 3" xfId="86"/>
    <cellStyle name="60% - Accent3 4" xfId="115"/>
    <cellStyle name="60% - Accent4" xfId="16" builtinId="44" customBuiltin="1"/>
    <cellStyle name="60% - Accent4 2" xfId="60"/>
    <cellStyle name="60% - Accent4 3" xfId="87"/>
    <cellStyle name="60% - Accent4 4" xfId="116"/>
    <cellStyle name="60% - Accent5" xfId="17" builtinId="48" customBuiltin="1"/>
    <cellStyle name="60% - Accent5 2" xfId="61"/>
    <cellStyle name="60% - Accent5 3" xfId="88"/>
    <cellStyle name="60% - Accent5 4" xfId="117"/>
    <cellStyle name="60% - Accent6" xfId="18" builtinId="52" customBuiltin="1"/>
    <cellStyle name="60% - Accent6 2" xfId="62"/>
    <cellStyle name="60% - Accent6 3" xfId="89"/>
    <cellStyle name="60% - Accent6 4" xfId="118"/>
    <cellStyle name="Accent1" xfId="19" builtinId="29" customBuiltin="1"/>
    <cellStyle name="Accent1 2" xfId="63"/>
    <cellStyle name="Accent1 3" xfId="90"/>
    <cellStyle name="Accent1 4" xfId="119"/>
    <cellStyle name="Accent2" xfId="20" builtinId="33" customBuiltin="1"/>
    <cellStyle name="Accent2 2" xfId="64"/>
    <cellStyle name="Accent2 3" xfId="91"/>
    <cellStyle name="Accent2 4" xfId="120"/>
    <cellStyle name="Accent3" xfId="21" builtinId="37" customBuiltin="1"/>
    <cellStyle name="Accent3 2" xfId="65"/>
    <cellStyle name="Accent3 3" xfId="92"/>
    <cellStyle name="Accent3 4" xfId="121"/>
    <cellStyle name="Accent4" xfId="22" builtinId="41" customBuiltin="1"/>
    <cellStyle name="Accent4 2" xfId="66"/>
    <cellStyle name="Accent4 3" xfId="93"/>
    <cellStyle name="Accent4 4" xfId="122"/>
    <cellStyle name="Accent5" xfId="23" builtinId="45" customBuiltin="1"/>
    <cellStyle name="Accent5 2" xfId="67"/>
    <cellStyle name="Accent5 3" xfId="94"/>
    <cellStyle name="Accent5 4" xfId="123"/>
    <cellStyle name="Accent6" xfId="24" builtinId="49" customBuiltin="1"/>
    <cellStyle name="Accent6 2" xfId="68"/>
    <cellStyle name="Accent6 3" xfId="95"/>
    <cellStyle name="Accent6 4" xfId="124"/>
    <cellStyle name="Bad" xfId="25"/>
    <cellStyle name="Calculation" xfId="26"/>
    <cellStyle name="Check Cell" xfId="27"/>
    <cellStyle name="Explanatory Text" xfId="28"/>
    <cellStyle name="Good" xfId="29"/>
    <cellStyle name="Heading 1" xfId="30"/>
    <cellStyle name="Heading 2" xfId="31"/>
    <cellStyle name="Heading 3" xfId="32"/>
    <cellStyle name="Heading 4" xfId="33"/>
    <cellStyle name="Input" xfId="34"/>
    <cellStyle name="Linked Cell" xfId="35"/>
    <cellStyle name="Neutral" xfId="36"/>
    <cellStyle name="Normal" xfId="0" builtinId="0"/>
    <cellStyle name="Normal 2" xfId="43"/>
    <cellStyle name="Note" xfId="37"/>
    <cellStyle name="Output" xfId="38"/>
    <cellStyle name="Standaard 10" xfId="133"/>
    <cellStyle name="Standaard 10 2" xfId="152"/>
    <cellStyle name="Standaard 10 2 2" xfId="196"/>
    <cellStyle name="Standaard 10 3" xfId="177"/>
    <cellStyle name="Standaard 11" xfId="158"/>
    <cellStyle name="Standaard 11 2" xfId="202"/>
    <cellStyle name="Standaard 2" xfId="42"/>
    <cellStyle name="Standaard 3" xfId="44"/>
    <cellStyle name="Standaard 3 2" xfId="96"/>
    <cellStyle name="Standaard 3 2 2" xfId="128"/>
    <cellStyle name="Standaard 3 2 2 2" xfId="148"/>
    <cellStyle name="Standaard 3 2 2 2 2" xfId="192"/>
    <cellStyle name="Standaard 3 2 2 3" xfId="173"/>
    <cellStyle name="Standaard 3 2 3" xfId="137"/>
    <cellStyle name="Standaard 3 2 3 2" xfId="156"/>
    <cellStyle name="Standaard 3 2 3 2 2" xfId="200"/>
    <cellStyle name="Standaard 3 2 3 3" xfId="181"/>
    <cellStyle name="Standaard 3 2 4" xfId="142"/>
    <cellStyle name="Standaard 3 2 4 2" xfId="186"/>
    <cellStyle name="Standaard 3 2 5" xfId="162"/>
    <cellStyle name="Standaard 3 2 5 2" xfId="206"/>
    <cellStyle name="Standaard 3 2 6" xfId="167"/>
    <cellStyle name="Standaard 3 3" xfId="125"/>
    <cellStyle name="Standaard 3 3 2" xfId="145"/>
    <cellStyle name="Standaard 3 3 2 2" xfId="189"/>
    <cellStyle name="Standaard 3 3 3" xfId="170"/>
    <cellStyle name="Standaard 3 4" xfId="132"/>
    <cellStyle name="Standaard 3 4 2" xfId="151"/>
    <cellStyle name="Standaard 3 4 2 2" xfId="195"/>
    <cellStyle name="Standaard 3 4 3" xfId="176"/>
    <cellStyle name="Standaard 3 5" xfId="134"/>
    <cellStyle name="Standaard 3 5 2" xfId="153"/>
    <cellStyle name="Standaard 3 5 2 2" xfId="197"/>
    <cellStyle name="Standaard 3 5 3" xfId="178"/>
    <cellStyle name="Standaard 3 6" xfId="139"/>
    <cellStyle name="Standaard 3 6 2" xfId="183"/>
    <cellStyle name="Standaard 3 7" xfId="159"/>
    <cellStyle name="Standaard 3 7 2" xfId="203"/>
    <cellStyle name="Standaard 3 8" xfId="164"/>
    <cellStyle name="Standaard 4" xfId="69"/>
    <cellStyle name="Standaard 4 2" xfId="97"/>
    <cellStyle name="Standaard 4 2 2" xfId="129"/>
    <cellStyle name="Standaard 4 2 2 2" xfId="149"/>
    <cellStyle name="Standaard 4 2 2 2 2" xfId="193"/>
    <cellStyle name="Standaard 4 2 2 3" xfId="174"/>
    <cellStyle name="Standaard 4 2 3" xfId="138"/>
    <cellStyle name="Standaard 4 2 3 2" xfId="157"/>
    <cellStyle name="Standaard 4 2 3 2 2" xfId="201"/>
    <cellStyle name="Standaard 4 2 3 3" xfId="182"/>
    <cellStyle name="Standaard 4 2 4" xfId="143"/>
    <cellStyle name="Standaard 4 2 4 2" xfId="187"/>
    <cellStyle name="Standaard 4 2 5" xfId="163"/>
    <cellStyle name="Standaard 4 2 5 2" xfId="207"/>
    <cellStyle name="Standaard 4 2 6" xfId="168"/>
    <cellStyle name="Standaard 4 3" xfId="126"/>
    <cellStyle name="Standaard 4 3 2" xfId="146"/>
    <cellStyle name="Standaard 4 3 2 2" xfId="190"/>
    <cellStyle name="Standaard 4 3 3" xfId="171"/>
    <cellStyle name="Standaard 4 4" xfId="135"/>
    <cellStyle name="Standaard 4 4 2" xfId="154"/>
    <cellStyle name="Standaard 4 4 2 2" xfId="198"/>
    <cellStyle name="Standaard 4 4 3" xfId="179"/>
    <cellStyle name="Standaard 4 5" xfId="140"/>
    <cellStyle name="Standaard 4 5 2" xfId="184"/>
    <cellStyle name="Standaard 4 6" xfId="160"/>
    <cellStyle name="Standaard 4 6 2" xfId="204"/>
    <cellStyle name="Standaard 4 7" xfId="165"/>
    <cellStyle name="Standaard 5" xfId="71"/>
    <cellStyle name="Standaard 5 2" xfId="98"/>
    <cellStyle name="Standaard 6" xfId="70"/>
    <cellStyle name="Standaard 6 2" xfId="127"/>
    <cellStyle name="Standaard 6 2 2" xfId="147"/>
    <cellStyle name="Standaard 6 2 2 2" xfId="191"/>
    <cellStyle name="Standaard 6 2 3" xfId="172"/>
    <cellStyle name="Standaard 6 3" xfId="136"/>
    <cellStyle name="Standaard 6 3 2" xfId="155"/>
    <cellStyle name="Standaard 6 3 2 2" xfId="199"/>
    <cellStyle name="Standaard 6 3 3" xfId="180"/>
    <cellStyle name="Standaard 6 4" xfId="141"/>
    <cellStyle name="Standaard 6 4 2" xfId="185"/>
    <cellStyle name="Standaard 6 5" xfId="161"/>
    <cellStyle name="Standaard 6 5 2" xfId="205"/>
    <cellStyle name="Standaard 6 6" xfId="166"/>
    <cellStyle name="Standaard 7" xfId="100"/>
    <cellStyle name="Standaard 7 2" xfId="130"/>
    <cellStyle name="Standaard 8" xfId="99"/>
    <cellStyle name="Standaard 8 2" xfId="144"/>
    <cellStyle name="Standaard 8 2 2" xfId="188"/>
    <cellStyle name="Standaard 8 3" xfId="169"/>
    <cellStyle name="Standaard 9" xfId="131"/>
    <cellStyle name="Standaard 9 2" xfId="150"/>
    <cellStyle name="Standaard 9 2 2" xfId="194"/>
    <cellStyle name="Standaard 9 3" xfId="175"/>
    <cellStyle name="Title" xfId="39"/>
    <cellStyle name="Total" xfId="40"/>
    <cellStyle name="Warning Text" xfId="41"/>
  </cellStyles>
  <dxfs count="40">
    <dxf>
      <font>
        <b/>
        <i val="0"/>
        <condense val="0"/>
        <extend val="0"/>
      </font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ill>
        <patternFill>
          <bgColor theme="3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 patternType="solid">
          <bgColor rgb="FFFFFF66"/>
        </patternFill>
      </fill>
      <border>
        <left/>
        <right/>
        <top/>
        <bottom/>
      </border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CCFFCC"/>
      <color rgb="FFFFFF99"/>
      <color rgb="FFFFFF66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5" Type="http://schemas.openxmlformats.org/officeDocument/2006/relationships/worksheet" Target="worksheets/sheet5.xml"/><Relationship Id="rId61" Type="http://schemas.openxmlformats.org/officeDocument/2006/relationships/styles" Target="style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theme" Target="theme/theme1.xml"/><Relationship Id="rId65" Type="http://schemas.microsoft.com/office/2006/relationships/attachedToolbars" Target="attachedToolbars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ctrlProps/ctrlProp1.xml><?xml version="1.0" encoding="utf-8"?>
<formControlPr xmlns="http://schemas.microsoft.com/office/spreadsheetml/2009/9/main" objectType="Drop" dropStyle="combo" dx="16" fmlaLink="ber_IVmed!$B$3" fmlaRange="tblMedicationContIV" sel="1" val="0"/>
</file>

<file path=xl/ctrlProps/ctrlProp2.xml><?xml version="1.0" encoding="utf-8"?>
<formControlPr xmlns="http://schemas.microsoft.com/office/spreadsheetml/2009/9/main" objectType="Drop" dropStyle="combo" dx="16" fmlaLink="ber_IVmed!$B$4" fmlaRange="tblMedicationContIV" sel="1" val="0"/>
</file>

<file path=xl/ctrlProps/ctrlProp3.xml><?xml version="1.0" encoding="utf-8"?>
<formControlPr xmlns="http://schemas.microsoft.com/office/spreadsheetml/2009/9/main" objectType="Drop" dropStyle="combo" dx="16" fmlaLink="ber_IVmed!$B$5" fmlaRange="tblMedicationContIV" sel="1" val="0"/>
</file>

<file path=xl/ctrlProps/ctrlProp4.xml><?xml version="1.0" encoding="utf-8"?>
<formControlPr xmlns="http://schemas.microsoft.com/office/spreadsheetml/2009/9/main" objectType="Drop" dropStyle="combo" dx="16" fmlaLink="ber_IVmed!$B$6" fmlaRange="tblMedicationContIV" sel="1" val="0"/>
</file>

<file path=xl/ctrlProps/ctrlProp5.xml><?xml version="1.0" encoding="utf-8"?>
<formControlPr xmlns="http://schemas.microsoft.com/office/spreadsheetml/2009/9/main" objectType="Drop" dropStyle="combo" dx="16" fmlaLink="ber_IVmed!$B$7" fmlaRange="tblMedicationContIV" sel="1" val="0"/>
</file>

<file path=xl/ctrlProps/ctrlProp6.xml><?xml version="1.0" encoding="utf-8"?>
<formControlPr xmlns="http://schemas.microsoft.com/office/spreadsheetml/2009/9/main" objectType="Drop" dropStyle="combo" dx="16" fmlaLink="ber_IVmed!$B$8" fmlaRange="tblMedicationContIV" sel="1" val="0"/>
</file>

<file path=xl/ctrlProps/ctrlProp7.xml><?xml version="1.0" encoding="utf-8"?>
<formControlPr xmlns="http://schemas.microsoft.com/office/spreadsheetml/2009/9/main" objectType="Drop" dropStyle="combo" dx="16" fmlaLink="ber_IVmed!$B$9" fmlaRange="tblMedicationContIV" sel="1" val="0"/>
</file>

<file path=xl/ctrlProps/ctrlProp8.xml><?xml version="1.0" encoding="utf-8"?>
<formControlPr xmlns="http://schemas.microsoft.com/office/spreadsheetml/2009/9/main" objectType="Drop" dropStyle="combo" dx="16" fmlaLink="ber_IVmed!$B$10" fmlaRange="tblMedicationContIV" sel="1" val="0"/>
</file>

<file path=xl/ctrlProps/ctrlProp9.xml><?xml version="1.0" encoding="utf-8"?>
<formControlPr xmlns="http://schemas.microsoft.com/office/spreadsheetml/2009/9/main" objectType="Drop" dropStyle="combo" dx="16" fmlaLink="ber_IVmed!$B$11" fmlaRange="tblMedicationContIV" sel="1" val="0"/>
</file>

<file path=xl/ctrlProps/ctrlProp10.xml><?xml version="1.0" encoding="utf-8"?>
<formControlPr xmlns="http://schemas.microsoft.com/office/spreadsheetml/2009/9/main" objectType="Drop" dropStyle="combo" dx="16" fmlaLink="ber_IVmed!$I$3" fmlaRange="tblOplossing" sel="1" val="0"/>
</file>

<file path=xl/ctrlProps/ctrlProp11.xml><?xml version="1.0" encoding="utf-8"?>
<formControlPr xmlns="http://schemas.microsoft.com/office/spreadsheetml/2009/9/main" objectType="Drop" dropStyle="combo" dx="16" fmlaLink="ber_IVmed!$I$4" fmlaRange="tblOplossing" sel="1" val="0"/>
</file>

<file path=xl/ctrlProps/ctrlProp12.xml><?xml version="1.0" encoding="utf-8"?>
<formControlPr xmlns="http://schemas.microsoft.com/office/spreadsheetml/2009/9/main" objectType="Drop" dropStyle="combo" dx="16" fmlaLink="ber_IVmed!$I$5" fmlaRange="tblOplossing" sel="1" val="0"/>
</file>

<file path=xl/ctrlProps/ctrlProp13.xml><?xml version="1.0" encoding="utf-8"?>
<formControlPr xmlns="http://schemas.microsoft.com/office/spreadsheetml/2009/9/main" objectType="Drop" dropStyle="combo" dx="16" fmlaLink="ber_IVmed!$I$6" fmlaRange="tblOplossing" sel="1" val="0"/>
</file>

<file path=xl/ctrlProps/ctrlProp14.xml><?xml version="1.0" encoding="utf-8"?>
<formControlPr xmlns="http://schemas.microsoft.com/office/spreadsheetml/2009/9/main" objectType="Drop" dropStyle="combo" dx="16" fmlaLink="ber_IVmed!$I$7" fmlaRange="tblOplossing" sel="1" val="0"/>
</file>

<file path=xl/ctrlProps/ctrlProp15.xml><?xml version="1.0" encoding="utf-8"?>
<formControlPr xmlns="http://schemas.microsoft.com/office/spreadsheetml/2009/9/main" objectType="Drop" dropStyle="combo" dx="16" fmlaLink="ber_IVmed!$I$8" fmlaRange="tblOplossing" sel="1" val="0"/>
</file>

<file path=xl/ctrlProps/ctrlProp16.xml><?xml version="1.0" encoding="utf-8"?>
<formControlPr xmlns="http://schemas.microsoft.com/office/spreadsheetml/2009/9/main" objectType="Drop" dropStyle="combo" dx="16" fmlaLink="ber_IVmed!$I$9" fmlaRange="tblOplossing" sel="1" val="0"/>
</file>

<file path=xl/ctrlProps/ctrlProp17.xml><?xml version="1.0" encoding="utf-8"?>
<formControlPr xmlns="http://schemas.microsoft.com/office/spreadsheetml/2009/9/main" objectType="Drop" dropStyle="combo" dx="16" fmlaLink="ber_IVmed!$I$10" fmlaRange="tblOplossing" sel="1" val="0"/>
</file>

<file path=xl/ctrlProps/ctrlProp18.xml><?xml version="1.0" encoding="utf-8"?>
<formControlPr xmlns="http://schemas.microsoft.com/office/spreadsheetml/2009/9/main" objectType="Drop" dropStyle="combo" dx="16" fmlaLink="ber_IVmed!$I$11" fmlaRange="tblOplossing" sel="1" val="0"/>
</file>

<file path=xl/ctrlProps/ctrlProp19.xml><?xml version="1.0" encoding="utf-8"?>
<formControlPr xmlns="http://schemas.microsoft.com/office/spreadsheetml/2009/9/main" objectType="Drop" dropStyle="combo" dx="16" fmlaLink="ber_IVmed!$I$15" fmlaRange="tblOplossing" sel="1" val="0"/>
</file>

<file path=xl/ctrlProps/ctrlProp20.xml><?xml version="1.0" encoding="utf-8"?>
<formControlPr xmlns="http://schemas.microsoft.com/office/spreadsheetml/2009/9/main" objectType="Drop" dropStyle="combo" dx="16" fmlaLink="ber_IVmed!$I$13" fmlaRange="oplossing" sel="0" val="0"/>
</file>

<file path=xl/ctrlProps/ctrlProp21.xml><?xml version="1.0" encoding="utf-8"?>
<formControlPr xmlns="http://schemas.microsoft.com/office/spreadsheetml/2009/9/main" objectType="Drop" dropStyle="combo" dx="16" fmlaLink="ber_IVmed!$I$14" fmlaRange="oplossing" sel="0" val="0"/>
</file>

<file path=xl/ctrlProps/ctrlProp22.xml><?xml version="1.0" encoding="utf-8"?>
<formControlPr xmlns="http://schemas.microsoft.com/office/spreadsheetml/2009/9/main" objectType="Spin" dx="15" fmlaLink="ber_IVmed!$E$15" max="100" min="1" page="10"/>
</file>

<file path=xl/ctrlProps/ctrlProp23.xml><?xml version="1.0" encoding="utf-8"?>
<formControlPr xmlns="http://schemas.microsoft.com/office/spreadsheetml/2009/9/main" objectType="Drop" dropStyle="combo" dx="16" fmlaLink="ber_IVmed!$I$16" fmlaRange="tblOplossing" sel="1" val="0"/>
</file>

<file path=xl/ctrlProps/ctrlProp24.xml><?xml version="1.0" encoding="utf-8"?>
<formControlPr xmlns="http://schemas.microsoft.com/office/spreadsheetml/2009/9/main" objectType="Spin" dx="15" fmlaLink="ber_IVmed!$E$16" max="100" min="1" page="10"/>
</file>

<file path=xl/ctrlProps/ctrlProp25.xml><?xml version="1.0" encoding="utf-8"?>
<formControlPr xmlns="http://schemas.microsoft.com/office/spreadsheetml/2009/9/main" objectType="Drop" dropStyle="combo" dx="16" fmlaLink="ber_IVmed!$I$17" fmlaRange="tblOplossing" sel="1" val="0"/>
</file>

<file path=xl/ctrlProps/ctrlProp26.xml><?xml version="1.0" encoding="utf-8"?>
<formControlPr xmlns="http://schemas.microsoft.com/office/spreadsheetml/2009/9/main" objectType="Spin" dx="15" fmlaLink="ber_IVmed!$E$17" max="100" min="1" page="10"/>
</file>

<file path=xl/ctrlProps/ctrlProp27.xml><?xml version="1.0" encoding="utf-8"?>
<formControlPr xmlns="http://schemas.microsoft.com/office/spreadsheetml/2009/9/main" objectType="Spin" dx="15" fmlaLink="ber_IVmed!$J$15" max="500" page="10" val="0"/>
</file>

<file path=xl/ctrlProps/ctrlProp28.xml><?xml version="1.0" encoding="utf-8"?>
<formControlPr xmlns="http://schemas.microsoft.com/office/spreadsheetml/2009/9/main" objectType="Spin" dx="15" fmlaLink="ber_IVmed!$J$16" max="500" page="10" val="0"/>
</file>

<file path=xl/ctrlProps/ctrlProp29.xml><?xml version="1.0" encoding="utf-8"?>
<formControlPr xmlns="http://schemas.microsoft.com/office/spreadsheetml/2009/9/main" objectType="Spin" dx="15" fmlaLink="ber_IVmed!$J$17" max="500" page="10" val="0"/>
</file>

<file path=xl/ctrlProps/ctrlProp30.xml><?xml version="1.0" encoding="utf-8"?>
<formControlPr xmlns="http://schemas.microsoft.com/office/spreadsheetml/2009/9/main" objectType="Drop" dropStyle="combo" dx="16" fmlaLink="ber_IVmed!$I$13" fmlaRange="tblOplossing" sel="1" val="0"/>
</file>

<file path=xl/ctrlProps/ctrlProp31.xml><?xml version="1.0" encoding="utf-8"?>
<formControlPr xmlns="http://schemas.microsoft.com/office/spreadsheetml/2009/9/main" objectType="Spin" dx="15" fmlaLink="ber_IVmed!$E$13" max="100" min="1" page="10"/>
</file>

<file path=xl/ctrlProps/ctrlProp32.xml><?xml version="1.0" encoding="utf-8"?>
<formControlPr xmlns="http://schemas.microsoft.com/office/spreadsheetml/2009/9/main" objectType="Spin" dx="15" fmlaLink="ber_IVmed!$J$13" max="500" page="10" val="0"/>
</file>

<file path=xl/ctrlProps/ctrlProp33.xml><?xml version="1.0" encoding="utf-8"?>
<formControlPr xmlns="http://schemas.microsoft.com/office/spreadsheetml/2009/9/main" objectType="Drop" dropStyle="combo" dx="16" fmlaLink="ber_IVmed!$I$14" fmlaRange="tblOplossing" sel="1" val="0"/>
</file>

<file path=xl/ctrlProps/ctrlProp34.xml><?xml version="1.0" encoding="utf-8"?>
<formControlPr xmlns="http://schemas.microsoft.com/office/spreadsheetml/2009/9/main" objectType="Spin" dx="15" fmlaLink="ber_IVmed!$E$14" max="100" min="1" page="10"/>
</file>

<file path=xl/ctrlProps/ctrlProp35.xml><?xml version="1.0" encoding="utf-8"?>
<formControlPr xmlns="http://schemas.microsoft.com/office/spreadsheetml/2009/9/main" objectType="Spin" dx="15" fmlaLink="ber_IVmed!$J$14" max="500" page="10" val="0"/>
</file>

<file path=xl/ctrlProps/ctrlProp36.xml><?xml version="1.0" encoding="utf-8"?>
<formControlPr xmlns="http://schemas.microsoft.com/office/spreadsheetml/2009/9/main" objectType="Drop" dropStyle="combo" dx="16" fmlaLink="ber_IVmed!$B$12" fmlaRange="tblMedicationContIV" sel="1" val="0"/>
</file>

<file path=xl/ctrlProps/ctrlProp37.xml><?xml version="1.0" encoding="utf-8"?>
<formControlPr xmlns="http://schemas.microsoft.com/office/spreadsheetml/2009/9/main" objectType="Drop" dropStyle="combo" dx="16" fmlaLink="ber_IVmed!$I$12" fmlaRange="tblOplossing" sel="1" val="0"/>
</file>

<file path=xl/ctrlProps/ctrlProp38.xml><?xml version="1.0" encoding="utf-8"?>
<formControlPr xmlns="http://schemas.microsoft.com/office/spreadsheetml/2009/9/main" objectType="Spin" dx="15" fmlaLink="ber_IVmed!$J$4" max="1000" page="10" val="0"/>
</file>

<file path=xl/ctrlProps/ctrlProp39.xml><?xml version="1.0" encoding="utf-8"?>
<formControlPr xmlns="http://schemas.microsoft.com/office/spreadsheetml/2009/9/main" objectType="Spin" dx="15" fmlaLink="ber_IVmed!$J$5" max="1000" page="10" val="0"/>
</file>

<file path=xl/ctrlProps/ctrlProp40.xml><?xml version="1.0" encoding="utf-8"?>
<formControlPr xmlns="http://schemas.microsoft.com/office/spreadsheetml/2009/9/main" objectType="Spin" dx="15" fmlaLink="ber_IVmed!$J$6" max="1000" page="10" val="0"/>
</file>

<file path=xl/ctrlProps/ctrlProp41.xml><?xml version="1.0" encoding="utf-8"?>
<formControlPr xmlns="http://schemas.microsoft.com/office/spreadsheetml/2009/9/main" objectType="Spin" dx="15" fmlaLink="ber_IVmed!$J$7" max="1000" page="10" val="0"/>
</file>

<file path=xl/ctrlProps/ctrlProp42.xml><?xml version="1.0" encoding="utf-8"?>
<formControlPr xmlns="http://schemas.microsoft.com/office/spreadsheetml/2009/9/main" objectType="Spin" dx="15" fmlaLink="ber_IVmed!$J$8" max="1000" page="10" val="0"/>
</file>

<file path=xl/ctrlProps/ctrlProp43.xml><?xml version="1.0" encoding="utf-8"?>
<formControlPr xmlns="http://schemas.microsoft.com/office/spreadsheetml/2009/9/main" objectType="Spin" dx="15" fmlaLink="ber_IVmed!$J$9" max="1000" page="10" val="0"/>
</file>

<file path=xl/ctrlProps/ctrlProp44.xml><?xml version="1.0" encoding="utf-8"?>
<formControlPr xmlns="http://schemas.microsoft.com/office/spreadsheetml/2009/9/main" objectType="Spin" dx="15" fmlaLink="ber_IVmed!$J$10" max="1000" page="10" val="0"/>
</file>

<file path=xl/ctrlProps/ctrlProp45.xml><?xml version="1.0" encoding="utf-8"?>
<formControlPr xmlns="http://schemas.microsoft.com/office/spreadsheetml/2009/9/main" objectType="Spin" dx="15" fmlaLink="ber_IVmed!$J$11" max="1000" page="10" val="0"/>
</file>

<file path=xl/ctrlProps/ctrlProp46.xml><?xml version="1.0" encoding="utf-8"?>
<formControlPr xmlns="http://schemas.microsoft.com/office/spreadsheetml/2009/9/main" objectType="Spin" dx="15" fmlaLink="ber_IVmed!$J$12" max="1000" page="10" val="0"/>
</file>

<file path=xl/ctrlProps/ctrlProp47.xml><?xml version="1.0" encoding="utf-8"?>
<formControlPr xmlns="http://schemas.microsoft.com/office/spreadsheetml/2009/9/main" objectType="Spin" dx="15" fmlaLink="dbBead!$H$2" max="200" min="25" page="10" val="80"/>
</file>

<file path=xl/ctrlProps/ctrlProp48.xml><?xml version="1.0" encoding="utf-8"?>
<formControlPr xmlns="http://schemas.microsoft.com/office/spreadsheetml/2009/9/main" objectType="Spin" dx="15" fmlaLink="ber_IVmed!$E$4" max="1000" page="10" val="0"/>
</file>

<file path=xl/ctrlProps/ctrlProp49.xml><?xml version="1.0" encoding="utf-8"?>
<formControlPr xmlns="http://schemas.microsoft.com/office/spreadsheetml/2009/9/main" objectType="Spin" dx="15" fmlaLink="ber_IVmed!$E$5" max="1000" page="10" val="0"/>
</file>

<file path=xl/ctrlProps/ctrlProp50.xml><?xml version="1.0" encoding="utf-8"?>
<formControlPr xmlns="http://schemas.microsoft.com/office/spreadsheetml/2009/9/main" objectType="Spin" dx="15" fmlaLink="ber_IVmed!$E$6" max="1000" page="10" val="0"/>
</file>

<file path=xl/ctrlProps/ctrlProp51.xml><?xml version="1.0" encoding="utf-8"?>
<formControlPr xmlns="http://schemas.microsoft.com/office/spreadsheetml/2009/9/main" objectType="Spin" dx="15" fmlaLink="ber_IVmed!$E$7" max="1000" page="10" val="0"/>
</file>

<file path=xl/ctrlProps/ctrlProp52.xml><?xml version="1.0" encoding="utf-8"?>
<formControlPr xmlns="http://schemas.microsoft.com/office/spreadsheetml/2009/9/main" objectType="Spin" dx="15" fmlaLink="ber_IVmed!$E$8" max="1000" page="10" val="0"/>
</file>

<file path=xl/ctrlProps/ctrlProp53.xml><?xml version="1.0" encoding="utf-8"?>
<formControlPr xmlns="http://schemas.microsoft.com/office/spreadsheetml/2009/9/main" objectType="Spin" dx="15" fmlaLink="ber_IVmed!$E$9" max="1000" page="10" val="0"/>
</file>

<file path=xl/ctrlProps/ctrlProp54.xml><?xml version="1.0" encoding="utf-8"?>
<formControlPr xmlns="http://schemas.microsoft.com/office/spreadsheetml/2009/9/main" objectType="Spin" dx="15" fmlaLink="ber_IVmed!$E$10" max="1000" page="10" val="0"/>
</file>

<file path=xl/ctrlProps/ctrlProp55.xml><?xml version="1.0" encoding="utf-8"?>
<formControlPr xmlns="http://schemas.microsoft.com/office/spreadsheetml/2009/9/main" objectType="Spin" dx="15" fmlaLink="ber_IVmed!$E$11" max="1000" page="10" val="0"/>
</file>

<file path=xl/ctrlProps/ctrlProp56.xml><?xml version="1.0" encoding="utf-8"?>
<formControlPr xmlns="http://schemas.microsoft.com/office/spreadsheetml/2009/9/main" objectType="Spin" dx="15" fmlaLink="ber_IVmed!$E$12" max="1000" page="10" val="0"/>
</file>

<file path=xl/ctrlProps/ctrlProp57.xml><?xml version="1.0" encoding="utf-8"?>
<formControlPr xmlns="http://schemas.microsoft.com/office/spreadsheetml/2009/9/main" objectType="Spin" dx="15" fmlaLink="ber_IVmed!$D$6" max="1000" page="10" val="0"/>
</file>

<file path=xl/ctrlProps/ctrlProp58.xml><?xml version="1.0" encoding="utf-8"?>
<formControlPr xmlns="http://schemas.microsoft.com/office/spreadsheetml/2009/9/main" objectType="Spin" dx="15" fmlaLink="ber_IVmed!$D$7" max="1000" page="10" val="0"/>
</file>

<file path=xl/ctrlProps/ctrlProp59.xml><?xml version="1.0" encoding="utf-8"?>
<formControlPr xmlns="http://schemas.microsoft.com/office/spreadsheetml/2009/9/main" objectType="Spin" dx="15" fmlaLink="ber_IVmed!$D$8" max="1000" page="10" val="0"/>
</file>

<file path=xl/ctrlProps/ctrlProp60.xml><?xml version="1.0" encoding="utf-8"?>
<formControlPr xmlns="http://schemas.microsoft.com/office/spreadsheetml/2009/9/main" objectType="Spin" dx="15" fmlaLink="ber_IVmed!$D$9" max="1000" page="10" val="0"/>
</file>

<file path=xl/ctrlProps/ctrlProp61.xml><?xml version="1.0" encoding="utf-8"?>
<formControlPr xmlns="http://schemas.microsoft.com/office/spreadsheetml/2009/9/main" objectType="Spin" dx="15" fmlaLink="ber_IVmed!$D$10" max="1000" page="10" val="0"/>
</file>

<file path=xl/ctrlProps/ctrlProp62.xml><?xml version="1.0" encoding="utf-8"?>
<formControlPr xmlns="http://schemas.microsoft.com/office/spreadsheetml/2009/9/main" objectType="Spin" dx="15" fmlaLink="ber_IVmed!$D$11" max="1000" page="10" val="0"/>
</file>

<file path=xl/ctrlProps/ctrlProp63.xml><?xml version="1.0" encoding="utf-8"?>
<formControlPr xmlns="http://schemas.microsoft.com/office/spreadsheetml/2009/9/main" objectType="Spin" dx="15" fmlaLink="ber_IVmed!$D$12" max="1000" page="10" val="0"/>
</file>

<file path=xl/ctrlProps/ctrlProp64.xml><?xml version="1.0" encoding="utf-8"?>
<formControlPr xmlns="http://schemas.microsoft.com/office/spreadsheetml/2009/9/main" objectType="Spin" dx="15" fmlaLink="ber_IVmed!$E$3" max="1000" page="10" val="0"/>
</file>

<file path=xl/ctrlProps/ctrlProp65.xml><?xml version="1.0" encoding="utf-8"?>
<formControlPr xmlns="http://schemas.microsoft.com/office/spreadsheetml/2009/9/main" objectType="Spin" dx="15" fmlaLink="ber_IVmed!$D$3" max="1000" page="10" val="0"/>
</file>

<file path=xl/ctrlProps/ctrlProp66.xml><?xml version="1.0" encoding="utf-8"?>
<formControlPr xmlns="http://schemas.microsoft.com/office/spreadsheetml/2009/9/main" objectType="Spin" dx="15" fmlaLink="ber_IVmed!$J$3" max="1000" page="10"/>
</file>

<file path=xl/ctrlProps/ctrlProp67.xml><?xml version="1.0" encoding="utf-8"?>
<formControlPr xmlns="http://schemas.microsoft.com/office/spreadsheetml/2009/9/main" objectType="Spin" dx="15" fmlaLink="ber_IVmed!$D$4" max="1000" page="10" val="0"/>
</file>

<file path=xl/ctrlProps/ctrlProp68.xml><?xml version="1.0" encoding="utf-8"?>
<formControlPr xmlns="http://schemas.microsoft.com/office/spreadsheetml/2009/9/main" objectType="Spin" dx="15" fmlaLink="ber_IVmed!$D$5" max="1000" page="10" val="0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Spin" dx="15" fmlaLink="ber_Med_disc!$I$2" max="13" min="1" page="10"/>
</file>

<file path=xl/ctrlProps/ctrlProp80.xml><?xml version="1.0" encoding="utf-8"?>
<formControlPr xmlns="http://schemas.microsoft.com/office/spreadsheetml/2009/9/main" objectType="Spin" dx="15" fmlaLink="ber_Med_disc!$G$2" max="100" page="10" val="0"/>
</file>

<file path=xl/ctrlProps/ctrlProp81.xml><?xml version="1.0" encoding="utf-8"?>
<formControlPr xmlns="http://schemas.microsoft.com/office/spreadsheetml/2009/9/main" objectType="Drop" dropStyle="combo" dx="16" fmlaLink="ber_Med_disc!$O$2" fmlaRange="tblMedDiscOplVl" sel="0" val="0"/>
</file>

<file path=xl/ctrlProps/ctrlProp82.xml><?xml version="1.0" encoding="utf-8"?>
<formControlPr xmlns="http://schemas.microsoft.com/office/spreadsheetml/2009/9/main" objectType="Spin" dx="15" fmlaLink="ber_Med_disc!$N$2" max="30000" page="10" val="0"/>
</file>

<file path=xl/ctrlProps/ctrlProp83.xml><?xml version="1.0" encoding="utf-8"?>
<formControlPr xmlns="http://schemas.microsoft.com/office/spreadsheetml/2009/9/main" objectType="Spin" dx="15" fmlaLink="ber_Med_disc!$G$3" max="100" page="10" val="0"/>
</file>

<file path=xl/ctrlProps/ctrlProp84.xml><?xml version="1.0" encoding="utf-8"?>
<formControlPr xmlns="http://schemas.microsoft.com/office/spreadsheetml/2009/9/main" objectType="Drop" dropStyle="combo" dx="16" fmlaLink="ber_Med_disc!$O$3" fmlaRange="tblMedDiscOplVl" sel="0" val="0"/>
</file>

<file path=xl/ctrlProps/ctrlProp85.xml><?xml version="1.0" encoding="utf-8"?>
<formControlPr xmlns="http://schemas.microsoft.com/office/spreadsheetml/2009/9/main" objectType="Spin" dx="15" fmlaLink="ber_Med_disc!$N$3" max="30000" page="10" val="0"/>
</file>

<file path=xl/ctrlProps/ctrlProp86.xml><?xml version="1.0" encoding="utf-8"?>
<formControlPr xmlns="http://schemas.microsoft.com/office/spreadsheetml/2009/9/main" objectType="Spin" dx="15" fmlaLink="ber_Med_disc!$I$4" max="13" min="1" page="10"/>
</file>

<file path=xl/ctrlProps/ctrlProp87.xml><?xml version="1.0" encoding="utf-8"?>
<formControlPr xmlns="http://schemas.microsoft.com/office/spreadsheetml/2009/9/main" objectType="Spin" dx="15" fmlaLink="ber_Med_disc!$G$4" max="100" page="10" val="0"/>
</file>

<file path=xl/ctrlProps/ctrlProp88.xml><?xml version="1.0" encoding="utf-8"?>
<formControlPr xmlns="http://schemas.microsoft.com/office/spreadsheetml/2009/9/main" objectType="Drop" dropStyle="combo" dx="16" fmlaLink="ber_Med_disc!$O$4" fmlaRange="ber_Med_disc!$B$27:$B$30" sel="0" val="0"/>
</file>

<file path=xl/ctrlProps/ctrlProp89.xml><?xml version="1.0" encoding="utf-8"?>
<formControlPr xmlns="http://schemas.microsoft.com/office/spreadsheetml/2009/9/main" objectType="Spin" dx="15" fmlaLink="ber_Med_disc!$N$4" max="30000" page="10" val="0"/>
</file>

<file path=xl/ctrlProps/ctrlProp90.xml><?xml version="1.0" encoding="utf-8"?>
<formControlPr xmlns="http://schemas.microsoft.com/office/spreadsheetml/2009/9/main" objectType="Spin" dx="15" fmlaLink="ber_Med_disc!$I$5" max="13" min="1" page="10"/>
</file>

<file path=xl/ctrlProps/ctrlProp91.xml><?xml version="1.0" encoding="utf-8"?>
<formControlPr xmlns="http://schemas.microsoft.com/office/spreadsheetml/2009/9/main" objectType="Spin" dx="15" fmlaLink="ber_Med_disc!$G$5" max="100" page="10" val="0"/>
</file>

<file path=xl/ctrlProps/ctrlProp92.xml><?xml version="1.0" encoding="utf-8"?>
<formControlPr xmlns="http://schemas.microsoft.com/office/spreadsheetml/2009/9/main" objectType="Drop" dropStyle="combo" dx="16" fmlaLink="ber_Med_disc!$O$5" fmlaRange="tblMedDiscOplVl" sel="0" val="0"/>
</file>

<file path=xl/ctrlProps/ctrlProp93.xml><?xml version="1.0" encoding="utf-8"?>
<formControlPr xmlns="http://schemas.microsoft.com/office/spreadsheetml/2009/9/main" objectType="Spin" dx="15" fmlaLink="ber_Med_disc!$N$5" max="30000" page="10" val="0"/>
</file>

<file path=xl/ctrlProps/ctrlProp94.xml><?xml version="1.0" encoding="utf-8"?>
<formControlPr xmlns="http://schemas.microsoft.com/office/spreadsheetml/2009/9/main" objectType="Spin" dx="15" fmlaLink="ber_Med_disc!$I$6" max="13" min="1" page="10"/>
</file>

<file path=xl/ctrlProps/ctrlProp95.xml><?xml version="1.0" encoding="utf-8"?>
<formControlPr xmlns="http://schemas.microsoft.com/office/spreadsheetml/2009/9/main" objectType="Spin" dx="15" fmlaLink="ber_Med_disc!$G$6" max="100" page="10" val="0"/>
</file>

<file path=xl/ctrlProps/ctrlProp96.xml><?xml version="1.0" encoding="utf-8"?>
<formControlPr xmlns="http://schemas.microsoft.com/office/spreadsheetml/2009/9/main" objectType="Drop" dropStyle="combo" dx="16" fmlaLink="ber_Med_disc!$O$6" fmlaRange="tblMedDiscOplVl" sel="0" val="0"/>
</file>

<file path=xl/ctrlProps/ctrlProp97.xml><?xml version="1.0" encoding="utf-8"?>
<formControlPr xmlns="http://schemas.microsoft.com/office/spreadsheetml/2009/9/main" objectType="Spin" dx="15" fmlaLink="ber_Med_disc!$N$6" max="30000" page="10" val="0"/>
</file>

<file path=xl/ctrlProps/ctrlProp98.xml><?xml version="1.0" encoding="utf-8"?>
<formControlPr xmlns="http://schemas.microsoft.com/office/spreadsheetml/2009/9/main" objectType="Spin" dx="15" fmlaLink="ber_Med_disc!$I$7" max="13" min="1" page="10"/>
</file>

<file path=xl/ctrlProps/ctrlProp99.xml><?xml version="1.0" encoding="utf-8"?>
<formControlPr xmlns="http://schemas.microsoft.com/office/spreadsheetml/2009/9/main" objectType="Spin" dx="15" fmlaLink="ber_Med_disc!$G$7" max="100" page="10" val="0"/>
</file>

<file path=xl/ctrlProps/ctrlProp100.xml><?xml version="1.0" encoding="utf-8"?>
<formControlPr xmlns="http://schemas.microsoft.com/office/spreadsheetml/2009/9/main" objectType="Drop" dropStyle="combo" dx="16" fmlaLink="ber_Med_disc!$O$7" fmlaRange="tblMedDiscOplVl" sel="0" val="0"/>
</file>

<file path=xl/ctrlProps/ctrlProp101.xml><?xml version="1.0" encoding="utf-8"?>
<formControlPr xmlns="http://schemas.microsoft.com/office/spreadsheetml/2009/9/main" objectType="Spin" dx="15" fmlaLink="ber_Med_disc!$N$7" max="30000" page="10" val="0"/>
</file>

<file path=xl/ctrlProps/ctrlProp102.xml><?xml version="1.0" encoding="utf-8"?>
<formControlPr xmlns="http://schemas.microsoft.com/office/spreadsheetml/2009/9/main" objectType="Spin" dx="15" fmlaLink="ber_Med_disc!$I$8" max="13" min="1" page="10"/>
</file>

<file path=xl/ctrlProps/ctrlProp103.xml><?xml version="1.0" encoding="utf-8"?>
<formControlPr xmlns="http://schemas.microsoft.com/office/spreadsheetml/2009/9/main" objectType="Spin" dx="15" fmlaLink="ber_Med_disc!$G$8" max="100" page="10" val="0"/>
</file>

<file path=xl/ctrlProps/ctrlProp104.xml><?xml version="1.0" encoding="utf-8"?>
<formControlPr xmlns="http://schemas.microsoft.com/office/spreadsheetml/2009/9/main" objectType="Drop" dropStyle="combo" dx="16" fmlaLink="ber_Med_disc!$O$8" fmlaRange="tblMedDiscOplVl" sel="0" val="0"/>
</file>

<file path=xl/ctrlProps/ctrlProp105.xml><?xml version="1.0" encoding="utf-8"?>
<formControlPr xmlns="http://schemas.microsoft.com/office/spreadsheetml/2009/9/main" objectType="Spin" dx="15" fmlaLink="ber_Med_disc!$N$8" max="30000" page="10" val="0"/>
</file>

<file path=xl/ctrlProps/ctrlProp106.xml><?xml version="1.0" encoding="utf-8"?>
<formControlPr xmlns="http://schemas.microsoft.com/office/spreadsheetml/2009/9/main" objectType="Spin" dx="15" fmlaLink="ber_Med_disc!$I$9" max="13" min="1" page="10"/>
</file>

<file path=xl/ctrlProps/ctrlProp107.xml><?xml version="1.0" encoding="utf-8"?>
<formControlPr xmlns="http://schemas.microsoft.com/office/spreadsheetml/2009/9/main" objectType="Spin" dx="15" fmlaLink="ber_Med_disc!$G$9" max="100" page="10" val="0"/>
</file>

<file path=xl/ctrlProps/ctrlProp108.xml><?xml version="1.0" encoding="utf-8"?>
<formControlPr xmlns="http://schemas.microsoft.com/office/spreadsheetml/2009/9/main" objectType="Drop" dropStyle="combo" dx="16" fmlaLink="ber_Med_disc!$O$9" fmlaRange="tblMedDiscOplVl" sel="0" val="0"/>
</file>

<file path=xl/ctrlProps/ctrlProp109.xml><?xml version="1.0" encoding="utf-8"?>
<formControlPr xmlns="http://schemas.microsoft.com/office/spreadsheetml/2009/9/main" objectType="Spin" dx="15" fmlaLink="ber_Med_disc!$N$9" max="30000" page="10" val="0"/>
</file>

<file path=xl/ctrlProps/ctrlProp110.xml><?xml version="1.0" encoding="utf-8"?>
<formControlPr xmlns="http://schemas.microsoft.com/office/spreadsheetml/2009/9/main" objectType="Spin" dx="15" fmlaLink="ber_Med_disc!$I$10" max="13" min="1" page="10"/>
</file>

<file path=xl/ctrlProps/ctrlProp111.xml><?xml version="1.0" encoding="utf-8"?>
<formControlPr xmlns="http://schemas.microsoft.com/office/spreadsheetml/2009/9/main" objectType="Spin" dx="15" fmlaLink="ber_Med_disc!$G$10" max="100" page="10" val="0"/>
</file>

<file path=xl/ctrlProps/ctrlProp112.xml><?xml version="1.0" encoding="utf-8"?>
<formControlPr xmlns="http://schemas.microsoft.com/office/spreadsheetml/2009/9/main" objectType="Drop" dropStyle="combo" dx="16" fmlaLink="ber_Med_disc!$O$10" fmlaRange="tblMedDiscOplVl" sel="0" val="0"/>
</file>

<file path=xl/ctrlProps/ctrlProp113.xml><?xml version="1.0" encoding="utf-8"?>
<formControlPr xmlns="http://schemas.microsoft.com/office/spreadsheetml/2009/9/main" objectType="Spin" dx="15" fmlaLink="ber_Med_disc!$N$10" max="30000" page="10" val="0"/>
</file>

<file path=xl/ctrlProps/ctrlProp114.xml><?xml version="1.0" encoding="utf-8"?>
<formControlPr xmlns="http://schemas.microsoft.com/office/spreadsheetml/2009/9/main" objectType="Spin" dx="15" fmlaLink="ber_Med_disc!$I$11" max="13" min="1" page="10"/>
</file>

<file path=xl/ctrlProps/ctrlProp115.xml><?xml version="1.0" encoding="utf-8"?>
<formControlPr xmlns="http://schemas.microsoft.com/office/spreadsheetml/2009/9/main" objectType="Spin" dx="15" fmlaLink="ber_Med_disc!$G$11" max="100" page="10" val="0"/>
</file>

<file path=xl/ctrlProps/ctrlProp116.xml><?xml version="1.0" encoding="utf-8"?>
<formControlPr xmlns="http://schemas.microsoft.com/office/spreadsheetml/2009/9/main" objectType="Drop" dropStyle="combo" dx="16" fmlaLink="ber_Med_disc!$O$11" fmlaRange="tblMedDiscOplVl" sel="0" val="0"/>
</file>

<file path=xl/ctrlProps/ctrlProp117.xml><?xml version="1.0" encoding="utf-8"?>
<formControlPr xmlns="http://schemas.microsoft.com/office/spreadsheetml/2009/9/main" objectType="Spin" dx="15" fmlaLink="ber_Med_disc!$N$11" max="30000" page="10" val="0"/>
</file>

<file path=xl/ctrlProps/ctrlProp118.xml><?xml version="1.0" encoding="utf-8"?>
<formControlPr xmlns="http://schemas.microsoft.com/office/spreadsheetml/2009/9/main" objectType="Spin" dx="15" fmlaLink="ber_Med_disc!$I$12" max="13" min="1" page="10"/>
</file>

<file path=xl/ctrlProps/ctrlProp119.xml><?xml version="1.0" encoding="utf-8"?>
<formControlPr xmlns="http://schemas.microsoft.com/office/spreadsheetml/2009/9/main" objectType="Spin" dx="15" fmlaLink="ber_Med_disc!$G$12" max="100" page="10" val="0"/>
</file>

<file path=xl/ctrlProps/ctrlProp120.xml><?xml version="1.0" encoding="utf-8"?>
<formControlPr xmlns="http://schemas.microsoft.com/office/spreadsheetml/2009/9/main" objectType="Drop" dropStyle="combo" dx="16" fmlaLink="ber_Med_disc!$O$12" fmlaRange="tblMedDiscOplVl" sel="0" val="0"/>
</file>

<file path=xl/ctrlProps/ctrlProp121.xml><?xml version="1.0" encoding="utf-8"?>
<formControlPr xmlns="http://schemas.microsoft.com/office/spreadsheetml/2009/9/main" objectType="Spin" dx="15" fmlaLink="ber_Med_disc!$N$12" max="30000" page="10" val="0"/>
</file>

<file path=xl/ctrlProps/ctrlProp122.xml><?xml version="1.0" encoding="utf-8"?>
<formControlPr xmlns="http://schemas.microsoft.com/office/spreadsheetml/2009/9/main" objectType="Spin" dx="15" fmlaLink="ber_Med_disc!$I$13" max="13" min="1" page="10"/>
</file>

<file path=xl/ctrlProps/ctrlProp123.xml><?xml version="1.0" encoding="utf-8"?>
<formControlPr xmlns="http://schemas.microsoft.com/office/spreadsheetml/2009/9/main" objectType="Spin" dx="15" fmlaLink="ber_Med_disc!$G$13" max="100" page="10" val="0"/>
</file>

<file path=xl/ctrlProps/ctrlProp124.xml><?xml version="1.0" encoding="utf-8"?>
<formControlPr xmlns="http://schemas.microsoft.com/office/spreadsheetml/2009/9/main" objectType="Drop" dropStyle="combo" dx="16" fmlaLink="ber_Med_disc!$O$13" fmlaRange="tblMedDiscOplVl" sel="0" val="0"/>
</file>

<file path=xl/ctrlProps/ctrlProp125.xml><?xml version="1.0" encoding="utf-8"?>
<formControlPr xmlns="http://schemas.microsoft.com/office/spreadsheetml/2009/9/main" objectType="Spin" dx="15" fmlaLink="ber_Med_disc!$N$13" max="30000" page="10" val="0"/>
</file>

<file path=xl/ctrlProps/ctrlProp126.xml><?xml version="1.0" encoding="utf-8"?>
<formControlPr xmlns="http://schemas.microsoft.com/office/spreadsheetml/2009/9/main" objectType="Spin" dx="15" fmlaLink="ber_Med_disc!$I$14" max="13" min="1" page="10"/>
</file>

<file path=xl/ctrlProps/ctrlProp127.xml><?xml version="1.0" encoding="utf-8"?>
<formControlPr xmlns="http://schemas.microsoft.com/office/spreadsheetml/2009/9/main" objectType="Spin" dx="15" fmlaLink="ber_Med_disc!$G$14" max="100" page="10" val="0"/>
</file>

<file path=xl/ctrlProps/ctrlProp128.xml><?xml version="1.0" encoding="utf-8"?>
<formControlPr xmlns="http://schemas.microsoft.com/office/spreadsheetml/2009/9/main" objectType="Drop" dropStyle="combo" dx="16" fmlaLink="ber_Med_disc!$O$14" fmlaRange="tblMedDiscOplVl" sel="0" val="0"/>
</file>

<file path=xl/ctrlProps/ctrlProp129.xml><?xml version="1.0" encoding="utf-8"?>
<formControlPr xmlns="http://schemas.microsoft.com/office/spreadsheetml/2009/9/main" objectType="Spin" dx="15" fmlaLink="ber_Med_disc!$N$14" max="30000" page="10" val="0"/>
</file>

<file path=xl/ctrlProps/ctrlProp130.xml><?xml version="1.0" encoding="utf-8"?>
<formControlPr xmlns="http://schemas.microsoft.com/office/spreadsheetml/2009/9/main" objectType="Spin" dx="15" fmlaLink="ber_Med_disc!$I$15" max="13" min="1" page="10"/>
</file>

<file path=xl/ctrlProps/ctrlProp131.xml><?xml version="1.0" encoding="utf-8"?>
<formControlPr xmlns="http://schemas.microsoft.com/office/spreadsheetml/2009/9/main" objectType="Spin" dx="15" fmlaLink="ber_Med_disc!$G$15" max="100" page="10" val="0"/>
</file>

<file path=xl/ctrlProps/ctrlProp132.xml><?xml version="1.0" encoding="utf-8"?>
<formControlPr xmlns="http://schemas.microsoft.com/office/spreadsheetml/2009/9/main" objectType="Drop" dropStyle="combo" dx="16" fmlaLink="ber_Med_disc!$O$15" fmlaRange="tblMedDiscOplVl" sel="0" val="0"/>
</file>

<file path=xl/ctrlProps/ctrlProp133.xml><?xml version="1.0" encoding="utf-8"?>
<formControlPr xmlns="http://schemas.microsoft.com/office/spreadsheetml/2009/9/main" objectType="Spin" dx="15" fmlaLink="ber_Med_disc!$N$15" max="30000" page="10" val="0"/>
</file>

<file path=xl/ctrlProps/ctrlProp134.xml><?xml version="1.0" encoding="utf-8"?>
<formControlPr xmlns="http://schemas.microsoft.com/office/spreadsheetml/2009/9/main" objectType="Spin" dx="15" fmlaLink="ber_Med_disc!$I$16" max="13" min="1" page="10"/>
</file>

<file path=xl/ctrlProps/ctrlProp135.xml><?xml version="1.0" encoding="utf-8"?>
<formControlPr xmlns="http://schemas.microsoft.com/office/spreadsheetml/2009/9/main" objectType="Spin" dx="15" fmlaLink="ber_Med_disc!$G$16" max="100" page="10" val="0"/>
</file>

<file path=xl/ctrlProps/ctrlProp136.xml><?xml version="1.0" encoding="utf-8"?>
<formControlPr xmlns="http://schemas.microsoft.com/office/spreadsheetml/2009/9/main" objectType="Drop" dropStyle="combo" dx="16" fmlaLink="ber_Med_disc!$O$16" fmlaRange="tblMedDiscOplVl" sel="0" val="0"/>
</file>

<file path=xl/ctrlProps/ctrlProp137.xml><?xml version="1.0" encoding="utf-8"?>
<formControlPr xmlns="http://schemas.microsoft.com/office/spreadsheetml/2009/9/main" objectType="Spin" dx="15" fmlaLink="ber_Med_disc!$N$16" max="30000" page="10" val="0"/>
</file>

<file path=xl/ctrlProps/ctrlProp138.xml><?xml version="1.0" encoding="utf-8"?>
<formControlPr xmlns="http://schemas.microsoft.com/office/spreadsheetml/2009/9/main" objectType="Spin" dx="15" fmlaLink="ber_Med_disc!$I$17" max="13" min="1" page="10"/>
</file>

<file path=xl/ctrlProps/ctrlProp139.xml><?xml version="1.0" encoding="utf-8"?>
<formControlPr xmlns="http://schemas.microsoft.com/office/spreadsheetml/2009/9/main" objectType="Spin" dx="15" fmlaLink="ber_Med_disc!$G$17" max="1000" page="10" val="0"/>
</file>

<file path=xl/ctrlProps/ctrlProp140.xml><?xml version="1.0" encoding="utf-8"?>
<formControlPr xmlns="http://schemas.microsoft.com/office/spreadsheetml/2009/9/main" objectType="Drop" dropStyle="combo" dx="16" fmlaLink="ber_Med_disc!$O$17" fmlaRange="tblMedDiscOplVl" sel="0" val="0"/>
</file>

<file path=xl/ctrlProps/ctrlProp141.xml><?xml version="1.0" encoding="utf-8"?>
<formControlPr xmlns="http://schemas.microsoft.com/office/spreadsheetml/2009/9/main" objectType="Spin" dx="15" fmlaLink="ber_Med_disc!$N$17" max="30000" page="10" val="0"/>
</file>

<file path=xl/ctrlProps/ctrlProp142.xml><?xml version="1.0" encoding="utf-8"?>
<formControlPr xmlns="http://schemas.microsoft.com/office/spreadsheetml/2009/9/main" objectType="Spin" dx="15" fmlaLink="ber_Med_disc!$I$18" max="13" min="1" page="10"/>
</file>

<file path=xl/ctrlProps/ctrlProp143.xml><?xml version="1.0" encoding="utf-8"?>
<formControlPr xmlns="http://schemas.microsoft.com/office/spreadsheetml/2009/9/main" objectType="Spin" dx="15" fmlaLink="ber_Med_disc!$G$18" max="1000" page="10" val="0"/>
</file>

<file path=xl/ctrlProps/ctrlProp144.xml><?xml version="1.0" encoding="utf-8"?>
<formControlPr xmlns="http://schemas.microsoft.com/office/spreadsheetml/2009/9/main" objectType="Drop" dropStyle="combo" dx="16" fmlaLink="ber_Med_disc!$O$18" fmlaRange="tblMedDiscOplVl" sel="0" val="0"/>
</file>

<file path=xl/ctrlProps/ctrlProp145.xml><?xml version="1.0" encoding="utf-8"?>
<formControlPr xmlns="http://schemas.microsoft.com/office/spreadsheetml/2009/9/main" objectType="Spin" dx="15" fmlaLink="ber_Med_disc!$N$18" max="30000" page="10" val="0"/>
</file>

<file path=xl/ctrlProps/ctrlProp146.xml><?xml version="1.0" encoding="utf-8"?>
<formControlPr xmlns="http://schemas.microsoft.com/office/spreadsheetml/2009/9/main" objectType="Spin" dx="15" fmlaLink="ber_Med_disc!$I$19" max="13" min="1" page="10"/>
</file>

<file path=xl/ctrlProps/ctrlProp147.xml><?xml version="1.0" encoding="utf-8"?>
<formControlPr xmlns="http://schemas.microsoft.com/office/spreadsheetml/2009/9/main" objectType="Spin" dx="15" fmlaLink="ber_Med_disc!$G$19" max="1000" page="10" val="0"/>
</file>

<file path=xl/ctrlProps/ctrlProp148.xml><?xml version="1.0" encoding="utf-8"?>
<formControlPr xmlns="http://schemas.microsoft.com/office/spreadsheetml/2009/9/main" objectType="Drop" dropStyle="combo" dx="16" fmlaLink="ber_Med_disc!$O$19" fmlaRange="tblMedDiscOplVl" sel="0" val="0"/>
</file>

<file path=xl/ctrlProps/ctrlProp149.xml><?xml version="1.0" encoding="utf-8"?>
<formControlPr xmlns="http://schemas.microsoft.com/office/spreadsheetml/2009/9/main" objectType="Spin" dx="15" fmlaLink="ber_Med_disc!$N$19" max="30000" page="10" val="0"/>
</file>

<file path=xl/ctrlProps/ctrlProp150.xml><?xml version="1.0" encoding="utf-8"?>
<formControlPr xmlns="http://schemas.microsoft.com/office/spreadsheetml/2009/9/main" objectType="Spin" dx="15" fmlaLink="ber_Med_disc!$I$20" max="13" min="1" page="10"/>
</file>

<file path=xl/ctrlProps/ctrlProp151.xml><?xml version="1.0" encoding="utf-8"?>
<formControlPr xmlns="http://schemas.microsoft.com/office/spreadsheetml/2009/9/main" objectType="Spin" dx="15" fmlaLink="ber_Med_disc!$G$20" max="1000" page="10" val="0"/>
</file>

<file path=xl/ctrlProps/ctrlProp152.xml><?xml version="1.0" encoding="utf-8"?>
<formControlPr xmlns="http://schemas.microsoft.com/office/spreadsheetml/2009/9/main" objectType="Drop" dropStyle="combo" dx="16" fmlaLink="ber_Med_disc!$O$20" fmlaRange="tblMedDiscOplVl" sel="0" val="0"/>
</file>

<file path=xl/ctrlProps/ctrlProp153.xml><?xml version="1.0" encoding="utf-8"?>
<formControlPr xmlns="http://schemas.microsoft.com/office/spreadsheetml/2009/9/main" objectType="Spin" dx="15" fmlaLink="ber_Med_disc!$N$20" max="30000" page="10" val="0"/>
</file>

<file path=xl/ctrlProps/ctrlProp154.xml><?xml version="1.0" encoding="utf-8"?>
<formControlPr xmlns="http://schemas.microsoft.com/office/spreadsheetml/2009/9/main" objectType="Spin" dx="15" fmlaLink="ber_Med_disc!$I$21" max="13" min="1" page="10"/>
</file>

<file path=xl/ctrlProps/ctrlProp155.xml><?xml version="1.0" encoding="utf-8"?>
<formControlPr xmlns="http://schemas.microsoft.com/office/spreadsheetml/2009/9/main" objectType="Spin" dx="15" fmlaLink="ber_Med_disc!$G$21" max="1000" page="10" val="0"/>
</file>

<file path=xl/ctrlProps/ctrlProp156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157.xml><?xml version="1.0" encoding="utf-8"?>
<formControlPr xmlns="http://schemas.microsoft.com/office/spreadsheetml/2009/9/main" objectType="Spin" dx="15" fmlaLink="ber_Med_disc!$N$21" max="30000" page="10" val="0"/>
</file>

<file path=xl/ctrlProps/ctrlProp158.xml><?xml version="1.0" encoding="utf-8"?>
<formControlPr xmlns="http://schemas.microsoft.com/office/spreadsheetml/2009/9/main" objectType="Spin" dx="15" fmlaLink="ber_Med_disc!$I$3" max="13" min="1" page="10"/>
</file>

<file path=xl/ctrlProps/ctrlProp159.xml><?xml version="1.0" encoding="utf-8"?>
<formControlPr xmlns="http://schemas.microsoft.com/office/spreadsheetml/2009/9/main" objectType="Spin" dx="15" fmlaLink="ber_Med_disc!$Q$2" inc="5" max="1440" page="10" val="0"/>
</file>

<file path=xl/ctrlProps/ctrlProp160.xml><?xml version="1.0" encoding="utf-8"?>
<formControlPr xmlns="http://schemas.microsoft.com/office/spreadsheetml/2009/9/main" objectType="Spin" dx="15" fmlaLink="ber_Med_disc!$Q$3" inc="5" max="1440" page="10" val="0"/>
</file>

<file path=xl/ctrlProps/ctrlProp161.xml><?xml version="1.0" encoding="utf-8"?>
<formControlPr xmlns="http://schemas.microsoft.com/office/spreadsheetml/2009/9/main" objectType="Spin" dx="15" fmlaLink="ber_Med_disc!$Q$4" inc="5" max="1440" page="10" val="0"/>
</file>

<file path=xl/ctrlProps/ctrlProp162.xml><?xml version="1.0" encoding="utf-8"?>
<formControlPr xmlns="http://schemas.microsoft.com/office/spreadsheetml/2009/9/main" objectType="Spin" dx="15" fmlaLink="ber_Med_disc!$Q$5" inc="5" max="1440" page="10" val="0"/>
</file>

<file path=xl/ctrlProps/ctrlProp163.xml><?xml version="1.0" encoding="utf-8"?>
<formControlPr xmlns="http://schemas.microsoft.com/office/spreadsheetml/2009/9/main" objectType="Spin" dx="15" fmlaLink="ber_Med_disc!$Q$6" inc="5" max="1440" page="10" val="0"/>
</file>

<file path=xl/ctrlProps/ctrlProp164.xml><?xml version="1.0" encoding="utf-8"?>
<formControlPr xmlns="http://schemas.microsoft.com/office/spreadsheetml/2009/9/main" objectType="Spin" dx="15" fmlaLink="ber_Med_disc!$Q$7" inc="5" max="1440" page="10" val="0"/>
</file>

<file path=xl/ctrlProps/ctrlProp165.xml><?xml version="1.0" encoding="utf-8"?>
<formControlPr xmlns="http://schemas.microsoft.com/office/spreadsheetml/2009/9/main" objectType="Spin" dx="15" fmlaLink="ber_Med_disc!$Q$8" inc="5" max="1440" page="10" val="0"/>
</file>

<file path=xl/ctrlProps/ctrlProp166.xml><?xml version="1.0" encoding="utf-8"?>
<formControlPr xmlns="http://schemas.microsoft.com/office/spreadsheetml/2009/9/main" objectType="Spin" dx="15" fmlaLink="ber_Med_disc!$Q$9" inc="5" max="1440" page="10" val="0"/>
</file>

<file path=xl/ctrlProps/ctrlProp167.xml><?xml version="1.0" encoding="utf-8"?>
<formControlPr xmlns="http://schemas.microsoft.com/office/spreadsheetml/2009/9/main" objectType="Spin" dx="15" fmlaLink="ber_Med_disc!$Q$10" inc="5" max="1440" page="10" val="0"/>
</file>

<file path=xl/ctrlProps/ctrlProp168.xml><?xml version="1.0" encoding="utf-8"?>
<formControlPr xmlns="http://schemas.microsoft.com/office/spreadsheetml/2009/9/main" objectType="Spin" dx="15" fmlaLink="ber_Med_disc!$Q$11" inc="5" max="1440" page="10" val="0"/>
</file>

<file path=xl/ctrlProps/ctrlProp169.xml><?xml version="1.0" encoding="utf-8"?>
<formControlPr xmlns="http://schemas.microsoft.com/office/spreadsheetml/2009/9/main" objectType="Spin" dx="15" fmlaLink="ber_Med_disc!$Q$12" inc="5" max="1440" page="10" val="0"/>
</file>

<file path=xl/ctrlProps/ctrlProp170.xml><?xml version="1.0" encoding="utf-8"?>
<formControlPr xmlns="http://schemas.microsoft.com/office/spreadsheetml/2009/9/main" objectType="Spin" dx="15" fmlaLink="ber_Med_disc!$Q$13" inc="5" max="1440" page="10" val="0"/>
</file>

<file path=xl/ctrlProps/ctrlProp171.xml><?xml version="1.0" encoding="utf-8"?>
<formControlPr xmlns="http://schemas.microsoft.com/office/spreadsheetml/2009/9/main" objectType="Spin" dx="15" fmlaLink="ber_Med_disc!$Q$14" inc="5" max="1440" page="10" val="0"/>
</file>

<file path=xl/ctrlProps/ctrlProp172.xml><?xml version="1.0" encoding="utf-8"?>
<formControlPr xmlns="http://schemas.microsoft.com/office/spreadsheetml/2009/9/main" objectType="Spin" dx="15" fmlaLink="ber_Med_disc!$Q$15" inc="5" max="1440" page="10" val="0"/>
</file>

<file path=xl/ctrlProps/ctrlProp173.xml><?xml version="1.0" encoding="utf-8"?>
<formControlPr xmlns="http://schemas.microsoft.com/office/spreadsheetml/2009/9/main" objectType="Spin" dx="15" fmlaLink="ber_Med_disc!$Q$16" inc="5" max="1440" page="10" val="0"/>
</file>

<file path=xl/ctrlProps/ctrlProp174.xml><?xml version="1.0" encoding="utf-8"?>
<formControlPr xmlns="http://schemas.microsoft.com/office/spreadsheetml/2009/9/main" objectType="Spin" dx="15" fmlaLink="ber_Med_disc!$Q$17" inc="5" max="1440" page="10" val="0"/>
</file>

<file path=xl/ctrlProps/ctrlProp175.xml><?xml version="1.0" encoding="utf-8"?>
<formControlPr xmlns="http://schemas.microsoft.com/office/spreadsheetml/2009/9/main" objectType="Spin" dx="15" fmlaLink="ber_Med_disc!$Q$18" inc="5" max="1440" page="10" val="0"/>
</file>

<file path=xl/ctrlProps/ctrlProp176.xml><?xml version="1.0" encoding="utf-8"?>
<formControlPr xmlns="http://schemas.microsoft.com/office/spreadsheetml/2009/9/main" objectType="Spin" dx="15" fmlaLink="ber_Med_disc!$Q$19" inc="5" max="1440" page="10" val="0"/>
</file>

<file path=xl/ctrlProps/ctrlProp177.xml><?xml version="1.0" encoding="utf-8"?>
<formControlPr xmlns="http://schemas.microsoft.com/office/spreadsheetml/2009/9/main" objectType="Spin" dx="15" fmlaLink="ber_Med_disc!$Q$20" inc="5" max="1440" page="10" val="0"/>
</file>

<file path=xl/ctrlProps/ctrlProp178.xml><?xml version="1.0" encoding="utf-8"?>
<formControlPr xmlns="http://schemas.microsoft.com/office/spreadsheetml/2009/9/main" objectType="Spin" dx="15" fmlaLink="ber_Med_disc!$Q$21" inc="5" max="1440" page="10" val="0"/>
</file>

<file path=xl/ctrlProps/ctrlProp179.xml><?xml version="1.0" encoding="utf-8"?>
<formControlPr xmlns="http://schemas.microsoft.com/office/spreadsheetml/2009/9/main" objectType="Drop" dropStyle="combo" dx="16" fmlaLink="ber_Med_disc!$O$4" fmlaRange="tblMedDiscOplVl" sel="0" val="0"/>
</file>

<file path=xl/ctrlProps/ctrlProp180.xml><?xml version="1.0" encoding="utf-8"?>
<formControlPr xmlns="http://schemas.microsoft.com/office/spreadsheetml/2009/9/main" objectType="Spin" dx="15" fmlaLink="dbBead!$H$2" max="200" min="25" page="10" val="80"/>
</file>

<file path=xl/ctrlProps/ctrlProp181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182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183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184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185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186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187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188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189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190.xml><?xml version="1.0" encoding="utf-8"?>
<formControlPr xmlns="http://schemas.microsoft.com/office/spreadsheetml/2009/9/main" objectType="Drop" dropStyle="combo" dx="16" fmlaLink="ber_Med_disc!$O$22" fmlaRange="tblMedDiscOplVl" sel="0" val="0"/>
</file>

<file path=xl/ctrlProps/ctrlProp191.xml><?xml version="1.0" encoding="utf-8"?>
<formControlPr xmlns="http://schemas.microsoft.com/office/spreadsheetml/2009/9/main" objectType="Spin" dx="15" fmlaLink="ber_Med_disc!$I$22" max="13" min="1" page="10"/>
</file>

<file path=xl/ctrlProps/ctrlProp192.xml><?xml version="1.0" encoding="utf-8"?>
<formControlPr xmlns="http://schemas.microsoft.com/office/spreadsheetml/2009/9/main" objectType="Spin" dx="15" fmlaLink="ber_Med_disc!$G$22" max="1000" page="10" val="0"/>
</file>

<file path=xl/ctrlProps/ctrlProp193.xml><?xml version="1.0" encoding="utf-8"?>
<formControlPr xmlns="http://schemas.microsoft.com/office/spreadsheetml/2009/9/main" objectType="Spin" dx="15" fmlaLink="ber_Med_disc!$N$22" max="30000" page="10" val="0"/>
</file>

<file path=xl/ctrlProps/ctrlProp194.xml><?xml version="1.0" encoding="utf-8"?>
<formControlPr xmlns="http://schemas.microsoft.com/office/spreadsheetml/2009/9/main" objectType="Spin" dx="15" fmlaLink="ber_Med_disc!$Q$22" inc="5" max="1440" page="10" val="0"/>
</file>

<file path=xl/ctrlProps/ctrlProp195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196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197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198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199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00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01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02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03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04.xml><?xml version="1.0" encoding="utf-8"?>
<formControlPr xmlns="http://schemas.microsoft.com/office/spreadsheetml/2009/9/main" objectType="Drop" dropStyle="combo" dx="16" fmlaLink="ber_Med_disc!$O$23" fmlaRange="tblMedDiscOplVl" sel="0" val="0"/>
</file>

<file path=xl/ctrlProps/ctrlProp205.xml><?xml version="1.0" encoding="utf-8"?>
<formControlPr xmlns="http://schemas.microsoft.com/office/spreadsheetml/2009/9/main" objectType="Spin" dx="15" fmlaLink="ber_Med_disc!$I$23" max="13" min="1" page="10"/>
</file>

<file path=xl/ctrlProps/ctrlProp206.xml><?xml version="1.0" encoding="utf-8"?>
<formControlPr xmlns="http://schemas.microsoft.com/office/spreadsheetml/2009/9/main" objectType="Spin" dx="15" fmlaLink="ber_Med_disc!$G$23" max="1000" page="10" val="0"/>
</file>

<file path=xl/ctrlProps/ctrlProp207.xml><?xml version="1.0" encoding="utf-8"?>
<formControlPr xmlns="http://schemas.microsoft.com/office/spreadsheetml/2009/9/main" objectType="Spin" dx="15" fmlaLink="ber_Med_disc!$N$23" max="30000" page="10" val="0"/>
</file>

<file path=xl/ctrlProps/ctrlProp208.xml><?xml version="1.0" encoding="utf-8"?>
<formControlPr xmlns="http://schemas.microsoft.com/office/spreadsheetml/2009/9/main" objectType="Spin" dx="15" fmlaLink="ber_Med_disc!$Q$23" inc="5" max="1440" page="10" val="0"/>
</file>

<file path=xl/ctrlProps/ctrlProp209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10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11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12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13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14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15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16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17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18.xml><?xml version="1.0" encoding="utf-8"?>
<formControlPr xmlns="http://schemas.microsoft.com/office/spreadsheetml/2009/9/main" objectType="Drop" dropStyle="combo" dx="16" fmlaLink="ber_Med_disc!$O$24" fmlaRange="tblMedDiscOplVl" sel="0" val="0"/>
</file>

<file path=xl/ctrlProps/ctrlProp219.xml><?xml version="1.0" encoding="utf-8"?>
<formControlPr xmlns="http://schemas.microsoft.com/office/spreadsheetml/2009/9/main" objectType="Spin" dx="15" fmlaLink="ber_Med_disc!$I$24" max="13" min="1" page="10"/>
</file>

<file path=xl/ctrlProps/ctrlProp220.xml><?xml version="1.0" encoding="utf-8"?>
<formControlPr xmlns="http://schemas.microsoft.com/office/spreadsheetml/2009/9/main" objectType="Spin" dx="15" fmlaLink="ber_Med_disc!$G$24" max="1000" page="10" val="0"/>
</file>

<file path=xl/ctrlProps/ctrlProp221.xml><?xml version="1.0" encoding="utf-8"?>
<formControlPr xmlns="http://schemas.microsoft.com/office/spreadsheetml/2009/9/main" objectType="Spin" dx="15" fmlaLink="ber_Med_disc!$N$24" max="30000" page="10" val="0"/>
</file>

<file path=xl/ctrlProps/ctrlProp222.xml><?xml version="1.0" encoding="utf-8"?>
<formControlPr xmlns="http://schemas.microsoft.com/office/spreadsheetml/2009/9/main" objectType="Spin" dx="15" fmlaLink="ber_Med_disc!$Q$24" inc="5" max="1440" page="10" val="0"/>
</file>

<file path=xl/ctrlProps/ctrlProp223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24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25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26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27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28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29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30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31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32.xml><?xml version="1.0" encoding="utf-8"?>
<formControlPr xmlns="http://schemas.microsoft.com/office/spreadsheetml/2009/9/main" objectType="Drop" dropStyle="combo" dx="16" fmlaLink="ber_Med_disc!$O$25" fmlaRange="tblMedDiscOplVl" sel="0" val="0"/>
</file>

<file path=xl/ctrlProps/ctrlProp233.xml><?xml version="1.0" encoding="utf-8"?>
<formControlPr xmlns="http://schemas.microsoft.com/office/spreadsheetml/2009/9/main" objectType="Spin" dx="15" fmlaLink="ber_Med_disc!$I$25" max="13" min="1" page="10"/>
</file>

<file path=xl/ctrlProps/ctrlProp234.xml><?xml version="1.0" encoding="utf-8"?>
<formControlPr xmlns="http://schemas.microsoft.com/office/spreadsheetml/2009/9/main" objectType="Spin" dx="15" fmlaLink="ber_Med_disc!$G$25" max="1000" page="10" val="0"/>
</file>

<file path=xl/ctrlProps/ctrlProp235.xml><?xml version="1.0" encoding="utf-8"?>
<formControlPr xmlns="http://schemas.microsoft.com/office/spreadsheetml/2009/9/main" objectType="Spin" dx="15" fmlaLink="ber_Med_disc!$N$25" max="30000" page="10" val="0"/>
</file>

<file path=xl/ctrlProps/ctrlProp236.xml><?xml version="1.0" encoding="utf-8"?>
<formControlPr xmlns="http://schemas.microsoft.com/office/spreadsheetml/2009/9/main" objectType="Spin" dx="15" fmlaLink="ber_Med_disc!$Q$25" inc="5" max="1440" page="10" val="0"/>
</file>

<file path=xl/ctrlProps/ctrlProp237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38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39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40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41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42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43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44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45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46.xml><?xml version="1.0" encoding="utf-8"?>
<formControlPr xmlns="http://schemas.microsoft.com/office/spreadsheetml/2009/9/main" objectType="Drop" dropStyle="combo" dx="16" fmlaLink="ber_Med_disc!$O$26" fmlaRange="tblMedDiscOplVl" sel="0" val="0"/>
</file>

<file path=xl/ctrlProps/ctrlProp247.xml><?xml version="1.0" encoding="utf-8"?>
<formControlPr xmlns="http://schemas.microsoft.com/office/spreadsheetml/2009/9/main" objectType="Spin" dx="15" fmlaLink="ber_Med_disc!$I$26" max="13" min="1" page="10"/>
</file>

<file path=xl/ctrlProps/ctrlProp248.xml><?xml version="1.0" encoding="utf-8"?>
<formControlPr xmlns="http://schemas.microsoft.com/office/spreadsheetml/2009/9/main" objectType="Spin" dx="15" fmlaLink="ber_Med_disc!$G$26" max="1000" page="10" val="0"/>
</file>

<file path=xl/ctrlProps/ctrlProp249.xml><?xml version="1.0" encoding="utf-8"?>
<formControlPr xmlns="http://schemas.microsoft.com/office/spreadsheetml/2009/9/main" objectType="Spin" dx="15" fmlaLink="ber_Med_disc!$N$26" max="30000" page="10" val="0"/>
</file>

<file path=xl/ctrlProps/ctrlProp250.xml><?xml version="1.0" encoding="utf-8"?>
<formControlPr xmlns="http://schemas.microsoft.com/office/spreadsheetml/2009/9/main" objectType="Spin" dx="15" fmlaLink="ber_Med_disc!$Q$26" inc="5" max="1440" page="10" val="0"/>
</file>

<file path=xl/ctrlProps/ctrlProp251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52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53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54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55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56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57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58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59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60.xml><?xml version="1.0" encoding="utf-8"?>
<formControlPr xmlns="http://schemas.microsoft.com/office/spreadsheetml/2009/9/main" objectType="Drop" dropStyle="combo" dx="16" fmlaLink="ber_Med_disc!$O$27" fmlaRange="tblMedDiscOplVl" sel="0" val="0"/>
</file>

<file path=xl/ctrlProps/ctrlProp261.xml><?xml version="1.0" encoding="utf-8"?>
<formControlPr xmlns="http://schemas.microsoft.com/office/spreadsheetml/2009/9/main" objectType="Spin" dx="15" fmlaLink="ber_Med_disc!$I$27" max="13" min="1" page="10"/>
</file>

<file path=xl/ctrlProps/ctrlProp262.xml><?xml version="1.0" encoding="utf-8"?>
<formControlPr xmlns="http://schemas.microsoft.com/office/spreadsheetml/2009/9/main" objectType="Spin" dx="15" fmlaLink="ber_Med_disc!$G$27" max="1000" page="10" val="0"/>
</file>

<file path=xl/ctrlProps/ctrlProp263.xml><?xml version="1.0" encoding="utf-8"?>
<formControlPr xmlns="http://schemas.microsoft.com/office/spreadsheetml/2009/9/main" objectType="Spin" dx="15" fmlaLink="ber_Med_disc!$N$27" max="30000" page="10" val="0"/>
</file>

<file path=xl/ctrlProps/ctrlProp264.xml><?xml version="1.0" encoding="utf-8"?>
<formControlPr xmlns="http://schemas.microsoft.com/office/spreadsheetml/2009/9/main" objectType="Spin" dx="15" fmlaLink="ber_Med_disc!$Q$27" inc="5" max="1440" page="10" val="0"/>
</file>

<file path=xl/ctrlProps/ctrlProp265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66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67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68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69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70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71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72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73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74.xml><?xml version="1.0" encoding="utf-8"?>
<formControlPr xmlns="http://schemas.microsoft.com/office/spreadsheetml/2009/9/main" objectType="Drop" dropStyle="combo" dx="16" fmlaLink="ber_Med_disc!$O$28" fmlaRange="tblMedDiscOplVl" sel="0" val="0"/>
</file>

<file path=xl/ctrlProps/ctrlProp275.xml><?xml version="1.0" encoding="utf-8"?>
<formControlPr xmlns="http://schemas.microsoft.com/office/spreadsheetml/2009/9/main" objectType="Spin" dx="15" fmlaLink="ber_Med_disc!$I$28" max="13" min="1" page="10"/>
</file>

<file path=xl/ctrlProps/ctrlProp276.xml><?xml version="1.0" encoding="utf-8"?>
<formControlPr xmlns="http://schemas.microsoft.com/office/spreadsheetml/2009/9/main" objectType="Spin" dx="15" fmlaLink="ber_Med_disc!$G$28" max="1000" page="10" val="0"/>
</file>

<file path=xl/ctrlProps/ctrlProp277.xml><?xml version="1.0" encoding="utf-8"?>
<formControlPr xmlns="http://schemas.microsoft.com/office/spreadsheetml/2009/9/main" objectType="Spin" dx="15" fmlaLink="ber_Med_disc!$N$28" max="30000" page="10" val="0"/>
</file>

<file path=xl/ctrlProps/ctrlProp278.xml><?xml version="1.0" encoding="utf-8"?>
<formControlPr xmlns="http://schemas.microsoft.com/office/spreadsheetml/2009/9/main" objectType="Spin" dx="15" fmlaLink="ber_Med_disc!$Q$28" inc="5" max="1440" page="10" val="0"/>
</file>

<file path=xl/ctrlProps/ctrlProp279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80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81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82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83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84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85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86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87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88.xml><?xml version="1.0" encoding="utf-8"?>
<formControlPr xmlns="http://schemas.microsoft.com/office/spreadsheetml/2009/9/main" objectType="Drop" dropStyle="combo" dx="16" fmlaLink="ber_Med_disc!$O$29" fmlaRange="tblMedDiscOplVl" sel="0" val="0"/>
</file>

<file path=xl/ctrlProps/ctrlProp289.xml><?xml version="1.0" encoding="utf-8"?>
<formControlPr xmlns="http://schemas.microsoft.com/office/spreadsheetml/2009/9/main" objectType="Spin" dx="15" fmlaLink="ber_Med_disc!$I$29" max="13" min="1" page="10"/>
</file>

<file path=xl/ctrlProps/ctrlProp290.xml><?xml version="1.0" encoding="utf-8"?>
<formControlPr xmlns="http://schemas.microsoft.com/office/spreadsheetml/2009/9/main" objectType="Spin" dx="15" fmlaLink="ber_Med_disc!$G$29" max="1000" page="10" val="0"/>
</file>

<file path=xl/ctrlProps/ctrlProp291.xml><?xml version="1.0" encoding="utf-8"?>
<formControlPr xmlns="http://schemas.microsoft.com/office/spreadsheetml/2009/9/main" objectType="Spin" dx="15" fmlaLink="ber_Med_disc!$N$29" max="30000" page="10" val="0"/>
</file>

<file path=xl/ctrlProps/ctrlProp292.xml><?xml version="1.0" encoding="utf-8"?>
<formControlPr xmlns="http://schemas.microsoft.com/office/spreadsheetml/2009/9/main" objectType="Spin" dx="15" fmlaLink="ber_Med_disc!$Q$29" inc="5" max="1440" page="10" val="0"/>
</file>

<file path=xl/ctrlProps/ctrlProp293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94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95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96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97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98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99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300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301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302.xml><?xml version="1.0" encoding="utf-8"?>
<formControlPr xmlns="http://schemas.microsoft.com/office/spreadsheetml/2009/9/main" objectType="Drop" dropStyle="combo" dx="16" fmlaLink="ber_Med_disc!$O$30" fmlaRange="tblMedDiscOplVl" sel="0" val="0"/>
</file>

<file path=xl/ctrlProps/ctrlProp303.xml><?xml version="1.0" encoding="utf-8"?>
<formControlPr xmlns="http://schemas.microsoft.com/office/spreadsheetml/2009/9/main" objectType="Spin" dx="15" fmlaLink="ber_Med_disc!$I$30" max="13" min="1" page="10"/>
</file>

<file path=xl/ctrlProps/ctrlProp304.xml><?xml version="1.0" encoding="utf-8"?>
<formControlPr xmlns="http://schemas.microsoft.com/office/spreadsheetml/2009/9/main" objectType="Spin" dx="15" fmlaLink="ber_Med_disc!$G$30" max="1000" page="10" val="0"/>
</file>

<file path=xl/ctrlProps/ctrlProp305.xml><?xml version="1.0" encoding="utf-8"?>
<formControlPr xmlns="http://schemas.microsoft.com/office/spreadsheetml/2009/9/main" objectType="Spin" dx="15" fmlaLink="ber_Med_disc!$N$30" max="30000" page="10" val="0"/>
</file>

<file path=xl/ctrlProps/ctrlProp306.xml><?xml version="1.0" encoding="utf-8"?>
<formControlPr xmlns="http://schemas.microsoft.com/office/spreadsheetml/2009/9/main" objectType="Spin" dx="15" fmlaLink="ber_Med_disc!$Q$30" inc="5" max="1440" page="10" val="0"/>
</file>

<file path=xl/ctrlProps/ctrlProp307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308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309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310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311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312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313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314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315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316.xml><?xml version="1.0" encoding="utf-8"?>
<formControlPr xmlns="http://schemas.microsoft.com/office/spreadsheetml/2009/9/main" objectType="Drop" dropStyle="combo" dx="16" fmlaLink="ber_Med_disc!$O$31" fmlaRange="tblMedDiscOplVl" sel="0" val="0"/>
</file>

<file path=xl/ctrlProps/ctrlProp317.xml><?xml version="1.0" encoding="utf-8"?>
<formControlPr xmlns="http://schemas.microsoft.com/office/spreadsheetml/2009/9/main" objectType="Spin" dx="15" fmlaLink="ber_Med_disc!$I$31" max="13" min="1" page="10"/>
</file>

<file path=xl/ctrlProps/ctrlProp318.xml><?xml version="1.0" encoding="utf-8"?>
<formControlPr xmlns="http://schemas.microsoft.com/office/spreadsheetml/2009/9/main" objectType="Spin" dx="15" fmlaLink="ber_Med_disc!$G$31" max="1000" page="10" val="0"/>
</file>

<file path=xl/ctrlProps/ctrlProp319.xml><?xml version="1.0" encoding="utf-8"?>
<formControlPr xmlns="http://schemas.microsoft.com/office/spreadsheetml/2009/9/main" objectType="Spin" dx="15" fmlaLink="ber_Med_disc!$N$31" max="30000" page="10" val="0"/>
</file>

<file path=xl/ctrlProps/ctrlProp320.xml><?xml version="1.0" encoding="utf-8"?>
<formControlPr xmlns="http://schemas.microsoft.com/office/spreadsheetml/2009/9/main" objectType="Spin" dx="15" fmlaLink="ber_Med_disc!$Q$31" inc="5" max="1440" page="10" val="0"/>
</file>

<file path=xl/ctrlProps/ctrlProp321.xml><?xml version="1.0" encoding="utf-8"?>
<formControlPr xmlns="http://schemas.microsoft.com/office/spreadsheetml/2009/9/main" objectType="Drop" dropStyle="combo" dx="16" fmlaLink="ber_Infusen!$B$2" fmlaRange="tblInfusen" sel="1" val="25"/>
</file>

<file path=xl/ctrlProps/ctrlProp322.xml><?xml version="1.0" encoding="utf-8"?>
<formControlPr xmlns="http://schemas.microsoft.com/office/spreadsheetml/2009/9/main" objectType="Drop" dropStyle="combo" dx="16" fmlaLink="ber_Infusen!$B$3" fmlaRange="tblInfusen" sel="1" val="25"/>
</file>

<file path=xl/ctrlProps/ctrlProp323.xml><?xml version="1.0" encoding="utf-8"?>
<formControlPr xmlns="http://schemas.microsoft.com/office/spreadsheetml/2009/9/main" objectType="Drop" dropStyle="combo" dx="16" fmlaLink="ber_Infusen!$B$4" fmlaRange="tblInfusen" sel="1" val="0"/>
</file>

<file path=xl/ctrlProps/ctrlProp324.xml><?xml version="1.0" encoding="utf-8"?>
<formControlPr xmlns="http://schemas.microsoft.com/office/spreadsheetml/2009/9/main" objectType="Drop" dropStyle="combo" dx="16" fmlaLink="ber_Infusen!$B$5" fmlaRange="tblInfusen" sel="1" val="25"/>
</file>

<file path=xl/ctrlProps/ctrlProp325.xml><?xml version="1.0" encoding="utf-8"?>
<formControlPr xmlns="http://schemas.microsoft.com/office/spreadsheetml/2009/9/main" objectType="Drop" dropStyle="combo" dx="16" fmlaLink="ber_Infusen!$B$6" fmlaRange="tblInfusen" sel="1" val="25"/>
</file>

<file path=xl/ctrlProps/ctrlProp326.xml><?xml version="1.0" encoding="utf-8"?>
<formControlPr xmlns="http://schemas.microsoft.com/office/spreadsheetml/2009/9/main" objectType="Drop" dropStyle="combo" dx="16" fmlaLink="ber_Infusen!$B$7" fmlaRange="tblInfusen" sel="1" val="0"/>
</file>

<file path=xl/ctrlProps/ctrlProp327.xml><?xml version="1.0" encoding="utf-8"?>
<formControlPr xmlns="http://schemas.microsoft.com/office/spreadsheetml/2009/9/main" objectType="Spin" dx="15" fmlaLink="dbBead!$H$2" max="200" min="25" page="10" val="80"/>
</file>

<file path=xl/ctrlProps/ctrlProp328.xml><?xml version="1.0" encoding="utf-8"?>
<formControlPr xmlns="http://schemas.microsoft.com/office/spreadsheetml/2009/9/main" objectType="Drop" dropStyle="combo" dx="16" fmlaLink="PM" fmlaRange="tblPacemakerPositie" sel="0" val="0"/>
</file>

<file path=xl/ctrlProps/ctrlProp329.xml><?xml version="1.0" encoding="utf-8"?>
<formControlPr xmlns="http://schemas.microsoft.com/office/spreadsheetml/2009/9/main" objectType="Drop" dropStyle="combo" dx="16" fmlaLink="PM_Mod" fmlaRange="tblPacemakerModus" sel="0" val="0"/>
</file>

<file path=xl/ctrlProps/ctrlProp330.xml><?xml version="1.0" encoding="utf-8"?>
<formControlPr xmlns="http://schemas.microsoft.com/office/spreadsheetml/2009/9/main" objectType="Spin" dx="15" fmlaLink="ber_Infusen!$G$1" max="200" min="30" page="10" val="30"/>
</file>

<file path=xl/ctrlProps/ctrlProp331.xml><?xml version="1.0" encoding="utf-8"?>
<formControlPr xmlns="http://schemas.microsoft.com/office/spreadsheetml/2009/9/main" objectType="Spin" dx="15" fmlaLink="ber_Infusen!$G$2" max="180" min="1" page="10"/>
</file>

<file path=xl/ctrlProps/ctrlProp332.xml><?xml version="1.0" encoding="utf-8"?>
<formControlPr xmlns="http://schemas.microsoft.com/office/spreadsheetml/2009/9/main" objectType="Spin" dx="15" fmlaLink="ber_Infusen!$G$3" max="180" min="1" page="10"/>
</file>

<file path=xl/ctrlProps/ctrlProp333.xml><?xml version="1.0" encoding="utf-8"?>
<formControlPr xmlns="http://schemas.microsoft.com/office/spreadsheetml/2009/9/main" objectType="Spin" dx="15" fmlaLink="ber_Infusen!$G$4" max="250" min="20" page="10" val="20"/>
</file>

<file path=xl/ctrlProps/ctrlProp334.xml><?xml version="1.0" encoding="utf-8"?>
<formControlPr xmlns="http://schemas.microsoft.com/office/spreadsheetml/2009/9/main" objectType="Spin" dx="15" fmlaLink="ber_Infusen!$G$5" max="200" min="2" page="10" val="2"/>
</file>

<file path=xl/ctrlProps/ctrlProp335.xml><?xml version="1.0" encoding="utf-8"?>
<formControlPr xmlns="http://schemas.microsoft.com/office/spreadsheetml/2009/9/main" objectType="Spin" dx="15" fmlaLink="ber_Infusen!$G$6" max="200" min="10" page="10" val="10"/>
</file>

<file path=xl/ctrlProps/ctrlProp336.xml><?xml version="1.0" encoding="utf-8"?>
<formControlPr xmlns="http://schemas.microsoft.com/office/spreadsheetml/2009/9/main" objectType="Spin" dx="15" fmlaLink="ber_PO!$J$2" max="24" min="1" page="10"/>
</file>

<file path=xl/ctrlProps/ctrlProp337.xml><?xml version="1.0" encoding="utf-8"?>
<formControlPr xmlns="http://schemas.microsoft.com/office/spreadsheetml/2009/9/main" objectType="Spin" dx="15" fmlaLink="ber_PO!$K$2" max="10000" min="1" page="10"/>
</file>

<file path=xl/ctrlProps/ctrlProp338.xml><?xml version="1.0" encoding="utf-8"?>
<formControlPr xmlns="http://schemas.microsoft.com/office/spreadsheetml/2009/9/main" objectType="Drop" dropStyle="combo" dx="16" fmlaLink="ber_PO!$N$2" fmlaRange="tblPerOs" sel="1" val="0"/>
</file>

<file path=xl/ctrlProps/ctrlProp339.xml><?xml version="1.0" encoding="utf-8"?>
<formControlPr xmlns="http://schemas.microsoft.com/office/spreadsheetml/2009/9/main" objectType="Spin" dx="15" fmlaLink="ber_TPN!$D$3" max="300" page="10" val="0"/>
</file>

<file path=xl/ctrlProps/ctrlProp340.xml><?xml version="1.0" encoding="utf-8"?>
<formControlPr xmlns="http://schemas.microsoft.com/office/spreadsheetml/2009/9/main" objectType="Spin" dx="15" fmlaLink="ber_TPN!$E$7" max="5000" min="1" page="10"/>
</file>

<file path=xl/ctrlProps/ctrlProp341.xml><?xml version="1.0" encoding="utf-8"?>
<formControlPr xmlns="http://schemas.microsoft.com/office/spreadsheetml/2009/9/main" objectType="Spin" dx="15" fmlaLink="ber_TPN!$E$8" max="5000" min="1" page="10"/>
</file>

<file path=xl/ctrlProps/ctrlProp342.xml><?xml version="1.0" encoding="utf-8"?>
<formControlPr xmlns="http://schemas.microsoft.com/office/spreadsheetml/2009/9/main" objectType="Spin" dx="15" fmlaLink="ber_TPN!$E$9" max="5000" min="1" page="10"/>
</file>

<file path=xl/ctrlProps/ctrlProp343.xml><?xml version="1.0" encoding="utf-8"?>
<formControlPr xmlns="http://schemas.microsoft.com/office/spreadsheetml/2009/9/main" objectType="CheckBox" fmlaLink="ber_TPN!$C$7" lockText="1"/>
</file>

<file path=xl/ctrlProps/ctrlProp344.xml><?xml version="1.0" encoding="utf-8"?>
<formControlPr xmlns="http://schemas.microsoft.com/office/spreadsheetml/2009/9/main" objectType="CheckBox" fmlaLink="ber_TPN!$C$8" lockText="1"/>
</file>

<file path=xl/ctrlProps/ctrlProp345.xml><?xml version="1.0" encoding="utf-8"?>
<formControlPr xmlns="http://schemas.microsoft.com/office/spreadsheetml/2009/9/main" objectType="CheckBox" fmlaLink="ber_TPN!$C$9" lockText="1"/>
</file>

<file path=xl/ctrlProps/ctrlProp346.xml><?xml version="1.0" encoding="utf-8"?>
<formControlPr xmlns="http://schemas.microsoft.com/office/spreadsheetml/2009/9/main" objectType="Spin" dx="15" fmlaLink="ber_TPN!$D$12" max="200" page="10" val="0"/>
</file>

<file path=xl/ctrlProps/ctrlProp347.xml><?xml version="1.0" encoding="utf-8"?>
<formControlPr xmlns="http://schemas.microsoft.com/office/spreadsheetml/2009/9/main" objectType="CheckBox" fmlaLink="ber_TPN!$C$14" lockText="1"/>
</file>

<file path=xl/ctrlProps/ctrlProp348.xml><?xml version="1.0" encoding="utf-8"?>
<formControlPr xmlns="http://schemas.microsoft.com/office/spreadsheetml/2009/9/main" objectType="CheckBox" fmlaLink="ber_TPN!$C$15" lockText="1"/>
</file>

<file path=xl/ctrlProps/ctrlProp349.xml><?xml version="1.0" encoding="utf-8"?>
<formControlPr xmlns="http://schemas.microsoft.com/office/spreadsheetml/2009/9/main" objectType="Spin" dx="15" fmlaLink="ber_TPN!$E$14" max="55" min="1" page="10"/>
</file>

<file path=xl/ctrlProps/ctrlProp350.xml><?xml version="1.0" encoding="utf-8"?>
<formControlPr xmlns="http://schemas.microsoft.com/office/spreadsheetml/2009/9/main" objectType="Spin" dx="15" fmlaLink="ber_TPN!$E$15" max="55" min="1" page="10"/>
</file>

<file path=xl/ctrlProps/ctrlProp351.xml><?xml version="1.0" encoding="utf-8"?>
<formControlPr xmlns="http://schemas.microsoft.com/office/spreadsheetml/2009/9/main" objectType="Drop" dropStyle="combo" dx="16" fmlaLink="ber_PO!$O$2" fmlaRange="tblSonde" sel="1" val="0"/>
</file>

<file path=xl/ctrlProps/ctrlProp352.xml><?xml version="1.0" encoding="utf-8"?>
<formControlPr xmlns="http://schemas.microsoft.com/office/spreadsheetml/2009/9/main" objectType="CheckBox" fmlaLink="ber_TPN!$C$10" lockText="1"/>
</file>

<file path=xl/ctrlProps/ctrlProp353.xml><?xml version="1.0" encoding="utf-8"?>
<formControlPr xmlns="http://schemas.microsoft.com/office/spreadsheetml/2009/9/main" objectType="CheckBox" fmlaLink="ber_TPN!$C$11" lockText="1"/>
</file>

<file path=xl/ctrlProps/ctrlProp354.xml><?xml version="1.0" encoding="utf-8"?>
<formControlPr xmlns="http://schemas.microsoft.com/office/spreadsheetml/2009/9/main" objectType="Spin" dx="15" fmlaLink="ber_TPN!$E$10" max="5000" min="1" page="10"/>
</file>

<file path=xl/ctrlProps/ctrlProp355.xml><?xml version="1.0" encoding="utf-8"?>
<formControlPr xmlns="http://schemas.microsoft.com/office/spreadsheetml/2009/9/main" objectType="Spin" dx="15" fmlaLink="ber_TPN!$E$11" max="200" min="1" page="10"/>
</file>

<file path=xl/ctrlProps/ctrlProp356.xml><?xml version="1.0" encoding="utf-8"?>
<formControlPr xmlns="http://schemas.microsoft.com/office/spreadsheetml/2009/9/main" objectType="Drop" dropStyle="combo" dx="16" fmlaLink="ber_TPN!$B$4" fmlaRange="tblTPN" sel="1" val="0"/>
</file>

<file path=xl/ctrlProps/ctrlProp357.xml><?xml version="1.0" encoding="utf-8"?>
<formControlPr xmlns="http://schemas.microsoft.com/office/spreadsheetml/2009/9/main" objectType="Drop" dropStyle="combo" dx="16" fmlaLink="ber_TPN!$B$6" fmlaRange="tblSSTGlucose" sel="1" val="0"/>
</file>

<file path=xl/ctrlProps/ctrlProp358.xml><?xml version="1.0" encoding="utf-8"?>
<formControlPr xmlns="http://schemas.microsoft.com/office/spreadsheetml/2009/9/main" objectType="Spin" dx="15" fmlaLink="ber_TPN!$E$4" max="4000" page="10" val="0"/>
</file>

<file path=xl/ctrlProps/ctrlProp359.xml><?xml version="1.0" encoding="utf-8"?>
<formControlPr xmlns="http://schemas.microsoft.com/office/spreadsheetml/2009/9/main" objectType="Spin" dx="15" fmlaLink="ber_PO!$J$3" max="12" min="1" page="10"/>
</file>

<file path=xl/ctrlProps/ctrlProp360.xml><?xml version="1.0" encoding="utf-8"?>
<formControlPr xmlns="http://schemas.microsoft.com/office/spreadsheetml/2009/9/main" objectType="Spin" dx="15" fmlaLink="ber_PO!$K$3" max="100" page="10" val="0"/>
</file>

<file path=xl/ctrlProps/ctrlProp361.xml><?xml version="1.0" encoding="utf-8"?>
<formControlPr xmlns="http://schemas.microsoft.com/office/spreadsheetml/2009/9/main" objectType="Drop" dropStyle="combo" dx="16" fmlaLink="ber_PO!$N$3" fmlaRange="tblPoeder" sel="0" val="5"/>
</file>

<file path=xl/ctrlProps/ctrlProp362.xml><?xml version="1.0" encoding="utf-8"?>
<formControlPr xmlns="http://schemas.microsoft.com/office/spreadsheetml/2009/9/main" objectType="Spin" dx="15" fmlaLink="ber_TPN!$E$5" max="15" page="10" val="0"/>
</file>

<file path=xl/ctrlProps/ctrlProp363.xml><?xml version="1.0" encoding="utf-8"?>
<formControlPr xmlns="http://schemas.microsoft.com/office/spreadsheetml/2009/9/main" objectType="Spin" dx="15" fmlaLink="ber_PO!$J$4" max="12" min="1" page="10"/>
</file>

<file path=xl/ctrlProps/ctrlProp364.xml><?xml version="1.0" encoding="utf-8"?>
<formControlPr xmlns="http://schemas.microsoft.com/office/spreadsheetml/2009/9/main" objectType="Spin" dx="15" fmlaLink="ber_PO!$K$4" max="100" page="10" val="0"/>
</file>

<file path=xl/ctrlProps/ctrlProp365.xml><?xml version="1.0" encoding="utf-8"?>
<formControlPr xmlns="http://schemas.microsoft.com/office/spreadsheetml/2009/9/main" objectType="Drop" dropStyle="combo" dx="16" fmlaLink="ber_PO!$N$4" fmlaRange="tblPoeder" sel="0" val="0"/>
</file>

<file path=xl/ctrlProps/ctrlProp366.xml><?xml version="1.0" encoding="utf-8"?>
<formControlPr xmlns="http://schemas.microsoft.com/office/spreadsheetml/2009/9/main" objectType="Spin" dx="15" fmlaLink="ber_PO!$J$5" max="12" min="1" page="10"/>
</file>

<file path=xl/ctrlProps/ctrlProp367.xml><?xml version="1.0" encoding="utf-8"?>
<formControlPr xmlns="http://schemas.microsoft.com/office/spreadsheetml/2009/9/main" objectType="Spin" dx="15" fmlaLink="ber_PO!$K$5" max="100" page="10" val="0"/>
</file>

<file path=xl/ctrlProps/ctrlProp368.xml><?xml version="1.0" encoding="utf-8"?>
<formControlPr xmlns="http://schemas.microsoft.com/office/spreadsheetml/2009/9/main" objectType="Drop" dropStyle="combo" dx="16" fmlaLink="ber_PO!$N$5" fmlaRange="tblPoeder" sel="0" val="0"/>
</file>

<file path=xl/ctrlProps/ctrlProp369.xml><?xml version="1.0" encoding="utf-8"?>
<formControlPr xmlns="http://schemas.microsoft.com/office/spreadsheetml/2009/9/main" objectType="Spin" dx="15" fmlaLink="ber_TPN!$D$19" max="200" page="10" val="0"/>
</file>

<file path=xl/ctrlProps/ctrlProp370.xml><?xml version="1.0" encoding="utf-8"?>
<formControlPr xmlns="http://schemas.microsoft.com/office/spreadsheetml/2009/9/main" objectType="Spin" dx="15" fmlaLink="ber_TPN!$E$21" max="1000" min="1" page="10"/>
</file>

<file path=xl/ctrlProps/ctrlProp371.xml><?xml version="1.0" encoding="utf-8"?>
<formControlPr xmlns="http://schemas.microsoft.com/office/spreadsheetml/2009/9/main" objectType="Spin" dx="15" fmlaLink="ber_TPN!$E$22" max="200" min="1" page="10"/>
</file>

<file path=xl/ctrlProps/ctrlProp372.xml><?xml version="1.0" encoding="utf-8"?>
<formControlPr xmlns="http://schemas.microsoft.com/office/spreadsheetml/2009/9/main" objectType="CheckBox" fmlaLink="ber_TPN!$C$21" lockText="1"/>
</file>

<file path=xl/ctrlProps/ctrlProp373.xml><?xml version="1.0" encoding="utf-8"?>
<formControlPr xmlns="http://schemas.microsoft.com/office/spreadsheetml/2009/9/main" objectType="CheckBox" fmlaLink="ber_TPN!$C$22" lockText="1"/>
</file>

<file path=xl/ctrlProps/ctrlProp374.xml><?xml version="1.0" encoding="utf-8"?>
<formControlPr xmlns="http://schemas.microsoft.com/office/spreadsheetml/2009/9/main" objectType="Drop" dropStyle="combo" dx="16" fmlaLink="ber_TPN!$B$20" fmlaRange="tblSSTGlucose" sel="1" val="5"/>
</file>

<file path=xl/ctrlProps/ctrlProp375.xml><?xml version="1.0" encoding="utf-8"?>
<formControlPr xmlns="http://schemas.microsoft.com/office/spreadsheetml/2009/9/main" objectType="Spin" dx="15" fmlaLink="dbBead!$H$2" max="200" min="25" page="10" val="80"/>
</file>

<file path=xl/ctrlProps/ctrlProp376.xml><?xml version="1.0" encoding="utf-8"?>
<formControlPr xmlns="http://schemas.microsoft.com/office/spreadsheetml/2009/9/main" objectType="CheckBox" fmlaLink="ber_TPN!$C$15" lockText="1"/>
</file>

<file path=xl/ctrlProps/ctrlProp377.xml><?xml version="1.0" encoding="utf-8"?>
<formControlPr xmlns="http://schemas.microsoft.com/office/spreadsheetml/2009/9/main" objectType="CheckBox" fmlaLink="Ber_Lab!$C$4" lockText="1"/>
</file>

<file path=xl/ctrlProps/ctrlProp378.xml><?xml version="1.0" encoding="utf-8"?>
<formControlPr xmlns="http://schemas.microsoft.com/office/spreadsheetml/2009/9/main" objectType="CheckBox" fmlaLink="Ber_Lab!C5" lockText="1"/>
</file>

<file path=xl/ctrlProps/ctrlProp379.xml><?xml version="1.0" encoding="utf-8"?>
<formControlPr xmlns="http://schemas.microsoft.com/office/spreadsheetml/2009/9/main" objectType="CheckBox" fmlaLink="Ber_Lab!C7" lockText="1"/>
</file>

<file path=xl/ctrlProps/ctrlProp380.xml><?xml version="1.0" encoding="utf-8"?>
<formControlPr xmlns="http://schemas.microsoft.com/office/spreadsheetml/2009/9/main" objectType="CheckBox" fmlaLink="Ber_Lab!C8" lockText="1"/>
</file>

<file path=xl/ctrlProps/ctrlProp381.xml><?xml version="1.0" encoding="utf-8"?>
<formControlPr xmlns="http://schemas.microsoft.com/office/spreadsheetml/2009/9/main" objectType="CheckBox" fmlaLink="Ber_Lab!C13" lockText="1"/>
</file>

<file path=xl/ctrlProps/ctrlProp382.xml><?xml version="1.0" encoding="utf-8"?>
<formControlPr xmlns="http://schemas.microsoft.com/office/spreadsheetml/2009/9/main" objectType="CheckBox" fmlaLink="Ber_Lab!C12" lockText="1"/>
</file>

<file path=xl/ctrlProps/ctrlProp383.xml><?xml version="1.0" encoding="utf-8"?>
<formControlPr xmlns="http://schemas.microsoft.com/office/spreadsheetml/2009/9/main" objectType="CheckBox" fmlaLink="Ber_Lab!C30" lockText="1"/>
</file>

<file path=xl/ctrlProps/ctrlProp384.xml><?xml version="1.0" encoding="utf-8"?>
<formControlPr xmlns="http://schemas.microsoft.com/office/spreadsheetml/2009/9/main" objectType="CheckBox" fmlaLink="Ber_Lab!C15" lockText="1"/>
</file>

<file path=xl/ctrlProps/ctrlProp385.xml><?xml version="1.0" encoding="utf-8"?>
<formControlPr xmlns="http://schemas.microsoft.com/office/spreadsheetml/2009/9/main" objectType="CheckBox" fmlaLink="Ber_Lab!C18" lockText="1"/>
</file>

<file path=xl/ctrlProps/ctrlProp386.xml><?xml version="1.0" encoding="utf-8"?>
<formControlPr xmlns="http://schemas.microsoft.com/office/spreadsheetml/2009/9/main" objectType="CheckBox" fmlaLink="Ber_Lab!C19" lockText="1"/>
</file>

<file path=xl/ctrlProps/ctrlProp387.xml><?xml version="1.0" encoding="utf-8"?>
<formControlPr xmlns="http://schemas.microsoft.com/office/spreadsheetml/2009/9/main" objectType="CheckBox" fmlaLink="Ber_Lab!C20" lockText="1"/>
</file>

<file path=xl/ctrlProps/ctrlProp388.xml><?xml version="1.0" encoding="utf-8"?>
<formControlPr xmlns="http://schemas.microsoft.com/office/spreadsheetml/2009/9/main" objectType="CheckBox" fmlaLink="Ber_Lab!C11" lockText="1"/>
</file>

<file path=xl/ctrlProps/ctrlProp389.xml><?xml version="1.0" encoding="utf-8"?>
<formControlPr xmlns="http://schemas.microsoft.com/office/spreadsheetml/2009/9/main" objectType="CheckBox" fmlaLink="Ber_Lab!$C$28" lockText="1"/>
</file>

<file path=xl/ctrlProps/ctrlProp390.xml><?xml version="1.0" encoding="utf-8"?>
<formControlPr xmlns="http://schemas.microsoft.com/office/spreadsheetml/2009/9/main" objectType="CheckBox" fmlaLink="Ber_Lab!$G$4" lockText="1"/>
</file>

<file path=xl/ctrlProps/ctrlProp391.xml><?xml version="1.0" encoding="utf-8"?>
<formControlPr xmlns="http://schemas.microsoft.com/office/spreadsheetml/2009/9/main" objectType="CheckBox" fmlaLink="Ber_Lab!$G$5" lockText="1"/>
</file>

<file path=xl/ctrlProps/ctrlProp392.xml><?xml version="1.0" encoding="utf-8"?>
<formControlPr xmlns="http://schemas.microsoft.com/office/spreadsheetml/2009/9/main" objectType="CheckBox" fmlaLink="Ber_Lab!$G$7" lockText="1"/>
</file>

<file path=xl/ctrlProps/ctrlProp393.xml><?xml version="1.0" encoding="utf-8"?>
<formControlPr xmlns="http://schemas.microsoft.com/office/spreadsheetml/2009/9/main" objectType="CheckBox" fmlaLink="Ber_Lab!$G$8" lockText="1"/>
</file>

<file path=xl/ctrlProps/ctrlProp394.xml><?xml version="1.0" encoding="utf-8"?>
<formControlPr xmlns="http://schemas.microsoft.com/office/spreadsheetml/2009/9/main" objectType="CheckBox" fmlaLink="Ber_Lab!$G$13" lockText="1"/>
</file>

<file path=xl/ctrlProps/ctrlProp395.xml><?xml version="1.0" encoding="utf-8"?>
<formControlPr xmlns="http://schemas.microsoft.com/office/spreadsheetml/2009/9/main" objectType="CheckBox" fmlaLink="Ber_Lab!$G$12" lockText="1"/>
</file>

<file path=xl/ctrlProps/ctrlProp396.xml><?xml version="1.0" encoding="utf-8"?>
<formControlPr xmlns="http://schemas.microsoft.com/office/spreadsheetml/2009/9/main" objectType="CheckBox" fmlaLink="Ber_Lab!$G$30" lockText="1"/>
</file>

<file path=xl/ctrlProps/ctrlProp397.xml><?xml version="1.0" encoding="utf-8"?>
<formControlPr xmlns="http://schemas.microsoft.com/office/spreadsheetml/2009/9/main" objectType="CheckBox" fmlaLink="Ber_Lab!$G$15" lockText="1"/>
</file>

<file path=xl/ctrlProps/ctrlProp398.xml><?xml version="1.0" encoding="utf-8"?>
<formControlPr xmlns="http://schemas.microsoft.com/office/spreadsheetml/2009/9/main" objectType="CheckBox" fmlaLink="Ber_Lab!$G$18" lockText="1"/>
</file>

<file path=xl/ctrlProps/ctrlProp399.xml><?xml version="1.0" encoding="utf-8"?>
<formControlPr xmlns="http://schemas.microsoft.com/office/spreadsheetml/2009/9/main" objectType="CheckBox" fmlaLink="Ber_Lab!$G$19" lockText="1"/>
</file>

<file path=xl/ctrlProps/ctrlProp400.xml><?xml version="1.0" encoding="utf-8"?>
<formControlPr xmlns="http://schemas.microsoft.com/office/spreadsheetml/2009/9/main" objectType="CheckBox" fmlaLink="Ber_Lab!$G$20" lockText="1"/>
</file>

<file path=xl/ctrlProps/ctrlProp401.xml><?xml version="1.0" encoding="utf-8"?>
<formControlPr xmlns="http://schemas.microsoft.com/office/spreadsheetml/2009/9/main" objectType="CheckBox" fmlaLink="Ber_Lab!$G$11" lockText="1"/>
</file>

<file path=xl/ctrlProps/ctrlProp402.xml><?xml version="1.0" encoding="utf-8"?>
<formControlPr xmlns="http://schemas.microsoft.com/office/spreadsheetml/2009/9/main" objectType="CheckBox" fmlaLink="Ber_Lab!$G$28" lockText="1"/>
</file>

<file path=xl/ctrlProps/ctrlProp403.xml><?xml version="1.0" encoding="utf-8"?>
<formControlPr xmlns="http://schemas.microsoft.com/office/spreadsheetml/2009/9/main" objectType="CheckBox" fmlaLink="Ber_Lab!$I$4" lockText="1"/>
</file>

<file path=xl/ctrlProps/ctrlProp404.xml><?xml version="1.0" encoding="utf-8"?>
<formControlPr xmlns="http://schemas.microsoft.com/office/spreadsheetml/2009/9/main" objectType="CheckBox" fmlaLink="Ber_Lab!$I$5" lockText="1"/>
</file>

<file path=xl/ctrlProps/ctrlProp405.xml><?xml version="1.0" encoding="utf-8"?>
<formControlPr xmlns="http://schemas.microsoft.com/office/spreadsheetml/2009/9/main" objectType="CheckBox" fmlaLink="Ber_Lab!$I$7" lockText="1"/>
</file>

<file path=xl/ctrlProps/ctrlProp406.xml><?xml version="1.0" encoding="utf-8"?>
<formControlPr xmlns="http://schemas.microsoft.com/office/spreadsheetml/2009/9/main" objectType="CheckBox" fmlaLink="Ber_Lab!$I$8" lockText="1"/>
</file>

<file path=xl/ctrlProps/ctrlProp407.xml><?xml version="1.0" encoding="utf-8"?>
<formControlPr xmlns="http://schemas.microsoft.com/office/spreadsheetml/2009/9/main" objectType="CheckBox" fmlaLink="Ber_Lab!$I$13" lockText="1"/>
</file>

<file path=xl/ctrlProps/ctrlProp408.xml><?xml version="1.0" encoding="utf-8"?>
<formControlPr xmlns="http://schemas.microsoft.com/office/spreadsheetml/2009/9/main" objectType="CheckBox" fmlaLink="Ber_Lab!$I$12" lockText="1"/>
</file>

<file path=xl/ctrlProps/ctrlProp409.xml><?xml version="1.0" encoding="utf-8"?>
<formControlPr xmlns="http://schemas.microsoft.com/office/spreadsheetml/2009/9/main" objectType="CheckBox" fmlaLink="Ber_Lab!$I$30" lockText="1"/>
</file>

<file path=xl/ctrlProps/ctrlProp410.xml><?xml version="1.0" encoding="utf-8"?>
<formControlPr xmlns="http://schemas.microsoft.com/office/spreadsheetml/2009/9/main" objectType="CheckBox" fmlaLink="Ber_Lab!$I$15" lockText="1"/>
</file>

<file path=xl/ctrlProps/ctrlProp411.xml><?xml version="1.0" encoding="utf-8"?>
<formControlPr xmlns="http://schemas.microsoft.com/office/spreadsheetml/2009/9/main" objectType="CheckBox" fmlaLink="Ber_Lab!$I$18" lockText="1"/>
</file>

<file path=xl/ctrlProps/ctrlProp412.xml><?xml version="1.0" encoding="utf-8"?>
<formControlPr xmlns="http://schemas.microsoft.com/office/spreadsheetml/2009/9/main" objectType="CheckBox" fmlaLink="Ber_Lab!$I$19" lockText="1"/>
</file>

<file path=xl/ctrlProps/ctrlProp413.xml><?xml version="1.0" encoding="utf-8"?>
<formControlPr xmlns="http://schemas.microsoft.com/office/spreadsheetml/2009/9/main" objectType="CheckBox" fmlaLink="Ber_Lab!$I$20" lockText="1"/>
</file>

<file path=xl/ctrlProps/ctrlProp414.xml><?xml version="1.0" encoding="utf-8"?>
<formControlPr xmlns="http://schemas.microsoft.com/office/spreadsheetml/2009/9/main" objectType="CheckBox" fmlaLink="Ber_Lab!$I$11" lockText="1"/>
</file>

<file path=xl/ctrlProps/ctrlProp415.xml><?xml version="1.0" encoding="utf-8"?>
<formControlPr xmlns="http://schemas.microsoft.com/office/spreadsheetml/2009/9/main" objectType="CheckBox" fmlaLink="Ber_Lab!$I$28" lockText="1"/>
</file>

<file path=xl/ctrlProps/ctrlProp416.xml><?xml version="1.0" encoding="utf-8"?>
<formControlPr xmlns="http://schemas.microsoft.com/office/spreadsheetml/2009/9/main" objectType="CheckBox" fmlaLink="Ber_Lab!$L$4" lockText="1"/>
</file>

<file path=xl/ctrlProps/ctrlProp417.xml><?xml version="1.0" encoding="utf-8"?>
<formControlPr xmlns="http://schemas.microsoft.com/office/spreadsheetml/2009/9/main" objectType="CheckBox" fmlaLink="Ber_Lab!$L$5" lockText="1"/>
</file>

<file path=xl/ctrlProps/ctrlProp418.xml><?xml version="1.0" encoding="utf-8"?>
<formControlPr xmlns="http://schemas.microsoft.com/office/spreadsheetml/2009/9/main" objectType="CheckBox" fmlaLink="Ber_Lab!$L$7" lockText="1"/>
</file>

<file path=xl/ctrlProps/ctrlProp419.xml><?xml version="1.0" encoding="utf-8"?>
<formControlPr xmlns="http://schemas.microsoft.com/office/spreadsheetml/2009/9/main" objectType="CheckBox" fmlaLink="Ber_Lab!$L$8" lockText="1"/>
</file>

<file path=xl/ctrlProps/ctrlProp420.xml><?xml version="1.0" encoding="utf-8"?>
<formControlPr xmlns="http://schemas.microsoft.com/office/spreadsheetml/2009/9/main" objectType="CheckBox" fmlaLink="Ber_Lab!$L$13" lockText="1"/>
</file>

<file path=xl/ctrlProps/ctrlProp421.xml><?xml version="1.0" encoding="utf-8"?>
<formControlPr xmlns="http://schemas.microsoft.com/office/spreadsheetml/2009/9/main" objectType="CheckBox" fmlaLink="Ber_Lab!$L$12" lockText="1"/>
</file>

<file path=xl/ctrlProps/ctrlProp422.xml><?xml version="1.0" encoding="utf-8"?>
<formControlPr xmlns="http://schemas.microsoft.com/office/spreadsheetml/2009/9/main" objectType="CheckBox" fmlaLink="Ber_Lab!$L$30" lockText="1"/>
</file>

<file path=xl/ctrlProps/ctrlProp423.xml><?xml version="1.0" encoding="utf-8"?>
<formControlPr xmlns="http://schemas.microsoft.com/office/spreadsheetml/2009/9/main" objectType="CheckBox" fmlaLink="Ber_Lab!$L$15" lockText="1"/>
</file>

<file path=xl/ctrlProps/ctrlProp424.xml><?xml version="1.0" encoding="utf-8"?>
<formControlPr xmlns="http://schemas.microsoft.com/office/spreadsheetml/2009/9/main" objectType="CheckBox" fmlaLink="Ber_Lab!$L$18" lockText="1"/>
</file>

<file path=xl/ctrlProps/ctrlProp425.xml><?xml version="1.0" encoding="utf-8"?>
<formControlPr xmlns="http://schemas.microsoft.com/office/spreadsheetml/2009/9/main" objectType="CheckBox" fmlaLink="Ber_Lab!$L$19" lockText="1"/>
</file>

<file path=xl/ctrlProps/ctrlProp426.xml><?xml version="1.0" encoding="utf-8"?>
<formControlPr xmlns="http://schemas.microsoft.com/office/spreadsheetml/2009/9/main" objectType="CheckBox" fmlaLink="Ber_Lab!$L$20" lockText="1"/>
</file>

<file path=xl/ctrlProps/ctrlProp427.xml><?xml version="1.0" encoding="utf-8"?>
<formControlPr xmlns="http://schemas.microsoft.com/office/spreadsheetml/2009/9/main" objectType="CheckBox" fmlaLink="Ber_Lab!$L$11" lockText="1"/>
</file>

<file path=xl/ctrlProps/ctrlProp428.xml><?xml version="1.0" encoding="utf-8"?>
<formControlPr xmlns="http://schemas.microsoft.com/office/spreadsheetml/2009/9/main" objectType="CheckBox" fmlaLink="Ber_Lab!$L$28" lockText="1"/>
</file>

<file path=xl/ctrlProps/ctrlProp429.xml><?xml version="1.0" encoding="utf-8"?>
<formControlPr xmlns="http://schemas.microsoft.com/office/spreadsheetml/2009/9/main" objectType="CheckBox" fmlaLink="Ber_Lab!$C$27" lockText="1"/>
</file>

<file path=xl/ctrlProps/ctrlProp430.xml><?xml version="1.0" encoding="utf-8"?>
<formControlPr xmlns="http://schemas.microsoft.com/office/spreadsheetml/2009/9/main" objectType="CheckBox" fmlaLink="Ber_Lab!$G$27" lockText="1"/>
</file>

<file path=xl/ctrlProps/ctrlProp431.xml><?xml version="1.0" encoding="utf-8"?>
<formControlPr xmlns="http://schemas.microsoft.com/office/spreadsheetml/2009/9/main" objectType="CheckBox" fmlaLink="Ber_Lab!$I$27" lockText="1"/>
</file>

<file path=xl/ctrlProps/ctrlProp432.xml><?xml version="1.0" encoding="utf-8"?>
<formControlPr xmlns="http://schemas.microsoft.com/office/spreadsheetml/2009/9/main" objectType="CheckBox" fmlaLink="Ber_Lab!$L$27" lockText="1"/>
</file>

<file path=xl/ctrlProps/ctrlProp433.xml><?xml version="1.0" encoding="utf-8"?>
<formControlPr xmlns="http://schemas.microsoft.com/office/spreadsheetml/2009/9/main" objectType="CheckBox" fmlaLink="Ber_Lab!C6" lockText="1"/>
</file>

<file path=xl/ctrlProps/ctrlProp434.xml><?xml version="1.0" encoding="utf-8"?>
<formControlPr xmlns="http://schemas.microsoft.com/office/spreadsheetml/2009/9/main" objectType="CheckBox" fmlaLink="Ber_Lab!$G$6" lockText="1"/>
</file>

<file path=xl/ctrlProps/ctrlProp435.xml><?xml version="1.0" encoding="utf-8"?>
<formControlPr xmlns="http://schemas.microsoft.com/office/spreadsheetml/2009/9/main" objectType="CheckBox" fmlaLink="Ber_Lab!$I$6" lockText="1"/>
</file>

<file path=xl/ctrlProps/ctrlProp436.xml><?xml version="1.0" encoding="utf-8"?>
<formControlPr xmlns="http://schemas.microsoft.com/office/spreadsheetml/2009/9/main" objectType="CheckBox" fmlaLink="Ber_Lab!$L$6" lockText="1"/>
</file>

<file path=xl/ctrlProps/ctrlProp437.xml><?xml version="1.0" encoding="utf-8"?>
<formControlPr xmlns="http://schemas.microsoft.com/office/spreadsheetml/2009/9/main" objectType="CheckBox" fmlaLink="Ber_Lab!$C$16" lockText="1"/>
</file>

<file path=xl/ctrlProps/ctrlProp438.xml><?xml version="1.0" encoding="utf-8"?>
<formControlPr xmlns="http://schemas.microsoft.com/office/spreadsheetml/2009/9/main" objectType="CheckBox" fmlaLink="Ber_Lab!$G$16" lockText="1"/>
</file>

<file path=xl/ctrlProps/ctrlProp439.xml><?xml version="1.0" encoding="utf-8"?>
<formControlPr xmlns="http://schemas.microsoft.com/office/spreadsheetml/2009/9/main" objectType="CheckBox" fmlaLink="Ber_Lab!$I$16" lockText="1"/>
</file>

<file path=xl/ctrlProps/ctrlProp440.xml><?xml version="1.0" encoding="utf-8"?>
<formControlPr xmlns="http://schemas.microsoft.com/office/spreadsheetml/2009/9/main" objectType="CheckBox" fmlaLink="Ber_Lab!$L$16" lockText="1"/>
</file>

<file path=xl/ctrlProps/ctrlProp441.xml><?xml version="1.0" encoding="utf-8"?>
<formControlPr xmlns="http://schemas.microsoft.com/office/spreadsheetml/2009/9/main" objectType="CheckBox" checked="Checked" fmlaLink="Ber_Lab!$E$4" lockText="1"/>
</file>

<file path=xl/ctrlProps/ctrlProp442.xml><?xml version="1.0" encoding="utf-8"?>
<formControlPr xmlns="http://schemas.microsoft.com/office/spreadsheetml/2009/9/main" objectType="CheckBox" fmlaLink="Ber_Lab!$E$5" lockText="1"/>
</file>

<file path=xl/ctrlProps/ctrlProp443.xml><?xml version="1.0" encoding="utf-8"?>
<formControlPr xmlns="http://schemas.microsoft.com/office/spreadsheetml/2009/9/main" objectType="CheckBox" fmlaLink="Ber_Lab!$E$7" lockText="1"/>
</file>

<file path=xl/ctrlProps/ctrlProp444.xml><?xml version="1.0" encoding="utf-8"?>
<formControlPr xmlns="http://schemas.microsoft.com/office/spreadsheetml/2009/9/main" objectType="CheckBox" fmlaLink="Ber_Lab!$E$8" lockText="1"/>
</file>

<file path=xl/ctrlProps/ctrlProp445.xml><?xml version="1.0" encoding="utf-8"?>
<formControlPr xmlns="http://schemas.microsoft.com/office/spreadsheetml/2009/9/main" objectType="CheckBox" fmlaLink="Ber_Lab!$E$13" lockText="1"/>
</file>

<file path=xl/ctrlProps/ctrlProp446.xml><?xml version="1.0" encoding="utf-8"?>
<formControlPr xmlns="http://schemas.microsoft.com/office/spreadsheetml/2009/9/main" objectType="CheckBox" fmlaLink="Ber_Lab!$E$12" lockText="1"/>
</file>

<file path=xl/ctrlProps/ctrlProp447.xml><?xml version="1.0" encoding="utf-8"?>
<formControlPr xmlns="http://schemas.microsoft.com/office/spreadsheetml/2009/9/main" objectType="CheckBox" fmlaLink="Ber_Lab!$E$30" lockText="1"/>
</file>

<file path=xl/ctrlProps/ctrlProp448.xml><?xml version="1.0" encoding="utf-8"?>
<formControlPr xmlns="http://schemas.microsoft.com/office/spreadsheetml/2009/9/main" objectType="CheckBox" fmlaLink="Ber_Lab!$E$15" lockText="1"/>
</file>

<file path=xl/ctrlProps/ctrlProp449.xml><?xml version="1.0" encoding="utf-8"?>
<formControlPr xmlns="http://schemas.microsoft.com/office/spreadsheetml/2009/9/main" objectType="CheckBox" fmlaLink="Ber_Lab!$E$18" lockText="1"/>
</file>

<file path=xl/ctrlProps/ctrlProp450.xml><?xml version="1.0" encoding="utf-8"?>
<formControlPr xmlns="http://schemas.microsoft.com/office/spreadsheetml/2009/9/main" objectType="CheckBox" fmlaLink="Ber_Lab!$E$19" lockText="1"/>
</file>

<file path=xl/ctrlProps/ctrlProp451.xml><?xml version="1.0" encoding="utf-8"?>
<formControlPr xmlns="http://schemas.microsoft.com/office/spreadsheetml/2009/9/main" objectType="CheckBox" fmlaLink="Ber_Lab!$E$20" lockText="1"/>
</file>

<file path=xl/ctrlProps/ctrlProp452.xml><?xml version="1.0" encoding="utf-8"?>
<formControlPr xmlns="http://schemas.microsoft.com/office/spreadsheetml/2009/9/main" objectType="CheckBox" fmlaLink="Ber_Lab!$E$11" lockText="1"/>
</file>

<file path=xl/ctrlProps/ctrlProp453.xml><?xml version="1.0" encoding="utf-8"?>
<formControlPr xmlns="http://schemas.microsoft.com/office/spreadsheetml/2009/9/main" objectType="CheckBox" fmlaLink="Ber_Lab!$E$28" lockText="1"/>
</file>

<file path=xl/ctrlProps/ctrlProp454.xml><?xml version="1.0" encoding="utf-8"?>
<formControlPr xmlns="http://schemas.microsoft.com/office/spreadsheetml/2009/9/main" objectType="CheckBox" fmlaLink="Ber_Lab!$E$27" lockText="1"/>
</file>

<file path=xl/ctrlProps/ctrlProp455.xml><?xml version="1.0" encoding="utf-8"?>
<formControlPr xmlns="http://schemas.microsoft.com/office/spreadsheetml/2009/9/main" objectType="CheckBox" fmlaLink="Ber_Lab!$E$6" lockText="1"/>
</file>

<file path=xl/ctrlProps/ctrlProp456.xml><?xml version="1.0" encoding="utf-8"?>
<formControlPr xmlns="http://schemas.microsoft.com/office/spreadsheetml/2009/9/main" objectType="CheckBox" fmlaLink="Ber_Lab!$E$16" lockText="1"/>
</file>

<file path=xl/ctrlProps/ctrlProp457.xml><?xml version="1.0" encoding="utf-8"?>
<formControlPr xmlns="http://schemas.microsoft.com/office/spreadsheetml/2009/9/main" objectType="CheckBox" fmlaLink="Ber_Lab!$C$26" lockText="1"/>
</file>

<file path=xl/ctrlProps/ctrlProp458.xml><?xml version="1.0" encoding="utf-8"?>
<formControlPr xmlns="http://schemas.microsoft.com/office/spreadsheetml/2009/9/main" objectType="CheckBox" fmlaLink="Ber_Lab!$G$26" lockText="1"/>
</file>

<file path=xl/ctrlProps/ctrlProp459.xml><?xml version="1.0" encoding="utf-8"?>
<formControlPr xmlns="http://schemas.microsoft.com/office/spreadsheetml/2009/9/main" objectType="CheckBox" fmlaLink="Ber_Lab!$I$26" lockText="1"/>
</file>

<file path=xl/ctrlProps/ctrlProp460.xml><?xml version="1.0" encoding="utf-8"?>
<formControlPr xmlns="http://schemas.microsoft.com/office/spreadsheetml/2009/9/main" objectType="CheckBox" fmlaLink="Ber_Lab!$L$26" lockText="1"/>
</file>

<file path=xl/ctrlProps/ctrlProp461.xml><?xml version="1.0" encoding="utf-8"?>
<formControlPr xmlns="http://schemas.microsoft.com/office/spreadsheetml/2009/9/main" objectType="CheckBox" fmlaLink="Ber_Lab!$E$26" lockText="1"/>
</file>

<file path=xl/ctrlProps/ctrlProp462.xml><?xml version="1.0" encoding="utf-8"?>
<formControlPr xmlns="http://schemas.microsoft.com/office/spreadsheetml/2009/9/main" objectType="CheckBox" fmlaLink="Ber_Lab!$C$32" lockText="1"/>
</file>

<file path=xl/ctrlProps/ctrlProp463.xml><?xml version="1.0" encoding="utf-8"?>
<formControlPr xmlns="http://schemas.microsoft.com/office/spreadsheetml/2009/9/main" objectType="CheckBox" fmlaLink="Ber_Lab!$G$32" lockText="1"/>
</file>

<file path=xl/ctrlProps/ctrlProp464.xml><?xml version="1.0" encoding="utf-8"?>
<formControlPr xmlns="http://schemas.microsoft.com/office/spreadsheetml/2009/9/main" objectType="CheckBox" fmlaLink="Ber_Lab!$I$32" lockText="1"/>
</file>

<file path=xl/ctrlProps/ctrlProp465.xml><?xml version="1.0" encoding="utf-8"?>
<formControlPr xmlns="http://schemas.microsoft.com/office/spreadsheetml/2009/9/main" objectType="CheckBox" fmlaLink="Ber_Lab!$L$32" lockText="1"/>
</file>

<file path=xl/ctrlProps/ctrlProp466.xml><?xml version="1.0" encoding="utf-8"?>
<formControlPr xmlns="http://schemas.microsoft.com/office/spreadsheetml/2009/9/main" objectType="CheckBox" fmlaLink="Ber_Lab!$E$32" lockText="1"/>
</file>

<file path=xl/ctrlProps/ctrlProp467.xml><?xml version="1.0" encoding="utf-8"?>
<formControlPr xmlns="http://schemas.microsoft.com/office/spreadsheetml/2009/9/main" objectType="CheckBox" fmlaLink="Ber_Lab!$C$9" lockText="1"/>
</file>

<file path=xl/ctrlProps/ctrlProp468.xml><?xml version="1.0" encoding="utf-8"?>
<formControlPr xmlns="http://schemas.microsoft.com/office/spreadsheetml/2009/9/main" objectType="CheckBox" fmlaLink="Ber_Lab!$G$9" lockText="1"/>
</file>

<file path=xl/ctrlProps/ctrlProp469.xml><?xml version="1.0" encoding="utf-8"?>
<formControlPr xmlns="http://schemas.microsoft.com/office/spreadsheetml/2009/9/main" objectType="CheckBox" fmlaLink="Ber_Lab!$I$9" lockText="1"/>
</file>

<file path=xl/ctrlProps/ctrlProp470.xml><?xml version="1.0" encoding="utf-8"?>
<formControlPr xmlns="http://schemas.microsoft.com/office/spreadsheetml/2009/9/main" objectType="CheckBox" fmlaLink="Ber_Lab!$L$9" lockText="1"/>
</file>

<file path=xl/ctrlProps/ctrlProp471.xml><?xml version="1.0" encoding="utf-8"?>
<formControlPr xmlns="http://schemas.microsoft.com/office/spreadsheetml/2009/9/main" objectType="CheckBox" fmlaLink="Ber_Lab!$E$9" lockText="1"/>
</file>

<file path=xl/ctrlProps/ctrlProp472.xml><?xml version="1.0" encoding="utf-8"?>
<formControlPr xmlns="http://schemas.microsoft.com/office/spreadsheetml/2009/9/main" objectType="CheckBox" fmlaLink="Ber_Lab!$C$10" lockText="1"/>
</file>

<file path=xl/ctrlProps/ctrlProp473.xml><?xml version="1.0" encoding="utf-8"?>
<formControlPr xmlns="http://schemas.microsoft.com/office/spreadsheetml/2009/9/main" objectType="CheckBox" fmlaLink="Ber_Lab!$G$10" lockText="1"/>
</file>

<file path=xl/ctrlProps/ctrlProp474.xml><?xml version="1.0" encoding="utf-8"?>
<formControlPr xmlns="http://schemas.microsoft.com/office/spreadsheetml/2009/9/main" objectType="CheckBox" fmlaLink="Ber_Lab!$I$10" lockText="1"/>
</file>

<file path=xl/ctrlProps/ctrlProp475.xml><?xml version="1.0" encoding="utf-8"?>
<formControlPr xmlns="http://schemas.microsoft.com/office/spreadsheetml/2009/9/main" objectType="CheckBox" fmlaLink="Ber_Lab!$L$10" lockText="1"/>
</file>

<file path=xl/ctrlProps/ctrlProp476.xml><?xml version="1.0" encoding="utf-8"?>
<formControlPr xmlns="http://schemas.microsoft.com/office/spreadsheetml/2009/9/main" objectType="CheckBox" fmlaLink="Ber_Lab!$E$10" lockText="1"/>
</file>

<file path=xl/ctrlProps/ctrlProp477.xml><?xml version="1.0" encoding="utf-8"?>
<formControlPr xmlns="http://schemas.microsoft.com/office/spreadsheetml/2009/9/main" objectType="CheckBox" fmlaLink="Ber_Lab!$C$14" lockText="1"/>
</file>

<file path=xl/ctrlProps/ctrlProp478.xml><?xml version="1.0" encoding="utf-8"?>
<formControlPr xmlns="http://schemas.microsoft.com/office/spreadsheetml/2009/9/main" objectType="CheckBox" fmlaLink="Ber_Lab!$G$14" lockText="1"/>
</file>

<file path=xl/ctrlProps/ctrlProp479.xml><?xml version="1.0" encoding="utf-8"?>
<formControlPr xmlns="http://schemas.microsoft.com/office/spreadsheetml/2009/9/main" objectType="CheckBox" fmlaLink="Ber_Lab!$I$14" lockText="1"/>
</file>

<file path=xl/ctrlProps/ctrlProp480.xml><?xml version="1.0" encoding="utf-8"?>
<formControlPr xmlns="http://schemas.microsoft.com/office/spreadsheetml/2009/9/main" objectType="CheckBox" fmlaLink="Ber_Lab!$L$14" lockText="1"/>
</file>

<file path=xl/ctrlProps/ctrlProp481.xml><?xml version="1.0" encoding="utf-8"?>
<formControlPr xmlns="http://schemas.microsoft.com/office/spreadsheetml/2009/9/main" objectType="CheckBox" fmlaLink="Ber_Lab!$E$14" lockText="1"/>
</file>

<file path=xl/ctrlProps/ctrlProp482.xml><?xml version="1.0" encoding="utf-8"?>
<formControlPr xmlns="http://schemas.microsoft.com/office/spreadsheetml/2009/9/main" objectType="CheckBox" fmlaLink="Ber_Lab!$C$21" lockText="1"/>
</file>

<file path=xl/ctrlProps/ctrlProp483.xml><?xml version="1.0" encoding="utf-8"?>
<formControlPr xmlns="http://schemas.microsoft.com/office/spreadsheetml/2009/9/main" objectType="CheckBox" fmlaLink="Ber_Lab!$G$21" lockText="1"/>
</file>

<file path=xl/ctrlProps/ctrlProp484.xml><?xml version="1.0" encoding="utf-8"?>
<formControlPr xmlns="http://schemas.microsoft.com/office/spreadsheetml/2009/9/main" objectType="CheckBox" fmlaLink="Ber_Lab!$I$21" lockText="1"/>
</file>

<file path=xl/ctrlProps/ctrlProp485.xml><?xml version="1.0" encoding="utf-8"?>
<formControlPr xmlns="http://schemas.microsoft.com/office/spreadsheetml/2009/9/main" objectType="CheckBox" fmlaLink="Ber_Lab!$L$21" lockText="1"/>
</file>

<file path=xl/ctrlProps/ctrlProp486.xml><?xml version="1.0" encoding="utf-8"?>
<formControlPr xmlns="http://schemas.microsoft.com/office/spreadsheetml/2009/9/main" objectType="CheckBox" fmlaLink="Ber_Lab!$E$21" lockText="1"/>
</file>

<file path=xl/ctrlProps/ctrlProp487.xml><?xml version="1.0" encoding="utf-8"?>
<formControlPr xmlns="http://schemas.microsoft.com/office/spreadsheetml/2009/9/main" objectType="CheckBox" fmlaLink="Ber_Lab!$C$22" lockText="1"/>
</file>

<file path=xl/ctrlProps/ctrlProp488.xml><?xml version="1.0" encoding="utf-8"?>
<formControlPr xmlns="http://schemas.microsoft.com/office/spreadsheetml/2009/9/main" objectType="CheckBox" fmlaLink="Ber_Lab!$G$22" lockText="1"/>
</file>

<file path=xl/ctrlProps/ctrlProp489.xml><?xml version="1.0" encoding="utf-8"?>
<formControlPr xmlns="http://schemas.microsoft.com/office/spreadsheetml/2009/9/main" objectType="CheckBox" fmlaLink="Ber_Lab!$I$22" lockText="1"/>
</file>

<file path=xl/ctrlProps/ctrlProp490.xml><?xml version="1.0" encoding="utf-8"?>
<formControlPr xmlns="http://schemas.microsoft.com/office/spreadsheetml/2009/9/main" objectType="CheckBox" fmlaLink="Ber_Lab!$L$22" lockText="1"/>
</file>

<file path=xl/ctrlProps/ctrlProp491.xml><?xml version="1.0" encoding="utf-8"?>
<formControlPr xmlns="http://schemas.microsoft.com/office/spreadsheetml/2009/9/main" objectType="CheckBox" fmlaLink="Ber_Lab!$E$22" lockText="1"/>
</file>

<file path=xl/ctrlProps/ctrlProp492.xml><?xml version="1.0" encoding="utf-8"?>
<formControlPr xmlns="http://schemas.microsoft.com/office/spreadsheetml/2009/9/main" objectType="CheckBox" fmlaLink="Ber_Lab!$C$23" lockText="1"/>
</file>

<file path=xl/ctrlProps/ctrlProp493.xml><?xml version="1.0" encoding="utf-8"?>
<formControlPr xmlns="http://schemas.microsoft.com/office/spreadsheetml/2009/9/main" objectType="CheckBox" fmlaLink="Ber_Lab!$G$23" lockText="1"/>
</file>

<file path=xl/ctrlProps/ctrlProp494.xml><?xml version="1.0" encoding="utf-8"?>
<formControlPr xmlns="http://schemas.microsoft.com/office/spreadsheetml/2009/9/main" objectType="CheckBox" fmlaLink="Ber_Lab!$I$23" lockText="1"/>
</file>

<file path=xl/ctrlProps/ctrlProp495.xml><?xml version="1.0" encoding="utf-8"?>
<formControlPr xmlns="http://schemas.microsoft.com/office/spreadsheetml/2009/9/main" objectType="CheckBox" fmlaLink="Ber_Lab!$L$23" lockText="1"/>
</file>

<file path=xl/ctrlProps/ctrlProp496.xml><?xml version="1.0" encoding="utf-8"?>
<formControlPr xmlns="http://schemas.microsoft.com/office/spreadsheetml/2009/9/main" objectType="CheckBox" fmlaLink="Ber_Lab!$E$23" lockText="1"/>
</file>

<file path=xl/ctrlProps/ctrlProp497.xml><?xml version="1.0" encoding="utf-8"?>
<formControlPr xmlns="http://schemas.microsoft.com/office/spreadsheetml/2009/9/main" objectType="CheckBox" fmlaLink="Ber_Lab!$C$24" lockText="1"/>
</file>

<file path=xl/ctrlProps/ctrlProp498.xml><?xml version="1.0" encoding="utf-8"?>
<formControlPr xmlns="http://schemas.microsoft.com/office/spreadsheetml/2009/9/main" objectType="CheckBox" fmlaLink="Ber_Lab!$G$24" lockText="1"/>
</file>

<file path=xl/ctrlProps/ctrlProp499.xml><?xml version="1.0" encoding="utf-8"?>
<formControlPr xmlns="http://schemas.microsoft.com/office/spreadsheetml/2009/9/main" objectType="CheckBox" fmlaLink="Ber_Lab!$I$24" lockText="1"/>
</file>

<file path=xl/ctrlProps/ctrlProp500.xml><?xml version="1.0" encoding="utf-8"?>
<formControlPr xmlns="http://schemas.microsoft.com/office/spreadsheetml/2009/9/main" objectType="CheckBox" fmlaLink="Ber_Lab!$L$24" lockText="1"/>
</file>

<file path=xl/ctrlProps/ctrlProp501.xml><?xml version="1.0" encoding="utf-8"?>
<formControlPr xmlns="http://schemas.microsoft.com/office/spreadsheetml/2009/9/main" objectType="CheckBox" fmlaLink="Ber_Lab!$E$24" lockText="1"/>
</file>

<file path=xl/ctrlProps/ctrlProp502.xml><?xml version="1.0" encoding="utf-8"?>
<formControlPr xmlns="http://schemas.microsoft.com/office/spreadsheetml/2009/9/main" objectType="CheckBox" fmlaLink="Ber_Lab!$C$25" lockText="1"/>
</file>

<file path=xl/ctrlProps/ctrlProp503.xml><?xml version="1.0" encoding="utf-8"?>
<formControlPr xmlns="http://schemas.microsoft.com/office/spreadsheetml/2009/9/main" objectType="CheckBox" fmlaLink="Ber_Lab!$G$25" lockText="1"/>
</file>

<file path=xl/ctrlProps/ctrlProp504.xml><?xml version="1.0" encoding="utf-8"?>
<formControlPr xmlns="http://schemas.microsoft.com/office/spreadsheetml/2009/9/main" objectType="CheckBox" fmlaLink="Ber_Lab!$I$25" lockText="1"/>
</file>

<file path=xl/ctrlProps/ctrlProp505.xml><?xml version="1.0" encoding="utf-8"?>
<formControlPr xmlns="http://schemas.microsoft.com/office/spreadsheetml/2009/9/main" objectType="CheckBox" fmlaLink="Ber_Lab!$L$25" lockText="1"/>
</file>

<file path=xl/ctrlProps/ctrlProp506.xml><?xml version="1.0" encoding="utf-8"?>
<formControlPr xmlns="http://schemas.microsoft.com/office/spreadsheetml/2009/9/main" objectType="CheckBox" fmlaLink="Ber_Lab!$E$25" lockText="1"/>
</file>

<file path=xl/ctrlProps/ctrlProp507.xml><?xml version="1.0" encoding="utf-8"?>
<formControlPr xmlns="http://schemas.microsoft.com/office/spreadsheetml/2009/9/main" objectType="CheckBox" fmlaLink="Ber_Lab!$C$29" lockText="1"/>
</file>

<file path=xl/ctrlProps/ctrlProp508.xml><?xml version="1.0" encoding="utf-8"?>
<formControlPr xmlns="http://schemas.microsoft.com/office/spreadsheetml/2009/9/main" objectType="CheckBox" fmlaLink="Ber_Lab!$G$29" lockText="1"/>
</file>

<file path=xl/ctrlProps/ctrlProp509.xml><?xml version="1.0" encoding="utf-8"?>
<formControlPr xmlns="http://schemas.microsoft.com/office/spreadsheetml/2009/9/main" objectType="CheckBox" fmlaLink="Ber_Lab!$I$29" lockText="1"/>
</file>

<file path=xl/ctrlProps/ctrlProp510.xml><?xml version="1.0" encoding="utf-8"?>
<formControlPr xmlns="http://schemas.microsoft.com/office/spreadsheetml/2009/9/main" objectType="CheckBox" fmlaLink="Ber_Lab!$L$29" lockText="1"/>
</file>

<file path=xl/ctrlProps/ctrlProp511.xml><?xml version="1.0" encoding="utf-8"?>
<formControlPr xmlns="http://schemas.microsoft.com/office/spreadsheetml/2009/9/main" objectType="CheckBox" fmlaLink="Ber_Lab!$E$29" lockText="1"/>
</file>

<file path=xl/ctrlProps/ctrlProp512.xml><?xml version="1.0" encoding="utf-8"?>
<formControlPr xmlns="http://schemas.microsoft.com/office/spreadsheetml/2009/9/main" objectType="CheckBox" fmlaLink="Ber_Lab!$C$17" lockText="1"/>
</file>

<file path=xl/ctrlProps/ctrlProp513.xml><?xml version="1.0" encoding="utf-8"?>
<formControlPr xmlns="http://schemas.microsoft.com/office/spreadsheetml/2009/9/main" objectType="CheckBox" fmlaLink="Ber_Lab!$G$17" lockText="1"/>
</file>

<file path=xl/ctrlProps/ctrlProp514.xml><?xml version="1.0" encoding="utf-8"?>
<formControlPr xmlns="http://schemas.microsoft.com/office/spreadsheetml/2009/9/main" objectType="CheckBox" fmlaLink="Ber_Lab!$I$17" lockText="1"/>
</file>

<file path=xl/ctrlProps/ctrlProp515.xml><?xml version="1.0" encoding="utf-8"?>
<formControlPr xmlns="http://schemas.microsoft.com/office/spreadsheetml/2009/9/main" objectType="CheckBox" fmlaLink="Ber_Lab!$L$17" lockText="1"/>
</file>

<file path=xl/ctrlProps/ctrlProp516.xml><?xml version="1.0" encoding="utf-8"?>
<formControlPr xmlns="http://schemas.microsoft.com/office/spreadsheetml/2009/9/main" objectType="CheckBox" fmlaLink="Ber_Lab!$E$17" lockText="1"/>
</file>

<file path=xl/ctrlProps/ctrlProp517.xml><?xml version="1.0" encoding="utf-8"?>
<formControlPr xmlns="http://schemas.microsoft.com/office/spreadsheetml/2009/9/main" objectType="CheckBox" fmlaLink="Ber_Lab!$C$31" lockText="1"/>
</file>

<file path=xl/ctrlProps/ctrlProp518.xml><?xml version="1.0" encoding="utf-8"?>
<formControlPr xmlns="http://schemas.microsoft.com/office/spreadsheetml/2009/9/main" objectType="CheckBox" fmlaLink="Ber_Lab!$G$31" lockText="1"/>
</file>

<file path=xl/ctrlProps/ctrlProp519.xml><?xml version="1.0" encoding="utf-8"?>
<formControlPr xmlns="http://schemas.microsoft.com/office/spreadsheetml/2009/9/main" objectType="CheckBox" fmlaLink="Ber_Lab!$I$31" lockText="1"/>
</file>

<file path=xl/ctrlProps/ctrlProp520.xml><?xml version="1.0" encoding="utf-8"?>
<formControlPr xmlns="http://schemas.microsoft.com/office/spreadsheetml/2009/9/main" objectType="CheckBox" fmlaLink="Ber_Lab!$L$31" lockText="1"/>
</file>

<file path=xl/ctrlProps/ctrlProp521.xml><?xml version="1.0" encoding="utf-8"?>
<formControlPr xmlns="http://schemas.microsoft.com/office/spreadsheetml/2009/9/main" objectType="CheckBox" fmlaLink="Ber_Lab!$E$31" lockText="1"/>
</file>

<file path=xl/ctrlProps/ctrlProp522.xml><?xml version="1.0" encoding="utf-8"?>
<formControlPr xmlns="http://schemas.microsoft.com/office/spreadsheetml/2009/9/main" objectType="CheckBox" fmlaLink="Ber_Lab!C35" lockText="1"/>
</file>

<file path=xl/ctrlProps/ctrlProp523.xml><?xml version="1.0" encoding="utf-8"?>
<formControlPr xmlns="http://schemas.microsoft.com/office/spreadsheetml/2009/9/main" objectType="CheckBox" fmlaLink="Ber_Lab!$C$33" lockText="1"/>
</file>

<file path=xl/ctrlProps/ctrlProp524.xml><?xml version="1.0" encoding="utf-8"?>
<formControlPr xmlns="http://schemas.microsoft.com/office/spreadsheetml/2009/9/main" objectType="CheckBox" fmlaLink="Ber_Lab!$G$33" lockText="1"/>
</file>

<file path=xl/ctrlProps/ctrlProp525.xml><?xml version="1.0" encoding="utf-8"?>
<formControlPr xmlns="http://schemas.microsoft.com/office/spreadsheetml/2009/9/main" objectType="CheckBox" fmlaLink="Ber_Lab!$I$33" lockText="1"/>
</file>

<file path=xl/ctrlProps/ctrlProp526.xml><?xml version="1.0" encoding="utf-8"?>
<formControlPr xmlns="http://schemas.microsoft.com/office/spreadsheetml/2009/9/main" objectType="CheckBox" fmlaLink="Ber_Lab!$L$33" lockText="1"/>
</file>

<file path=xl/ctrlProps/ctrlProp527.xml><?xml version="1.0" encoding="utf-8"?>
<formControlPr xmlns="http://schemas.microsoft.com/office/spreadsheetml/2009/9/main" objectType="CheckBox" fmlaLink="Ber_Lab!$E$33" lockText="1"/>
</file>

<file path=xl/ctrlProps/ctrlProp528.xml><?xml version="1.0" encoding="utf-8"?>
<formControlPr xmlns="http://schemas.microsoft.com/office/spreadsheetml/2009/9/main" objectType="CheckBox" fmlaLink="Ber_Lab!$C$34" lockText="1"/>
</file>

<file path=xl/ctrlProps/ctrlProp529.xml><?xml version="1.0" encoding="utf-8"?>
<formControlPr xmlns="http://schemas.microsoft.com/office/spreadsheetml/2009/9/main" objectType="CheckBox" fmlaLink="Ber_Lab!$G$34" lockText="1"/>
</file>

<file path=xl/ctrlProps/ctrlProp530.xml><?xml version="1.0" encoding="utf-8"?>
<formControlPr xmlns="http://schemas.microsoft.com/office/spreadsheetml/2009/9/main" objectType="CheckBox" fmlaLink="Ber_Lab!$I$34" lockText="1"/>
</file>

<file path=xl/ctrlProps/ctrlProp531.xml><?xml version="1.0" encoding="utf-8"?>
<formControlPr xmlns="http://schemas.microsoft.com/office/spreadsheetml/2009/9/main" objectType="CheckBox" fmlaLink="Ber_Lab!L34" lockText="1"/>
</file>

<file path=xl/ctrlProps/ctrlProp532.xml><?xml version="1.0" encoding="utf-8"?>
<formControlPr xmlns="http://schemas.microsoft.com/office/spreadsheetml/2009/9/main" objectType="CheckBox" fmlaLink="Ber_Lab!$E$34" lockText="1"/>
</file>

<file path=xl/ctrlProps/ctrlProp533.xml><?xml version="1.0" encoding="utf-8"?>
<formControlPr xmlns="http://schemas.microsoft.com/office/spreadsheetml/2009/9/main" objectType="Spin" dx="15" fmlaLink="dbBead!$H$2" max="200" min="25" page="10" val="80"/>
</file>

<file path=xl/ctrlProps/ctrlProp534.xml><?xml version="1.0" encoding="utf-8"?>
<formControlPr xmlns="http://schemas.microsoft.com/office/spreadsheetml/2009/9/main" objectType="Spin" dx="15" fmlaLink="dbBead!$H$2" max="200" min="25" page="10" val="80"/>
</file>

<file path=xl/ctrlProps/ctrlProp535.xml><?xml version="1.0" encoding="utf-8"?>
<formControlPr xmlns="http://schemas.microsoft.com/office/spreadsheetml/2009/9/main" objectType="CheckBox" fmlaLink="ber_AanvullendeAfsprakenPed!$F$7" lockText="1"/>
</file>

<file path=xl/ctrlProps/ctrlProp536.xml><?xml version="1.0" encoding="utf-8"?>
<formControlPr xmlns="http://schemas.microsoft.com/office/spreadsheetml/2009/9/main" objectType="CheckBox" fmlaLink="ber_AanvullendeAfsprakenPed!$F$8" lockText="1"/>
</file>

<file path=xl/ctrlProps/ctrlProp537.xml><?xml version="1.0" encoding="utf-8"?>
<formControlPr xmlns="http://schemas.microsoft.com/office/spreadsheetml/2009/9/main" objectType="Spin" dx="15" fmlaLink="ber_AanvullendeAfsprakenPed!$B$12" max="24" page="10" val="0"/>
</file>

<file path=xl/ctrlProps/ctrlProp538.xml><?xml version="1.0" encoding="utf-8"?>
<formControlPr xmlns="http://schemas.microsoft.com/office/spreadsheetml/2009/9/main" objectType="CheckBox" fmlaLink="ber_AanvullendeAfsprakenPed!$B$22" lockText="1"/>
</file>

<file path=xl/ctrlProps/ctrlProp539.xml><?xml version="1.0" encoding="utf-8"?>
<formControlPr xmlns="http://schemas.microsoft.com/office/spreadsheetml/2009/9/main" objectType="CheckBox" fmlaLink="ber_AanvullendeAfsprakenPed!$B$23" lockText="1"/>
</file>

<file path=xl/ctrlProps/ctrlProp540.xml><?xml version="1.0" encoding="utf-8"?>
<formControlPr xmlns="http://schemas.microsoft.com/office/spreadsheetml/2009/9/main" objectType="CheckBox" fmlaLink="ber_AanvullendeAfsprakenPed!$B$27" lockText="1"/>
</file>

<file path=xl/ctrlProps/ctrlProp541.xml><?xml version="1.0" encoding="utf-8"?>
<formControlPr xmlns="http://schemas.microsoft.com/office/spreadsheetml/2009/9/main" objectType="Drop" dropStyle="combo" dx="16" fmlaLink="ber_AanvullendeAfsprakenPed!$D$27" fmlaRange="Aanvullend_ThoraxDrainSub2" noThreeD="1" sel="0" val="0"/>
</file>

<file path=xl/ctrlProps/ctrlProp542.xml><?xml version="1.0" encoding="utf-8"?>
<formControlPr xmlns="http://schemas.microsoft.com/office/spreadsheetml/2009/9/main" objectType="Drop" dropStyle="combo" dx="16" fmlaLink="ber_AanvullendeAfsprakenPed!$D$28" fmlaRange="Aanvullend_ThoraxDrainSub3" noThreeD="1" sel="0" val="0"/>
</file>

<file path=xl/ctrlProps/ctrlProp543.xml><?xml version="1.0" encoding="utf-8"?>
<formControlPr xmlns="http://schemas.microsoft.com/office/spreadsheetml/2009/9/main" objectType="CheckBox" fmlaLink="ber_AanvullendeAfsprakenPed!$B$30" lockText="1"/>
</file>

<file path=xl/ctrlProps/ctrlProp544.xml><?xml version="1.0" encoding="utf-8"?>
<formControlPr xmlns="http://schemas.microsoft.com/office/spreadsheetml/2009/9/main" objectType="Drop" dropStyle="combo" dx="16" fmlaLink="ber_AanvullendeAfsprakenPed!$D$30" fmlaRange="Aanvullend_ThoraxDrainSub2" noThreeD="1" sel="0" val="0"/>
</file>

<file path=xl/ctrlProps/ctrlProp545.xml><?xml version="1.0" encoding="utf-8"?>
<formControlPr xmlns="http://schemas.microsoft.com/office/spreadsheetml/2009/9/main" objectType="Drop" dropStyle="combo" dx="16" fmlaLink="ber_AanvullendeAfsprakenPed!$D$31" fmlaRange="Aanvullend_ThoraxDrainSub3" noThreeD="1" sel="0" val="0"/>
</file>

<file path=xl/ctrlProps/ctrlProp546.xml><?xml version="1.0" encoding="utf-8"?>
<formControlPr xmlns="http://schemas.microsoft.com/office/spreadsheetml/2009/9/main" objectType="CheckBox" fmlaLink="ber_AanvullendeAfsprakenPed!$B$7" lockText="1"/>
</file>

<file path=xl/ctrlProps/ctrlProp547.xml><?xml version="1.0" encoding="utf-8"?>
<formControlPr xmlns="http://schemas.microsoft.com/office/spreadsheetml/2009/9/main" objectType="CheckBox" fmlaLink="ber_AanvullendeAfsprakenPed!$B$8" lockText="1"/>
</file>

<file path=xl/ctrlProps/ctrlProp548.xml><?xml version="1.0" encoding="utf-8"?>
<formControlPr xmlns="http://schemas.microsoft.com/office/spreadsheetml/2009/9/main" objectType="CheckBox" fmlaLink="ber_AanvullendeAfsprakenPed!$B$21" lockText="1"/>
</file>

<file path=xl/ctrlProps/ctrlProp549.xml><?xml version="1.0" encoding="utf-8"?>
<formControlPr xmlns="http://schemas.microsoft.com/office/spreadsheetml/2009/9/main" objectType="CheckBox" fmlaLink="ber_AanvullendeAfsprakenPed!$B$11" lockText="1"/>
</file>

<file path=xl/ctrlProps/ctrlProp550.xml><?xml version="1.0" encoding="utf-8"?>
<formControlPr xmlns="http://schemas.microsoft.com/office/spreadsheetml/2009/9/main" objectType="CheckBox" fmlaLink="ber_AanvullendeAfsprakenPed!$B$15" lockText="1"/>
</file>

<file path=xl/ctrlProps/ctrlProp551.xml><?xml version="1.0" encoding="utf-8"?>
<formControlPr xmlns="http://schemas.microsoft.com/office/spreadsheetml/2009/9/main" objectType="CheckBox" fmlaLink="ber_AanvullendeAfsprakenPed!$B$16" lockText="1"/>
</file>

<file path=xl/ctrlProps/ctrlProp552.xml><?xml version="1.0" encoding="utf-8"?>
<formControlPr xmlns="http://schemas.microsoft.com/office/spreadsheetml/2009/9/main" objectType="CheckBox" fmlaLink="ber_AanvullendeAfsprakenPed!$B$17" lockText="1"/>
</file>

<file path=xl/ctrlProps/ctrlProp553.xml><?xml version="1.0" encoding="utf-8"?>
<formControlPr xmlns="http://schemas.microsoft.com/office/spreadsheetml/2009/9/main" objectType="CheckBox" fmlaLink="ber_AanvullendeAfsprakenPed!$D$11" lockText="1"/>
</file>

<file path=xl/ctrlProps/ctrlProp554.xml><?xml version="1.0" encoding="utf-8"?>
<formControlPr xmlns="http://schemas.microsoft.com/office/spreadsheetml/2009/9/main" objectType="CheckBox" fmlaLink="ber_AanvullendeAfsprakenPed!$D$12" lockText="1"/>
</file>

<file path=xl/ctrlProps/ctrlProp555.xml><?xml version="1.0" encoding="utf-8"?>
<formControlPr xmlns="http://schemas.microsoft.com/office/spreadsheetml/2009/9/main" objectType="CheckBox" fmlaLink="ber_AanvullendeAfsprakenPed!$D$13" lockText="1"/>
</file>

<file path=xl/ctrlProps/ctrlProp556.xml><?xml version="1.0" encoding="utf-8"?>
<formControlPr xmlns="http://schemas.microsoft.com/office/spreadsheetml/2009/9/main" objectType="CheckBox" fmlaLink="ber_AanvullendeAfsprakenPed!$D$14" lockText="1"/>
</file>

<file path=xl/ctrlProps/ctrlProp557.xml><?xml version="1.0" encoding="utf-8"?>
<formControlPr xmlns="http://schemas.microsoft.com/office/spreadsheetml/2009/9/main" objectType="CheckBox" fmlaLink="ber_AanvullendeAfsprakenPed!$B$20" lockText="1"/>
</file>

<file path=xl/ctrlProps/ctrlProp558.xml><?xml version="1.0" encoding="utf-8"?>
<formControlPr xmlns="http://schemas.microsoft.com/office/spreadsheetml/2009/9/main" objectType="CheckBox" fmlaLink="ber_AanvullendeAfsprakenPed!$B$9" lockText="1"/>
</file>

<file path=xl/ctrlProps/ctrlProp559.xml><?xml version="1.0" encoding="utf-8"?>
<formControlPr xmlns="http://schemas.microsoft.com/office/spreadsheetml/2009/9/main" objectType="Spin" dx="15" fmlaLink="ber_AanvullendeAfsprakenPed!$C$7" max="10" page="10" val="0"/>
</file>

<file path=xl/ctrlProps/ctrlProp560.xml><?xml version="1.0" encoding="utf-8"?>
<formControlPr xmlns="http://schemas.microsoft.com/office/spreadsheetml/2009/9/main" objectType="Spin" dx="15" fmlaLink="ber_AanvullendeAfsprakenPed!$C$8" max="10" page="10" val="0"/>
</file>

<file path=xl/ctrlProps/ctrlProp561.xml><?xml version="1.0" encoding="utf-8"?>
<formControlPr xmlns="http://schemas.microsoft.com/office/spreadsheetml/2009/9/main" objectType="Spin" dx="15" fmlaLink="ber_AanvullendeAfsprakenPed!$C$9" max="10" page="10" val="0"/>
</file>

<file path=xl/ctrlProps/ctrlProp562.xml><?xml version="1.0" encoding="utf-8"?>
<formControlPr xmlns="http://schemas.microsoft.com/office/spreadsheetml/2009/9/main" objectType="Drop" dropStyle="combo" dx="16" fmlaLink="ber_AanvullendeAfsprakenPed!$D$7" fmlaRange="Aanvullend_PerPeriode" noThreeD="1" sel="0" val="0"/>
</file>

<file path=xl/ctrlProps/ctrlProp563.xml><?xml version="1.0" encoding="utf-8"?>
<formControlPr xmlns="http://schemas.microsoft.com/office/spreadsheetml/2009/9/main" objectType="Drop" dropStyle="combo" dx="16" fmlaLink="ber_AanvullendeAfsprakenPed!$D$8" fmlaRange="Aanvullend_PerPeriode" noThreeD="1" sel="0" val="0"/>
</file>

<file path=xl/ctrlProps/ctrlProp564.xml><?xml version="1.0" encoding="utf-8"?>
<formControlPr xmlns="http://schemas.microsoft.com/office/spreadsheetml/2009/9/main" objectType="Drop" dropStyle="combo" dx="16" fmlaLink="ber_AanvullendeAfsprakenPed!$D$9" fmlaRange="Aanvullend_PerPeriode" noThreeD="1" sel="0" val="0"/>
</file>

<file path=xl/ctrlProps/ctrlProp565.xml><?xml version="1.0" encoding="utf-8"?>
<formControlPr xmlns="http://schemas.microsoft.com/office/spreadsheetml/2009/9/main" objectType="Spin" dx="15" fmlaLink="ber_AanvullendeAfsprakenPed!$C$8" max="10" page="10" val="0"/>
</file>

<file path=xl/ctrlProps/ctrlProp566.xml><?xml version="1.0" encoding="utf-8"?>
<formControlPr xmlns="http://schemas.microsoft.com/office/spreadsheetml/2009/9/main" objectType="Spin" dx="15" fmlaLink="ber_AanvullendeAfsprakenPed!$C$9" max="10" page="10" val="0"/>
</file>

<file path=xl/ctrlProps/ctrlProp567.xml><?xml version="1.0" encoding="utf-8"?>
<formControlPr xmlns="http://schemas.microsoft.com/office/spreadsheetml/2009/9/main" objectType="Drop" dropStyle="combo" dx="16" fmlaLink="ber_AanvullendeAfsprakenPed!$D$29" fmlaRange="Aanvullend_ThoraxDrainSub1" noThreeD="1" sel="0" val="0"/>
</file>

<file path=xl/ctrlProps/ctrlProp568.xml><?xml version="1.0" encoding="utf-8"?>
<formControlPr xmlns="http://schemas.microsoft.com/office/spreadsheetml/2009/9/main" objectType="Drop" dropStyle="combo" dx="16" fmlaLink="ber_AanvullendeAfsprakenPed!$D$32" fmlaRange="Aanvullend_ThoraxDrainSub1" noThreeD="1" sel="0" val="0"/>
</file>

<file path=xl/ctrlProps/ctrlProp569.xml><?xml version="1.0" encoding="utf-8"?>
<formControlPr xmlns="http://schemas.microsoft.com/office/spreadsheetml/2009/9/main" objectType="CheckBox" fmlaLink="ber_AanvullendeAfsprakenPed!$B$33" lockText="1"/>
</file>

<file path=xl/ctrlProps/ctrlProp570.xml><?xml version="1.0" encoding="utf-8"?>
<formControlPr xmlns="http://schemas.microsoft.com/office/spreadsheetml/2009/9/main" objectType="Drop" dropStyle="combo" dx="16" fmlaLink="ber_AanvullendeAfsprakenPed!$D$33" fmlaRange="Aanvullend_ThoraxDrainSub2" noThreeD="1" sel="0" val="0"/>
</file>

<file path=xl/ctrlProps/ctrlProp571.xml><?xml version="1.0" encoding="utf-8"?>
<formControlPr xmlns="http://schemas.microsoft.com/office/spreadsheetml/2009/9/main" objectType="Drop" dropStyle="combo" dx="16" fmlaLink="ber_AanvullendeAfsprakenPed!$D$34" fmlaRange="Aanvullend_ThoraxDrainSub3" noThreeD="1" sel="0" val="0"/>
</file>

<file path=xl/ctrlProps/ctrlProp572.xml><?xml version="1.0" encoding="utf-8"?>
<formControlPr xmlns="http://schemas.microsoft.com/office/spreadsheetml/2009/9/main" objectType="Drop" dropStyle="combo" dx="16" fmlaLink="ber_AanvullendeAfsprakenPed!$D$35" fmlaRange="Aanvullend_ThoraxDrainSub1" noThreeD="1" sel="0" val="0"/>
</file>

<file path=xl/ctrlProps/ctrlProp573.xml><?xml version="1.0" encoding="utf-8"?>
<formControlPr xmlns="http://schemas.microsoft.com/office/spreadsheetml/2009/9/main" objectType="CheckBox" fmlaLink="ber_AanvullendeAfsprakenPed!$B$36" lockText="1"/>
</file>

<file path=xl/ctrlProps/ctrlProp574.xml><?xml version="1.0" encoding="utf-8"?>
<formControlPr xmlns="http://schemas.microsoft.com/office/spreadsheetml/2009/9/main" objectType="CheckBox" fmlaLink="ber_AanvullendeAfsprakenPed!$B$38" lockText="1"/>
</file>

<file path=xl/ctrlProps/ctrlProp575.xml><?xml version="1.0" encoding="utf-8"?>
<formControlPr xmlns="http://schemas.microsoft.com/office/spreadsheetml/2009/9/main" objectType="CheckBox" fmlaLink="ber_AanvullendeAfsprakenPed!$B$37" lockText="1"/>
</file>

<file path=xl/ctrlProps/ctrlProp576.xml><?xml version="1.0" encoding="utf-8"?>
<formControlPr xmlns="http://schemas.microsoft.com/office/spreadsheetml/2009/9/main" objectType="CheckBox" fmlaLink="ber_AanvullendeAfsprakenPed!$D$36" lockText="1"/>
</file>

<file path=xl/ctrlProps/ctrlProp577.xml><?xml version="1.0" encoding="utf-8"?>
<formControlPr xmlns="http://schemas.microsoft.com/office/spreadsheetml/2009/9/main" objectType="CheckBox" fmlaLink="ber_AanvullendeAfsprakenPed!$D$37" lockText="1"/>
</file>

<file path=xl/ctrlProps/ctrlProp578.xml><?xml version="1.0" encoding="utf-8"?>
<formControlPr xmlns="http://schemas.microsoft.com/office/spreadsheetml/2009/9/main" objectType="CheckBox" fmlaLink="ber_AanvullendeAfsprakenPed!$D$38" lockText="1"/>
</file>

<file path=xl/ctrlProps/ctrlProp579.xml><?xml version="1.0" encoding="utf-8"?>
<formControlPr xmlns="http://schemas.microsoft.com/office/spreadsheetml/2009/9/main" objectType="Drop" dropStyle="combo" dx="16" fmlaLink="ber_AanvullendeAfsprakenPed!$D$39" fmlaRange="Aanvullend_LiquorDrainSub1" noThreeD="1" sel="0" val="0"/>
</file>

<file path=xl/ctrlProps/ctrlProp580.xml><?xml version="1.0" encoding="utf-8"?>
<formControlPr xmlns="http://schemas.microsoft.com/office/spreadsheetml/2009/9/main" objectType="Spin" dx="15" fmlaLink="ber_AanvullendeAfsprakenPed!$D$40" max="100" page="10" val="0"/>
</file>

<file path=xl/ctrlProps/ctrlProp581.xml><?xml version="1.0" encoding="utf-8"?>
<formControlPr xmlns="http://schemas.microsoft.com/office/spreadsheetml/2009/9/main" objectType="CheckBox" fmlaLink="ber_AanvullendeAfsprakenPed!$B$39" lockText="1"/>
</file>

<file path=xl/ctrlProps/ctrlProp582.xml><?xml version="1.0" encoding="utf-8"?>
<formControlPr xmlns="http://schemas.microsoft.com/office/spreadsheetml/2009/9/main" objectType="CheckBox" fmlaLink="ber_AanvullendeAfsprakenPed!$F$9" lockText="1"/>
</file>

<file path=xl/ctrlProps/ctrlProp583.xml><?xml version="1.0" encoding="utf-8"?>
<formControlPr xmlns="http://schemas.microsoft.com/office/spreadsheetml/2009/9/main" objectType="CheckBox" fmlaLink="ber_AanvullendeAfsprakenPed!$F$10" lockText="1"/>
</file>

<file path=xl/ctrlProps/ctrlProp584.xml><?xml version="1.0" encoding="utf-8"?>
<formControlPr xmlns="http://schemas.microsoft.com/office/spreadsheetml/2009/9/main" objectType="CheckBox" fmlaLink="ber_AanvullendeAfsprakenPed!$F$12" lockText="1"/>
</file>

<file path=xl/ctrlProps/ctrlProp585.xml><?xml version="1.0" encoding="utf-8"?>
<formControlPr xmlns="http://schemas.microsoft.com/office/spreadsheetml/2009/9/main" objectType="CheckBox" fmlaLink="ber_AanvullendeAfsprakenPed!$F$13" lockText="1"/>
</file>

<file path=xl/ctrlProps/ctrlProp586.xml><?xml version="1.0" encoding="utf-8"?>
<formControlPr xmlns="http://schemas.microsoft.com/office/spreadsheetml/2009/9/main" objectType="CheckBox" fmlaLink="ber_AanvullendeAfsprakenPed!$F$14" lockText="1"/>
</file>

<file path=xl/ctrlProps/ctrlProp587.xml><?xml version="1.0" encoding="utf-8"?>
<formControlPr xmlns="http://schemas.microsoft.com/office/spreadsheetml/2009/9/main" objectType="CheckBox" fmlaLink="ber_AanvullendeAfsprakenPed!$F$15" lockText="1"/>
</file>

<file path=xl/ctrlProps/ctrlProp588.xml><?xml version="1.0" encoding="utf-8"?>
<formControlPr xmlns="http://schemas.microsoft.com/office/spreadsheetml/2009/9/main" objectType="CheckBox" fmlaLink="ber_AanvullendeAfsprakenPed!$B$24" lockText="1"/>
</file>

<file path=xl/ctrlProps/ctrlProp589.xml><?xml version="1.0" encoding="utf-8"?>
<formControlPr xmlns="http://schemas.microsoft.com/office/spreadsheetml/2009/9/main" objectType="CheckBox" fmlaLink="ber_AanvullendeAfsprakenPed!$B$25" lockText="1"/>
</file>

<file path=xl/ctrlProps/ctrlProp590.xml><?xml version="1.0" encoding="utf-8"?>
<formControlPr xmlns="http://schemas.microsoft.com/office/spreadsheetml/2009/9/main" objectType="Spin" dx="15" fmlaLink="ber_AanvullendeAfsprakenPed!$C$8" max="10" page="10" val="0"/>
</file>

<file path=xl/ctrlProps/ctrlProp591.xml><?xml version="1.0" encoding="utf-8"?>
<formControlPr xmlns="http://schemas.microsoft.com/office/spreadsheetml/2009/9/main" objectType="Spin" dx="15" fmlaLink="ber_AanvullendeAfsprakenPed!$C$9" max="10" page="10" val="0"/>
</file>

<file path=xl/ctrlProps/ctrlProp592.xml><?xml version="1.0" encoding="utf-8"?>
<formControlPr xmlns="http://schemas.microsoft.com/office/spreadsheetml/2009/9/main" objectType="CheckBox" fmlaLink="ber_AanvullendeAfsprakenPed!$F$16" lockText="1"/>
</file>

<file path=xl/ctrlProps/ctrlProp593.xml><?xml version="1.0" encoding="utf-8"?>
<formControlPr xmlns="http://schemas.microsoft.com/office/spreadsheetml/2009/9/main" objectType="Spin" dx="15" fmlaLink="ber_AanvullendeAfsprakenPed!$G$16" max="24" page="10" val="0"/>
</file>

<file path=xl/ctrlProps/ctrlProp594.xml><?xml version="1.0" encoding="utf-8"?>
<formControlPr xmlns="http://schemas.microsoft.com/office/spreadsheetml/2009/9/main" objectType="Spin" dx="15" fmlaLink="ber_AanvullendeAfsprakenPed!$G$18" max="24" page="10" val="0"/>
</file>

<file path=xl/ctrlProps/ctrlProp595.xml><?xml version="1.0" encoding="utf-8"?>
<formControlPr xmlns="http://schemas.microsoft.com/office/spreadsheetml/2009/9/main" objectType="CheckBox" fmlaLink="ber_AanvullendeAfsprakenPed!$F$18" lockText="1"/>
</file>

<file path=xl/ctrlProps/ctrlProp596.xml><?xml version="1.0" encoding="utf-8"?>
<formControlPr xmlns="http://schemas.microsoft.com/office/spreadsheetml/2009/9/main" objectType="CheckBox" fmlaLink="ber_AanvullendeAfsprakenPed!$B$42" lockText="1"/>
</file>

<file path=xl/ctrlProps/ctrlProp597.xml><?xml version="1.0" encoding="utf-8"?>
<formControlPr xmlns="http://schemas.microsoft.com/office/spreadsheetml/2009/9/main" objectType="CheckBox" fmlaLink="ber_AanvullendeAfsprakenPed!$B$43" lockText="1"/>
</file>

<file path=xl/ctrlProps/ctrlProp598.xml><?xml version="1.0" encoding="utf-8"?>
<formControlPr xmlns="http://schemas.microsoft.com/office/spreadsheetml/2009/9/main" objectType="CheckBox" fmlaLink="ber_AanvullendeAfsprakenPed!$B$44" lockText="1"/>
</file>

<file path=xl/ctrlProps/ctrlProp599.xml><?xml version="1.0" encoding="utf-8"?>
<formControlPr xmlns="http://schemas.microsoft.com/office/spreadsheetml/2009/9/main" objectType="Spin" dx="15" fmlaLink="ber_AanvullendeAfsprakenPed!$C$42" max="24" page="10" val="0"/>
</file>

<file path=xl/ctrlProps/ctrlProp600.xml><?xml version="1.0" encoding="utf-8"?>
<formControlPr xmlns="http://schemas.microsoft.com/office/spreadsheetml/2009/9/main" objectType="Spin" dx="15" fmlaLink="ber_AanvullendeAfsprakenPed!$C$43" max="24" page="10" val="0"/>
</file>

<file path=xl/ctrlProps/ctrlProp601.xml><?xml version="1.0" encoding="utf-8"?>
<formControlPr xmlns="http://schemas.microsoft.com/office/spreadsheetml/2009/9/main" objectType="Drop" dropStyle="combo" dx="16" fmlaLink="Berekeningen!$B$20" fmlaRange="Medicamenten" sel="1" val="0"/>
</file>

<file path=xl/ctrlProps/ctrlProp602.xml><?xml version="1.0" encoding="utf-8"?>
<formControlPr xmlns="http://schemas.microsoft.com/office/spreadsheetml/2009/9/main" objectType="Drop" dropStyle="combo" dx="16" fmlaLink="Berekeningen!$B$21" fmlaRange="Medicamenten" sel="1" val="0"/>
</file>

<file path=xl/ctrlProps/ctrlProp603.xml><?xml version="1.0" encoding="utf-8"?>
<formControlPr xmlns="http://schemas.microsoft.com/office/spreadsheetml/2009/9/main" objectType="Drop" dropStyle="combo" dx="16" fmlaLink="Berekeningen!$B$22" fmlaRange="Medicamenten" sel="1" val="0"/>
</file>

<file path=xl/ctrlProps/ctrlProp604.xml><?xml version="1.0" encoding="utf-8"?>
<formControlPr xmlns="http://schemas.microsoft.com/office/spreadsheetml/2009/9/main" objectType="Drop" dropStyle="combo" dx="16" fmlaLink="Berekeningen!$B$23" fmlaRange="Medicamenten" sel="1" val="0"/>
</file>

<file path=xl/ctrlProps/ctrlProp605.xml><?xml version="1.0" encoding="utf-8"?>
<formControlPr xmlns="http://schemas.microsoft.com/office/spreadsheetml/2009/9/main" objectType="Drop" dropStyle="combo" dx="16" fmlaLink="Berekeningen!$B$24" fmlaRange="Medicamenten" sel="1" val="0"/>
</file>

<file path=xl/ctrlProps/ctrlProp606.xml><?xml version="1.0" encoding="utf-8"?>
<formControlPr xmlns="http://schemas.microsoft.com/office/spreadsheetml/2009/9/main" objectType="Drop" dropStyle="combo" dx="16" fmlaLink="Berekeningen!$B$25" fmlaRange="Medicamenten" sel="1" val="0"/>
</file>

<file path=xl/ctrlProps/ctrlProp607.xml><?xml version="1.0" encoding="utf-8"?>
<formControlPr xmlns="http://schemas.microsoft.com/office/spreadsheetml/2009/9/main" objectType="Drop" dropStyle="combo" dx="16" fmlaLink="Berekeningen!$B$26" fmlaRange="Medicamenten" sel="1" val="0"/>
</file>

<file path=xl/ctrlProps/ctrlProp608.xml><?xml version="1.0" encoding="utf-8"?>
<formControlPr xmlns="http://schemas.microsoft.com/office/spreadsheetml/2009/9/main" objectType="Spin" dx="15" fmlaLink="Berekeningen!$B$18" inc="5" max="10" page="10" val="0"/>
</file>

<file path=xl/ctrlProps/ctrlProp609.xml><?xml version="1.0" encoding="utf-8"?>
<formControlPr xmlns="http://schemas.microsoft.com/office/spreadsheetml/2009/9/main" objectType="Spin" dx="15" fmlaLink="Berekeningen!$F$20" max="30000" page="10" val="0"/>
</file>

<file path=xl/ctrlProps/ctrlProp610.xml><?xml version="1.0" encoding="utf-8"?>
<formControlPr xmlns="http://schemas.microsoft.com/office/spreadsheetml/2009/9/main" objectType="Spin" dx="15" fmlaLink="Berekeningen!$F$21" max="30000" page="10" val="0"/>
</file>

<file path=xl/ctrlProps/ctrlProp611.xml><?xml version="1.0" encoding="utf-8"?>
<formControlPr xmlns="http://schemas.microsoft.com/office/spreadsheetml/2009/9/main" objectType="Spin" dx="15" fmlaLink="Berekeningen!$F$22" max="30000" page="10" val="0"/>
</file>

<file path=xl/ctrlProps/ctrlProp612.xml><?xml version="1.0" encoding="utf-8"?>
<formControlPr xmlns="http://schemas.microsoft.com/office/spreadsheetml/2009/9/main" objectType="Spin" dx="15" fmlaLink="Berekeningen!$F$23" max="30000" page="10" val="0"/>
</file>

<file path=xl/ctrlProps/ctrlProp613.xml><?xml version="1.0" encoding="utf-8"?>
<formControlPr xmlns="http://schemas.microsoft.com/office/spreadsheetml/2009/9/main" objectType="Spin" dx="15" fmlaLink="Berekeningen!$F$24" max="30000" page="10" val="0"/>
</file>

<file path=xl/ctrlProps/ctrlProp614.xml><?xml version="1.0" encoding="utf-8"?>
<formControlPr xmlns="http://schemas.microsoft.com/office/spreadsheetml/2009/9/main" objectType="Spin" dx="15" fmlaLink="Berekeningen!$F$25" max="30000" page="10" val="0"/>
</file>

<file path=xl/ctrlProps/ctrlProp615.xml><?xml version="1.0" encoding="utf-8"?>
<formControlPr xmlns="http://schemas.microsoft.com/office/spreadsheetml/2009/9/main" objectType="Spin" dx="15" fmlaLink="Berekeningen!$F$26" max="30000" page="10" val="0"/>
</file>

<file path=xl/ctrlProps/ctrlProp616.xml><?xml version="1.0" encoding="utf-8"?>
<formControlPr xmlns="http://schemas.microsoft.com/office/spreadsheetml/2009/9/main" objectType="Radio" checked="Checked" firstButton="1" fmlaLink="Berekeningen!$K$14" lockText="1"/>
</file>

<file path=xl/ctrlProps/ctrlProp617.xml><?xml version="1.0" encoding="utf-8"?>
<formControlPr xmlns="http://schemas.microsoft.com/office/spreadsheetml/2009/9/main" objectType="Radio" lockText="1"/>
</file>

<file path=xl/ctrlProps/ctrlProp618.xml><?xml version="1.0" encoding="utf-8"?>
<formControlPr xmlns="http://schemas.microsoft.com/office/spreadsheetml/2009/9/main" objectType="Spin" dx="15" fmlaLink="Berekeningen!$D$10" max="24" page="10" val="0"/>
</file>

<file path=xl/ctrlProps/ctrlProp619.xml><?xml version="1.0" encoding="utf-8"?>
<formControlPr xmlns="http://schemas.microsoft.com/office/spreadsheetml/2009/9/main" objectType="Spin" dx="15" fmlaLink="Berekeningen!$D$11" inc="5" max="30000" page="10" val="0"/>
</file>

<file path=xl/ctrlProps/ctrlProp620.xml><?xml version="1.0" encoding="utf-8"?>
<formControlPr xmlns="http://schemas.microsoft.com/office/spreadsheetml/2009/9/main" objectType="Spin" dx="15" fmlaLink="Berekeningen!$D$16" inc="5" max="30000" page="10" val="5000"/>
</file>

<file path=xl/ctrlProps/ctrlProp621.xml><?xml version="1.0" encoding="utf-8"?>
<formControlPr xmlns="http://schemas.microsoft.com/office/spreadsheetml/2009/9/main" objectType="Radio" checked="Checked" firstButton="1" fmlaLink="Berekeningen!$D$36" lockText="1"/>
</file>

<file path=xl/ctrlProps/ctrlProp622.xml><?xml version="1.0" encoding="utf-8"?>
<formControlPr xmlns="http://schemas.microsoft.com/office/spreadsheetml/2009/9/main" objectType="Radio" lockText="1"/>
</file>

<file path=xl/ctrlProps/ctrlProp623.xml><?xml version="1.0" encoding="utf-8"?>
<formControlPr xmlns="http://schemas.microsoft.com/office/spreadsheetml/2009/9/main" objectType="Radio" lockText="1"/>
</file>

<file path=xl/ctrlProps/ctrlProp624.xml><?xml version="1.0" encoding="utf-8"?>
<formControlPr xmlns="http://schemas.microsoft.com/office/spreadsheetml/2009/9/main" objectType="Spin" dx="15" fmlaLink="Berekeningen!$D$37" inc="10" max="30000" page="10" val="5000"/>
</file>

<file path=xl/ctrlProps/ctrlProp625.xml><?xml version="1.0" encoding="utf-8"?>
<formControlPr xmlns="http://schemas.microsoft.com/office/spreadsheetml/2009/9/main" objectType="Spin" dx="15" fmlaLink="Berekeningen!$D$38" inc="10" max="30000" page="10" val="5000"/>
</file>

<file path=xl/ctrlProps/ctrlProp626.xml><?xml version="1.0" encoding="utf-8"?>
<formControlPr xmlns="http://schemas.microsoft.com/office/spreadsheetml/2009/9/main" objectType="Spin" dx="15" fmlaLink="Berekeningen!$D$39" inc="10" max="30000" page="10" val="5000"/>
</file>

<file path=xl/ctrlProps/ctrlProp627.xml><?xml version="1.0" encoding="utf-8"?>
<formControlPr xmlns="http://schemas.microsoft.com/office/spreadsheetml/2009/9/main" objectType="Spin" dx="15" fmlaLink="Berekeningen!$D$40" max="30000" page="10" val="5000"/>
</file>

<file path=xl/ctrlProps/ctrlProp628.xml><?xml version="1.0" encoding="utf-8"?>
<formControlPr xmlns="http://schemas.microsoft.com/office/spreadsheetml/2009/9/main" objectType="Spin" dx="15" fmlaLink="Berekeningen!$D$41" max="30000" page="10" val="5000"/>
</file>

<file path=xl/ctrlProps/ctrlProp629.xml><?xml version="1.0" encoding="utf-8"?>
<formControlPr xmlns="http://schemas.microsoft.com/office/spreadsheetml/2009/9/main" objectType="Spin" dx="15" fmlaLink="Berekeningen!$D$42" max="30000" page="10" val="5000"/>
</file>

<file path=xl/ctrlProps/ctrlProp630.xml><?xml version="1.0" encoding="utf-8"?>
<formControlPr xmlns="http://schemas.microsoft.com/office/spreadsheetml/2009/9/main" objectType="Spin" dx="15" fmlaLink="Berekeningen!$D$43" max="30000" page="10" val="5000"/>
</file>

<file path=xl/ctrlProps/ctrlProp631.xml><?xml version="1.0" encoding="utf-8"?>
<formControlPr xmlns="http://schemas.microsoft.com/office/spreadsheetml/2009/9/main" objectType="Spin" dx="15" fmlaLink="Berekeningen!$D$37" max="30000" page="10" val="5000"/>
</file>

<file path=xl/ctrlProps/ctrlProp632.xml><?xml version="1.0" encoding="utf-8"?>
<formControlPr xmlns="http://schemas.microsoft.com/office/spreadsheetml/2009/9/main" objectType="Spin" dx="15" fmlaLink="Berekeningen!$D$38" max="30000" page="10" val="5000"/>
</file>

<file path=xl/ctrlProps/ctrlProp633.xml><?xml version="1.0" encoding="utf-8"?>
<formControlPr xmlns="http://schemas.microsoft.com/office/spreadsheetml/2009/9/main" objectType="Spin" dx="15" fmlaLink="Berekeningen!$D$44" max="30000" page="10" val="5000"/>
</file>

<file path=xl/ctrlProps/ctrlProp634.xml><?xml version="1.0" encoding="utf-8"?>
<formControlPr xmlns="http://schemas.microsoft.com/office/spreadsheetml/2009/9/main" objectType="Radio" firstButton="1" fmlaLink="Berekeningen!$B$15" lockText="1"/>
</file>

<file path=xl/ctrlProps/ctrlProp635.xml><?xml version="1.0" encoding="utf-8"?>
<formControlPr xmlns="http://schemas.microsoft.com/office/spreadsheetml/2009/9/main" objectType="Radio" checked="Checked" lockText="1"/>
</file>

<file path=xl/ctrlProps/ctrlProp636.xml><?xml version="1.0" encoding="utf-8"?>
<formControlPr xmlns="http://schemas.microsoft.com/office/spreadsheetml/2009/9/main" objectType="Drop" dropStyle="combo" dx="16" fmlaLink="Berekeningen!$E$20" fmlaRange="Opl" sel="1" val="8"/>
</file>

<file path=xl/ctrlProps/ctrlProp637.xml><?xml version="1.0" encoding="utf-8"?>
<formControlPr xmlns="http://schemas.microsoft.com/office/spreadsheetml/2009/9/main" objectType="Drop" dropStyle="combo" dx="16" fmlaLink="Berekeningen!$E$21" fmlaRange="Opl" sel="1" val="0"/>
</file>

<file path=xl/ctrlProps/ctrlProp638.xml><?xml version="1.0" encoding="utf-8"?>
<formControlPr xmlns="http://schemas.microsoft.com/office/spreadsheetml/2009/9/main" objectType="Drop" dropStyle="combo" dx="16" fmlaLink="Berekeningen!$E$22" fmlaRange="Opl" sel="1" val="0"/>
</file>

<file path=xl/ctrlProps/ctrlProp639.xml><?xml version="1.0" encoding="utf-8"?>
<formControlPr xmlns="http://schemas.microsoft.com/office/spreadsheetml/2009/9/main" objectType="Drop" dropStyle="combo" dx="16" fmlaLink="Berekeningen!$E$23" fmlaRange="Opl" sel="1" val="0"/>
</file>

<file path=xl/ctrlProps/ctrlProp640.xml><?xml version="1.0" encoding="utf-8"?>
<formControlPr xmlns="http://schemas.microsoft.com/office/spreadsheetml/2009/9/main" objectType="Drop" dropStyle="combo" dx="16" fmlaLink="Berekeningen!$E$24" fmlaRange="Opl" sel="1" val="0"/>
</file>

<file path=xl/ctrlProps/ctrlProp641.xml><?xml version="1.0" encoding="utf-8"?>
<formControlPr xmlns="http://schemas.microsoft.com/office/spreadsheetml/2009/9/main" objectType="Drop" dropStyle="combo" dx="16" fmlaLink="Berekeningen!$E$25" fmlaRange="Opl" sel="1" val="0"/>
</file>

<file path=xl/ctrlProps/ctrlProp642.xml><?xml version="1.0" encoding="utf-8"?>
<formControlPr xmlns="http://schemas.microsoft.com/office/spreadsheetml/2009/9/main" objectType="Spin" dx="15" fmlaLink="Berekeningen!$D$20" max="30000" page="10" val="0"/>
</file>

<file path=xl/ctrlProps/ctrlProp643.xml><?xml version="1.0" encoding="utf-8"?>
<formControlPr xmlns="http://schemas.microsoft.com/office/spreadsheetml/2009/9/main" objectType="Spin" dx="15" fmlaLink="Berekeningen!$D$21" max="30000" page="10" val="0"/>
</file>

<file path=xl/ctrlProps/ctrlProp644.xml><?xml version="1.0" encoding="utf-8"?>
<formControlPr xmlns="http://schemas.microsoft.com/office/spreadsheetml/2009/9/main" objectType="Spin" dx="15" fmlaLink="Berekeningen!$D$22" max="30000" page="10" val="0"/>
</file>

<file path=xl/ctrlProps/ctrlProp645.xml><?xml version="1.0" encoding="utf-8"?>
<formControlPr xmlns="http://schemas.microsoft.com/office/spreadsheetml/2009/9/main" objectType="Spin" dx="15" fmlaLink="Berekeningen!$D$23" max="30000" page="10" val="0"/>
</file>

<file path=xl/ctrlProps/ctrlProp646.xml><?xml version="1.0" encoding="utf-8"?>
<formControlPr xmlns="http://schemas.microsoft.com/office/spreadsheetml/2009/9/main" objectType="Spin" dx="15" fmlaLink="Berekeningen!$D$24" max="30000" page="10" val="0"/>
</file>

<file path=xl/ctrlProps/ctrlProp647.xml><?xml version="1.0" encoding="utf-8"?>
<formControlPr xmlns="http://schemas.microsoft.com/office/spreadsheetml/2009/9/main" objectType="Spin" dx="15" fmlaLink="Berekeningen!$D$25" max="30000" page="10" val="0"/>
</file>

<file path=xl/ctrlProps/ctrlProp648.xml><?xml version="1.0" encoding="utf-8"?>
<formControlPr xmlns="http://schemas.microsoft.com/office/spreadsheetml/2009/9/main" objectType="Spin" dx="15" fmlaLink="Berekeningen!$D$26" max="30000" page="10" val="0"/>
</file>

<file path=xl/ctrlProps/ctrlProp649.xml><?xml version="1.0" encoding="utf-8"?>
<formControlPr xmlns="http://schemas.microsoft.com/office/spreadsheetml/2009/9/main" objectType="Spin" dx="15" fmlaLink="Berekeningen!$C$20" inc="10" max="30000" page="10" val="0"/>
</file>

<file path=xl/ctrlProps/ctrlProp650.xml><?xml version="1.0" encoding="utf-8"?>
<formControlPr xmlns="http://schemas.microsoft.com/office/spreadsheetml/2009/9/main" objectType="Spin" dx="15" fmlaLink="Berekeningen!$C$21" inc="10" max="30000" page="10" val="0"/>
</file>

<file path=xl/ctrlProps/ctrlProp651.xml><?xml version="1.0" encoding="utf-8"?>
<formControlPr xmlns="http://schemas.microsoft.com/office/spreadsheetml/2009/9/main" objectType="Spin" dx="15" fmlaLink="Berekeningen!$C$22" inc="10" max="30000" page="10" val="0"/>
</file>

<file path=xl/ctrlProps/ctrlProp652.xml><?xml version="1.0" encoding="utf-8"?>
<formControlPr xmlns="http://schemas.microsoft.com/office/spreadsheetml/2009/9/main" objectType="Spin" dx="15" fmlaLink="Berekeningen!$C$23" inc="10" max="30000" page="10" val="0"/>
</file>

<file path=xl/ctrlProps/ctrlProp653.xml><?xml version="1.0" encoding="utf-8"?>
<formControlPr xmlns="http://schemas.microsoft.com/office/spreadsheetml/2009/9/main" objectType="Spin" dx="15" fmlaLink="Berekeningen!$C$24" inc="10" max="30000" page="10" val="0"/>
</file>

<file path=xl/ctrlProps/ctrlProp654.xml><?xml version="1.0" encoding="utf-8"?>
<formControlPr xmlns="http://schemas.microsoft.com/office/spreadsheetml/2009/9/main" objectType="Spin" dx="15" fmlaLink="Berekeningen!$C$25" inc="10" max="30000" page="10" val="0"/>
</file>

<file path=xl/ctrlProps/ctrlProp655.xml><?xml version="1.0" encoding="utf-8"?>
<formControlPr xmlns="http://schemas.microsoft.com/office/spreadsheetml/2009/9/main" objectType="Spin" dx="15" fmlaLink="Berekeningen!$C$26" inc="10" max="30000" page="10" val="0"/>
</file>

<file path=xl/ctrlProps/ctrlProp656.xml><?xml version="1.0" encoding="utf-8"?>
<formControlPr xmlns="http://schemas.microsoft.com/office/spreadsheetml/2009/9/main" objectType="GBox"/>
</file>

<file path=xl/ctrlProps/ctrlProp657.xml><?xml version="1.0" encoding="utf-8"?>
<formControlPr xmlns="http://schemas.microsoft.com/office/spreadsheetml/2009/9/main" objectType="GBox" noThreeD="1"/>
</file>

<file path=xl/ctrlProps/ctrlProp658.xml><?xml version="1.0" encoding="utf-8"?>
<formControlPr xmlns="http://schemas.microsoft.com/office/spreadsheetml/2009/9/main" objectType="CheckBox" fmlaLink="Berekeningen!$K$18" lockText="1"/>
</file>

<file path=xl/ctrlProps/ctrlProp659.xml><?xml version="1.0" encoding="utf-8"?>
<formControlPr xmlns="http://schemas.microsoft.com/office/spreadsheetml/2009/9/main" objectType="CheckBox" fmlaLink="Berekeningen!$K$20" lockText="1"/>
</file>

<file path=xl/ctrlProps/ctrlProp660.xml><?xml version="1.0" encoding="utf-8"?>
<formControlPr xmlns="http://schemas.microsoft.com/office/spreadsheetml/2009/9/main" objectType="CheckBox" fmlaLink="Berekeningen!$K$21" lockText="1"/>
</file>

<file path=xl/ctrlProps/ctrlProp661.xml><?xml version="1.0" encoding="utf-8"?>
<formControlPr xmlns="http://schemas.microsoft.com/office/spreadsheetml/2009/9/main" objectType="CheckBox" fmlaLink="Berekeningen!$K$22" lockText="1"/>
</file>

<file path=xl/ctrlProps/ctrlProp662.xml><?xml version="1.0" encoding="utf-8"?>
<formControlPr xmlns="http://schemas.microsoft.com/office/spreadsheetml/2009/9/main" objectType="CheckBox" fmlaLink="Berekeningen!$K$23" lockText="1"/>
</file>

<file path=xl/ctrlProps/ctrlProp663.xml><?xml version="1.0" encoding="utf-8"?>
<formControlPr xmlns="http://schemas.microsoft.com/office/spreadsheetml/2009/9/main" objectType="CheckBox" fmlaLink="Berekeningen!$K$24" lockText="1"/>
</file>

<file path=xl/ctrlProps/ctrlProp664.xml><?xml version="1.0" encoding="utf-8"?>
<formControlPr xmlns="http://schemas.microsoft.com/office/spreadsheetml/2009/9/main" objectType="CheckBox" fmlaLink="Berekeningen!$K$25" lockText="1"/>
</file>

<file path=xl/ctrlProps/ctrlProp665.xml><?xml version="1.0" encoding="utf-8"?>
<formControlPr xmlns="http://schemas.microsoft.com/office/spreadsheetml/2009/9/main" objectType="CheckBox" lockText="1"/>
</file>

<file path=xl/ctrlProps/ctrlProp666.xml><?xml version="1.0" encoding="utf-8"?>
<formControlPr xmlns="http://schemas.microsoft.com/office/spreadsheetml/2009/9/main" objectType="Drop" dropStyle="combo" dx="16" fmlaLink="Berekeningen!$B$27" fmlaRange="Medicamenten" sel="1" val="0"/>
</file>

<file path=xl/ctrlProps/ctrlProp667.xml><?xml version="1.0" encoding="utf-8"?>
<formControlPr xmlns="http://schemas.microsoft.com/office/spreadsheetml/2009/9/main" objectType="Spin" dx="15" fmlaLink="Berekeningen!$F$27" max="30000" page="10" val="0"/>
</file>

<file path=xl/ctrlProps/ctrlProp668.xml><?xml version="1.0" encoding="utf-8"?>
<formControlPr xmlns="http://schemas.microsoft.com/office/spreadsheetml/2009/9/main" objectType="Drop" dropStyle="combo" dx="16" fmlaLink="Berekeningen!$E$26" fmlaRange="Opl" sel="1" val="0"/>
</file>

<file path=xl/ctrlProps/ctrlProp669.xml><?xml version="1.0" encoding="utf-8"?>
<formControlPr xmlns="http://schemas.microsoft.com/office/spreadsheetml/2009/9/main" objectType="Spin" dx="15" fmlaLink="Berekeningen!$D$27" max="30000" page="10" val="0"/>
</file>

<file path=xl/ctrlProps/ctrlProp670.xml><?xml version="1.0" encoding="utf-8"?>
<formControlPr xmlns="http://schemas.microsoft.com/office/spreadsheetml/2009/9/main" objectType="Spin" dx="15" fmlaLink="Berekeningen!$C$27" inc="10" max="30000" page="10" val="0"/>
</file>

<file path=xl/ctrlProps/ctrlProp671.xml><?xml version="1.0" encoding="utf-8"?>
<formControlPr xmlns="http://schemas.microsoft.com/office/spreadsheetml/2009/9/main" objectType="CheckBox" fmlaLink="Berekeningen!$K$26" lockText="1"/>
</file>

<file path=xl/ctrlProps/ctrlProp672.xml><?xml version="1.0" encoding="utf-8"?>
<formControlPr xmlns="http://schemas.microsoft.com/office/spreadsheetml/2009/9/main" objectType="CheckBox" lockText="1"/>
</file>

<file path=xl/ctrlProps/ctrlProp673.xml><?xml version="1.0" encoding="utf-8"?>
<formControlPr xmlns="http://schemas.microsoft.com/office/spreadsheetml/2009/9/main" objectType="Spin" dx="15" fmlaLink="Berekeningen!$F$28" max="30000" page="10" val="0"/>
</file>

<file path=xl/ctrlProps/ctrlProp674.xml><?xml version="1.0" encoding="utf-8"?>
<formControlPr xmlns="http://schemas.microsoft.com/office/spreadsheetml/2009/9/main" objectType="Drop" dropStyle="combo" dx="16" fmlaLink="Berekeningen!$E$27" fmlaRange="Opl" sel="1" val="0"/>
</file>

<file path=xl/ctrlProps/ctrlProp675.xml><?xml version="1.0" encoding="utf-8"?>
<formControlPr xmlns="http://schemas.microsoft.com/office/spreadsheetml/2009/9/main" objectType="Drop" dropStyle="combo" dx="16" fmlaLink="Berekeningen!$E$28" fmlaRange="Opl" sel="1" val="0"/>
</file>

<file path=xl/ctrlProps/ctrlProp676.xml><?xml version="1.0" encoding="utf-8"?>
<formControlPr xmlns="http://schemas.microsoft.com/office/spreadsheetml/2009/9/main" objectType="CheckBox" fmlaLink="Berekeningen!$K$27" lockText="1"/>
</file>

<file path=xl/ctrlProps/ctrlProp677.xml><?xml version="1.0" encoding="utf-8"?>
<formControlPr xmlns="http://schemas.microsoft.com/office/spreadsheetml/2009/9/main" objectType="CheckBox" fmlaLink="Berekeningen!$K$28" lockText="1"/>
</file>

<file path=xl/ctrlProps/ctrlProp678.xml><?xml version="1.0" encoding="utf-8"?>
<formControlPr xmlns="http://schemas.microsoft.com/office/spreadsheetml/2009/9/main" objectType="Spin" dx="15" fmlaLink="Berekeningen!$D$35" max="30000" page="10" val="5000"/>
</file>

<file path=xl/ctrlProps/ctrlProp679.xml><?xml version="1.0" encoding="utf-8"?>
<formControlPr xmlns="http://schemas.microsoft.com/office/spreadsheetml/2009/9/main" objectType="Drop" dropStyle="combo" dx="16" fmlaLink="Berekeningen!$D$45" fmlaRange="Lijsten!$A$4:$A$13" sel="2" val="0"/>
</file>

<file path=xl/ctrlProps/ctrlProp680.xml><?xml version="1.0" encoding="utf-8"?>
<formControlPr xmlns="http://schemas.microsoft.com/office/spreadsheetml/2009/9/main" objectType="Spin" dx="15" fmlaLink="Berekeningen!$D$4" max="43" min="24" page="10" val="30"/>
</file>

<file path=xl/ctrlProps/ctrlProp681.xml><?xml version="1.0" encoding="utf-8"?>
<formControlPr xmlns="http://schemas.microsoft.com/office/spreadsheetml/2009/9/main" objectType="Spin" dx="15" fmlaLink="Berekeningen!$D$5" max="6" page="10" val="0"/>
</file>

<file path=xl/ctrlProps/ctrlProp682.xml><?xml version="1.0" encoding="utf-8"?>
<formControlPr xmlns="http://schemas.microsoft.com/office/spreadsheetml/2009/9/main" objectType="Drop" dropStyle="combo" dx="16" fmlaLink="Berekeningen!$B$54" fmlaRange="_VoedingToevoegingenMoedermelk" sel="1" val="0"/>
</file>

<file path=xl/ctrlProps/ctrlProp683.xml><?xml version="1.0" encoding="utf-8"?>
<formControlPr xmlns="http://schemas.microsoft.com/office/spreadsheetml/2009/9/main" objectType="Drop" dropStyle="combo" dx="16" fmlaLink="Berekeningen!$B$55" fmlaRange="Lijsten!#REF!" sel="0" val="0"/>
</file>

<file path=xl/ctrlProps/ctrlProp684.xml><?xml version="1.0" encoding="utf-8"?>
<formControlPr xmlns="http://schemas.microsoft.com/office/spreadsheetml/2009/9/main" objectType="Drop" dropStyle="combo" dx="16" fmlaLink="Berekeningen!$D$14" fmlaRange="Pos" sel="1" val="0"/>
</file>

<file path=xl/ctrlProps/ctrlProp685.xml><?xml version="1.0" encoding="utf-8"?>
<formControlPr xmlns="http://schemas.microsoft.com/office/spreadsheetml/2009/9/main" objectType="Spin" dx="15" fmlaLink="Berekeningen!$D$12" max="24" page="10" val="0"/>
</file>

<file path=xl/ctrlProps/ctrlProp686.xml><?xml version="1.0" encoding="utf-8"?>
<formControlPr xmlns="http://schemas.microsoft.com/office/spreadsheetml/2009/9/main" objectType="Spin" dx="15" fmlaLink="Berekeningen!$D$13" inc="5" max="30000" page="10" val="0"/>
</file>

<file path=xl/ctrlProps/ctrlProp687.xml><?xml version="1.0" encoding="utf-8"?>
<formControlPr xmlns="http://schemas.microsoft.com/office/spreadsheetml/2009/9/main" objectType="Drop" dropStyle="combo" dx="16" fmlaLink="Berekeningen!$B$55" fmlaRange="_VoedingToevoegingenMoedermelk" sel="1" val="0"/>
</file>

<file path=xl/ctrlProps/ctrlProp688.xml><?xml version="1.0" encoding="utf-8"?>
<formControlPr xmlns="http://schemas.microsoft.com/office/spreadsheetml/2009/9/main" objectType="Drop" dropStyle="combo" dx="16" fmlaLink="Berekeningen!$B$56" fmlaRange="_VoedingToevoegingenMoedermelk" sel="1" val="0"/>
</file>

<file path=xl/ctrlProps/ctrlProp689.xml><?xml version="1.0" encoding="utf-8"?>
<formControlPr xmlns="http://schemas.microsoft.com/office/spreadsheetml/2009/9/main" objectType="Drop" dropStyle="combo" dx="16" fmlaLink="Berekeningen!$B$28" fmlaRange="Medicamenten" sel="1" val="0"/>
</file>

<file path=xl/ctrlProps/ctrlProp690.xml><?xml version="1.0" encoding="utf-8"?>
<formControlPr xmlns="http://schemas.microsoft.com/office/spreadsheetml/2009/9/main" objectType="Spin" dx="15" fmlaLink="Berekeningen!$D$28" max="30000" page="10" val="0"/>
</file>

<file path=xl/ctrlProps/ctrlProp691.xml><?xml version="1.0" encoding="utf-8"?>
<formControlPr xmlns="http://schemas.microsoft.com/office/spreadsheetml/2009/9/main" objectType="Spin" dx="15" fmlaLink="Berekeningen!$C$28" inc="10" max="30000" page="10" val="0"/>
</file>

<file path=xl/ctrlProps/ctrlProp692.xml><?xml version="1.0" encoding="utf-8"?>
<formControlPr xmlns="http://schemas.microsoft.com/office/spreadsheetml/2009/9/main" objectType="Drop" dropStyle="combo" dx="16" fmlaLink="Berekeningen!$E$28" fmlaRange="Opl" sel="1" val="0"/>
</file>

<file path=xl/ctrlProps/ctrlProp693.xml><?xml version="1.0" encoding="utf-8"?>
<formControlPr xmlns="http://schemas.microsoft.com/office/spreadsheetml/2009/9/main" objectType="Drop" dropStyle="combo" dx="16" fmlaLink="Berekeningen!$E$29" fmlaRange="Opl" sel="0" val="8"/>
</file>

<file path=xl/ctrlProps/ctrlProp694.xml><?xml version="1.0" encoding="utf-8"?>
<formControlPr xmlns="http://schemas.microsoft.com/office/spreadsheetml/2009/9/main" objectType="Spin" dx="15" fmlaLink="Berekeningen!$F$29" max="30000" page="10" val="0"/>
</file>

<file path=xl/ctrlProps/ctrlProp695.xml><?xml version="1.0" encoding="utf-8"?>
<formControlPr xmlns="http://schemas.microsoft.com/office/spreadsheetml/2009/9/main" objectType="CheckBox" fmlaLink="Berekeningen!$K$29" lockText="1"/>
</file>

<file path=xl/ctrlProps/ctrlProp696.xml><?xml version="1.0" encoding="utf-8"?>
<formControlPr xmlns="http://schemas.microsoft.com/office/spreadsheetml/2009/9/main" objectType="Drop" dropStyle="combo" dx="16" fmlaLink="Berekeningen!$E$30" fmlaRange="Opl" sel="0" val="0"/>
</file>

<file path=xl/ctrlProps/ctrlProp697.xml><?xml version="1.0" encoding="utf-8"?>
<formControlPr xmlns="http://schemas.microsoft.com/office/spreadsheetml/2009/9/main" objectType="Spin" dx="15" fmlaLink="Berekeningen!$F$30" max="30000" page="10" val="0"/>
</file>

<file path=xl/ctrlProps/ctrlProp698.xml><?xml version="1.0" encoding="utf-8"?>
<formControlPr xmlns="http://schemas.microsoft.com/office/spreadsheetml/2009/9/main" objectType="CheckBox" fmlaLink="Berekeningen!$K$30" lockText="1"/>
</file>

<file path=xl/ctrlProps/ctrlProp699.xml><?xml version="1.0" encoding="utf-8"?>
<formControlPr xmlns="http://schemas.microsoft.com/office/spreadsheetml/2009/9/main" objectType="CheckBox" fmlaLink="Berekeningen!$K$30" lockText="1"/>
</file>

<file path=xl/ctrlProps/ctrlProp700.xml><?xml version="1.0" encoding="utf-8"?>
<formControlPr xmlns="http://schemas.microsoft.com/office/spreadsheetml/2009/9/main" objectType="Drop" dropStyle="combo" dx="16" fmlaLink="Berekeningen!$E$31" fmlaRange="Opl" sel="0" val="0"/>
</file>

<file path=xl/ctrlProps/ctrlProp701.xml><?xml version="1.0" encoding="utf-8"?>
<formControlPr xmlns="http://schemas.microsoft.com/office/spreadsheetml/2009/9/main" objectType="Spin" dx="15" fmlaLink="Berekeningen!$F$31" max="30000" page="10" val="0"/>
</file>

<file path=xl/ctrlProps/ctrlProp702.xml><?xml version="1.0" encoding="utf-8"?>
<formControlPr xmlns="http://schemas.microsoft.com/office/spreadsheetml/2009/9/main" objectType="CheckBox" fmlaLink="Berekeningen!$K$31" lockText="1"/>
</file>

<file path=xl/ctrlProps/ctrlProp703.xml><?xml version="1.0" encoding="utf-8"?>
<formControlPr xmlns="http://schemas.microsoft.com/office/spreadsheetml/2009/9/main" objectType="Drop" dropStyle="combo" dx="16" fmlaLink="Berekeningen!$B$59" fmlaRange="_VoedingToevoegingenKunstvoeding" sel="1" val="0"/>
</file>

<file path=xl/ctrlProps/ctrlProp704.xml><?xml version="1.0" encoding="utf-8"?>
<formControlPr xmlns="http://schemas.microsoft.com/office/spreadsheetml/2009/9/main" objectType="Drop" dropStyle="combo" dx="16" fmlaLink="Berekeningen!$B$55" fmlaRange="Lijsten!#REF!" sel="0" val="0"/>
</file>

<file path=xl/ctrlProps/ctrlProp705.xml><?xml version="1.0" encoding="utf-8"?>
<formControlPr xmlns="http://schemas.microsoft.com/office/spreadsheetml/2009/9/main" objectType="Drop" dropStyle="combo" dx="16" fmlaLink="Berekeningen!$B$60" fmlaRange="_VoedingToevoegingenKunstvoeding" sel="1" val="0"/>
</file>

<file path=xl/ctrlProps/ctrlProp706.xml><?xml version="1.0" encoding="utf-8"?>
<formControlPr xmlns="http://schemas.microsoft.com/office/spreadsheetml/2009/9/main" objectType="Drop" dropStyle="combo" dx="16" fmlaLink="Berekeningen!$B$61" fmlaRange="_VoedingToevoegingenKunstvoeding" sel="1" val="0"/>
</file>

<file path=xl/ctrlProps/ctrlProp707.xml><?xml version="1.0" encoding="utf-8"?>
<formControlPr xmlns="http://schemas.microsoft.com/office/spreadsheetml/2009/9/main" objectType="Drop" dropStyle="combo" dx="16" fmlaLink="Berekeningen!$L$58" fmlaRange="_VoedingToevoegingenWaarden" sel="0" val="0"/>
</file>

<file path=xl/ctrlProps/ctrlProp708.xml><?xml version="1.0" encoding="utf-8"?>
<formControlPr xmlns="http://schemas.microsoft.com/office/spreadsheetml/2009/9/main" objectType="Drop" dropStyle="combo" dx="16" fmlaLink="Berekeningen!$K$59" fmlaRange="_VoedingToevoegingenWaarden" sel="1" val="0"/>
</file>

<file path=xl/ctrlProps/ctrlProp709.xml><?xml version="1.0" encoding="utf-8"?>
<formControlPr xmlns="http://schemas.microsoft.com/office/spreadsheetml/2009/9/main" objectType="Drop" dropStyle="combo" dx="16" fmlaLink="Berekeningen!$K$60" fmlaRange="_VoedingToevoegingenWaarden" sel="1" val="0"/>
</file>

<file path=xl/ctrlProps/ctrlProp710.xml><?xml version="1.0" encoding="utf-8"?>
<formControlPr xmlns="http://schemas.microsoft.com/office/spreadsheetml/2009/9/main" objectType="Drop" dropStyle="combo" dx="16" fmlaLink="Berekeningen!$K$61" fmlaRange="_VoedingToevoegingenWaarden" sel="1" val="0"/>
</file>

<file path=xl/ctrlProps/ctrlProp711.xml><?xml version="1.0" encoding="utf-8"?>
<formControlPr xmlns="http://schemas.microsoft.com/office/spreadsheetml/2009/9/main" objectType="Drop" dropStyle="combo" dx="16" fmlaLink="Berekeningen!$B$53" fmlaRange="_VoedingToevoegingenMoedermelk" sel="1" val="0"/>
</file>

<file path=xl/ctrlProps/ctrlProp712.xml><?xml version="1.0" encoding="utf-8"?>
<formControlPr xmlns="http://schemas.microsoft.com/office/spreadsheetml/2009/9/main" objectType="Drop" dropStyle="combo" dx="16" fmlaLink="Berekeningen!$B$58" fmlaRange="_VoedingToevoegingenKunstvoeding" sel="1" val="0"/>
</file>

<file path=xl/ctrlProps/ctrlProp713.xml><?xml version="1.0" encoding="utf-8"?>
<formControlPr xmlns="http://schemas.microsoft.com/office/spreadsheetml/2009/9/main" objectType="Drop" dropStyle="combo" dx="16" fmlaLink="Berekeningen!$K$58" fmlaRange="_VoedingToevoegingenWaarden" sel="1" val="0"/>
</file>

<file path=xl/ctrlProps/ctrlProp714.xml><?xml version="1.0" encoding="utf-8"?>
<formControlPr xmlns="http://schemas.microsoft.com/office/spreadsheetml/2009/9/main" objectType="Drop" dropStyle="combo" dx="16" fmlaLink="Berekeningen!$K$52" fmlaRange="_VoedingBMFWaarden" sel="1" val="0"/>
</file>

<file path=xl/ctrlProps/ctrlProp715.xml><?xml version="1.0" encoding="utf-8"?>
<formControlPr xmlns="http://schemas.microsoft.com/office/spreadsheetml/2009/9/main" objectType="Drop" dropStyle="combo" dx="16" fmlaLink="Berekeningen!$K$54" fmlaRange="_VoedingToevoegingenWaarden" sel="1" val="0"/>
</file>

<file path=xl/ctrlProps/ctrlProp716.xml><?xml version="1.0" encoding="utf-8"?>
<formControlPr xmlns="http://schemas.microsoft.com/office/spreadsheetml/2009/9/main" objectType="Drop" dropStyle="combo" dx="16" fmlaLink="Berekeningen!$K$55" fmlaRange="_VoedingToevoegingenWaarden" sel="1" val="0"/>
</file>

<file path=xl/ctrlProps/ctrlProp717.xml><?xml version="1.0" encoding="utf-8"?>
<formControlPr xmlns="http://schemas.microsoft.com/office/spreadsheetml/2009/9/main" objectType="Drop" dropStyle="combo" dx="16" fmlaLink="Berekeningen!$K$56" fmlaRange="_VoedingToevoegingenWaarden" sel="1" val="0"/>
</file>

<file path=xl/ctrlProps/ctrlProp718.xml><?xml version="1.0" encoding="utf-8"?>
<formControlPr xmlns="http://schemas.microsoft.com/office/spreadsheetml/2009/9/main" objectType="Drop" dropStyle="combo" dx="16" fmlaLink="Berekeningen!$K$53" fmlaRange="_VoedingToevoegingenWaarden" sel="1" val="0"/>
</file>

<file path=xl/ctrlProps/ctrlProp719.xml><?xml version="1.0" encoding="utf-8"?>
<formControlPr xmlns="http://schemas.microsoft.com/office/spreadsheetml/2009/9/main" objectType="CheckBox" fmlaLink="Berekeningen!$B$17" lockText="1" noThreeD="1"/>
</file>

<file path=xl/ctrlProps/ctrlProp720.xml><?xml version="1.0" encoding="utf-8"?>
<formControlPr xmlns="http://schemas.microsoft.com/office/spreadsheetml/2009/9/main" objectType="Spin" dx="15" fmlaLink="Berekeningen!$F$21" max="30000" page="10" val="0"/>
</file>

<file path=xl/ctrlProps/ctrlProp721.xml><?xml version="1.0" encoding="utf-8"?>
<formControlPr xmlns="http://schemas.microsoft.com/office/spreadsheetml/2009/9/main" objectType="Spin" dx="15" fmlaLink="Berekeningen!$F$22" max="30000" page="10" val="0"/>
</file>

<file path=xl/ctrlProps/ctrlProp722.xml><?xml version="1.0" encoding="utf-8"?>
<formControlPr xmlns="http://schemas.microsoft.com/office/spreadsheetml/2009/9/main" objectType="Spin" dx="15" fmlaLink="Berekeningen!$F$23" max="30000" page="10" val="0"/>
</file>

<file path=xl/ctrlProps/ctrlProp723.xml><?xml version="1.0" encoding="utf-8"?>
<formControlPr xmlns="http://schemas.microsoft.com/office/spreadsheetml/2009/9/main" objectType="Spin" dx="15" fmlaLink="Berekeningen!$F$24" max="30000" page="10" val="0"/>
</file>

<file path=xl/ctrlProps/ctrlProp724.xml><?xml version="1.0" encoding="utf-8"?>
<formControlPr xmlns="http://schemas.microsoft.com/office/spreadsheetml/2009/9/main" objectType="Spin" dx="15" fmlaLink="Berekeningen!$F$25" max="30000" page="10" val="0"/>
</file>

<file path=xl/ctrlProps/ctrlProp725.xml><?xml version="1.0" encoding="utf-8"?>
<formControlPr xmlns="http://schemas.microsoft.com/office/spreadsheetml/2009/9/main" objectType="Spin" dx="15" fmlaLink="Berekeningen!$F$26" max="30000" page="10" val="0"/>
</file>

<file path=xl/ctrlProps/ctrlProp726.xml><?xml version="1.0" encoding="utf-8"?>
<formControlPr xmlns="http://schemas.microsoft.com/office/spreadsheetml/2009/9/main" objectType="Spin" dx="15" fmlaLink="Berekeningen!$F$27" max="30000" page="10" val="0"/>
</file>

<file path=xl/ctrlProps/ctrlProp727.xml><?xml version="1.0" encoding="utf-8"?>
<formControlPr xmlns="http://schemas.microsoft.com/office/spreadsheetml/2009/9/main" objectType="Spin" dx="15" fmlaLink="Berekeningen!$F$28" max="30000" page="10" val="0"/>
</file>

<file path=xl/ctrlProps/ctrlProp728.xml><?xml version="1.0" encoding="utf-8"?>
<formControlPr xmlns="http://schemas.microsoft.com/office/spreadsheetml/2009/9/main" objectType="Drop" dropStyle="combo" dx="16" fmlaLink="Berekeningen!$F$35" fmlaRange="lijstIntralipidSmof" sel="1" val="0"/>
</file>

<file path=xl/ctrlProps/ctrlProp729.xml><?xml version="1.0" encoding="utf-8"?>
<formControlPr xmlns="http://schemas.microsoft.com/office/spreadsheetml/2009/9/main" objectType="Drop" dropStyle="combo" dx="16" fmlaLink="Berekeningen1700!$B$20" fmlaRange="Medicamenten" sel="1" val="0"/>
</file>

<file path=xl/ctrlProps/ctrlProp730.xml><?xml version="1.0" encoding="utf-8"?>
<formControlPr xmlns="http://schemas.microsoft.com/office/spreadsheetml/2009/9/main" objectType="Drop" dropStyle="combo" dx="16" fmlaLink="Berekeningen1700!$B$21" fmlaRange="Medicamenten" sel="1" val="0"/>
</file>

<file path=xl/ctrlProps/ctrlProp731.xml><?xml version="1.0" encoding="utf-8"?>
<formControlPr xmlns="http://schemas.microsoft.com/office/spreadsheetml/2009/9/main" objectType="Drop" dropStyle="combo" dx="16" fmlaLink="Berekeningen1700!$B$22" fmlaRange="Medicamenten" sel="1" val="0"/>
</file>

<file path=xl/ctrlProps/ctrlProp732.xml><?xml version="1.0" encoding="utf-8"?>
<formControlPr xmlns="http://schemas.microsoft.com/office/spreadsheetml/2009/9/main" objectType="Drop" dropStyle="combo" dx="16" fmlaLink="Berekeningen1700!$B$23" fmlaRange="Medicamenten" sel="1" val="0"/>
</file>

<file path=xl/ctrlProps/ctrlProp733.xml><?xml version="1.0" encoding="utf-8"?>
<formControlPr xmlns="http://schemas.microsoft.com/office/spreadsheetml/2009/9/main" objectType="Drop" dropStyle="combo" dx="16" fmlaLink="Berekeningen1700!$B$24" fmlaRange="Medicamenten" sel="1" val="0"/>
</file>

<file path=xl/ctrlProps/ctrlProp734.xml><?xml version="1.0" encoding="utf-8"?>
<formControlPr xmlns="http://schemas.microsoft.com/office/spreadsheetml/2009/9/main" objectType="Drop" dropStyle="combo" dx="16" fmlaLink="Berekeningen1700!$B$25" fmlaRange="Medicamenten" sel="1" val="0"/>
</file>

<file path=xl/ctrlProps/ctrlProp735.xml><?xml version="1.0" encoding="utf-8"?>
<formControlPr xmlns="http://schemas.microsoft.com/office/spreadsheetml/2009/9/main" objectType="Drop" dropStyle="combo" dx="16" fmlaLink="Berekeningen1700!$B$26" fmlaRange="Medicamenten" sel="1" val="0"/>
</file>

<file path=xl/ctrlProps/ctrlProp736.xml><?xml version="1.0" encoding="utf-8"?>
<formControlPr xmlns="http://schemas.microsoft.com/office/spreadsheetml/2009/9/main" objectType="Spin" dx="15" fmlaLink="Berekeningen1700!$B$18" inc="5" max="10" page="10" val="0"/>
</file>

<file path=xl/ctrlProps/ctrlProp737.xml><?xml version="1.0" encoding="utf-8"?>
<formControlPr xmlns="http://schemas.microsoft.com/office/spreadsheetml/2009/9/main" objectType="Spin" dx="15" fmlaLink="Berekeningen1700!$F$20" max="30000" page="10" val="0"/>
</file>

<file path=xl/ctrlProps/ctrlProp738.xml><?xml version="1.0" encoding="utf-8"?>
<formControlPr xmlns="http://schemas.microsoft.com/office/spreadsheetml/2009/9/main" objectType="Spin" dx="15" fmlaLink="Berekeningen1700!$F$21" max="30000" page="10" val="0"/>
</file>

<file path=xl/ctrlProps/ctrlProp739.xml><?xml version="1.0" encoding="utf-8"?>
<formControlPr xmlns="http://schemas.microsoft.com/office/spreadsheetml/2009/9/main" objectType="Spin" dx="15" fmlaLink="Berekeningen1700!$F$22" max="30000" page="10" val="0"/>
</file>

<file path=xl/ctrlProps/ctrlProp740.xml><?xml version="1.0" encoding="utf-8"?>
<formControlPr xmlns="http://schemas.microsoft.com/office/spreadsheetml/2009/9/main" objectType="Spin" dx="15" fmlaLink="Berekeningen1700!$F$23" max="30000" page="10" val="0"/>
</file>

<file path=xl/ctrlProps/ctrlProp741.xml><?xml version="1.0" encoding="utf-8"?>
<formControlPr xmlns="http://schemas.microsoft.com/office/spreadsheetml/2009/9/main" objectType="Spin" dx="15" fmlaLink="Berekeningen1700!$F$24" max="30000" page="10" val="0"/>
</file>

<file path=xl/ctrlProps/ctrlProp742.xml><?xml version="1.0" encoding="utf-8"?>
<formControlPr xmlns="http://schemas.microsoft.com/office/spreadsheetml/2009/9/main" objectType="Spin" dx="15" fmlaLink="Berekeningen1700!$F$25" max="30000" page="10" val="0"/>
</file>

<file path=xl/ctrlProps/ctrlProp743.xml><?xml version="1.0" encoding="utf-8"?>
<formControlPr xmlns="http://schemas.microsoft.com/office/spreadsheetml/2009/9/main" objectType="Spin" dx="15" fmlaLink="Berekeningen1700!$F$26" max="30000" page="10" val="0"/>
</file>

<file path=xl/ctrlProps/ctrlProp744.xml><?xml version="1.0" encoding="utf-8"?>
<formControlPr xmlns="http://schemas.microsoft.com/office/spreadsheetml/2009/9/main" objectType="Radio" checked="Checked" firstButton="1" fmlaLink="Berekeningen1700!$K$14" lockText="1"/>
</file>

<file path=xl/ctrlProps/ctrlProp745.xml><?xml version="1.0" encoding="utf-8"?>
<formControlPr xmlns="http://schemas.microsoft.com/office/spreadsheetml/2009/9/main" objectType="Radio" lockText="1"/>
</file>

<file path=xl/ctrlProps/ctrlProp746.xml><?xml version="1.0" encoding="utf-8"?>
<formControlPr xmlns="http://schemas.microsoft.com/office/spreadsheetml/2009/9/main" objectType="Spin" dx="15" fmlaLink="Berekeningen1700!$D$10" max="24" page="10" val="0"/>
</file>

<file path=xl/ctrlProps/ctrlProp747.xml><?xml version="1.0" encoding="utf-8"?>
<formControlPr xmlns="http://schemas.microsoft.com/office/spreadsheetml/2009/9/main" objectType="Spin" dx="15" fmlaLink="Berekeningen1700!$D$11" inc="5" max="30000" page="10" val="0"/>
</file>

<file path=xl/ctrlProps/ctrlProp748.xml><?xml version="1.0" encoding="utf-8"?>
<formControlPr xmlns="http://schemas.microsoft.com/office/spreadsheetml/2009/9/main" objectType="Spin" dx="15" fmlaLink="Berekeningen1700!$D$16" inc="5" max="30000" page="10" val="5000"/>
</file>

<file path=xl/ctrlProps/ctrlProp749.xml><?xml version="1.0" encoding="utf-8"?>
<formControlPr xmlns="http://schemas.microsoft.com/office/spreadsheetml/2009/9/main" objectType="Radio" checked="Checked" firstButton="1" fmlaLink="Berekeningen1700!$D$36" lockText="1"/>
</file>

<file path=xl/ctrlProps/ctrlProp750.xml><?xml version="1.0" encoding="utf-8"?>
<formControlPr xmlns="http://schemas.microsoft.com/office/spreadsheetml/2009/9/main" objectType="Radio" lockText="1"/>
</file>

<file path=xl/ctrlProps/ctrlProp751.xml><?xml version="1.0" encoding="utf-8"?>
<formControlPr xmlns="http://schemas.microsoft.com/office/spreadsheetml/2009/9/main" objectType="Radio" lockText="1"/>
</file>

<file path=xl/ctrlProps/ctrlProp752.xml><?xml version="1.0" encoding="utf-8"?>
<formControlPr xmlns="http://schemas.microsoft.com/office/spreadsheetml/2009/9/main" objectType="Spin" dx="15" fmlaLink="Berekeningen1700!$D$37" inc="10" max="30000" page="10" val="5000"/>
</file>

<file path=xl/ctrlProps/ctrlProp753.xml><?xml version="1.0" encoding="utf-8"?>
<formControlPr xmlns="http://schemas.microsoft.com/office/spreadsheetml/2009/9/main" objectType="Spin" dx="15" fmlaLink="Berekeningen1700!$D$38" inc="10" max="30000" page="10" val="5000"/>
</file>

<file path=xl/ctrlProps/ctrlProp754.xml><?xml version="1.0" encoding="utf-8"?>
<formControlPr xmlns="http://schemas.microsoft.com/office/spreadsheetml/2009/9/main" objectType="Spin" dx="15" fmlaLink="Berekeningen1700!$D$39" inc="10" max="30000" page="10" val="5000"/>
</file>

<file path=xl/ctrlProps/ctrlProp755.xml><?xml version="1.0" encoding="utf-8"?>
<formControlPr xmlns="http://schemas.microsoft.com/office/spreadsheetml/2009/9/main" objectType="Spin" dx="15" fmlaLink="Berekeningen1700!$D$40" max="30000" page="10" val="5000"/>
</file>

<file path=xl/ctrlProps/ctrlProp756.xml><?xml version="1.0" encoding="utf-8"?>
<formControlPr xmlns="http://schemas.microsoft.com/office/spreadsheetml/2009/9/main" objectType="Spin" dx="15" fmlaLink="Berekeningen1700!$D$41" max="30000" page="10" val="5000"/>
</file>

<file path=xl/ctrlProps/ctrlProp757.xml><?xml version="1.0" encoding="utf-8"?>
<formControlPr xmlns="http://schemas.microsoft.com/office/spreadsheetml/2009/9/main" objectType="Spin" dx="15" fmlaLink="Berekeningen1700!$D$42" max="30000" page="10" val="5000"/>
</file>

<file path=xl/ctrlProps/ctrlProp758.xml><?xml version="1.0" encoding="utf-8"?>
<formControlPr xmlns="http://schemas.microsoft.com/office/spreadsheetml/2009/9/main" objectType="Spin" dx="15" fmlaLink="Berekeningen1700!$D$43" max="30000" page="10" val="5000"/>
</file>

<file path=xl/ctrlProps/ctrlProp759.xml><?xml version="1.0" encoding="utf-8"?>
<formControlPr xmlns="http://schemas.microsoft.com/office/spreadsheetml/2009/9/main" objectType="Spin" dx="15" fmlaLink="Berekeningen1700!$D$37" max="30000" page="10" val="5000"/>
</file>

<file path=xl/ctrlProps/ctrlProp760.xml><?xml version="1.0" encoding="utf-8"?>
<formControlPr xmlns="http://schemas.microsoft.com/office/spreadsheetml/2009/9/main" objectType="Spin" dx="15" fmlaLink="Berekeningen1700!$D$38" max="30000" page="10" val="5000"/>
</file>

<file path=xl/ctrlProps/ctrlProp761.xml><?xml version="1.0" encoding="utf-8"?>
<formControlPr xmlns="http://schemas.microsoft.com/office/spreadsheetml/2009/9/main" objectType="Spin" dx="15" fmlaLink="Berekeningen1700!$D$44" max="30000" page="10" val="5000"/>
</file>

<file path=xl/ctrlProps/ctrlProp762.xml><?xml version="1.0" encoding="utf-8"?>
<formControlPr xmlns="http://schemas.microsoft.com/office/spreadsheetml/2009/9/main" objectType="Radio" firstButton="1" fmlaLink="Berekeningen1700!$B$15" lockText="1"/>
</file>

<file path=xl/ctrlProps/ctrlProp763.xml><?xml version="1.0" encoding="utf-8"?>
<formControlPr xmlns="http://schemas.microsoft.com/office/spreadsheetml/2009/9/main" objectType="Radio" checked="Checked" lockText="1"/>
</file>

<file path=xl/ctrlProps/ctrlProp764.xml><?xml version="1.0" encoding="utf-8"?>
<formControlPr xmlns="http://schemas.microsoft.com/office/spreadsheetml/2009/9/main" objectType="Drop" dropStyle="combo" dx="16" fmlaLink="Berekeningen1700!$E$20" fmlaRange="Opl" sel="1" val="2"/>
</file>

<file path=xl/ctrlProps/ctrlProp765.xml><?xml version="1.0" encoding="utf-8"?>
<formControlPr xmlns="http://schemas.microsoft.com/office/spreadsheetml/2009/9/main" objectType="Drop" dropStyle="combo" dx="16" fmlaLink="Berekeningen1700!$E$21" fmlaRange="Opl" sel="1" val="0"/>
</file>

<file path=xl/ctrlProps/ctrlProp766.xml><?xml version="1.0" encoding="utf-8"?>
<formControlPr xmlns="http://schemas.microsoft.com/office/spreadsheetml/2009/9/main" objectType="Drop" dropStyle="combo" dx="16" fmlaLink="Berekeningen1700!$E$22" fmlaRange="Opl" sel="1" val="0"/>
</file>

<file path=xl/ctrlProps/ctrlProp767.xml><?xml version="1.0" encoding="utf-8"?>
<formControlPr xmlns="http://schemas.microsoft.com/office/spreadsheetml/2009/9/main" objectType="Drop" dropStyle="combo" dx="16" fmlaLink="Berekeningen1700!$E$23" fmlaRange="Opl" sel="1" val="0"/>
</file>

<file path=xl/ctrlProps/ctrlProp768.xml><?xml version="1.0" encoding="utf-8"?>
<formControlPr xmlns="http://schemas.microsoft.com/office/spreadsheetml/2009/9/main" objectType="Drop" dropStyle="combo" dx="16" fmlaLink="Berekeningen1700!$E$24" fmlaRange="Opl" sel="1" val="0"/>
</file>

<file path=xl/ctrlProps/ctrlProp769.xml><?xml version="1.0" encoding="utf-8"?>
<formControlPr xmlns="http://schemas.microsoft.com/office/spreadsheetml/2009/9/main" objectType="Drop" dropStyle="combo" dx="16" fmlaLink="Berekeningen1700!$E$25" fmlaRange="Opl" sel="1" val="0"/>
</file>

<file path=xl/ctrlProps/ctrlProp770.xml><?xml version="1.0" encoding="utf-8"?>
<formControlPr xmlns="http://schemas.microsoft.com/office/spreadsheetml/2009/9/main" objectType="Spin" dx="15" fmlaLink="Berekeningen1700!$D$20" max="30000" page="10" val="0"/>
</file>

<file path=xl/ctrlProps/ctrlProp771.xml><?xml version="1.0" encoding="utf-8"?>
<formControlPr xmlns="http://schemas.microsoft.com/office/spreadsheetml/2009/9/main" objectType="Spin" dx="15" fmlaLink="Berekeningen1700!$D$21" max="30000" page="10" val="0"/>
</file>

<file path=xl/ctrlProps/ctrlProp772.xml><?xml version="1.0" encoding="utf-8"?>
<formControlPr xmlns="http://schemas.microsoft.com/office/spreadsheetml/2009/9/main" objectType="Spin" dx="15" fmlaLink="Berekeningen1700!$D$22" max="30000" page="10" val="0"/>
</file>

<file path=xl/ctrlProps/ctrlProp773.xml><?xml version="1.0" encoding="utf-8"?>
<formControlPr xmlns="http://schemas.microsoft.com/office/spreadsheetml/2009/9/main" objectType="Spin" dx="15" fmlaLink="Berekeningen1700!$D$23" max="30000" page="10" val="0"/>
</file>

<file path=xl/ctrlProps/ctrlProp774.xml><?xml version="1.0" encoding="utf-8"?>
<formControlPr xmlns="http://schemas.microsoft.com/office/spreadsheetml/2009/9/main" objectType="Spin" dx="15" fmlaLink="Berekeningen1700!$D$24" max="30000" page="10" val="0"/>
</file>

<file path=xl/ctrlProps/ctrlProp775.xml><?xml version="1.0" encoding="utf-8"?>
<formControlPr xmlns="http://schemas.microsoft.com/office/spreadsheetml/2009/9/main" objectType="Spin" dx="15" fmlaLink="Berekeningen1700!$D$25" max="30000" page="10" val="0"/>
</file>

<file path=xl/ctrlProps/ctrlProp776.xml><?xml version="1.0" encoding="utf-8"?>
<formControlPr xmlns="http://schemas.microsoft.com/office/spreadsheetml/2009/9/main" objectType="Spin" dx="15" fmlaLink="Berekeningen1700!$D$26" max="30000" page="10" val="0"/>
</file>

<file path=xl/ctrlProps/ctrlProp777.xml><?xml version="1.0" encoding="utf-8"?>
<formControlPr xmlns="http://schemas.microsoft.com/office/spreadsheetml/2009/9/main" objectType="Spin" dx="15" fmlaLink="Berekeningen1700!$C$20" inc="10" max="30000" page="10" val="0"/>
</file>

<file path=xl/ctrlProps/ctrlProp778.xml><?xml version="1.0" encoding="utf-8"?>
<formControlPr xmlns="http://schemas.microsoft.com/office/spreadsheetml/2009/9/main" objectType="Spin" dx="15" fmlaLink="Berekeningen1700!$C$21" inc="10" max="30000" page="10" val="0"/>
</file>

<file path=xl/ctrlProps/ctrlProp779.xml><?xml version="1.0" encoding="utf-8"?>
<formControlPr xmlns="http://schemas.microsoft.com/office/spreadsheetml/2009/9/main" objectType="Spin" dx="15" fmlaLink="Berekeningen1700!$C$22" inc="10" max="30000" page="10" val="0"/>
</file>

<file path=xl/ctrlProps/ctrlProp780.xml><?xml version="1.0" encoding="utf-8"?>
<formControlPr xmlns="http://schemas.microsoft.com/office/spreadsheetml/2009/9/main" objectType="Spin" dx="15" fmlaLink="Berekeningen1700!$C$23" inc="10" max="30000" page="10" val="0"/>
</file>

<file path=xl/ctrlProps/ctrlProp781.xml><?xml version="1.0" encoding="utf-8"?>
<formControlPr xmlns="http://schemas.microsoft.com/office/spreadsheetml/2009/9/main" objectType="Spin" dx="15" fmlaLink="Berekeningen1700!$C$24" inc="10" max="30000" page="10" val="0"/>
</file>

<file path=xl/ctrlProps/ctrlProp782.xml><?xml version="1.0" encoding="utf-8"?>
<formControlPr xmlns="http://schemas.microsoft.com/office/spreadsheetml/2009/9/main" objectType="Spin" dx="15" fmlaLink="Berekeningen1700!$C$25" inc="10" max="30000" page="10" val="0"/>
</file>

<file path=xl/ctrlProps/ctrlProp783.xml><?xml version="1.0" encoding="utf-8"?>
<formControlPr xmlns="http://schemas.microsoft.com/office/spreadsheetml/2009/9/main" objectType="Spin" dx="15" fmlaLink="Berekeningen1700!$C$26" inc="10" max="30000" page="10" val="0"/>
</file>

<file path=xl/ctrlProps/ctrlProp784.xml><?xml version="1.0" encoding="utf-8"?>
<formControlPr xmlns="http://schemas.microsoft.com/office/spreadsheetml/2009/9/main" objectType="GBox"/>
</file>

<file path=xl/ctrlProps/ctrlProp785.xml><?xml version="1.0" encoding="utf-8"?>
<formControlPr xmlns="http://schemas.microsoft.com/office/spreadsheetml/2009/9/main" objectType="GBox" noThreeD="1"/>
</file>

<file path=xl/ctrlProps/ctrlProp786.xml><?xml version="1.0" encoding="utf-8"?>
<formControlPr xmlns="http://schemas.microsoft.com/office/spreadsheetml/2009/9/main" objectType="CheckBox" fmlaLink="Berekeningen1700!$K$18" lockText="1"/>
</file>

<file path=xl/ctrlProps/ctrlProp787.xml><?xml version="1.0" encoding="utf-8"?>
<formControlPr xmlns="http://schemas.microsoft.com/office/spreadsheetml/2009/9/main" objectType="CheckBox" fmlaLink="Berekeningen1700!$K$20" lockText="1"/>
</file>

<file path=xl/ctrlProps/ctrlProp788.xml><?xml version="1.0" encoding="utf-8"?>
<formControlPr xmlns="http://schemas.microsoft.com/office/spreadsheetml/2009/9/main" objectType="CheckBox" fmlaLink="Berekeningen1700!$K$21" lockText="1"/>
</file>

<file path=xl/ctrlProps/ctrlProp789.xml><?xml version="1.0" encoding="utf-8"?>
<formControlPr xmlns="http://schemas.microsoft.com/office/spreadsheetml/2009/9/main" objectType="CheckBox" fmlaLink="Berekeningen1700!$K$22" lockText="1"/>
</file>

<file path=xl/ctrlProps/ctrlProp790.xml><?xml version="1.0" encoding="utf-8"?>
<formControlPr xmlns="http://schemas.microsoft.com/office/spreadsheetml/2009/9/main" objectType="CheckBox" fmlaLink="Berekeningen1700!$K$23" lockText="1"/>
</file>

<file path=xl/ctrlProps/ctrlProp791.xml><?xml version="1.0" encoding="utf-8"?>
<formControlPr xmlns="http://schemas.microsoft.com/office/spreadsheetml/2009/9/main" objectType="CheckBox" fmlaLink="Berekeningen1700!$K$24" lockText="1"/>
</file>

<file path=xl/ctrlProps/ctrlProp792.xml><?xml version="1.0" encoding="utf-8"?>
<formControlPr xmlns="http://schemas.microsoft.com/office/spreadsheetml/2009/9/main" objectType="CheckBox" fmlaLink="Berekeningen1700!$K$25" lockText="1"/>
</file>

<file path=xl/ctrlProps/ctrlProp793.xml><?xml version="1.0" encoding="utf-8"?>
<formControlPr xmlns="http://schemas.microsoft.com/office/spreadsheetml/2009/9/main" objectType="CheckBox" lockText="1"/>
</file>

<file path=xl/ctrlProps/ctrlProp794.xml><?xml version="1.0" encoding="utf-8"?>
<formControlPr xmlns="http://schemas.microsoft.com/office/spreadsheetml/2009/9/main" objectType="Drop" dropStyle="combo" dx="16" fmlaLink="Berekeningen1700!$B$27" fmlaRange="Medicamenten" sel="1" val="2"/>
</file>

<file path=xl/ctrlProps/ctrlProp795.xml><?xml version="1.0" encoding="utf-8"?>
<formControlPr xmlns="http://schemas.microsoft.com/office/spreadsheetml/2009/9/main" objectType="Spin" dx="15" fmlaLink="Berekeningen1700!$F$27" max="30000" page="10" val="0"/>
</file>

<file path=xl/ctrlProps/ctrlProp796.xml><?xml version="1.0" encoding="utf-8"?>
<formControlPr xmlns="http://schemas.microsoft.com/office/spreadsheetml/2009/9/main" objectType="Drop" dropStyle="combo" dx="16" fmlaLink="Berekeningen1700!$E$26" fmlaRange="Opl" sel="1" val="0"/>
</file>

<file path=xl/ctrlProps/ctrlProp797.xml><?xml version="1.0" encoding="utf-8"?>
<formControlPr xmlns="http://schemas.microsoft.com/office/spreadsheetml/2009/9/main" objectType="Spin" dx="15" fmlaLink="Berekeningen1700!$D$27" max="30000" page="10" val="0"/>
</file>

<file path=xl/ctrlProps/ctrlProp798.xml><?xml version="1.0" encoding="utf-8"?>
<formControlPr xmlns="http://schemas.microsoft.com/office/spreadsheetml/2009/9/main" objectType="Spin" dx="15" fmlaLink="Berekeningen1700!$C$27" inc="10" max="30000" page="10" val="0"/>
</file>

<file path=xl/ctrlProps/ctrlProp799.xml><?xml version="1.0" encoding="utf-8"?>
<formControlPr xmlns="http://schemas.microsoft.com/office/spreadsheetml/2009/9/main" objectType="CheckBox" fmlaLink="Berekeningen1700!$K$26" lockText="1"/>
</file>

<file path=xl/ctrlProps/ctrlProp800.xml><?xml version="1.0" encoding="utf-8"?>
<formControlPr xmlns="http://schemas.microsoft.com/office/spreadsheetml/2009/9/main" objectType="CheckBox" lockText="1"/>
</file>

<file path=xl/ctrlProps/ctrlProp801.xml><?xml version="1.0" encoding="utf-8"?>
<formControlPr xmlns="http://schemas.microsoft.com/office/spreadsheetml/2009/9/main" objectType="Spin" dx="15" fmlaLink="Berekeningen1700!$F$28" max="30000" page="10" val="0"/>
</file>

<file path=xl/ctrlProps/ctrlProp802.xml><?xml version="1.0" encoding="utf-8"?>
<formControlPr xmlns="http://schemas.microsoft.com/office/spreadsheetml/2009/9/main" objectType="Drop" dropStyle="combo" dx="16" fmlaLink="Berekeningen1700!$E$27" fmlaRange="Opl" sel="1" val="0"/>
</file>

<file path=xl/ctrlProps/ctrlProp803.xml><?xml version="1.0" encoding="utf-8"?>
<formControlPr xmlns="http://schemas.microsoft.com/office/spreadsheetml/2009/9/main" objectType="Drop" dropStyle="combo" dx="16" fmlaLink="Berekeningen1700!$E$28" fmlaRange="Opl" sel="1" val="0"/>
</file>

<file path=xl/ctrlProps/ctrlProp804.xml><?xml version="1.0" encoding="utf-8"?>
<formControlPr xmlns="http://schemas.microsoft.com/office/spreadsheetml/2009/9/main" objectType="CheckBox" fmlaLink="Berekeningen1700!$K$27" lockText="1"/>
</file>

<file path=xl/ctrlProps/ctrlProp805.xml><?xml version="1.0" encoding="utf-8"?>
<formControlPr xmlns="http://schemas.microsoft.com/office/spreadsheetml/2009/9/main" objectType="CheckBox" fmlaLink="Berekeningen1700!$K$28" lockText="1"/>
</file>

<file path=xl/ctrlProps/ctrlProp806.xml><?xml version="1.0" encoding="utf-8"?>
<formControlPr xmlns="http://schemas.microsoft.com/office/spreadsheetml/2009/9/main" objectType="Spin" dx="15" fmlaLink="Berekeningen1700!$D$35" max="30000" page="10" val="5000"/>
</file>

<file path=xl/ctrlProps/ctrlProp807.xml><?xml version="1.0" encoding="utf-8"?>
<formControlPr xmlns="http://schemas.microsoft.com/office/spreadsheetml/2009/9/main" objectType="Drop" dropStyle="combo" dx="16" fmlaLink="Berekeningen1700!$D$45" fmlaRange="Lijsten!$A$4:$A$13" sel="2" val="0"/>
</file>

<file path=xl/ctrlProps/ctrlProp808.xml><?xml version="1.0" encoding="utf-8"?>
<formControlPr xmlns="http://schemas.microsoft.com/office/spreadsheetml/2009/9/main" objectType="Spin" dx="15" fmlaLink="Berekeningen!$D$4" max="43" min="24" page="10" val="30"/>
</file>

<file path=xl/ctrlProps/ctrlProp809.xml><?xml version="1.0" encoding="utf-8"?>
<formControlPr xmlns="http://schemas.microsoft.com/office/spreadsheetml/2009/9/main" objectType="Spin" dx="15" fmlaLink="Berekeningen!$D$5" max="6" page="10" val="0"/>
</file>

<file path=xl/ctrlProps/ctrlProp810.xml><?xml version="1.0" encoding="utf-8"?>
<formControlPr xmlns="http://schemas.microsoft.com/office/spreadsheetml/2009/9/main" objectType="Drop" dropStyle="combo" dx="16" fmlaLink="Berekeningen1700!$B$54" fmlaRange="_VoedingToevoegingenMoedermelk" sel="1" val="0"/>
</file>

<file path=xl/ctrlProps/ctrlProp811.xml><?xml version="1.0" encoding="utf-8"?>
<formControlPr xmlns="http://schemas.microsoft.com/office/spreadsheetml/2009/9/main" objectType="Drop" dropStyle="combo" dx="16" fmlaLink="Berekeningen1700!$B$55" fmlaRange="Lijsten!#REF!" sel="0" val="0"/>
</file>

<file path=xl/ctrlProps/ctrlProp812.xml><?xml version="1.0" encoding="utf-8"?>
<formControlPr xmlns="http://schemas.microsoft.com/office/spreadsheetml/2009/9/main" objectType="Drop" dropStyle="combo" dx="16" fmlaLink="Berekeningen1700!$D$14" fmlaRange="Pos" sel="1" val="0"/>
</file>

<file path=xl/ctrlProps/ctrlProp813.xml><?xml version="1.0" encoding="utf-8"?>
<formControlPr xmlns="http://schemas.microsoft.com/office/spreadsheetml/2009/9/main" objectType="Spin" dx="15" fmlaLink="Berekeningen1700!$D$12" max="24" page="10" val="0"/>
</file>

<file path=xl/ctrlProps/ctrlProp814.xml><?xml version="1.0" encoding="utf-8"?>
<formControlPr xmlns="http://schemas.microsoft.com/office/spreadsheetml/2009/9/main" objectType="Spin" dx="15" fmlaLink="Berekeningen1700!$D$13" inc="5" max="30000" page="10" val="0"/>
</file>

<file path=xl/ctrlProps/ctrlProp815.xml><?xml version="1.0" encoding="utf-8"?>
<formControlPr xmlns="http://schemas.microsoft.com/office/spreadsheetml/2009/9/main" objectType="Drop" dropStyle="combo" dx="16" fmlaLink="Berekeningen1700!$B$55" fmlaRange="_VoedingToevoegingenMoedermelk" sel="1" val="0"/>
</file>

<file path=xl/ctrlProps/ctrlProp816.xml><?xml version="1.0" encoding="utf-8"?>
<formControlPr xmlns="http://schemas.microsoft.com/office/spreadsheetml/2009/9/main" objectType="Drop" dropStyle="combo" dx="16" fmlaLink="Berekeningen1700!$B$56" fmlaRange="_VoedingToevoegingenMoedermelk" sel="1" val="0"/>
</file>

<file path=xl/ctrlProps/ctrlProp817.xml><?xml version="1.0" encoding="utf-8"?>
<formControlPr xmlns="http://schemas.microsoft.com/office/spreadsheetml/2009/9/main" objectType="Drop" dropStyle="combo" dx="16" fmlaLink="Berekeningen1700!$B$28" fmlaRange="Medicamenten" sel="1" val="2"/>
</file>

<file path=xl/ctrlProps/ctrlProp818.xml><?xml version="1.0" encoding="utf-8"?>
<formControlPr xmlns="http://schemas.microsoft.com/office/spreadsheetml/2009/9/main" objectType="Spin" dx="15" fmlaLink="Berekeningen1700!$D$28" max="30000" page="10" val="0"/>
</file>

<file path=xl/ctrlProps/ctrlProp819.xml><?xml version="1.0" encoding="utf-8"?>
<formControlPr xmlns="http://schemas.microsoft.com/office/spreadsheetml/2009/9/main" objectType="Spin" dx="15" fmlaLink="Berekeningen1700!$C$28" inc="10" max="30000" page="10" val="0"/>
</file>

<file path=xl/ctrlProps/ctrlProp820.xml><?xml version="1.0" encoding="utf-8"?>
<formControlPr xmlns="http://schemas.microsoft.com/office/spreadsheetml/2009/9/main" objectType="Drop" dropStyle="combo" dx="16" fmlaLink="Berekeningen1700!$E$28" fmlaRange="Opl" sel="1" val="2"/>
</file>

<file path=xl/ctrlProps/ctrlProp821.xml><?xml version="1.0" encoding="utf-8"?>
<formControlPr xmlns="http://schemas.microsoft.com/office/spreadsheetml/2009/9/main" objectType="Drop" dropStyle="combo" dx="16" fmlaLink="Berekeningen1700!$E$29" fmlaRange="Opl" sel="1" val="0"/>
</file>

<file path=xl/ctrlProps/ctrlProp822.xml><?xml version="1.0" encoding="utf-8"?>
<formControlPr xmlns="http://schemas.microsoft.com/office/spreadsheetml/2009/9/main" objectType="Spin" dx="15" fmlaLink="Berekeningen1700!$F$29" max="30000" page="10" val="0"/>
</file>

<file path=xl/ctrlProps/ctrlProp823.xml><?xml version="1.0" encoding="utf-8"?>
<formControlPr xmlns="http://schemas.microsoft.com/office/spreadsheetml/2009/9/main" objectType="CheckBox" fmlaLink="Berekeningen1700!$K$29" lockText="1"/>
</file>

<file path=xl/ctrlProps/ctrlProp824.xml><?xml version="1.0" encoding="utf-8"?>
<formControlPr xmlns="http://schemas.microsoft.com/office/spreadsheetml/2009/9/main" objectType="Drop" dropStyle="combo" dx="16" fmlaLink="Berekeningen1700!$E$30" fmlaRange="Opl" sel="1" val="0"/>
</file>

<file path=xl/ctrlProps/ctrlProp825.xml><?xml version="1.0" encoding="utf-8"?>
<formControlPr xmlns="http://schemas.microsoft.com/office/spreadsheetml/2009/9/main" objectType="Spin" dx="15" fmlaLink="Berekeningen1700!$F$30" max="30000" page="10" val="0"/>
</file>

<file path=xl/ctrlProps/ctrlProp826.xml><?xml version="1.0" encoding="utf-8"?>
<formControlPr xmlns="http://schemas.microsoft.com/office/spreadsheetml/2009/9/main" objectType="CheckBox" fmlaLink="Berekeningen1700!$K$30" lockText="1"/>
</file>

<file path=xl/ctrlProps/ctrlProp827.xml><?xml version="1.0" encoding="utf-8"?>
<formControlPr xmlns="http://schemas.microsoft.com/office/spreadsheetml/2009/9/main" objectType="CheckBox" fmlaLink="Berekeningen1700!$K$30" lockText="1"/>
</file>

<file path=xl/ctrlProps/ctrlProp828.xml><?xml version="1.0" encoding="utf-8"?>
<formControlPr xmlns="http://schemas.microsoft.com/office/spreadsheetml/2009/9/main" objectType="Drop" dropStyle="combo" dx="16" fmlaLink="Berekeningen1700!$E$31" fmlaRange="Opl" sel="1" val="0"/>
</file>

<file path=xl/ctrlProps/ctrlProp829.xml><?xml version="1.0" encoding="utf-8"?>
<formControlPr xmlns="http://schemas.microsoft.com/office/spreadsheetml/2009/9/main" objectType="Spin" dx="15" fmlaLink="Berekeningen1700!$F$31" max="30000" page="10" val="0"/>
</file>

<file path=xl/ctrlProps/ctrlProp830.xml><?xml version="1.0" encoding="utf-8"?>
<formControlPr xmlns="http://schemas.microsoft.com/office/spreadsheetml/2009/9/main" objectType="CheckBox" fmlaLink="Berekeningen1700!$K$31" lockText="1"/>
</file>

<file path=xl/ctrlProps/ctrlProp831.xml><?xml version="1.0" encoding="utf-8"?>
<formControlPr xmlns="http://schemas.microsoft.com/office/spreadsheetml/2009/9/main" objectType="Drop" dropStyle="combo" dx="16" fmlaLink="Berekeningen1700!$B$59" fmlaRange="_VoedingToevoegingenKunstvoeding" sel="1" val="0"/>
</file>

<file path=xl/ctrlProps/ctrlProp832.xml><?xml version="1.0" encoding="utf-8"?>
<formControlPr xmlns="http://schemas.microsoft.com/office/spreadsheetml/2009/9/main" objectType="Drop" dropStyle="combo" dx="16" fmlaLink="Berekeningen1700!$B$55" fmlaRange="Lijsten!#REF!" sel="0" val="0"/>
</file>

<file path=xl/ctrlProps/ctrlProp833.xml><?xml version="1.0" encoding="utf-8"?>
<formControlPr xmlns="http://schemas.microsoft.com/office/spreadsheetml/2009/9/main" objectType="Drop" dropStyle="combo" dx="16" fmlaLink="Berekeningen1700!$B$60" fmlaRange="_VoedingToevoegingenKunstvoeding" sel="1" val="0"/>
</file>

<file path=xl/ctrlProps/ctrlProp834.xml><?xml version="1.0" encoding="utf-8"?>
<formControlPr xmlns="http://schemas.microsoft.com/office/spreadsheetml/2009/9/main" objectType="Drop" dropStyle="combo" dx="16" fmlaLink="Berekeningen1700!$B$61" fmlaRange="_VoedingToevoegingenKunstvoeding" sel="1" val="0"/>
</file>

<file path=xl/ctrlProps/ctrlProp835.xml><?xml version="1.0" encoding="utf-8"?>
<formControlPr xmlns="http://schemas.microsoft.com/office/spreadsheetml/2009/9/main" objectType="Drop" dropStyle="combo" dx="16" fmlaLink="Berekeningen1700!$L$58" fmlaRange="_VoedingToevoegingenWaarden" sel="0" val="0"/>
</file>

<file path=xl/ctrlProps/ctrlProp836.xml><?xml version="1.0" encoding="utf-8"?>
<formControlPr xmlns="http://schemas.microsoft.com/office/spreadsheetml/2009/9/main" objectType="Drop" dropStyle="combo" dx="16" fmlaLink="Berekeningen1700!$K$59" fmlaRange="_VoedingToevoegingenWaarden" sel="1" val="3"/>
</file>

<file path=xl/ctrlProps/ctrlProp837.xml><?xml version="1.0" encoding="utf-8"?>
<formControlPr xmlns="http://schemas.microsoft.com/office/spreadsheetml/2009/9/main" objectType="Drop" dropStyle="combo" dx="16" fmlaLink="Berekeningen1700!$K$60" fmlaRange="_VoedingToevoegingenWaarden" sel="1" val="0"/>
</file>

<file path=xl/ctrlProps/ctrlProp838.xml><?xml version="1.0" encoding="utf-8"?>
<formControlPr xmlns="http://schemas.microsoft.com/office/spreadsheetml/2009/9/main" objectType="Drop" dropStyle="combo" dx="16" fmlaLink="Berekeningen1700!$K$61" fmlaRange="_VoedingToevoegingenWaarden" sel="1" val="0"/>
</file>

<file path=xl/ctrlProps/ctrlProp839.xml><?xml version="1.0" encoding="utf-8"?>
<formControlPr xmlns="http://schemas.microsoft.com/office/spreadsheetml/2009/9/main" objectType="Drop" dropStyle="combo" dx="16" fmlaLink="Berekeningen1700!$B$53" fmlaRange="_VoedingToevoegingenMoedermelk" sel="1" val="0"/>
</file>

<file path=xl/ctrlProps/ctrlProp840.xml><?xml version="1.0" encoding="utf-8"?>
<formControlPr xmlns="http://schemas.microsoft.com/office/spreadsheetml/2009/9/main" objectType="Drop" dropStyle="combo" dx="16" fmlaLink="Berekeningen1700!$B$58" fmlaRange="_VoedingToevoegingenKunstvoeding" sel="1" val="0"/>
</file>

<file path=xl/ctrlProps/ctrlProp841.xml><?xml version="1.0" encoding="utf-8"?>
<formControlPr xmlns="http://schemas.microsoft.com/office/spreadsheetml/2009/9/main" objectType="Drop" dropStyle="combo" dx="16" fmlaLink="Berekeningen1700!$K$58" fmlaRange="_VoedingToevoegingenWaarden" sel="1" val="0"/>
</file>

<file path=xl/ctrlProps/ctrlProp842.xml><?xml version="1.0" encoding="utf-8"?>
<formControlPr xmlns="http://schemas.microsoft.com/office/spreadsheetml/2009/9/main" objectType="Drop" dropStyle="combo" dx="16" fmlaLink="Berekeningen1700!$K$52" fmlaRange="_VoedingBMFWaarden" sel="1" val="0"/>
</file>

<file path=xl/ctrlProps/ctrlProp843.xml><?xml version="1.0" encoding="utf-8"?>
<formControlPr xmlns="http://schemas.microsoft.com/office/spreadsheetml/2009/9/main" objectType="Drop" dropStyle="combo" dx="16" fmlaLink="Berekeningen1700!$K$54" fmlaRange="_VoedingToevoegingenWaarden" sel="1" val="0"/>
</file>

<file path=xl/ctrlProps/ctrlProp844.xml><?xml version="1.0" encoding="utf-8"?>
<formControlPr xmlns="http://schemas.microsoft.com/office/spreadsheetml/2009/9/main" objectType="Drop" dropStyle="combo" dx="16" fmlaLink="Berekeningen1700!$K$55" fmlaRange="_VoedingToevoegingenWaarden" sel="1" val="0"/>
</file>

<file path=xl/ctrlProps/ctrlProp845.xml><?xml version="1.0" encoding="utf-8"?>
<formControlPr xmlns="http://schemas.microsoft.com/office/spreadsheetml/2009/9/main" objectType="Drop" dropStyle="combo" dx="16" fmlaLink="Berekeningen1700!$K$56" fmlaRange="_VoedingToevoegingenWaarden" sel="1" val="0"/>
</file>

<file path=xl/ctrlProps/ctrlProp846.xml><?xml version="1.0" encoding="utf-8"?>
<formControlPr xmlns="http://schemas.microsoft.com/office/spreadsheetml/2009/9/main" objectType="Drop" dropStyle="combo" dx="16" fmlaLink="Berekeningen1700!$K$53" fmlaRange="_VoedingToevoegingenWaarden" sel="1" val="0"/>
</file>

<file path=xl/ctrlProps/ctrlProp847.xml><?xml version="1.0" encoding="utf-8"?>
<formControlPr xmlns="http://schemas.microsoft.com/office/spreadsheetml/2009/9/main" objectType="CheckBox" fmlaLink="Berekeningen1700!$B$17" lockText="1" noThreeD="1"/>
</file>

<file path=xl/ctrlProps/ctrlProp848.xml><?xml version="1.0" encoding="utf-8"?>
<formControlPr xmlns="http://schemas.microsoft.com/office/spreadsheetml/2009/9/main" objectType="Spin" dx="15" fmlaLink="Berekeningen1700!$F$21" max="30000" page="10" val="0"/>
</file>

<file path=xl/ctrlProps/ctrlProp849.xml><?xml version="1.0" encoding="utf-8"?>
<formControlPr xmlns="http://schemas.microsoft.com/office/spreadsheetml/2009/9/main" objectType="Spin" dx="15" fmlaLink="Berekeningen1700!$F$21" max="30000" page="10" val="0"/>
</file>

<file path=xl/ctrlProps/ctrlProp850.xml><?xml version="1.0" encoding="utf-8"?>
<formControlPr xmlns="http://schemas.microsoft.com/office/spreadsheetml/2009/9/main" objectType="Spin" dx="15" fmlaLink="Berekeningen1700!$F$22" max="30000" page="10" val="0"/>
</file>

<file path=xl/ctrlProps/ctrlProp851.xml><?xml version="1.0" encoding="utf-8"?>
<formControlPr xmlns="http://schemas.microsoft.com/office/spreadsheetml/2009/9/main" objectType="Spin" dx="15" fmlaLink="Berekeningen1700!$F$21" max="30000" page="10" val="0"/>
</file>

<file path=xl/ctrlProps/ctrlProp852.xml><?xml version="1.0" encoding="utf-8"?>
<formControlPr xmlns="http://schemas.microsoft.com/office/spreadsheetml/2009/9/main" objectType="Spin" dx="15" fmlaLink="Berekeningen1700!$F$23" max="30000" page="10" val="0"/>
</file>

<file path=xl/ctrlProps/ctrlProp853.xml><?xml version="1.0" encoding="utf-8"?>
<formControlPr xmlns="http://schemas.microsoft.com/office/spreadsheetml/2009/9/main" objectType="Spin" dx="15" fmlaLink="Berekeningen1700!$F$21" max="30000" page="10" val="0"/>
</file>

<file path=xl/ctrlProps/ctrlProp854.xml><?xml version="1.0" encoding="utf-8"?>
<formControlPr xmlns="http://schemas.microsoft.com/office/spreadsheetml/2009/9/main" objectType="Spin" dx="15" fmlaLink="Berekeningen1700!$F$24" max="30000" page="10" val="0"/>
</file>

<file path=xl/ctrlProps/ctrlProp855.xml><?xml version="1.0" encoding="utf-8"?>
<formControlPr xmlns="http://schemas.microsoft.com/office/spreadsheetml/2009/9/main" objectType="Spin" dx="15" fmlaLink="Berekeningen1700!$F$21" max="30000" page="10" val="0"/>
</file>

<file path=xl/ctrlProps/ctrlProp856.xml><?xml version="1.0" encoding="utf-8"?>
<formControlPr xmlns="http://schemas.microsoft.com/office/spreadsheetml/2009/9/main" objectType="Spin" dx="15" fmlaLink="Berekeningen1700!$F$25" max="30000" page="10" val="0"/>
</file>

<file path=xl/ctrlProps/ctrlProp857.xml><?xml version="1.0" encoding="utf-8"?>
<formControlPr xmlns="http://schemas.microsoft.com/office/spreadsheetml/2009/9/main" objectType="Spin" dx="15" fmlaLink="Berekeningen1700!$F$21" max="30000" page="10" val="0"/>
</file>

<file path=xl/ctrlProps/ctrlProp858.xml><?xml version="1.0" encoding="utf-8"?>
<formControlPr xmlns="http://schemas.microsoft.com/office/spreadsheetml/2009/9/main" objectType="Spin" dx="15" fmlaLink="Berekeningen1700!$F$26" max="30000" page="10" val="0"/>
</file>

<file path=xl/ctrlProps/ctrlProp859.xml><?xml version="1.0" encoding="utf-8"?>
<formControlPr xmlns="http://schemas.microsoft.com/office/spreadsheetml/2009/9/main" objectType="Spin" dx="15" fmlaLink="Berekeningen1700!$F$21" max="30000" page="10" val="0"/>
</file>

<file path=xl/ctrlProps/ctrlProp860.xml><?xml version="1.0" encoding="utf-8"?>
<formControlPr xmlns="http://schemas.microsoft.com/office/spreadsheetml/2009/9/main" objectType="Spin" dx="15" fmlaLink="Berekeningen1700!$F$27" max="30000" page="10" val="0"/>
</file>

<file path=xl/ctrlProps/ctrlProp861.xml><?xml version="1.0" encoding="utf-8"?>
<formControlPr xmlns="http://schemas.microsoft.com/office/spreadsheetml/2009/9/main" objectType="Spin" dx="15" fmlaLink="Berekeningen1700!$F$21" max="30000" page="10" val="0"/>
</file>

<file path=xl/ctrlProps/ctrlProp862.xml><?xml version="1.0" encoding="utf-8"?>
<formControlPr xmlns="http://schemas.microsoft.com/office/spreadsheetml/2009/9/main" objectType="Spin" dx="15" fmlaLink="Berekeningen1700!$F$28" max="30000" page="10" val="0"/>
</file>

<file path=xl/ctrlProps/ctrlProp863.xml><?xml version="1.0" encoding="utf-8"?>
<formControlPr xmlns="http://schemas.microsoft.com/office/spreadsheetml/2009/9/main" objectType="Spin" dx="15" fmlaLink="Berekeningen1700!$F$21" max="30000" page="10" val="0"/>
</file>

<file path=xl/ctrlProps/ctrlProp864.xml><?xml version="1.0" encoding="utf-8"?>
<formControlPr xmlns="http://schemas.microsoft.com/office/spreadsheetml/2009/9/main" objectType="Spin" dx="15" fmlaLink="Berekeningen1700!$F$22" max="30000" page="10" val="0"/>
</file>

<file path=xl/ctrlProps/ctrlProp865.xml><?xml version="1.0" encoding="utf-8"?>
<formControlPr xmlns="http://schemas.microsoft.com/office/spreadsheetml/2009/9/main" objectType="Spin" dx="15" fmlaLink="Berekeningen1700!$F$23" max="30000" page="10" val="0"/>
</file>

<file path=xl/ctrlProps/ctrlProp866.xml><?xml version="1.0" encoding="utf-8"?>
<formControlPr xmlns="http://schemas.microsoft.com/office/spreadsheetml/2009/9/main" objectType="Spin" dx="15" fmlaLink="Berekeningen1700!$F$24" max="30000" page="10" val="0"/>
</file>

<file path=xl/ctrlProps/ctrlProp867.xml><?xml version="1.0" encoding="utf-8"?>
<formControlPr xmlns="http://schemas.microsoft.com/office/spreadsheetml/2009/9/main" objectType="Spin" dx="15" fmlaLink="Berekeningen1700!$F$25" max="30000" page="10" val="0"/>
</file>

<file path=xl/ctrlProps/ctrlProp868.xml><?xml version="1.0" encoding="utf-8"?>
<formControlPr xmlns="http://schemas.microsoft.com/office/spreadsheetml/2009/9/main" objectType="Spin" dx="15" fmlaLink="Berekeningen1700!$F$26" max="30000" page="10" val="0"/>
</file>

<file path=xl/ctrlProps/ctrlProp869.xml><?xml version="1.0" encoding="utf-8"?>
<formControlPr xmlns="http://schemas.microsoft.com/office/spreadsheetml/2009/9/main" objectType="Spin" dx="15" fmlaLink="Berekeningen1700!$F$27" max="30000" page="10" val="0"/>
</file>

<file path=xl/ctrlProps/ctrlProp870.xml><?xml version="1.0" encoding="utf-8"?>
<formControlPr xmlns="http://schemas.microsoft.com/office/spreadsheetml/2009/9/main" objectType="Spin" dx="15" fmlaLink="Berekeningen1700!$F$28" max="30000" page="10" val="0"/>
</file>

<file path=xl/ctrlProps/ctrlProp871.xml><?xml version="1.0" encoding="utf-8"?>
<formControlPr xmlns="http://schemas.microsoft.com/office/spreadsheetml/2009/9/main" objectType="Drop" dropStyle="combo" dx="16" fmlaLink="Berekeningen1700!$F$35" fmlaRange="lijstIntralipidSmof" sel="1" val="0"/>
</file>

<file path=xl/ctrlProps/ctrlProp872.xml><?xml version="1.0" encoding="utf-8"?>
<formControlPr xmlns="http://schemas.microsoft.com/office/spreadsheetml/2009/9/main" objectType="Spin" dx="15" fmlaLink="dbBead!$H$2" max="200" min="25" page="10" val="80"/>
</file>

<file path=xl/ctrlProps/ctrlProp873.xml><?xml version="1.0" encoding="utf-8"?>
<formControlPr xmlns="http://schemas.microsoft.com/office/spreadsheetml/2009/9/main" objectType="CheckBox" fmlaLink="ber_AanvullendeAfsprakenNeo!$F$7" lockText="1"/>
</file>

<file path=xl/ctrlProps/ctrlProp874.xml><?xml version="1.0" encoding="utf-8"?>
<formControlPr xmlns="http://schemas.microsoft.com/office/spreadsheetml/2009/9/main" objectType="CheckBox" fmlaLink="ber_AanvullendeAfsprakenNeo!$F$8" lockText="1"/>
</file>

<file path=xl/ctrlProps/ctrlProp875.xml><?xml version="1.0" encoding="utf-8"?>
<formControlPr xmlns="http://schemas.microsoft.com/office/spreadsheetml/2009/9/main" objectType="CheckBox" fmlaLink="ber_AanvullendeAfsprakenNeo!$F$13" lockText="1"/>
</file>

<file path=xl/ctrlProps/ctrlProp876.xml><?xml version="1.0" encoding="utf-8"?>
<formControlPr xmlns="http://schemas.microsoft.com/office/spreadsheetml/2009/9/main" objectType="CheckBox" fmlaLink="ber_AanvullendeAfsprakenNeo!$F$14" lockText="1"/>
</file>

<file path=xl/ctrlProps/ctrlProp877.xml><?xml version="1.0" encoding="utf-8"?>
<formControlPr xmlns="http://schemas.microsoft.com/office/spreadsheetml/2009/9/main" objectType="CheckBox" fmlaLink="ber_AanvullendeAfsprakenNeo!$F$15" lockText="1"/>
</file>

<file path=xl/ctrlProps/ctrlProp878.xml><?xml version="1.0" encoding="utf-8"?>
<formControlPr xmlns="http://schemas.microsoft.com/office/spreadsheetml/2009/9/main" objectType="CheckBox" fmlaLink="ber_AanvullendeAfsprakenNeo!$F$17" lockText="1"/>
</file>

<file path=xl/ctrlProps/ctrlProp879.xml><?xml version="1.0" encoding="utf-8"?>
<formControlPr xmlns="http://schemas.microsoft.com/office/spreadsheetml/2009/9/main" objectType="CheckBox" fmlaLink="ber_AanvullendeAfsprakenNeo!$F$18" lockText="1"/>
</file>

<file path=xl/ctrlProps/ctrlProp880.xml><?xml version="1.0" encoding="utf-8"?>
<formControlPr xmlns="http://schemas.microsoft.com/office/spreadsheetml/2009/9/main" objectType="CheckBox" fmlaLink="ber_AanvullendeAfsprakenNeo!$F$21" lockText="1"/>
</file>

<file path=xl/ctrlProps/ctrlProp881.xml><?xml version="1.0" encoding="utf-8"?>
<formControlPr xmlns="http://schemas.microsoft.com/office/spreadsheetml/2009/9/main" objectType="CheckBox" fmlaLink="ber_AanvullendeAfsprakenNeo!$F$22" lockText="1"/>
</file>

<file path=xl/ctrlProps/ctrlProp882.xml><?xml version="1.0" encoding="utf-8"?>
<formControlPr xmlns="http://schemas.microsoft.com/office/spreadsheetml/2009/9/main" objectType="CheckBox" fmlaLink="ber_AanvullendeAfsprakenNeo!$H$9" lockText="1"/>
</file>

<file path=xl/ctrlProps/ctrlProp883.xml><?xml version="1.0" encoding="utf-8"?>
<formControlPr xmlns="http://schemas.microsoft.com/office/spreadsheetml/2009/9/main" objectType="CheckBox" fmlaLink="ber_AanvullendeAfsprakenNeo!$H$10" lockText="1"/>
</file>

<file path=xl/ctrlProps/ctrlProp884.xml><?xml version="1.0" encoding="utf-8"?>
<formControlPr xmlns="http://schemas.microsoft.com/office/spreadsheetml/2009/9/main" objectType="CheckBox" fmlaLink="ber_AanvullendeAfsprakenNeo!$H$11" lockText="1"/>
</file>

<file path=xl/ctrlProps/ctrlProp885.xml><?xml version="1.0" encoding="utf-8"?>
<formControlPr xmlns="http://schemas.microsoft.com/office/spreadsheetml/2009/9/main" objectType="CheckBox" fmlaLink="ber_AanvullendeAfsprakenNeo!$H$8" lockText="1"/>
</file>

<file path=xl/ctrlProps/ctrlProp886.xml><?xml version="1.0" encoding="utf-8"?>
<formControlPr xmlns="http://schemas.microsoft.com/office/spreadsheetml/2009/9/main" objectType="CheckBox" fmlaLink="ber_AanvullendeAfsprakenNeo!$F$12" lockText="1"/>
</file>

<file path=xl/ctrlProps/ctrlProp887.xml><?xml version="1.0" encoding="utf-8"?>
<formControlPr xmlns="http://schemas.microsoft.com/office/spreadsheetml/2009/9/main" objectType="CheckBox" fmlaLink="ber_AanvullendeAfsprakenNeo!$H$13" lockText="1"/>
</file>

<file path=xl/ctrlProps/ctrlProp888.xml><?xml version="1.0" encoding="utf-8"?>
<formControlPr xmlns="http://schemas.microsoft.com/office/spreadsheetml/2009/9/main" objectType="CheckBox" fmlaLink="ber_AanvullendeAfsprakenNeo!$H$15" lockText="1"/>
</file>

<file path=xl/ctrlProps/ctrlProp889.xml><?xml version="1.0" encoding="utf-8"?>
<formControlPr xmlns="http://schemas.microsoft.com/office/spreadsheetml/2009/9/main" objectType="CheckBox" fmlaLink="ber_AanvullendeAfsprakenNeo!$H$16" lockText="1"/>
</file>

<file path=xl/ctrlProps/ctrlProp890.xml><?xml version="1.0" encoding="utf-8"?>
<formControlPr xmlns="http://schemas.microsoft.com/office/spreadsheetml/2009/9/main" objectType="CheckBox" fmlaLink="ber_AanvullendeAfsprakenNeo!$H$18" lockText="1"/>
</file>

<file path=xl/ctrlProps/ctrlProp891.xml><?xml version="1.0" encoding="utf-8"?>
<formControlPr xmlns="http://schemas.microsoft.com/office/spreadsheetml/2009/9/main" objectType="CheckBox" fmlaLink="ber_AanvullendeAfsprakenNeo!$H$20" lockText="1"/>
</file>

<file path=xl/ctrlProps/ctrlProp892.xml><?xml version="1.0" encoding="utf-8"?>
<formControlPr xmlns="http://schemas.microsoft.com/office/spreadsheetml/2009/9/main" objectType="CheckBox" fmlaLink="ber_AanvullendeAfsprakenNeo!$H$19" lockText="1"/>
</file>

<file path=xl/ctrlProps/ctrlProp893.xml><?xml version="1.0" encoding="utf-8"?>
<formControlPr xmlns="http://schemas.microsoft.com/office/spreadsheetml/2009/9/main" objectType="CheckBox" fmlaLink="ber_AanvullendeAfsprakenNeo!$H$22" lockText="1"/>
</file>

<file path=xl/ctrlProps/ctrlProp894.xml><?xml version="1.0" encoding="utf-8"?>
<formControlPr xmlns="http://schemas.microsoft.com/office/spreadsheetml/2009/9/main" objectType="CheckBox" fmlaLink="ber_AanvullendeAfsprakenNeo!$F$23" lockText="1"/>
</file>

<file path=xl/ctrlProps/ctrlProp895.xml><?xml version="1.0" encoding="utf-8"?>
<formControlPr xmlns="http://schemas.microsoft.com/office/spreadsheetml/2009/9/main" objectType="CheckBox" fmlaLink="ber_AanvullendeAfsprakenNeo!$H$23" lockText="1"/>
</file>

<file path=xl/ctrlProps/ctrlProp896.xml><?xml version="1.0" encoding="utf-8"?>
<formControlPr xmlns="http://schemas.microsoft.com/office/spreadsheetml/2009/9/main" objectType="CheckBox" fmlaLink="ber_AanvullendeAfsprakenNeo!$H$24" lockText="1"/>
</file>

<file path=xl/ctrlProps/ctrlProp897.xml><?xml version="1.0" encoding="utf-8"?>
<formControlPr xmlns="http://schemas.microsoft.com/office/spreadsheetml/2009/9/main" objectType="CheckBox" fmlaLink="ber_AanvullendeAfsprakenNeo!$H$25" lockText="1"/>
</file>

<file path=xl/ctrlProps/ctrlProp898.xml><?xml version="1.0" encoding="utf-8"?>
<formControlPr xmlns="http://schemas.microsoft.com/office/spreadsheetml/2009/9/main" objectType="CheckBox" fmlaLink="ber_AanvullendeAfsprakenNeo!$H$26" lockText="1"/>
</file>

<file path=xl/ctrlProps/ctrlProp899.xml><?xml version="1.0" encoding="utf-8"?>
<formControlPr xmlns="http://schemas.microsoft.com/office/spreadsheetml/2009/9/main" objectType="CheckBox" fmlaLink="ber_AanvullendeAfsprakenNeo!$H$27" lockText="1"/>
</file>

<file path=xl/ctrlProps/ctrlProp900.xml><?xml version="1.0" encoding="utf-8"?>
<formControlPr xmlns="http://schemas.microsoft.com/office/spreadsheetml/2009/9/main" objectType="CheckBox" fmlaLink="ber_AanvullendeAfsprakenNeo!$H$28" lockText="1"/>
</file>

<file path=xl/ctrlProps/ctrlProp901.xml><?xml version="1.0" encoding="utf-8"?>
<formControlPr xmlns="http://schemas.microsoft.com/office/spreadsheetml/2009/9/main" objectType="CheckBox" fmlaLink="ber_AanvullendeAfsprakenNeo!$H$29" lockText="1"/>
</file>

<file path=xl/ctrlProps/ctrlProp902.xml><?xml version="1.0" encoding="utf-8"?>
<formControlPr xmlns="http://schemas.microsoft.com/office/spreadsheetml/2009/9/main" objectType="CheckBox" fmlaLink="ber_AanvullendeAfsprakenNeo!$H$30" lockText="1"/>
</file>

<file path=xl/ctrlProps/ctrlProp903.xml><?xml version="1.0" encoding="utf-8"?>
<formControlPr xmlns="http://schemas.microsoft.com/office/spreadsheetml/2009/9/main" objectType="CheckBox" fmlaLink="ber_AanvullendeAfsprakenNeo!$F$31" lockText="1"/>
</file>

<file path=xl/ctrlProps/ctrlProp904.xml><?xml version="1.0" encoding="utf-8"?>
<formControlPr xmlns="http://schemas.microsoft.com/office/spreadsheetml/2009/9/main" objectType="CheckBox" fmlaLink="ber_AanvullendeAfsprakenNeo!$J$7" lockText="1"/>
</file>

<file path=xl/ctrlProps/ctrlProp905.xml><?xml version="1.0" encoding="utf-8"?>
<formControlPr xmlns="http://schemas.microsoft.com/office/spreadsheetml/2009/9/main" objectType="CheckBox" fmlaLink="ber_AanvullendeAfsprakenNeo!$J$8" lockText="1"/>
</file>

<file path=xl/ctrlProps/ctrlProp906.xml><?xml version="1.0" encoding="utf-8"?>
<formControlPr xmlns="http://schemas.microsoft.com/office/spreadsheetml/2009/9/main" objectType="CheckBox" fmlaLink="ber_AanvullendeAfsprakenNeo!$J$9" lockText="1"/>
</file>

<file path=xl/ctrlProps/ctrlProp907.xml><?xml version="1.0" encoding="utf-8"?>
<formControlPr xmlns="http://schemas.microsoft.com/office/spreadsheetml/2009/9/main" objectType="CheckBox" fmlaLink="ber_AanvullendeAfsprakenNeo!$J$10" lockText="1"/>
</file>

<file path=xl/ctrlProps/ctrlProp908.xml><?xml version="1.0" encoding="utf-8"?>
<formControlPr xmlns="http://schemas.microsoft.com/office/spreadsheetml/2009/9/main" objectType="CheckBox" fmlaLink="ber_AanvullendeAfsprakenNeo!$J$12" lockText="1"/>
</file>

<file path=xl/ctrlProps/ctrlProp909.xml><?xml version="1.0" encoding="utf-8"?>
<formControlPr xmlns="http://schemas.microsoft.com/office/spreadsheetml/2009/9/main" objectType="CheckBox" fmlaLink="ber_AanvullendeAfsprakenNeo!$J$13" lockText="1"/>
</file>

<file path=xl/ctrlProps/ctrlProp910.xml><?xml version="1.0" encoding="utf-8"?>
<formControlPr xmlns="http://schemas.microsoft.com/office/spreadsheetml/2009/9/main" objectType="CheckBox" fmlaLink="ber_AanvullendeAfsprakenNeo!$J$14" lockText="1"/>
</file>

<file path=xl/ctrlProps/ctrlProp911.xml><?xml version="1.0" encoding="utf-8"?>
<formControlPr xmlns="http://schemas.microsoft.com/office/spreadsheetml/2009/9/main" objectType="CheckBox" fmlaLink="ber_AanvullendeAfsprakenNeo!$J$15" lockText="1"/>
</file>

<file path=xl/ctrlProps/ctrlProp912.xml><?xml version="1.0" encoding="utf-8"?>
<formControlPr xmlns="http://schemas.microsoft.com/office/spreadsheetml/2009/9/main" objectType="CheckBox" fmlaLink="ber_AanvullendeAfsprakenNeo!$J$16" lockText="1"/>
</file>

<file path=xl/ctrlProps/ctrlProp913.xml><?xml version="1.0" encoding="utf-8"?>
<formControlPr xmlns="http://schemas.microsoft.com/office/spreadsheetml/2009/9/main" objectType="CheckBox" fmlaLink="ber_AanvullendeAfsprakenNeo!$J$19" lockText="1"/>
</file>

<file path=xl/ctrlProps/ctrlProp914.xml><?xml version="1.0" encoding="utf-8"?>
<formControlPr xmlns="http://schemas.microsoft.com/office/spreadsheetml/2009/9/main" objectType="CheckBox" fmlaLink="ber_AanvullendeAfsprakenNeo!$J$17" lockText="1"/>
</file>

<file path=xl/ctrlProps/ctrlProp915.xml><?xml version="1.0" encoding="utf-8"?>
<formControlPr xmlns="http://schemas.microsoft.com/office/spreadsheetml/2009/9/main" objectType="CheckBox" fmlaLink="ber_AanvullendeAfsprakenNeo!$J$24" lockText="1"/>
</file>

<file path=xl/ctrlProps/ctrlProp916.xml><?xml version="1.0" encoding="utf-8"?>
<formControlPr xmlns="http://schemas.microsoft.com/office/spreadsheetml/2009/9/main" objectType="CheckBox" fmlaLink="ber_AanvullendeAfsprakenNeo!$L$24" lockText="1"/>
</file>

<file path=xl/ctrlProps/ctrlProp917.xml><?xml version="1.0" encoding="utf-8"?>
<formControlPr xmlns="http://schemas.microsoft.com/office/spreadsheetml/2009/9/main" objectType="CheckBox" fmlaLink="ber_AanvullendeAfsprakenNeo!$L$25" lockText="1"/>
</file>

<file path=xl/ctrlProps/ctrlProp918.xml><?xml version="1.0" encoding="utf-8"?>
<formControlPr xmlns="http://schemas.microsoft.com/office/spreadsheetml/2009/9/main" objectType="CheckBox" fmlaLink="ber_AanvullendeAfsprakenNeo!$L$26" lockText="1"/>
</file>

<file path=xl/ctrlProps/ctrlProp919.xml><?xml version="1.0" encoding="utf-8"?>
<formControlPr xmlns="http://schemas.microsoft.com/office/spreadsheetml/2009/9/main" objectType="CheckBox" fmlaLink="ber_AanvullendeAfsprakenNeo!$L$27" lockText="1"/>
</file>

<file path=xl/ctrlProps/ctrlProp920.xml><?xml version="1.0" encoding="utf-8"?>
<formControlPr xmlns="http://schemas.microsoft.com/office/spreadsheetml/2009/9/main" objectType="CheckBox" fmlaLink="ber_AanvullendeAfsprakenNeo!$J$20" lockText="1"/>
</file>

<file path=xl/ctrlProps/ctrlProp921.xml><?xml version="1.0" encoding="utf-8"?>
<formControlPr xmlns="http://schemas.microsoft.com/office/spreadsheetml/2009/9/main" objectType="CheckBox" fmlaLink="ber_AanvullendeAfsprakenNeo!$L$21" lockText="1"/>
</file>

<file path=xl/ctrlProps/ctrlProp922.xml><?xml version="1.0" encoding="utf-8"?>
<formControlPr xmlns="http://schemas.microsoft.com/office/spreadsheetml/2009/9/main" objectType="CheckBox" fmlaLink="ber_AanvullendeAfsprakenNeo!$L$22" lockText="1"/>
</file>

<file path=xl/ctrlProps/ctrlProp923.xml><?xml version="1.0" encoding="utf-8"?>
<formControlPr xmlns="http://schemas.microsoft.com/office/spreadsheetml/2009/9/main" objectType="CheckBox" fmlaLink="ber_AanvullendeAfsprakenNeo!$L$23" lockText="1"/>
</file>

<file path=xl/ctrlProps/ctrlProp924.xml><?xml version="1.0" encoding="utf-8"?>
<formControlPr xmlns="http://schemas.microsoft.com/office/spreadsheetml/2009/9/main" objectType="Spin" dx="15" fmlaLink="ber_AanvullendeAfsprakenNeo!$B$12" max="24" page="10" val="0"/>
</file>

<file path=xl/ctrlProps/ctrlProp925.xml><?xml version="1.0" encoding="utf-8"?>
<formControlPr xmlns="http://schemas.microsoft.com/office/spreadsheetml/2009/9/main" objectType="Spin" dx="15" fmlaLink="ber_AanvullendeAfsprakenNeo!$K$17" max="24" page="10" val="0"/>
</file>

<file path=xl/ctrlProps/ctrlProp926.xml><?xml version="1.0" encoding="utf-8"?>
<formControlPr xmlns="http://schemas.microsoft.com/office/spreadsheetml/2009/9/main" objectType="Spin" dx="15" fmlaLink="ber_AanvullendeAfsprakenNeo!$L$17" max="1000" page="10" val="0"/>
</file>

<file path=xl/ctrlProps/ctrlProp927.xml><?xml version="1.0" encoding="utf-8"?>
<formControlPr xmlns="http://schemas.microsoft.com/office/spreadsheetml/2009/9/main" objectType="CheckBox" fmlaLink="ber_AanvullendeAfsprakenNeo!$B$27" lockText="1"/>
</file>

<file path=xl/ctrlProps/ctrlProp928.xml><?xml version="1.0" encoding="utf-8"?>
<formControlPr xmlns="http://schemas.microsoft.com/office/spreadsheetml/2009/9/main" objectType="CheckBox" fmlaLink="ber_AanvullendeAfsprakenNeo!$B$28" lockText="1"/>
</file>

<file path=xl/ctrlProps/ctrlProp929.xml><?xml version="1.0" encoding="utf-8"?>
<formControlPr xmlns="http://schemas.microsoft.com/office/spreadsheetml/2009/9/main" objectType="CheckBox" fmlaLink="ber_AanvullendeAfsprakenNeo!$B$29" lockText="1"/>
</file>

<file path=xl/ctrlProps/ctrlProp930.xml><?xml version="1.0" encoding="utf-8"?>
<formControlPr xmlns="http://schemas.microsoft.com/office/spreadsheetml/2009/9/main" objectType="CheckBox" fmlaLink="ber_AanvullendeAfsprakenNeo!$B$30" lockText="1"/>
</file>

<file path=xl/ctrlProps/ctrlProp931.xml><?xml version="1.0" encoding="utf-8"?>
<formControlPr xmlns="http://schemas.microsoft.com/office/spreadsheetml/2009/9/main" objectType="CheckBox" fmlaLink="ber_AanvullendeAfsprakenNeo!$B$34" lockText="1"/>
</file>

<file path=xl/ctrlProps/ctrlProp932.xml><?xml version="1.0" encoding="utf-8"?>
<formControlPr xmlns="http://schemas.microsoft.com/office/spreadsheetml/2009/9/main" objectType="CheckBox" fmlaLink="ber_AanvullendeAfsprakenNeo!$D$35" lockText="1"/>
</file>

<file path=xl/ctrlProps/ctrlProp933.xml><?xml version="1.0" encoding="utf-8"?>
<formControlPr xmlns="http://schemas.microsoft.com/office/spreadsheetml/2009/9/main" objectType="CheckBox" fmlaLink="ber_AanvullendeAfsprakenNeo!$D$36" lockText="1"/>
</file>

<file path=xl/ctrlProps/ctrlProp934.xml><?xml version="1.0" encoding="utf-8"?>
<formControlPr xmlns="http://schemas.microsoft.com/office/spreadsheetml/2009/9/main" objectType="Drop" dropStyle="combo" dx="16" fmlaLink="ber_AanvullendeAfsprakenNeo!$D$34" fmlaRange="Aanvullend_ThoraxDrainSub2" noThreeD="1" sel="0" val="0"/>
</file>

<file path=xl/ctrlProps/ctrlProp935.xml><?xml version="1.0" encoding="utf-8"?>
<formControlPr xmlns="http://schemas.microsoft.com/office/spreadsheetml/2009/9/main" objectType="CheckBox" fmlaLink="ber_AanvullendeAfsprakenNeo!$B$37" lockText="1"/>
</file>

<file path=xl/ctrlProps/ctrlProp936.xml><?xml version="1.0" encoding="utf-8"?>
<formControlPr xmlns="http://schemas.microsoft.com/office/spreadsheetml/2009/9/main" objectType="Drop" dropStyle="combo" dx="16" fmlaLink="ber_AanvullendeAfsprakenNeo!$D$37" fmlaRange="Aanvullend_ThoraxDrainSub2" noThreeD="1" sel="0" val="0"/>
</file>

<file path=xl/ctrlProps/ctrlProp937.xml><?xml version="1.0" encoding="utf-8"?>
<formControlPr xmlns="http://schemas.microsoft.com/office/spreadsheetml/2009/9/main" objectType="CheckBox" fmlaLink="ber_AanvullendeAfsprakenNeo!$B$7" lockText="1"/>
</file>

<file path=xl/ctrlProps/ctrlProp938.xml><?xml version="1.0" encoding="utf-8"?>
<formControlPr xmlns="http://schemas.microsoft.com/office/spreadsheetml/2009/9/main" objectType="CheckBox" fmlaLink="ber_AanvullendeAfsprakenNeo!$B$8" lockText="1"/>
</file>

<file path=xl/ctrlProps/ctrlProp939.xml><?xml version="1.0" encoding="utf-8"?>
<formControlPr xmlns="http://schemas.microsoft.com/office/spreadsheetml/2009/9/main" objectType="CheckBox" fmlaLink="ber_AanvullendeAfsprakenNeo!$B$9" lockText="1"/>
</file>

<file path=xl/ctrlProps/ctrlProp940.xml><?xml version="1.0" encoding="utf-8"?>
<formControlPr xmlns="http://schemas.microsoft.com/office/spreadsheetml/2009/9/main" objectType="CheckBox" fmlaLink="ber_AanvullendeAfsprakenNeo!$B$10" lockText="1"/>
</file>

<file path=xl/ctrlProps/ctrlProp941.xml><?xml version="1.0" encoding="utf-8"?>
<formControlPr xmlns="http://schemas.microsoft.com/office/spreadsheetml/2009/9/main" objectType="CheckBox" fmlaLink="ber_AanvullendeAfsprakenNeo!$B$22" lockText="1"/>
</file>

<file path=xl/ctrlProps/ctrlProp942.xml><?xml version="1.0" encoding="utf-8"?>
<formControlPr xmlns="http://schemas.microsoft.com/office/spreadsheetml/2009/9/main" objectType="Drop" dropStyle="combo" dx="16" fmlaLink="ber_AanvullendeAfsprakenNeo!$D$22" fmlaRange="Aanvullend_aEEG" noThreeD="1" sel="0" val="0"/>
</file>

<file path=xl/ctrlProps/ctrlProp943.xml><?xml version="1.0" encoding="utf-8"?>
<formControlPr xmlns="http://schemas.microsoft.com/office/spreadsheetml/2009/9/main" objectType="CheckBox" fmlaLink="ber_AanvullendeAfsprakenNeo!$B$23" lockText="1"/>
</file>

<file path=xl/ctrlProps/ctrlProp944.xml><?xml version="1.0" encoding="utf-8"?>
<formControlPr xmlns="http://schemas.microsoft.com/office/spreadsheetml/2009/9/main" objectType="CheckBox" fmlaLink="ber_AanvullendeAfsprakenNeo!$B$25" lockText="1"/>
</file>

<file path=xl/ctrlProps/ctrlProp945.xml><?xml version="1.0" encoding="utf-8"?>
<formControlPr xmlns="http://schemas.microsoft.com/office/spreadsheetml/2009/9/main" objectType="CheckBox" fmlaLink="ber_AanvullendeAfsprakenNeo!$B$26" lockText="1"/>
</file>

<file path=xl/ctrlProps/ctrlProp946.xml><?xml version="1.0" encoding="utf-8"?>
<formControlPr xmlns="http://schemas.microsoft.com/office/spreadsheetml/2009/9/main" objectType="CheckBox" fmlaLink="ber_AanvullendeAfsprakenNeo!$B$24" lockText="1"/>
</file>

<file path=xl/ctrlProps/ctrlProp947.xml><?xml version="1.0" encoding="utf-8"?>
<formControlPr xmlns="http://schemas.microsoft.com/office/spreadsheetml/2009/9/main" objectType="CheckBox" fmlaLink="ber_AanvullendeAfsprakenNeo!$B$31" lockText="1"/>
</file>

<file path=xl/ctrlProps/ctrlProp948.xml><?xml version="1.0" encoding="utf-8"?>
<formControlPr xmlns="http://schemas.microsoft.com/office/spreadsheetml/2009/9/main" objectType="CheckBox" fmlaLink="ber_AanvullendeAfsprakenNeo!$B$32" lockText="1"/>
</file>

<file path=xl/ctrlProps/ctrlProp949.xml><?xml version="1.0" encoding="utf-8"?>
<formControlPr xmlns="http://schemas.microsoft.com/office/spreadsheetml/2009/9/main" objectType="CheckBox" fmlaLink="ber_AanvullendeAfsprakenNeo!$B$11" lockText="1"/>
</file>

<file path=xl/ctrlProps/ctrlProp950.xml><?xml version="1.0" encoding="utf-8"?>
<formControlPr xmlns="http://schemas.microsoft.com/office/spreadsheetml/2009/9/main" objectType="CheckBox" fmlaLink="ber_AanvullendeAfsprakenNeo!$B$15" lockText="1"/>
</file>

<file path=xl/ctrlProps/ctrlProp951.xml><?xml version="1.0" encoding="utf-8"?>
<formControlPr xmlns="http://schemas.microsoft.com/office/spreadsheetml/2009/9/main" objectType="CheckBox" fmlaLink="ber_AanvullendeAfsprakenNeo!$B$16" lockText="1"/>
</file>

<file path=xl/ctrlProps/ctrlProp952.xml><?xml version="1.0" encoding="utf-8"?>
<formControlPr xmlns="http://schemas.microsoft.com/office/spreadsheetml/2009/9/main" objectType="CheckBox" fmlaLink="ber_AanvullendeAfsprakenNeo!$B$17" lockText="1"/>
</file>

<file path=xl/ctrlProps/ctrlProp953.xml><?xml version="1.0" encoding="utf-8"?>
<formControlPr xmlns="http://schemas.microsoft.com/office/spreadsheetml/2009/9/main" objectType="CheckBox" fmlaLink="ber_AanvullendeAfsprakenNeo!$B$19" lockText="1"/>
</file>

<file path=xl/ctrlProps/ctrlProp954.xml><?xml version="1.0" encoding="utf-8"?>
<formControlPr xmlns="http://schemas.microsoft.com/office/spreadsheetml/2009/9/main" objectType="CheckBox" fmlaLink="ber_AanvullendeAfsprakenNeo!$D$11" lockText="1"/>
</file>

<file path=xl/ctrlProps/ctrlProp955.xml><?xml version="1.0" encoding="utf-8"?>
<formControlPr xmlns="http://schemas.microsoft.com/office/spreadsheetml/2009/9/main" objectType="CheckBox" fmlaLink="ber_AanvullendeAfsprakenNeo!$D$12" lockText="1"/>
</file>

<file path=xl/ctrlProps/ctrlProp956.xml><?xml version="1.0" encoding="utf-8"?>
<formControlPr xmlns="http://schemas.microsoft.com/office/spreadsheetml/2009/9/main" objectType="CheckBox" fmlaLink="ber_AanvullendeAfsprakenNeo!$D$13" lockText="1"/>
</file>

<file path=xl/ctrlProps/ctrlProp957.xml><?xml version="1.0" encoding="utf-8"?>
<formControlPr xmlns="http://schemas.microsoft.com/office/spreadsheetml/2009/9/main" objectType="CheckBox" fmlaLink="ber_AanvullendeAfsprakenNeo!$D$14" lockText="1"/>
</file>

<file path=xl/ctrlProps/ctrlProp958.xml><?xml version="1.0" encoding="utf-8"?>
<formControlPr xmlns="http://schemas.microsoft.com/office/spreadsheetml/2009/9/main" objectType="Spin" dx="15" fmlaLink="ber_AanvullendeAfsprakenNeo!$D$27" max="97" min="1" page="10"/>
</file>

<file path=xl/ctrlProps/ctrlProp959.xml><?xml version="1.0" encoding="utf-8"?>
<formControlPr xmlns="http://schemas.microsoft.com/office/spreadsheetml/2009/9/main" objectType="Drop" dropStyle="combo" dx="16" fmlaLink="ber_AanvullendeAfsprakenNeo!$D$36" fmlaRange="Aanvullend_ThoraxDrainSub1" noThreeD="1" sel="0" val="0"/>
</file>

<file path=xl/ctrlProps/ctrlProp960.xml><?xml version="1.0" encoding="utf-8"?>
<formControlPr xmlns="http://schemas.microsoft.com/office/spreadsheetml/2009/9/main" objectType="Drop" dropStyle="combo" dx="16" fmlaLink="ber_AanvullendeAfsprakenNeo!$D$39" fmlaRange="Aanvullend_ThoraxDrainSub1" noThreeD="1" sel="0" val="0"/>
</file>

<file path=xl/ctrlProps/ctrlProp961.xml><?xml version="1.0" encoding="utf-8"?>
<formControlPr xmlns="http://schemas.microsoft.com/office/spreadsheetml/2009/9/main" objectType="Drop" dropStyle="combo" dx="16" fmlaLink="ber_AanvullendeAfsprakenNeo!$D$35" fmlaRange="Aanvullend_ThoraxDrainSub3" noThreeD="1" sel="0" val="0"/>
</file>

<file path=xl/ctrlProps/ctrlProp962.xml><?xml version="1.0" encoding="utf-8"?>
<formControlPr xmlns="http://schemas.microsoft.com/office/spreadsheetml/2009/9/main" objectType="Drop" dropStyle="combo" dx="16" fmlaLink="ber_AanvullendeAfsprakenNeo!$D$38" fmlaRange="Aanvullend_ThoraxDrainSub3" noThreeD="1" sel="0" val="0"/>
</file>

<file path=xl/ctrlProps/ctrlProp963.xml><?xml version="1.0" encoding="utf-8"?>
<formControlPr xmlns="http://schemas.microsoft.com/office/spreadsheetml/2009/9/main" objectType="CheckBox" fmlaLink="ber_AanvullendeAfsprakenNeo!$D$35" lockText="1"/>
</file>

<file path=xl/ctrlProps/ctrlProp964.xml><?xml version="1.0" encoding="utf-8"?>
<formControlPr xmlns="http://schemas.microsoft.com/office/spreadsheetml/2009/9/main" objectType="CheckBox" fmlaLink="ber_AanvullendeAfsprakenNeo!$D$36" lockText="1"/>
</file>

<file path=xl/ctrlProps/ctrlProp965.xml><?xml version="1.0" encoding="utf-8"?>
<formControlPr xmlns="http://schemas.microsoft.com/office/spreadsheetml/2009/9/main" objectType="CheckBox" fmlaLink="ber_AanvullendeAfsprakenNeo!$B$40" lockText="1"/>
</file>

<file path=xl/ctrlProps/ctrlProp966.xml><?xml version="1.0" encoding="utf-8"?>
<formControlPr xmlns="http://schemas.microsoft.com/office/spreadsheetml/2009/9/main" objectType="Drop" dropStyle="combo" dx="16" fmlaLink="ber_AanvullendeAfsprakenNeo!$D$40" fmlaRange="Aanvullend_ThoraxDrainSub2" noThreeD="1" sel="0" val="0"/>
</file>

<file path=xl/ctrlProps/ctrlProp967.xml><?xml version="1.0" encoding="utf-8"?>
<formControlPr xmlns="http://schemas.microsoft.com/office/spreadsheetml/2009/9/main" objectType="Drop" dropStyle="combo" dx="16" fmlaLink="ber_AanvullendeAfsprakenNeo!$D$42" fmlaRange="Aanvullend_ThoraxDrainSub1" noThreeD="1" sel="0" val="0"/>
</file>

<file path=xl/ctrlProps/ctrlProp968.xml><?xml version="1.0" encoding="utf-8"?>
<formControlPr xmlns="http://schemas.microsoft.com/office/spreadsheetml/2009/9/main" objectType="Drop" dropStyle="combo" dx="16" fmlaLink="ber_AanvullendeAfsprakenNeo!$D$41" fmlaRange="Aanvullend_ThoraxDrainSub3" noThreeD="1" sel="0" val="0"/>
</file>

<file path=xl/ctrlProps/ctrlProp969.xml><?xml version="1.0" encoding="utf-8"?>
<formControlPr xmlns="http://schemas.microsoft.com/office/spreadsheetml/2009/9/main" objectType="CheckBox" fmlaLink="ber_AanvullendeAfsprakenNeo!$B$43" lockText="1"/>
</file>

<file path=xl/ctrlProps/ctrlProp970.xml><?xml version="1.0" encoding="utf-8"?>
<formControlPr xmlns="http://schemas.microsoft.com/office/spreadsheetml/2009/9/main" objectType="CheckBox" fmlaLink="ber_AanvullendeAfsprakenNeo!$B$45" lockText="1"/>
</file>

<file path=xl/ctrlProps/ctrlProp971.xml><?xml version="1.0" encoding="utf-8"?>
<formControlPr xmlns="http://schemas.microsoft.com/office/spreadsheetml/2009/9/main" objectType="CheckBox" fmlaLink="ber_AanvullendeAfsprakenNeo!$B$44" lockText="1"/>
</file>

<file path=xl/ctrlProps/ctrlProp972.xml><?xml version="1.0" encoding="utf-8"?>
<formControlPr xmlns="http://schemas.microsoft.com/office/spreadsheetml/2009/9/main" objectType="CheckBox" fmlaLink="ber_AanvullendeAfsprakenNeo!$D$43" lockText="1"/>
</file>

<file path=xl/ctrlProps/ctrlProp973.xml><?xml version="1.0" encoding="utf-8"?>
<formControlPr xmlns="http://schemas.microsoft.com/office/spreadsheetml/2009/9/main" objectType="CheckBox" fmlaLink="ber_AanvullendeAfsprakenNeo!$D$44" lockText="1"/>
</file>

<file path=xl/ctrlProps/ctrlProp974.xml><?xml version="1.0" encoding="utf-8"?>
<formControlPr xmlns="http://schemas.microsoft.com/office/spreadsheetml/2009/9/main" objectType="CheckBox" fmlaLink="ber_AanvullendeAfsprakenNeo!$D$45" lockText="1"/>
</file>

<file path=xl/ctrlProps/ctrlProp975.xml><?xml version="1.0" encoding="utf-8"?>
<formControlPr xmlns="http://schemas.microsoft.com/office/spreadsheetml/2009/9/main" objectType="Drop" dropStyle="combo" dx="16" fmlaLink="ber_AanvullendeAfsprakenNeo!$D$46" fmlaRange="Aanvullend_LiquorDrainSub1" noThreeD="1" sel="0" val="0"/>
</file>

<file path=xl/ctrlProps/ctrlProp976.xml><?xml version="1.0" encoding="utf-8"?>
<formControlPr xmlns="http://schemas.microsoft.com/office/spreadsheetml/2009/9/main" objectType="Spin" dx="15" fmlaLink="ber_AanvullendeAfsprakenNeo!$D$47" max="100" page="10" val="0"/>
</file>

<file path=xl/ctrlProps/ctrlProp977.xml><?xml version="1.0" encoding="utf-8"?>
<formControlPr xmlns="http://schemas.microsoft.com/office/spreadsheetml/2009/9/main" objectType="CheckBox" fmlaLink="ber_AanvullendeAfsprakenNeo!$B$46" lockText="1"/>
</file>

<file path=xl/ctrlProps/ctrlProp978.xml><?xml version="1.0" encoding="utf-8"?>
<formControlPr xmlns="http://schemas.microsoft.com/office/spreadsheetml/2009/9/main" objectType="CheckBox" fmlaLink="ber_AanvullendeAfsprakenNeo!$L$28" lockText="1"/>
</file>

<file path=xl/ctrlProps/ctrlProp979.xml><?xml version="1.0" encoding="utf-8"?>
<formControlPr xmlns="http://schemas.microsoft.com/office/spreadsheetml/2009/9/main" objectType="Spin" dx="15" fmlaLink="ber_AanvullendeAfsprakenNeo!$C$8" max="10" page="10" val="0"/>
</file>

<file path=xl/ctrlProps/ctrlProp980.xml><?xml version="1.0" encoding="utf-8"?>
<formControlPr xmlns="http://schemas.microsoft.com/office/spreadsheetml/2009/9/main" objectType="Spin" dx="15" fmlaLink="ber_AanvullendeAfsprakenPed!$C$8" max="10" page="10" val="0"/>
</file>

<file path=xl/ctrlProps/ctrlProp981.xml><?xml version="1.0" encoding="utf-8"?>
<formControlPr xmlns="http://schemas.microsoft.com/office/spreadsheetml/2009/9/main" objectType="Drop" dropStyle="combo" dx="16" fmlaLink="ber_AanvullendeAfsprakenNeo!$D$8" fmlaRange="Aanvullend_PerPeriode" noThreeD="1" sel="0" val="0"/>
</file>

<file path=xl/ctrlProps/ctrlProp982.xml><?xml version="1.0" encoding="utf-8"?>
<formControlPr xmlns="http://schemas.microsoft.com/office/spreadsheetml/2009/9/main" objectType="Drop" dropStyle="combo" dx="16" fmlaLink="ber_AanvullendeAfsprakenNeo!$D$9" fmlaRange="Aanvullend_PerPeriode" noThreeD="1" sel="0" val="0"/>
</file>

<file path=xl/ctrlProps/ctrlProp983.xml><?xml version="1.0" encoding="utf-8"?>
<formControlPr xmlns="http://schemas.microsoft.com/office/spreadsheetml/2009/9/main" objectType="Spin" dx="15" fmlaLink="ber_AanvullendeAfsprakenPed!$C$8" max="10" page="10" val="0"/>
</file>

<file path=xl/ctrlProps/ctrlProp984.xml><?xml version="1.0" encoding="utf-8"?>
<formControlPr xmlns="http://schemas.microsoft.com/office/spreadsheetml/2009/9/main" objectType="Spin" dx="15" fmlaLink="ber_AanvullendeAfsprakenNeo!$C$9" max="10" page="10" val="0"/>
</file>

<file path=xl/ctrlProps/ctrlProp985.xml><?xml version="1.0" encoding="utf-8"?>
<formControlPr xmlns="http://schemas.microsoft.com/office/spreadsheetml/2009/9/main" objectType="Spin" dx="15" fmlaLink="ber_AanvullendeAfsprakenNeo!$K$20" max="24" page="10" val="0"/>
</file>

<file path=xl/ctrlProps/ctrlProp986.xml><?xml version="1.0" encoding="utf-8"?>
<formControlPr xmlns="http://schemas.microsoft.com/office/spreadsheetml/2009/9/main" objectType="CheckBox" fmlaLink="ber_AanvullendeAfsprakenNeo!$J$29" lockText="1"/>
</file>

<file path=xl/ctrlProps/ctrlProp987.xml><?xml version="1.0" encoding="utf-8"?>
<formControlPr xmlns="http://schemas.microsoft.com/office/spreadsheetml/2009/9/main" objectType="Spin" dx="15" fmlaLink="ber_AanvullendeAfsprakenNeo!$K$29" max="3" page="10" val="0"/>
</file>

<file path=xl/ctrlProps/ctrlProp988.xml><?xml version="1.0" encoding="utf-8"?>
<formControlPr xmlns="http://schemas.microsoft.com/office/spreadsheetml/2009/9/main" objectType="CheckBox" fmlaLink="ber_AanvullendeAfsprakenNeo!$B$18" lockText="1"/>
</file>

<file path=xl/ctrlProps/ctrlProp989.xml><?xml version="1.0" encoding="utf-8"?>
<formControlPr xmlns="http://schemas.microsoft.com/office/spreadsheetml/2009/9/main" objectType="Spin" dx="15" fmlaLink="ber_AanvullendeAfsprakenPed!$C$8" max="10" page="10" val="0"/>
</file>

<file path=xl/ctrlProps/ctrlProp990.xml><?xml version="1.0" encoding="utf-8"?>
<formControlPr xmlns="http://schemas.microsoft.com/office/spreadsheetml/2009/9/main" objectType="Drop" dropStyle="combo" dx="16" fmlaLink="ber_AanvullendeAfsprakenNeo!$D$18" fmlaRange="Aanvullend_PerPeriode" noThreeD="1" sel="0" val="0"/>
</file>

<file path=xl/ctrlProps/ctrlProp991.xml><?xml version="1.0" encoding="utf-8"?>
<formControlPr xmlns="http://schemas.microsoft.com/office/spreadsheetml/2009/9/main" objectType="Spin" dx="15" fmlaLink="ber_AanvullendeAfsprakenPed!$C$8" max="10" page="10" val="0"/>
</file>

<file path=xl/ctrlProps/ctrlProp992.xml><?xml version="1.0" encoding="utf-8"?>
<formControlPr xmlns="http://schemas.microsoft.com/office/spreadsheetml/2009/9/main" objectType="Spin" dx="15" fmlaLink="ber_AanvullendeAfsprakenNeo!$C$18" max="10" page="10" val="0"/>
</file>

<file path=xl/ctrlProps/ctrlProp993.xml><?xml version="1.0" encoding="utf-8"?>
<formControlPr xmlns="http://schemas.microsoft.com/office/spreadsheetml/2009/9/main" objectType="CheckBox" fmlaLink="Ber_Lab_Neo!$C$4" lockText="1"/>
</file>

<file path=xl/ctrlProps/ctrlProp994.xml><?xml version="1.0" encoding="utf-8"?>
<formControlPr xmlns="http://schemas.microsoft.com/office/spreadsheetml/2009/9/main" objectType="CheckBox" fmlaLink="Ber_Lab_Neo!C5" lockText="1"/>
</file>

<file path=xl/ctrlProps/ctrlProp995.xml><?xml version="1.0" encoding="utf-8"?>
<formControlPr xmlns="http://schemas.microsoft.com/office/spreadsheetml/2009/9/main" objectType="CheckBox" fmlaLink="Ber_Lab_Neo!C7" lockText="1"/>
</file>

<file path=xl/ctrlProps/ctrlProp996.xml><?xml version="1.0" encoding="utf-8"?>
<formControlPr xmlns="http://schemas.microsoft.com/office/spreadsheetml/2009/9/main" objectType="CheckBox" fmlaLink="Ber_Lab_Neo!C8" lockText="1"/>
</file>

<file path=xl/ctrlProps/ctrlProp997.xml><?xml version="1.0" encoding="utf-8"?>
<formControlPr xmlns="http://schemas.microsoft.com/office/spreadsheetml/2009/9/main" objectType="CheckBox" fmlaLink="Ber_Lab_Neo!C14" lockText="1"/>
</file>

<file path=xl/ctrlProps/ctrlProp998.xml><?xml version="1.0" encoding="utf-8"?>
<formControlPr xmlns="http://schemas.microsoft.com/office/spreadsheetml/2009/9/main" objectType="CheckBox" fmlaLink="Ber_Lab_Neo!C13" lockText="1"/>
</file>

<file path=xl/ctrlProps/ctrlProp999.xml><?xml version="1.0" encoding="utf-8"?>
<formControlPr xmlns="http://schemas.microsoft.com/office/spreadsheetml/2009/9/main" objectType="CheckBox" fmlaLink="Ber_Lab_Neo!C30" lockText="1"/>
</file>

<file path=xl/ctrlProps/ctrlProp1000.xml><?xml version="1.0" encoding="utf-8"?>
<formControlPr xmlns="http://schemas.microsoft.com/office/spreadsheetml/2009/9/main" objectType="CheckBox" fmlaLink="Ber_Lab_Neo!C16" lockText="1"/>
</file>

<file path=xl/ctrlProps/ctrlProp1001.xml><?xml version="1.0" encoding="utf-8"?>
<formControlPr xmlns="http://schemas.microsoft.com/office/spreadsheetml/2009/9/main" objectType="CheckBox" fmlaLink="Ber_Lab_Neo!C19" lockText="1"/>
</file>

<file path=xl/ctrlProps/ctrlProp1002.xml><?xml version="1.0" encoding="utf-8"?>
<formControlPr xmlns="http://schemas.microsoft.com/office/spreadsheetml/2009/9/main" objectType="CheckBox" fmlaLink="Ber_Lab_Neo!C20" lockText="1"/>
</file>

<file path=xl/ctrlProps/ctrlProp1003.xml><?xml version="1.0" encoding="utf-8"?>
<formControlPr xmlns="http://schemas.microsoft.com/office/spreadsheetml/2009/9/main" objectType="CheckBox" fmlaLink="Ber_Lab_Neo!C21" lockText="1"/>
</file>

<file path=xl/ctrlProps/ctrlProp1004.xml><?xml version="1.0" encoding="utf-8"?>
<formControlPr xmlns="http://schemas.microsoft.com/office/spreadsheetml/2009/9/main" objectType="CheckBox" fmlaLink="Ber_Lab_Neo!C12" lockText="1"/>
</file>

<file path=xl/ctrlProps/ctrlProp1005.xml><?xml version="1.0" encoding="utf-8"?>
<formControlPr xmlns="http://schemas.microsoft.com/office/spreadsheetml/2009/9/main" objectType="CheckBox" fmlaLink="Ber_Lab_Neo!C28" lockText="1"/>
</file>

<file path=xl/ctrlProps/ctrlProp1006.xml><?xml version="1.0" encoding="utf-8"?>
<formControlPr xmlns="http://schemas.microsoft.com/office/spreadsheetml/2009/9/main" objectType="CheckBox" fmlaLink="Ber_Lab_Neo!$G$4" lockText="1"/>
</file>

<file path=xl/ctrlProps/ctrlProp1007.xml><?xml version="1.0" encoding="utf-8"?>
<formControlPr xmlns="http://schemas.microsoft.com/office/spreadsheetml/2009/9/main" objectType="CheckBox" fmlaLink="Ber_Lab_Neo!G5" lockText="1"/>
</file>

<file path=xl/ctrlProps/ctrlProp1008.xml><?xml version="1.0" encoding="utf-8"?>
<formControlPr xmlns="http://schemas.microsoft.com/office/spreadsheetml/2009/9/main" objectType="CheckBox" fmlaLink="Ber_Lab_Neo!G7" lockText="1"/>
</file>

<file path=xl/ctrlProps/ctrlProp1009.xml><?xml version="1.0" encoding="utf-8"?>
<formControlPr xmlns="http://schemas.microsoft.com/office/spreadsheetml/2009/9/main" objectType="CheckBox" fmlaLink="Ber_Lab_Neo!G8" lockText="1"/>
</file>

<file path=xl/ctrlProps/ctrlProp1010.xml><?xml version="1.0" encoding="utf-8"?>
<formControlPr xmlns="http://schemas.microsoft.com/office/spreadsheetml/2009/9/main" objectType="CheckBox" fmlaLink="Ber_Lab_Neo!G14" lockText="1"/>
</file>

<file path=xl/ctrlProps/ctrlProp1011.xml><?xml version="1.0" encoding="utf-8"?>
<formControlPr xmlns="http://schemas.microsoft.com/office/spreadsheetml/2009/9/main" objectType="CheckBox" fmlaLink="Ber_Lab_Neo!G13" lockText="1"/>
</file>

<file path=xl/ctrlProps/ctrlProp1012.xml><?xml version="1.0" encoding="utf-8"?>
<formControlPr xmlns="http://schemas.microsoft.com/office/spreadsheetml/2009/9/main" objectType="CheckBox" fmlaLink="Ber_Lab_Neo!G30" lockText="1"/>
</file>

<file path=xl/ctrlProps/ctrlProp1013.xml><?xml version="1.0" encoding="utf-8"?>
<formControlPr xmlns="http://schemas.microsoft.com/office/spreadsheetml/2009/9/main" objectType="CheckBox" fmlaLink="Ber_Lab_Neo!G16" lockText="1"/>
</file>

<file path=xl/ctrlProps/ctrlProp1014.xml><?xml version="1.0" encoding="utf-8"?>
<formControlPr xmlns="http://schemas.microsoft.com/office/spreadsheetml/2009/9/main" objectType="CheckBox" fmlaLink="Ber_Lab_Neo!G19" lockText="1"/>
</file>

<file path=xl/ctrlProps/ctrlProp1015.xml><?xml version="1.0" encoding="utf-8"?>
<formControlPr xmlns="http://schemas.microsoft.com/office/spreadsheetml/2009/9/main" objectType="CheckBox" fmlaLink="Ber_Lab_Neo!G20" lockText="1"/>
</file>

<file path=xl/ctrlProps/ctrlProp1016.xml><?xml version="1.0" encoding="utf-8"?>
<formControlPr xmlns="http://schemas.microsoft.com/office/spreadsheetml/2009/9/main" objectType="CheckBox" fmlaLink="Ber_Lab_Neo!G21" lockText="1"/>
</file>

<file path=xl/ctrlProps/ctrlProp1017.xml><?xml version="1.0" encoding="utf-8"?>
<formControlPr xmlns="http://schemas.microsoft.com/office/spreadsheetml/2009/9/main" objectType="CheckBox" fmlaLink="Ber_Lab_Neo!G12" lockText="1"/>
</file>

<file path=xl/ctrlProps/ctrlProp1018.xml><?xml version="1.0" encoding="utf-8"?>
<formControlPr xmlns="http://schemas.microsoft.com/office/spreadsheetml/2009/9/main" objectType="CheckBox" fmlaLink="Ber_Lab_Neo!G28" lockText="1"/>
</file>

<file path=xl/ctrlProps/ctrlProp1019.xml><?xml version="1.0" encoding="utf-8"?>
<formControlPr xmlns="http://schemas.microsoft.com/office/spreadsheetml/2009/9/main" objectType="CheckBox" fmlaLink="Ber_Lab_Neo!$I$4" lockText="1"/>
</file>

<file path=xl/ctrlProps/ctrlProp1020.xml><?xml version="1.0" encoding="utf-8"?>
<formControlPr xmlns="http://schemas.microsoft.com/office/spreadsheetml/2009/9/main" objectType="CheckBox" fmlaLink="Ber_Lab_Neo!I5" lockText="1"/>
</file>

<file path=xl/ctrlProps/ctrlProp1021.xml><?xml version="1.0" encoding="utf-8"?>
<formControlPr xmlns="http://schemas.microsoft.com/office/spreadsheetml/2009/9/main" objectType="CheckBox" fmlaLink="Ber_Lab_Neo!I7" lockText="1"/>
</file>

<file path=xl/ctrlProps/ctrlProp1022.xml><?xml version="1.0" encoding="utf-8"?>
<formControlPr xmlns="http://schemas.microsoft.com/office/spreadsheetml/2009/9/main" objectType="CheckBox" fmlaLink="Ber_Lab_Neo!I8" lockText="1"/>
</file>

<file path=xl/ctrlProps/ctrlProp1023.xml><?xml version="1.0" encoding="utf-8"?>
<formControlPr xmlns="http://schemas.microsoft.com/office/spreadsheetml/2009/9/main" objectType="CheckBox" fmlaLink="Ber_Lab_Neo!I14" lockText="1"/>
</file>

<file path=xl/ctrlProps/ctrlProp1024.xml><?xml version="1.0" encoding="utf-8"?>
<formControlPr xmlns="http://schemas.microsoft.com/office/spreadsheetml/2009/9/main" objectType="CheckBox" fmlaLink="Ber_Lab_Neo!I13" lockText="1"/>
</file>

<file path=xl/ctrlProps/ctrlProp1025.xml><?xml version="1.0" encoding="utf-8"?>
<formControlPr xmlns="http://schemas.microsoft.com/office/spreadsheetml/2009/9/main" objectType="CheckBox" fmlaLink="Ber_Lab_Neo!I30" lockText="1"/>
</file>

<file path=xl/ctrlProps/ctrlProp1026.xml><?xml version="1.0" encoding="utf-8"?>
<formControlPr xmlns="http://schemas.microsoft.com/office/spreadsheetml/2009/9/main" objectType="CheckBox" fmlaLink="Ber_Lab_Neo!I16" lockText="1"/>
</file>

<file path=xl/ctrlProps/ctrlProp1027.xml><?xml version="1.0" encoding="utf-8"?>
<formControlPr xmlns="http://schemas.microsoft.com/office/spreadsheetml/2009/9/main" objectType="CheckBox" fmlaLink="Ber_Lab_Neo!I19" lockText="1"/>
</file>

<file path=xl/ctrlProps/ctrlProp1028.xml><?xml version="1.0" encoding="utf-8"?>
<formControlPr xmlns="http://schemas.microsoft.com/office/spreadsheetml/2009/9/main" objectType="CheckBox" fmlaLink="Ber_Lab_Neo!I20" lockText="1"/>
</file>

<file path=xl/ctrlProps/ctrlProp1029.xml><?xml version="1.0" encoding="utf-8"?>
<formControlPr xmlns="http://schemas.microsoft.com/office/spreadsheetml/2009/9/main" objectType="CheckBox" fmlaLink="Ber_Lab_Neo!I21" lockText="1"/>
</file>

<file path=xl/ctrlProps/ctrlProp1030.xml><?xml version="1.0" encoding="utf-8"?>
<formControlPr xmlns="http://schemas.microsoft.com/office/spreadsheetml/2009/9/main" objectType="CheckBox" fmlaLink="Ber_Lab_Neo!I12" lockText="1"/>
</file>

<file path=xl/ctrlProps/ctrlProp1031.xml><?xml version="1.0" encoding="utf-8"?>
<formControlPr xmlns="http://schemas.microsoft.com/office/spreadsheetml/2009/9/main" objectType="CheckBox" fmlaLink="Ber_Lab_Neo!I28" lockText="1"/>
</file>

<file path=xl/ctrlProps/ctrlProp1032.xml><?xml version="1.0" encoding="utf-8"?>
<formControlPr xmlns="http://schemas.microsoft.com/office/spreadsheetml/2009/9/main" objectType="CheckBox" fmlaLink="Ber_Lab_Neo!$O$4" lockText="1"/>
</file>

<file path=xl/ctrlProps/ctrlProp1033.xml><?xml version="1.0" encoding="utf-8"?>
<formControlPr xmlns="http://schemas.microsoft.com/office/spreadsheetml/2009/9/main" objectType="CheckBox" fmlaLink="Ber_Lab_Neo!O5" lockText="1"/>
</file>

<file path=xl/ctrlProps/ctrlProp1034.xml><?xml version="1.0" encoding="utf-8"?>
<formControlPr xmlns="http://schemas.microsoft.com/office/spreadsheetml/2009/9/main" objectType="CheckBox" fmlaLink="Ber_Lab_Neo!O7" lockText="1"/>
</file>

<file path=xl/ctrlProps/ctrlProp1035.xml><?xml version="1.0" encoding="utf-8"?>
<formControlPr xmlns="http://schemas.microsoft.com/office/spreadsheetml/2009/9/main" objectType="CheckBox" fmlaLink="Ber_Lab_Neo!O8" lockText="1"/>
</file>

<file path=xl/ctrlProps/ctrlProp1036.xml><?xml version="1.0" encoding="utf-8"?>
<formControlPr xmlns="http://schemas.microsoft.com/office/spreadsheetml/2009/9/main" objectType="CheckBox" fmlaLink="Ber_Lab_Neo!O14" lockText="1"/>
</file>

<file path=xl/ctrlProps/ctrlProp1037.xml><?xml version="1.0" encoding="utf-8"?>
<formControlPr xmlns="http://schemas.microsoft.com/office/spreadsheetml/2009/9/main" objectType="CheckBox" fmlaLink="Ber_Lab_Neo!O13" lockText="1"/>
</file>

<file path=xl/ctrlProps/ctrlProp1038.xml><?xml version="1.0" encoding="utf-8"?>
<formControlPr xmlns="http://schemas.microsoft.com/office/spreadsheetml/2009/9/main" objectType="CheckBox" fmlaLink="Ber_Lab_Neo!O30" lockText="1"/>
</file>

<file path=xl/ctrlProps/ctrlProp1039.xml><?xml version="1.0" encoding="utf-8"?>
<formControlPr xmlns="http://schemas.microsoft.com/office/spreadsheetml/2009/9/main" objectType="CheckBox" fmlaLink="Ber_Lab_Neo!O16" lockText="1"/>
</file>

<file path=xl/ctrlProps/ctrlProp1040.xml><?xml version="1.0" encoding="utf-8"?>
<formControlPr xmlns="http://schemas.microsoft.com/office/spreadsheetml/2009/9/main" objectType="CheckBox" fmlaLink="Ber_Lab_Neo!O19" lockText="1"/>
</file>

<file path=xl/ctrlProps/ctrlProp1041.xml><?xml version="1.0" encoding="utf-8"?>
<formControlPr xmlns="http://schemas.microsoft.com/office/spreadsheetml/2009/9/main" objectType="CheckBox" fmlaLink="Ber_Lab_Neo!O20" lockText="1"/>
</file>

<file path=xl/ctrlProps/ctrlProp1042.xml><?xml version="1.0" encoding="utf-8"?>
<formControlPr xmlns="http://schemas.microsoft.com/office/spreadsheetml/2009/9/main" objectType="CheckBox" fmlaLink="Ber_Lab_Neo!O21" lockText="1"/>
</file>

<file path=xl/ctrlProps/ctrlProp1043.xml><?xml version="1.0" encoding="utf-8"?>
<formControlPr xmlns="http://schemas.microsoft.com/office/spreadsheetml/2009/9/main" objectType="CheckBox" fmlaLink="Ber_Lab_Neo!O12" lockText="1"/>
</file>

<file path=xl/ctrlProps/ctrlProp1044.xml><?xml version="1.0" encoding="utf-8"?>
<formControlPr xmlns="http://schemas.microsoft.com/office/spreadsheetml/2009/9/main" objectType="CheckBox" fmlaLink="Ber_Lab_Neo!O28" lockText="1"/>
</file>

<file path=xl/ctrlProps/ctrlProp1045.xml><?xml version="1.0" encoding="utf-8"?>
<formControlPr xmlns="http://schemas.microsoft.com/office/spreadsheetml/2009/9/main" objectType="CheckBox" fmlaLink="Ber_Lab_Neo!C32" lockText="1"/>
</file>

<file path=xl/ctrlProps/ctrlProp1046.xml><?xml version="1.0" encoding="utf-8"?>
<formControlPr xmlns="http://schemas.microsoft.com/office/spreadsheetml/2009/9/main" objectType="CheckBox" fmlaLink="Ber_Lab_Neo!G32" lockText="1"/>
</file>

<file path=xl/ctrlProps/ctrlProp1047.xml><?xml version="1.0" encoding="utf-8"?>
<formControlPr xmlns="http://schemas.microsoft.com/office/spreadsheetml/2009/9/main" objectType="CheckBox" fmlaLink="Ber_Lab_Neo!I32" lockText="1"/>
</file>

<file path=xl/ctrlProps/ctrlProp1048.xml><?xml version="1.0" encoding="utf-8"?>
<formControlPr xmlns="http://schemas.microsoft.com/office/spreadsheetml/2009/9/main" objectType="CheckBox" fmlaLink="Ber_Lab_Neo!O32" lockText="1"/>
</file>

<file path=xl/ctrlProps/ctrlProp1049.xml><?xml version="1.0" encoding="utf-8"?>
<formControlPr xmlns="http://schemas.microsoft.com/office/spreadsheetml/2009/9/main" objectType="CheckBox" fmlaLink="Ber_Lab_Neo!C6" lockText="1"/>
</file>

<file path=xl/ctrlProps/ctrlProp1050.xml><?xml version="1.0" encoding="utf-8"?>
<formControlPr xmlns="http://schemas.microsoft.com/office/spreadsheetml/2009/9/main" objectType="CheckBox" fmlaLink="Ber_Lab_Neo!G6" lockText="1"/>
</file>

<file path=xl/ctrlProps/ctrlProp1051.xml><?xml version="1.0" encoding="utf-8"?>
<formControlPr xmlns="http://schemas.microsoft.com/office/spreadsheetml/2009/9/main" objectType="CheckBox" fmlaLink="Ber_Lab_Neo!I6" lockText="1"/>
</file>

<file path=xl/ctrlProps/ctrlProp1052.xml><?xml version="1.0" encoding="utf-8"?>
<formControlPr xmlns="http://schemas.microsoft.com/office/spreadsheetml/2009/9/main" objectType="CheckBox" fmlaLink="Ber_Lab_Neo!O6" lockText="1"/>
</file>

<file path=xl/ctrlProps/ctrlProp1053.xml><?xml version="1.0" encoding="utf-8"?>
<formControlPr xmlns="http://schemas.microsoft.com/office/spreadsheetml/2009/9/main" objectType="CheckBox" fmlaLink="Ber_Lab_Neo!C17" lockText="1"/>
</file>

<file path=xl/ctrlProps/ctrlProp1054.xml><?xml version="1.0" encoding="utf-8"?>
<formControlPr xmlns="http://schemas.microsoft.com/office/spreadsheetml/2009/9/main" objectType="CheckBox" fmlaLink="Ber_Lab_Neo!G17" lockText="1"/>
</file>

<file path=xl/ctrlProps/ctrlProp1055.xml><?xml version="1.0" encoding="utf-8"?>
<formControlPr xmlns="http://schemas.microsoft.com/office/spreadsheetml/2009/9/main" objectType="CheckBox" fmlaLink="Ber_Lab_Neo!I17" lockText="1"/>
</file>

<file path=xl/ctrlProps/ctrlProp1056.xml><?xml version="1.0" encoding="utf-8"?>
<formControlPr xmlns="http://schemas.microsoft.com/office/spreadsheetml/2009/9/main" objectType="CheckBox" fmlaLink="Ber_Lab_Neo!O17" lockText="1"/>
</file>

<file path=xl/ctrlProps/ctrlProp1057.xml><?xml version="1.0" encoding="utf-8"?>
<formControlPr xmlns="http://schemas.microsoft.com/office/spreadsheetml/2009/9/main" objectType="CheckBox" fmlaLink="Ber_Lab_Neo!$E$4" lockText="1"/>
</file>

<file path=xl/ctrlProps/ctrlProp1058.xml><?xml version="1.0" encoding="utf-8"?>
<formControlPr xmlns="http://schemas.microsoft.com/office/spreadsheetml/2009/9/main" objectType="CheckBox" fmlaLink="Ber_Lab_Neo!E5" lockText="1"/>
</file>

<file path=xl/ctrlProps/ctrlProp1059.xml><?xml version="1.0" encoding="utf-8"?>
<formControlPr xmlns="http://schemas.microsoft.com/office/spreadsheetml/2009/9/main" objectType="CheckBox" fmlaLink="Ber_Lab_Neo!E7" lockText="1"/>
</file>

<file path=xl/ctrlProps/ctrlProp1060.xml><?xml version="1.0" encoding="utf-8"?>
<formControlPr xmlns="http://schemas.microsoft.com/office/spreadsheetml/2009/9/main" objectType="CheckBox" fmlaLink="Ber_Lab_Neo!E8" lockText="1"/>
</file>

<file path=xl/ctrlProps/ctrlProp1061.xml><?xml version="1.0" encoding="utf-8"?>
<formControlPr xmlns="http://schemas.microsoft.com/office/spreadsheetml/2009/9/main" objectType="CheckBox" fmlaLink="Ber_Lab_Neo!E14" lockText="1"/>
</file>

<file path=xl/ctrlProps/ctrlProp1062.xml><?xml version="1.0" encoding="utf-8"?>
<formControlPr xmlns="http://schemas.microsoft.com/office/spreadsheetml/2009/9/main" objectType="CheckBox" fmlaLink="Ber_Lab_Neo!E13" lockText="1"/>
</file>

<file path=xl/ctrlProps/ctrlProp1063.xml><?xml version="1.0" encoding="utf-8"?>
<formControlPr xmlns="http://schemas.microsoft.com/office/spreadsheetml/2009/9/main" objectType="CheckBox" fmlaLink="Ber_Lab_Neo!E30" lockText="1"/>
</file>

<file path=xl/ctrlProps/ctrlProp1064.xml><?xml version="1.0" encoding="utf-8"?>
<formControlPr xmlns="http://schemas.microsoft.com/office/spreadsheetml/2009/9/main" objectType="CheckBox" fmlaLink="Ber_Lab_Neo!E16" lockText="1"/>
</file>

<file path=xl/ctrlProps/ctrlProp1065.xml><?xml version="1.0" encoding="utf-8"?>
<formControlPr xmlns="http://schemas.microsoft.com/office/spreadsheetml/2009/9/main" objectType="CheckBox" fmlaLink="Ber_Lab_Neo!E19" lockText="1"/>
</file>

<file path=xl/ctrlProps/ctrlProp1066.xml><?xml version="1.0" encoding="utf-8"?>
<formControlPr xmlns="http://schemas.microsoft.com/office/spreadsheetml/2009/9/main" objectType="CheckBox" fmlaLink="Ber_Lab_Neo!E20" lockText="1"/>
</file>

<file path=xl/ctrlProps/ctrlProp1067.xml><?xml version="1.0" encoding="utf-8"?>
<formControlPr xmlns="http://schemas.microsoft.com/office/spreadsheetml/2009/9/main" objectType="CheckBox" fmlaLink="Ber_Lab_Neo!E21" lockText="1"/>
</file>

<file path=xl/ctrlProps/ctrlProp1068.xml><?xml version="1.0" encoding="utf-8"?>
<formControlPr xmlns="http://schemas.microsoft.com/office/spreadsheetml/2009/9/main" objectType="CheckBox" fmlaLink="Ber_Lab_Neo!E12" lockText="1"/>
</file>

<file path=xl/ctrlProps/ctrlProp1069.xml><?xml version="1.0" encoding="utf-8"?>
<formControlPr xmlns="http://schemas.microsoft.com/office/spreadsheetml/2009/9/main" objectType="CheckBox" fmlaLink="Ber_Lab_Neo!E28" lockText="1"/>
</file>

<file path=xl/ctrlProps/ctrlProp1070.xml><?xml version="1.0" encoding="utf-8"?>
<formControlPr xmlns="http://schemas.microsoft.com/office/spreadsheetml/2009/9/main" objectType="CheckBox" fmlaLink="Ber_Lab_Neo!E32" lockText="1"/>
</file>

<file path=xl/ctrlProps/ctrlProp1071.xml><?xml version="1.0" encoding="utf-8"?>
<formControlPr xmlns="http://schemas.microsoft.com/office/spreadsheetml/2009/9/main" objectType="CheckBox" fmlaLink="Ber_Lab_Neo!E6" lockText="1"/>
</file>

<file path=xl/ctrlProps/ctrlProp1072.xml><?xml version="1.0" encoding="utf-8"?>
<formControlPr xmlns="http://schemas.microsoft.com/office/spreadsheetml/2009/9/main" objectType="CheckBox" fmlaLink="Ber_Lab_Neo!E17" lockText="1"/>
</file>

<file path=xl/ctrlProps/ctrlProp1073.xml><?xml version="1.0" encoding="utf-8"?>
<formControlPr xmlns="http://schemas.microsoft.com/office/spreadsheetml/2009/9/main" objectType="CheckBox" fmlaLink="Ber_Lab_Neo!C33" lockText="1"/>
</file>

<file path=xl/ctrlProps/ctrlProp1074.xml><?xml version="1.0" encoding="utf-8"?>
<formControlPr xmlns="http://schemas.microsoft.com/office/spreadsheetml/2009/9/main" objectType="CheckBox" fmlaLink="Ber_Lab_Neo!G33" lockText="1"/>
</file>

<file path=xl/ctrlProps/ctrlProp1075.xml><?xml version="1.0" encoding="utf-8"?>
<formControlPr xmlns="http://schemas.microsoft.com/office/spreadsheetml/2009/9/main" objectType="CheckBox" fmlaLink="Ber_Lab_Neo!I33" lockText="1"/>
</file>

<file path=xl/ctrlProps/ctrlProp1076.xml><?xml version="1.0" encoding="utf-8"?>
<formControlPr xmlns="http://schemas.microsoft.com/office/spreadsheetml/2009/9/main" objectType="CheckBox" fmlaLink="Ber_Lab_Neo!O33" lockText="1"/>
</file>

<file path=xl/ctrlProps/ctrlProp1077.xml><?xml version="1.0" encoding="utf-8"?>
<formControlPr xmlns="http://schemas.microsoft.com/office/spreadsheetml/2009/9/main" objectType="CheckBox" fmlaLink="Ber_Lab_Neo!E33" lockText="1"/>
</file>

<file path=xl/ctrlProps/ctrlProp1078.xml><?xml version="1.0" encoding="utf-8"?>
<formControlPr xmlns="http://schemas.microsoft.com/office/spreadsheetml/2009/9/main" objectType="CheckBox" fmlaLink="Ber_Lab_Neo!C34" lockText="1"/>
</file>

<file path=xl/ctrlProps/ctrlProp1079.xml><?xml version="1.0" encoding="utf-8"?>
<formControlPr xmlns="http://schemas.microsoft.com/office/spreadsheetml/2009/9/main" objectType="CheckBox" fmlaLink="Ber_Lab_Neo!G34" lockText="1"/>
</file>

<file path=xl/ctrlProps/ctrlProp1080.xml><?xml version="1.0" encoding="utf-8"?>
<formControlPr xmlns="http://schemas.microsoft.com/office/spreadsheetml/2009/9/main" objectType="CheckBox" fmlaLink="Ber_Lab_Neo!I34" lockText="1"/>
</file>

<file path=xl/ctrlProps/ctrlProp1081.xml><?xml version="1.0" encoding="utf-8"?>
<formControlPr xmlns="http://schemas.microsoft.com/office/spreadsheetml/2009/9/main" objectType="CheckBox" fmlaLink="Ber_Lab_Neo!O34" lockText="1"/>
</file>

<file path=xl/ctrlProps/ctrlProp1082.xml><?xml version="1.0" encoding="utf-8"?>
<formControlPr xmlns="http://schemas.microsoft.com/office/spreadsheetml/2009/9/main" objectType="CheckBox" fmlaLink="Ber_Lab_Neo!E34" lockText="1"/>
</file>

<file path=xl/ctrlProps/ctrlProp1083.xml><?xml version="1.0" encoding="utf-8"?>
<formControlPr xmlns="http://schemas.microsoft.com/office/spreadsheetml/2009/9/main" objectType="CheckBox" fmlaLink="Ber_Lab_Neo!C9" lockText="1"/>
</file>

<file path=xl/ctrlProps/ctrlProp1084.xml><?xml version="1.0" encoding="utf-8"?>
<formControlPr xmlns="http://schemas.microsoft.com/office/spreadsheetml/2009/9/main" objectType="CheckBox" fmlaLink="Ber_Lab_Neo!G9" lockText="1"/>
</file>

<file path=xl/ctrlProps/ctrlProp1085.xml><?xml version="1.0" encoding="utf-8"?>
<formControlPr xmlns="http://schemas.microsoft.com/office/spreadsheetml/2009/9/main" objectType="CheckBox" fmlaLink="Ber_Lab_Neo!I9" lockText="1"/>
</file>

<file path=xl/ctrlProps/ctrlProp1086.xml><?xml version="1.0" encoding="utf-8"?>
<formControlPr xmlns="http://schemas.microsoft.com/office/spreadsheetml/2009/9/main" objectType="CheckBox" fmlaLink="Ber_Lab_Neo!O9" lockText="1"/>
</file>

<file path=xl/ctrlProps/ctrlProp1087.xml><?xml version="1.0" encoding="utf-8"?>
<formControlPr xmlns="http://schemas.microsoft.com/office/spreadsheetml/2009/9/main" objectType="CheckBox" fmlaLink="Ber_Lab_Neo!E9" lockText="1"/>
</file>

<file path=xl/ctrlProps/ctrlProp1088.xml><?xml version="1.0" encoding="utf-8"?>
<formControlPr xmlns="http://schemas.microsoft.com/office/spreadsheetml/2009/9/main" objectType="CheckBox" fmlaLink="Ber_Lab_Neo!C11" lockText="1"/>
</file>

<file path=xl/ctrlProps/ctrlProp1089.xml><?xml version="1.0" encoding="utf-8"?>
<formControlPr xmlns="http://schemas.microsoft.com/office/spreadsheetml/2009/9/main" objectType="CheckBox" fmlaLink="Ber_Lab_Neo!G11" lockText="1"/>
</file>

<file path=xl/ctrlProps/ctrlProp1090.xml><?xml version="1.0" encoding="utf-8"?>
<formControlPr xmlns="http://schemas.microsoft.com/office/spreadsheetml/2009/9/main" objectType="CheckBox" fmlaLink="Ber_Lab_Neo!I11" lockText="1"/>
</file>

<file path=xl/ctrlProps/ctrlProp1091.xml><?xml version="1.0" encoding="utf-8"?>
<formControlPr xmlns="http://schemas.microsoft.com/office/spreadsheetml/2009/9/main" objectType="CheckBox" fmlaLink="Ber_Lab_Neo!O11" lockText="1"/>
</file>

<file path=xl/ctrlProps/ctrlProp1092.xml><?xml version="1.0" encoding="utf-8"?>
<formControlPr xmlns="http://schemas.microsoft.com/office/spreadsheetml/2009/9/main" objectType="CheckBox" fmlaLink="Ber_Lab_Neo!E11" lockText="1"/>
</file>

<file path=xl/ctrlProps/ctrlProp1093.xml><?xml version="1.0" encoding="utf-8"?>
<formControlPr xmlns="http://schemas.microsoft.com/office/spreadsheetml/2009/9/main" objectType="CheckBox" fmlaLink="Ber_Lab_Neo!C15" lockText="1"/>
</file>

<file path=xl/ctrlProps/ctrlProp1094.xml><?xml version="1.0" encoding="utf-8"?>
<formControlPr xmlns="http://schemas.microsoft.com/office/spreadsheetml/2009/9/main" objectType="CheckBox" fmlaLink="Ber_Lab_Neo!G15" lockText="1"/>
</file>

<file path=xl/ctrlProps/ctrlProp1095.xml><?xml version="1.0" encoding="utf-8"?>
<formControlPr xmlns="http://schemas.microsoft.com/office/spreadsheetml/2009/9/main" objectType="CheckBox" fmlaLink="Ber_Lab_Neo!I15" lockText="1"/>
</file>

<file path=xl/ctrlProps/ctrlProp1096.xml><?xml version="1.0" encoding="utf-8"?>
<formControlPr xmlns="http://schemas.microsoft.com/office/spreadsheetml/2009/9/main" objectType="CheckBox" fmlaLink="Ber_Lab_Neo!O15" lockText="1"/>
</file>

<file path=xl/ctrlProps/ctrlProp1097.xml><?xml version="1.0" encoding="utf-8"?>
<formControlPr xmlns="http://schemas.microsoft.com/office/spreadsheetml/2009/9/main" objectType="CheckBox" fmlaLink="Ber_Lab_Neo!E15" lockText="1"/>
</file>

<file path=xl/ctrlProps/ctrlProp1098.xml><?xml version="1.0" encoding="utf-8"?>
<formControlPr xmlns="http://schemas.microsoft.com/office/spreadsheetml/2009/9/main" objectType="CheckBox" fmlaLink="Ber_Lab_Neo!C22" lockText="1"/>
</file>

<file path=xl/ctrlProps/ctrlProp1099.xml><?xml version="1.0" encoding="utf-8"?>
<formControlPr xmlns="http://schemas.microsoft.com/office/spreadsheetml/2009/9/main" objectType="CheckBox" fmlaLink="Ber_Lab_Neo!G22" lockText="1"/>
</file>

<file path=xl/ctrlProps/ctrlProp1100.xml><?xml version="1.0" encoding="utf-8"?>
<formControlPr xmlns="http://schemas.microsoft.com/office/spreadsheetml/2009/9/main" objectType="CheckBox" fmlaLink="Ber_Lab_Neo!I22" lockText="1"/>
</file>

<file path=xl/ctrlProps/ctrlProp1101.xml><?xml version="1.0" encoding="utf-8"?>
<formControlPr xmlns="http://schemas.microsoft.com/office/spreadsheetml/2009/9/main" objectType="CheckBox" fmlaLink="Ber_Lab_Neo!O22" lockText="1"/>
</file>

<file path=xl/ctrlProps/ctrlProp1102.xml><?xml version="1.0" encoding="utf-8"?>
<formControlPr xmlns="http://schemas.microsoft.com/office/spreadsheetml/2009/9/main" objectType="CheckBox" fmlaLink="Ber_Lab_Neo!E22" lockText="1"/>
</file>

<file path=xl/ctrlProps/ctrlProp1103.xml><?xml version="1.0" encoding="utf-8"?>
<formControlPr xmlns="http://schemas.microsoft.com/office/spreadsheetml/2009/9/main" objectType="CheckBox" fmlaLink="Ber_Lab_Neo!C23" lockText="1"/>
</file>

<file path=xl/ctrlProps/ctrlProp1104.xml><?xml version="1.0" encoding="utf-8"?>
<formControlPr xmlns="http://schemas.microsoft.com/office/spreadsheetml/2009/9/main" objectType="CheckBox" fmlaLink="Ber_Lab_Neo!G23" lockText="1"/>
</file>

<file path=xl/ctrlProps/ctrlProp1105.xml><?xml version="1.0" encoding="utf-8"?>
<formControlPr xmlns="http://schemas.microsoft.com/office/spreadsheetml/2009/9/main" objectType="CheckBox" fmlaLink="Ber_Lab_Neo!I23" lockText="1"/>
</file>

<file path=xl/ctrlProps/ctrlProp1106.xml><?xml version="1.0" encoding="utf-8"?>
<formControlPr xmlns="http://schemas.microsoft.com/office/spreadsheetml/2009/9/main" objectType="CheckBox" fmlaLink="Ber_Lab_Neo!O23" lockText="1"/>
</file>

<file path=xl/ctrlProps/ctrlProp1107.xml><?xml version="1.0" encoding="utf-8"?>
<formControlPr xmlns="http://schemas.microsoft.com/office/spreadsheetml/2009/9/main" objectType="CheckBox" fmlaLink="Ber_Lab_Neo!E23" lockText="1"/>
</file>

<file path=xl/ctrlProps/ctrlProp1108.xml><?xml version="1.0" encoding="utf-8"?>
<formControlPr xmlns="http://schemas.microsoft.com/office/spreadsheetml/2009/9/main" objectType="CheckBox" fmlaLink="Ber_Lab_Neo!C24" lockText="1"/>
</file>

<file path=xl/ctrlProps/ctrlProp1109.xml><?xml version="1.0" encoding="utf-8"?>
<formControlPr xmlns="http://schemas.microsoft.com/office/spreadsheetml/2009/9/main" objectType="CheckBox" fmlaLink="Ber_Lab_Neo!G24" lockText="1"/>
</file>

<file path=xl/ctrlProps/ctrlProp1110.xml><?xml version="1.0" encoding="utf-8"?>
<formControlPr xmlns="http://schemas.microsoft.com/office/spreadsheetml/2009/9/main" objectType="CheckBox" fmlaLink="Ber_Lab_Neo!I24" lockText="1"/>
</file>

<file path=xl/ctrlProps/ctrlProp1111.xml><?xml version="1.0" encoding="utf-8"?>
<formControlPr xmlns="http://schemas.microsoft.com/office/spreadsheetml/2009/9/main" objectType="CheckBox" fmlaLink="Ber_Lab_Neo!O24" lockText="1"/>
</file>

<file path=xl/ctrlProps/ctrlProp1112.xml><?xml version="1.0" encoding="utf-8"?>
<formControlPr xmlns="http://schemas.microsoft.com/office/spreadsheetml/2009/9/main" objectType="CheckBox" fmlaLink="Ber_Lab_Neo!E24" lockText="1"/>
</file>

<file path=xl/ctrlProps/ctrlProp1113.xml><?xml version="1.0" encoding="utf-8"?>
<formControlPr xmlns="http://schemas.microsoft.com/office/spreadsheetml/2009/9/main" objectType="CheckBox" fmlaLink="Ber_Lab_Neo!C25" lockText="1"/>
</file>

<file path=xl/ctrlProps/ctrlProp1114.xml><?xml version="1.0" encoding="utf-8"?>
<formControlPr xmlns="http://schemas.microsoft.com/office/spreadsheetml/2009/9/main" objectType="CheckBox" fmlaLink="Ber_Lab_Neo!G25" lockText="1"/>
</file>

<file path=xl/ctrlProps/ctrlProp1115.xml><?xml version="1.0" encoding="utf-8"?>
<formControlPr xmlns="http://schemas.microsoft.com/office/spreadsheetml/2009/9/main" objectType="CheckBox" fmlaLink="Ber_Lab_Neo!I25" lockText="1"/>
</file>

<file path=xl/ctrlProps/ctrlProp1116.xml><?xml version="1.0" encoding="utf-8"?>
<formControlPr xmlns="http://schemas.microsoft.com/office/spreadsheetml/2009/9/main" objectType="CheckBox" fmlaLink="Ber_Lab_Neo!O25" lockText="1"/>
</file>

<file path=xl/ctrlProps/ctrlProp1117.xml><?xml version="1.0" encoding="utf-8"?>
<formControlPr xmlns="http://schemas.microsoft.com/office/spreadsheetml/2009/9/main" objectType="CheckBox" fmlaLink="Ber_Lab_Neo!E25" lockText="1"/>
</file>

<file path=xl/ctrlProps/ctrlProp1118.xml><?xml version="1.0" encoding="utf-8"?>
<formControlPr xmlns="http://schemas.microsoft.com/office/spreadsheetml/2009/9/main" objectType="CheckBox" fmlaLink="Ber_Lab_Neo!C26" lockText="1"/>
</file>

<file path=xl/ctrlProps/ctrlProp1119.xml><?xml version="1.0" encoding="utf-8"?>
<formControlPr xmlns="http://schemas.microsoft.com/office/spreadsheetml/2009/9/main" objectType="CheckBox" fmlaLink="Ber_Lab_Neo!G26" lockText="1"/>
</file>

<file path=xl/ctrlProps/ctrlProp1120.xml><?xml version="1.0" encoding="utf-8"?>
<formControlPr xmlns="http://schemas.microsoft.com/office/spreadsheetml/2009/9/main" objectType="CheckBox" fmlaLink="Ber_Lab_Neo!I26" lockText="1"/>
</file>

<file path=xl/ctrlProps/ctrlProp1121.xml><?xml version="1.0" encoding="utf-8"?>
<formControlPr xmlns="http://schemas.microsoft.com/office/spreadsheetml/2009/9/main" objectType="CheckBox" fmlaLink="Ber_Lab_Neo!O26" lockText="1"/>
</file>

<file path=xl/ctrlProps/ctrlProp1122.xml><?xml version="1.0" encoding="utf-8"?>
<formControlPr xmlns="http://schemas.microsoft.com/office/spreadsheetml/2009/9/main" objectType="CheckBox" fmlaLink="Ber_Lab_Neo!E26" lockText="1"/>
</file>

<file path=xl/ctrlProps/ctrlProp1123.xml><?xml version="1.0" encoding="utf-8"?>
<formControlPr xmlns="http://schemas.microsoft.com/office/spreadsheetml/2009/9/main" objectType="CheckBox" fmlaLink="Ber_Lab_Neo!C29" lockText="1"/>
</file>

<file path=xl/ctrlProps/ctrlProp1124.xml><?xml version="1.0" encoding="utf-8"?>
<formControlPr xmlns="http://schemas.microsoft.com/office/spreadsheetml/2009/9/main" objectType="CheckBox" fmlaLink="Ber_Lab_Neo!G29" lockText="1"/>
</file>

<file path=xl/ctrlProps/ctrlProp1125.xml><?xml version="1.0" encoding="utf-8"?>
<formControlPr xmlns="http://schemas.microsoft.com/office/spreadsheetml/2009/9/main" objectType="CheckBox" fmlaLink="Ber_Lab_Neo!I29" lockText="1"/>
</file>

<file path=xl/ctrlProps/ctrlProp1126.xml><?xml version="1.0" encoding="utf-8"?>
<formControlPr xmlns="http://schemas.microsoft.com/office/spreadsheetml/2009/9/main" objectType="CheckBox" fmlaLink="Ber_Lab_Neo!O29" lockText="1"/>
</file>

<file path=xl/ctrlProps/ctrlProp1127.xml><?xml version="1.0" encoding="utf-8"?>
<formControlPr xmlns="http://schemas.microsoft.com/office/spreadsheetml/2009/9/main" objectType="CheckBox" fmlaLink="Ber_Lab_Neo!E29" lockText="1"/>
</file>

<file path=xl/ctrlProps/ctrlProp1128.xml><?xml version="1.0" encoding="utf-8"?>
<formControlPr xmlns="http://schemas.microsoft.com/office/spreadsheetml/2009/9/main" objectType="CheckBox" fmlaLink="Ber_Lab_Neo!C18" lockText="1"/>
</file>

<file path=xl/ctrlProps/ctrlProp1129.xml><?xml version="1.0" encoding="utf-8"?>
<formControlPr xmlns="http://schemas.microsoft.com/office/spreadsheetml/2009/9/main" objectType="CheckBox" fmlaLink="Ber_Lab_Neo!G18" lockText="1"/>
</file>

<file path=xl/ctrlProps/ctrlProp1130.xml><?xml version="1.0" encoding="utf-8"?>
<formControlPr xmlns="http://schemas.microsoft.com/office/spreadsheetml/2009/9/main" objectType="CheckBox" fmlaLink="Ber_Lab_Neo!I18" lockText="1"/>
</file>

<file path=xl/ctrlProps/ctrlProp1131.xml><?xml version="1.0" encoding="utf-8"?>
<formControlPr xmlns="http://schemas.microsoft.com/office/spreadsheetml/2009/9/main" objectType="CheckBox" fmlaLink="Ber_Lab_Neo!O18" lockText="1"/>
</file>

<file path=xl/ctrlProps/ctrlProp1132.xml><?xml version="1.0" encoding="utf-8"?>
<formControlPr xmlns="http://schemas.microsoft.com/office/spreadsheetml/2009/9/main" objectType="CheckBox" fmlaLink="Ber_Lab_Neo!E18" lockText="1"/>
</file>

<file path=xl/ctrlProps/ctrlProp1133.xml><?xml version="1.0" encoding="utf-8"?>
<formControlPr xmlns="http://schemas.microsoft.com/office/spreadsheetml/2009/9/main" objectType="CheckBox" fmlaLink="Ber_Lab_Neo!$K$4" lockText="1"/>
</file>

<file path=xl/ctrlProps/ctrlProp1134.xml><?xml version="1.0" encoding="utf-8"?>
<formControlPr xmlns="http://schemas.microsoft.com/office/spreadsheetml/2009/9/main" objectType="CheckBox" fmlaLink="Ber_Lab_Neo!K5" lockText="1"/>
</file>

<file path=xl/ctrlProps/ctrlProp1135.xml><?xml version="1.0" encoding="utf-8"?>
<formControlPr xmlns="http://schemas.microsoft.com/office/spreadsheetml/2009/9/main" objectType="CheckBox" fmlaLink="Ber_Lab_Neo!K7" lockText="1"/>
</file>

<file path=xl/ctrlProps/ctrlProp1136.xml><?xml version="1.0" encoding="utf-8"?>
<formControlPr xmlns="http://schemas.microsoft.com/office/spreadsheetml/2009/9/main" objectType="CheckBox" fmlaLink="Ber_Lab_Neo!K8" lockText="1"/>
</file>

<file path=xl/ctrlProps/ctrlProp1137.xml><?xml version="1.0" encoding="utf-8"?>
<formControlPr xmlns="http://schemas.microsoft.com/office/spreadsheetml/2009/9/main" objectType="CheckBox" fmlaLink="Ber_Lab_Neo!K14" lockText="1"/>
</file>

<file path=xl/ctrlProps/ctrlProp1138.xml><?xml version="1.0" encoding="utf-8"?>
<formControlPr xmlns="http://schemas.microsoft.com/office/spreadsheetml/2009/9/main" objectType="CheckBox" fmlaLink="Ber_Lab_Neo!K13" lockText="1"/>
</file>

<file path=xl/ctrlProps/ctrlProp1139.xml><?xml version="1.0" encoding="utf-8"?>
<formControlPr xmlns="http://schemas.microsoft.com/office/spreadsheetml/2009/9/main" objectType="CheckBox" fmlaLink="Ber_Lab_Neo!K30" lockText="1"/>
</file>

<file path=xl/ctrlProps/ctrlProp1140.xml><?xml version="1.0" encoding="utf-8"?>
<formControlPr xmlns="http://schemas.microsoft.com/office/spreadsheetml/2009/9/main" objectType="CheckBox" fmlaLink="Ber_Lab_Neo!K16" lockText="1"/>
</file>

<file path=xl/ctrlProps/ctrlProp1141.xml><?xml version="1.0" encoding="utf-8"?>
<formControlPr xmlns="http://schemas.microsoft.com/office/spreadsheetml/2009/9/main" objectType="CheckBox" fmlaLink="Ber_Lab_Neo!K19" lockText="1"/>
</file>

<file path=xl/ctrlProps/ctrlProp1142.xml><?xml version="1.0" encoding="utf-8"?>
<formControlPr xmlns="http://schemas.microsoft.com/office/spreadsheetml/2009/9/main" objectType="CheckBox" fmlaLink="Ber_Lab_Neo!K20" lockText="1"/>
</file>

<file path=xl/ctrlProps/ctrlProp1143.xml><?xml version="1.0" encoding="utf-8"?>
<formControlPr xmlns="http://schemas.microsoft.com/office/spreadsheetml/2009/9/main" objectType="CheckBox" fmlaLink="Ber_Lab_Neo!K21" lockText="1"/>
</file>

<file path=xl/ctrlProps/ctrlProp1144.xml><?xml version="1.0" encoding="utf-8"?>
<formControlPr xmlns="http://schemas.microsoft.com/office/spreadsheetml/2009/9/main" objectType="CheckBox" fmlaLink="Ber_Lab_Neo!K12" lockText="1"/>
</file>

<file path=xl/ctrlProps/ctrlProp1145.xml><?xml version="1.0" encoding="utf-8"?>
<formControlPr xmlns="http://schemas.microsoft.com/office/spreadsheetml/2009/9/main" objectType="CheckBox" fmlaLink="Ber_Lab_Neo!K28" lockText="1"/>
</file>

<file path=xl/ctrlProps/ctrlProp1146.xml><?xml version="1.0" encoding="utf-8"?>
<formControlPr xmlns="http://schemas.microsoft.com/office/spreadsheetml/2009/9/main" objectType="CheckBox" fmlaLink="Ber_Lab_Neo!$M$4" lockText="1"/>
</file>

<file path=xl/ctrlProps/ctrlProp1147.xml><?xml version="1.0" encoding="utf-8"?>
<formControlPr xmlns="http://schemas.microsoft.com/office/spreadsheetml/2009/9/main" objectType="CheckBox" fmlaLink="Ber_Lab_Neo!M5" lockText="1"/>
</file>

<file path=xl/ctrlProps/ctrlProp1148.xml><?xml version="1.0" encoding="utf-8"?>
<formControlPr xmlns="http://schemas.microsoft.com/office/spreadsheetml/2009/9/main" objectType="CheckBox" fmlaLink="Ber_Lab_Neo!M7" lockText="1"/>
</file>

<file path=xl/ctrlProps/ctrlProp1149.xml><?xml version="1.0" encoding="utf-8"?>
<formControlPr xmlns="http://schemas.microsoft.com/office/spreadsheetml/2009/9/main" objectType="CheckBox" fmlaLink="Ber_Lab_Neo!M8" lockText="1"/>
</file>

<file path=xl/ctrlProps/ctrlProp1150.xml><?xml version="1.0" encoding="utf-8"?>
<formControlPr xmlns="http://schemas.microsoft.com/office/spreadsheetml/2009/9/main" objectType="CheckBox" fmlaLink="Ber_Lab_Neo!M14" lockText="1"/>
</file>

<file path=xl/ctrlProps/ctrlProp1151.xml><?xml version="1.0" encoding="utf-8"?>
<formControlPr xmlns="http://schemas.microsoft.com/office/spreadsheetml/2009/9/main" objectType="CheckBox" fmlaLink="Ber_Lab_Neo!M13" lockText="1"/>
</file>

<file path=xl/ctrlProps/ctrlProp1152.xml><?xml version="1.0" encoding="utf-8"?>
<formControlPr xmlns="http://schemas.microsoft.com/office/spreadsheetml/2009/9/main" objectType="CheckBox" fmlaLink="Ber_Lab_Neo!M30" lockText="1"/>
</file>

<file path=xl/ctrlProps/ctrlProp1153.xml><?xml version="1.0" encoding="utf-8"?>
<formControlPr xmlns="http://schemas.microsoft.com/office/spreadsheetml/2009/9/main" objectType="CheckBox" fmlaLink="Ber_Lab_Neo!M16" lockText="1"/>
</file>

<file path=xl/ctrlProps/ctrlProp1154.xml><?xml version="1.0" encoding="utf-8"?>
<formControlPr xmlns="http://schemas.microsoft.com/office/spreadsheetml/2009/9/main" objectType="CheckBox" fmlaLink="Ber_Lab_Neo!M19" lockText="1"/>
</file>

<file path=xl/ctrlProps/ctrlProp1155.xml><?xml version="1.0" encoding="utf-8"?>
<formControlPr xmlns="http://schemas.microsoft.com/office/spreadsheetml/2009/9/main" objectType="CheckBox" fmlaLink="Ber_Lab_Neo!M20" lockText="1"/>
</file>

<file path=xl/ctrlProps/ctrlProp1156.xml><?xml version="1.0" encoding="utf-8"?>
<formControlPr xmlns="http://schemas.microsoft.com/office/spreadsheetml/2009/9/main" objectType="CheckBox" fmlaLink="Ber_Lab_Neo!M21" lockText="1"/>
</file>

<file path=xl/ctrlProps/ctrlProp1157.xml><?xml version="1.0" encoding="utf-8"?>
<formControlPr xmlns="http://schemas.microsoft.com/office/spreadsheetml/2009/9/main" objectType="CheckBox" fmlaLink="Ber_Lab_Neo!M12" lockText="1"/>
</file>

<file path=xl/ctrlProps/ctrlProp1158.xml><?xml version="1.0" encoding="utf-8"?>
<formControlPr xmlns="http://schemas.microsoft.com/office/spreadsheetml/2009/9/main" objectType="CheckBox" fmlaLink="Ber_Lab_Neo!M28" lockText="1"/>
</file>

<file path=xl/ctrlProps/ctrlProp1159.xml><?xml version="1.0" encoding="utf-8"?>
<formControlPr xmlns="http://schemas.microsoft.com/office/spreadsheetml/2009/9/main" objectType="CheckBox" fmlaLink="Ber_Lab_Neo!K32" lockText="1"/>
</file>

<file path=xl/ctrlProps/ctrlProp1160.xml><?xml version="1.0" encoding="utf-8"?>
<formControlPr xmlns="http://schemas.microsoft.com/office/spreadsheetml/2009/9/main" objectType="CheckBox" fmlaLink="Ber_Lab_Neo!M32" lockText="1"/>
</file>

<file path=xl/ctrlProps/ctrlProp1161.xml><?xml version="1.0" encoding="utf-8"?>
<formControlPr xmlns="http://schemas.microsoft.com/office/spreadsheetml/2009/9/main" objectType="CheckBox" fmlaLink="Ber_Lab_Neo!K6" lockText="1"/>
</file>

<file path=xl/ctrlProps/ctrlProp1162.xml><?xml version="1.0" encoding="utf-8"?>
<formControlPr xmlns="http://schemas.microsoft.com/office/spreadsheetml/2009/9/main" objectType="CheckBox" fmlaLink="Ber_Lab_Neo!M6" lockText="1"/>
</file>

<file path=xl/ctrlProps/ctrlProp1163.xml><?xml version="1.0" encoding="utf-8"?>
<formControlPr xmlns="http://schemas.microsoft.com/office/spreadsheetml/2009/9/main" objectType="CheckBox" fmlaLink="Ber_Lab_Neo!K17" lockText="1"/>
</file>

<file path=xl/ctrlProps/ctrlProp1164.xml><?xml version="1.0" encoding="utf-8"?>
<formControlPr xmlns="http://schemas.microsoft.com/office/spreadsheetml/2009/9/main" objectType="CheckBox" fmlaLink="Ber_Lab_Neo!M17" lockText="1"/>
</file>

<file path=xl/ctrlProps/ctrlProp1165.xml><?xml version="1.0" encoding="utf-8"?>
<formControlPr xmlns="http://schemas.microsoft.com/office/spreadsheetml/2009/9/main" objectType="CheckBox" fmlaLink="Ber_Lab_Neo!K33" lockText="1"/>
</file>

<file path=xl/ctrlProps/ctrlProp1166.xml><?xml version="1.0" encoding="utf-8"?>
<formControlPr xmlns="http://schemas.microsoft.com/office/spreadsheetml/2009/9/main" objectType="CheckBox" fmlaLink="Ber_Lab_Neo!M33" lockText="1"/>
</file>

<file path=xl/ctrlProps/ctrlProp1167.xml><?xml version="1.0" encoding="utf-8"?>
<formControlPr xmlns="http://schemas.microsoft.com/office/spreadsheetml/2009/9/main" objectType="CheckBox" fmlaLink="Ber_Lab_Neo!K34" lockText="1"/>
</file>

<file path=xl/ctrlProps/ctrlProp1168.xml><?xml version="1.0" encoding="utf-8"?>
<formControlPr xmlns="http://schemas.microsoft.com/office/spreadsheetml/2009/9/main" objectType="CheckBox" fmlaLink="Ber_Lab_Neo!M34" lockText="1"/>
</file>

<file path=xl/ctrlProps/ctrlProp1169.xml><?xml version="1.0" encoding="utf-8"?>
<formControlPr xmlns="http://schemas.microsoft.com/office/spreadsheetml/2009/9/main" objectType="CheckBox" fmlaLink="Ber_Lab_Neo!K9" lockText="1"/>
</file>

<file path=xl/ctrlProps/ctrlProp1170.xml><?xml version="1.0" encoding="utf-8"?>
<formControlPr xmlns="http://schemas.microsoft.com/office/spreadsheetml/2009/9/main" objectType="CheckBox" fmlaLink="Ber_Lab_Neo!M9" lockText="1"/>
</file>

<file path=xl/ctrlProps/ctrlProp1171.xml><?xml version="1.0" encoding="utf-8"?>
<formControlPr xmlns="http://schemas.microsoft.com/office/spreadsheetml/2009/9/main" objectType="CheckBox" fmlaLink="Ber_Lab_Neo!K11" lockText="1"/>
</file>

<file path=xl/ctrlProps/ctrlProp1172.xml><?xml version="1.0" encoding="utf-8"?>
<formControlPr xmlns="http://schemas.microsoft.com/office/spreadsheetml/2009/9/main" objectType="CheckBox" fmlaLink="Ber_Lab_Neo!M11" lockText="1"/>
</file>

<file path=xl/ctrlProps/ctrlProp1173.xml><?xml version="1.0" encoding="utf-8"?>
<formControlPr xmlns="http://schemas.microsoft.com/office/spreadsheetml/2009/9/main" objectType="CheckBox" fmlaLink="Ber_Lab_Neo!K15" lockText="1"/>
</file>

<file path=xl/ctrlProps/ctrlProp1174.xml><?xml version="1.0" encoding="utf-8"?>
<formControlPr xmlns="http://schemas.microsoft.com/office/spreadsheetml/2009/9/main" objectType="CheckBox" fmlaLink="Ber_Lab_Neo!M15" lockText="1"/>
</file>

<file path=xl/ctrlProps/ctrlProp1175.xml><?xml version="1.0" encoding="utf-8"?>
<formControlPr xmlns="http://schemas.microsoft.com/office/spreadsheetml/2009/9/main" objectType="CheckBox" fmlaLink="Ber_Lab_Neo!K22" lockText="1"/>
</file>

<file path=xl/ctrlProps/ctrlProp1176.xml><?xml version="1.0" encoding="utf-8"?>
<formControlPr xmlns="http://schemas.microsoft.com/office/spreadsheetml/2009/9/main" objectType="CheckBox" fmlaLink="Ber_Lab_Neo!M22" lockText="1"/>
</file>

<file path=xl/ctrlProps/ctrlProp1177.xml><?xml version="1.0" encoding="utf-8"?>
<formControlPr xmlns="http://schemas.microsoft.com/office/spreadsheetml/2009/9/main" objectType="CheckBox" fmlaLink="Ber_Lab_Neo!K23" lockText="1"/>
</file>

<file path=xl/ctrlProps/ctrlProp1178.xml><?xml version="1.0" encoding="utf-8"?>
<formControlPr xmlns="http://schemas.microsoft.com/office/spreadsheetml/2009/9/main" objectType="CheckBox" fmlaLink="Ber_Lab_Neo!M23" lockText="1"/>
</file>

<file path=xl/ctrlProps/ctrlProp1179.xml><?xml version="1.0" encoding="utf-8"?>
<formControlPr xmlns="http://schemas.microsoft.com/office/spreadsheetml/2009/9/main" objectType="CheckBox" fmlaLink="Ber_Lab_Neo!K24" lockText="1"/>
</file>

<file path=xl/ctrlProps/ctrlProp1180.xml><?xml version="1.0" encoding="utf-8"?>
<formControlPr xmlns="http://schemas.microsoft.com/office/spreadsheetml/2009/9/main" objectType="CheckBox" fmlaLink="Ber_Lab_Neo!M24" lockText="1"/>
</file>

<file path=xl/ctrlProps/ctrlProp1181.xml><?xml version="1.0" encoding="utf-8"?>
<formControlPr xmlns="http://schemas.microsoft.com/office/spreadsheetml/2009/9/main" objectType="CheckBox" fmlaLink="Ber_Lab_Neo!K25" lockText="1"/>
</file>

<file path=xl/ctrlProps/ctrlProp1182.xml><?xml version="1.0" encoding="utf-8"?>
<formControlPr xmlns="http://schemas.microsoft.com/office/spreadsheetml/2009/9/main" objectType="CheckBox" fmlaLink="Ber_Lab_Neo!M25" lockText="1"/>
</file>

<file path=xl/ctrlProps/ctrlProp1183.xml><?xml version="1.0" encoding="utf-8"?>
<formControlPr xmlns="http://schemas.microsoft.com/office/spreadsheetml/2009/9/main" objectType="CheckBox" fmlaLink="Ber_Lab_Neo!K26" lockText="1"/>
</file>

<file path=xl/ctrlProps/ctrlProp1184.xml><?xml version="1.0" encoding="utf-8"?>
<formControlPr xmlns="http://schemas.microsoft.com/office/spreadsheetml/2009/9/main" objectType="CheckBox" fmlaLink="Ber_Lab_Neo!M26" lockText="1"/>
</file>

<file path=xl/ctrlProps/ctrlProp1185.xml><?xml version="1.0" encoding="utf-8"?>
<formControlPr xmlns="http://schemas.microsoft.com/office/spreadsheetml/2009/9/main" objectType="CheckBox" fmlaLink="Ber_Lab_Neo!K29" lockText="1"/>
</file>

<file path=xl/ctrlProps/ctrlProp1186.xml><?xml version="1.0" encoding="utf-8"?>
<formControlPr xmlns="http://schemas.microsoft.com/office/spreadsheetml/2009/9/main" objectType="CheckBox" fmlaLink="Ber_Lab_Neo!M29" lockText="1"/>
</file>

<file path=xl/ctrlProps/ctrlProp1187.xml><?xml version="1.0" encoding="utf-8"?>
<formControlPr xmlns="http://schemas.microsoft.com/office/spreadsheetml/2009/9/main" objectType="CheckBox" fmlaLink="Ber_Lab_Neo!K18" lockText="1"/>
</file>

<file path=xl/ctrlProps/ctrlProp1188.xml><?xml version="1.0" encoding="utf-8"?>
<formControlPr xmlns="http://schemas.microsoft.com/office/spreadsheetml/2009/9/main" objectType="CheckBox" fmlaLink="Ber_Lab_Neo!M18" lockText="1"/>
</file>

<file path=xl/ctrlProps/ctrlProp1189.xml><?xml version="1.0" encoding="utf-8"?>
<formControlPr xmlns="http://schemas.microsoft.com/office/spreadsheetml/2009/9/main" objectType="CheckBox" fmlaLink="Ber_Lab_Neo!C10" lockText="1"/>
</file>

<file path=xl/ctrlProps/ctrlProp1190.xml><?xml version="1.0" encoding="utf-8"?>
<formControlPr xmlns="http://schemas.microsoft.com/office/spreadsheetml/2009/9/main" objectType="CheckBox" fmlaLink="Ber_Lab_Neo!G10" lockText="1"/>
</file>

<file path=xl/ctrlProps/ctrlProp1191.xml><?xml version="1.0" encoding="utf-8"?>
<formControlPr xmlns="http://schemas.microsoft.com/office/spreadsheetml/2009/9/main" objectType="CheckBox" fmlaLink="Ber_Lab_Neo!I10" lockText="1"/>
</file>

<file path=xl/ctrlProps/ctrlProp1192.xml><?xml version="1.0" encoding="utf-8"?>
<formControlPr xmlns="http://schemas.microsoft.com/office/spreadsheetml/2009/9/main" objectType="CheckBox" fmlaLink="Ber_Lab_Neo!O10" lockText="1"/>
</file>

<file path=xl/ctrlProps/ctrlProp1193.xml><?xml version="1.0" encoding="utf-8"?>
<formControlPr xmlns="http://schemas.microsoft.com/office/spreadsheetml/2009/9/main" objectType="CheckBox" fmlaLink="Ber_Lab_Neo!E10" lockText="1"/>
</file>

<file path=xl/ctrlProps/ctrlProp1194.xml><?xml version="1.0" encoding="utf-8"?>
<formControlPr xmlns="http://schemas.microsoft.com/office/spreadsheetml/2009/9/main" objectType="CheckBox" fmlaLink="Ber_Lab_Neo!K10" lockText="1"/>
</file>

<file path=xl/ctrlProps/ctrlProp1195.xml><?xml version="1.0" encoding="utf-8"?>
<formControlPr xmlns="http://schemas.microsoft.com/office/spreadsheetml/2009/9/main" objectType="CheckBox" fmlaLink="Ber_Lab_Neo!M10" lockText="1"/>
</file>

<file path=xl/ctrlProps/ctrlProp1196.xml><?xml version="1.0" encoding="utf-8"?>
<formControlPr xmlns="http://schemas.microsoft.com/office/spreadsheetml/2009/9/main" objectType="CheckBox" fmlaLink="Ber_Lab_Neo!C31" lockText="1"/>
</file>

<file path=xl/ctrlProps/ctrlProp1197.xml><?xml version="1.0" encoding="utf-8"?>
<formControlPr xmlns="http://schemas.microsoft.com/office/spreadsheetml/2009/9/main" objectType="CheckBox" fmlaLink="Ber_Lab_Neo!G31" lockText="1"/>
</file>

<file path=xl/ctrlProps/ctrlProp1198.xml><?xml version="1.0" encoding="utf-8"?>
<formControlPr xmlns="http://schemas.microsoft.com/office/spreadsheetml/2009/9/main" objectType="CheckBox" fmlaLink="Ber_Lab_Neo!I31" lockText="1"/>
</file>

<file path=xl/ctrlProps/ctrlProp1199.xml><?xml version="1.0" encoding="utf-8"?>
<formControlPr xmlns="http://schemas.microsoft.com/office/spreadsheetml/2009/9/main" objectType="CheckBox" fmlaLink="Ber_Lab_Neo!O31" lockText="1"/>
</file>

<file path=xl/ctrlProps/ctrlProp1200.xml><?xml version="1.0" encoding="utf-8"?>
<formControlPr xmlns="http://schemas.microsoft.com/office/spreadsheetml/2009/9/main" objectType="CheckBox" fmlaLink="Ber_Lab_Neo!E31" lockText="1"/>
</file>

<file path=xl/ctrlProps/ctrlProp1201.xml><?xml version="1.0" encoding="utf-8"?>
<formControlPr xmlns="http://schemas.microsoft.com/office/spreadsheetml/2009/9/main" objectType="CheckBox" fmlaLink="Ber_Lab_Neo!K31" lockText="1"/>
</file>

<file path=xl/ctrlProps/ctrlProp1202.xml><?xml version="1.0" encoding="utf-8"?>
<formControlPr xmlns="http://schemas.microsoft.com/office/spreadsheetml/2009/9/main" objectType="CheckBox" fmlaLink="Ber_Lab_Neo!M31" lockText="1"/>
</file>

<file path=xl/ctrlProps/ctrlProp1203.xml><?xml version="1.0" encoding="utf-8"?>
<formControlPr xmlns="http://schemas.microsoft.com/office/spreadsheetml/2009/9/main" objectType="CheckBox" fmlaLink="Ber_Lab_Neo!C27" lockText="1"/>
</file>

<file path=xl/ctrlProps/ctrlProp1204.xml><?xml version="1.0" encoding="utf-8"?>
<formControlPr xmlns="http://schemas.microsoft.com/office/spreadsheetml/2009/9/main" objectType="CheckBox" fmlaLink="Ber_Lab_Neo!G27" lockText="1"/>
</file>

<file path=xl/ctrlProps/ctrlProp1205.xml><?xml version="1.0" encoding="utf-8"?>
<formControlPr xmlns="http://schemas.microsoft.com/office/spreadsheetml/2009/9/main" objectType="CheckBox" fmlaLink="Ber_Lab_Neo!I27" lockText="1"/>
</file>

<file path=xl/ctrlProps/ctrlProp1206.xml><?xml version="1.0" encoding="utf-8"?>
<formControlPr xmlns="http://schemas.microsoft.com/office/spreadsheetml/2009/9/main" objectType="CheckBox" fmlaLink="Ber_Lab_Neo!O27" lockText="1"/>
</file>

<file path=xl/ctrlProps/ctrlProp1207.xml><?xml version="1.0" encoding="utf-8"?>
<formControlPr xmlns="http://schemas.microsoft.com/office/spreadsheetml/2009/9/main" objectType="CheckBox" fmlaLink="Ber_Lab_Neo!E27" lockText="1"/>
</file>

<file path=xl/ctrlProps/ctrlProp1208.xml><?xml version="1.0" encoding="utf-8"?>
<formControlPr xmlns="http://schemas.microsoft.com/office/spreadsheetml/2009/9/main" objectType="CheckBox" fmlaLink="Ber_Lab_Neo!K27" lockText="1"/>
</file>

<file path=xl/ctrlProps/ctrlProp1209.xml><?xml version="1.0" encoding="utf-8"?>
<formControlPr xmlns="http://schemas.microsoft.com/office/spreadsheetml/2009/9/main" objectType="CheckBox" fmlaLink="Ber_Lab_Neo!M27" lockText="1"/>
</file>

<file path=xl/ctrlProps/ctrlProp1210.xml><?xml version="1.0" encoding="utf-8"?>
<formControlPr xmlns="http://schemas.microsoft.com/office/spreadsheetml/2009/9/main" objectType="CheckBox" fmlaLink="Ber_Lab_Neo!C35" lockText="1"/>
</file>

<file path=xl/ctrlProps/ctrlProp1211.xml><?xml version="1.0" encoding="utf-8"?>
<formControlPr xmlns="http://schemas.microsoft.com/office/spreadsheetml/2009/9/main" objectType="CheckBox" fmlaLink="Ber_Lab_Neo!$Q$4" lockText="1"/>
</file>

<file path=xl/ctrlProps/ctrlProp1212.xml><?xml version="1.0" encoding="utf-8"?>
<formControlPr xmlns="http://schemas.microsoft.com/office/spreadsheetml/2009/9/main" objectType="CheckBox" fmlaLink="Ber_Lab_Neo!Q5" lockText="1"/>
</file>

<file path=xl/ctrlProps/ctrlProp1213.xml><?xml version="1.0" encoding="utf-8"?>
<formControlPr xmlns="http://schemas.microsoft.com/office/spreadsheetml/2009/9/main" objectType="CheckBox" fmlaLink="Ber_Lab_Neo!Q7" lockText="1"/>
</file>

<file path=xl/ctrlProps/ctrlProp1214.xml><?xml version="1.0" encoding="utf-8"?>
<formControlPr xmlns="http://schemas.microsoft.com/office/spreadsheetml/2009/9/main" objectType="CheckBox" fmlaLink="Ber_Lab_Neo!Q8" lockText="1"/>
</file>

<file path=xl/ctrlProps/ctrlProp1215.xml><?xml version="1.0" encoding="utf-8"?>
<formControlPr xmlns="http://schemas.microsoft.com/office/spreadsheetml/2009/9/main" objectType="CheckBox" fmlaLink="Ber_Lab_Neo!Q14" lockText="1"/>
</file>

<file path=xl/ctrlProps/ctrlProp1216.xml><?xml version="1.0" encoding="utf-8"?>
<formControlPr xmlns="http://schemas.microsoft.com/office/spreadsheetml/2009/9/main" objectType="CheckBox" fmlaLink="Ber_Lab_Neo!Q13" lockText="1"/>
</file>

<file path=xl/ctrlProps/ctrlProp1217.xml><?xml version="1.0" encoding="utf-8"?>
<formControlPr xmlns="http://schemas.microsoft.com/office/spreadsheetml/2009/9/main" objectType="CheckBox" fmlaLink="Ber_Lab_Neo!Q30" lockText="1"/>
</file>

<file path=xl/ctrlProps/ctrlProp1218.xml><?xml version="1.0" encoding="utf-8"?>
<formControlPr xmlns="http://schemas.microsoft.com/office/spreadsheetml/2009/9/main" objectType="CheckBox" fmlaLink="Ber_Lab_Neo!Q16" lockText="1"/>
</file>

<file path=xl/ctrlProps/ctrlProp1219.xml><?xml version="1.0" encoding="utf-8"?>
<formControlPr xmlns="http://schemas.microsoft.com/office/spreadsheetml/2009/9/main" objectType="CheckBox" fmlaLink="Ber_Lab_Neo!Q19" lockText="1"/>
</file>

<file path=xl/ctrlProps/ctrlProp1220.xml><?xml version="1.0" encoding="utf-8"?>
<formControlPr xmlns="http://schemas.microsoft.com/office/spreadsheetml/2009/9/main" objectType="CheckBox" fmlaLink="Ber_Lab_Neo!Q20" lockText="1"/>
</file>

<file path=xl/ctrlProps/ctrlProp1221.xml><?xml version="1.0" encoding="utf-8"?>
<formControlPr xmlns="http://schemas.microsoft.com/office/spreadsheetml/2009/9/main" objectType="CheckBox" fmlaLink="Ber_Lab_Neo!Q21" lockText="1"/>
</file>

<file path=xl/ctrlProps/ctrlProp1222.xml><?xml version="1.0" encoding="utf-8"?>
<formControlPr xmlns="http://schemas.microsoft.com/office/spreadsheetml/2009/9/main" objectType="CheckBox" fmlaLink="Ber_Lab_Neo!Q12" lockText="1"/>
</file>

<file path=xl/ctrlProps/ctrlProp1223.xml><?xml version="1.0" encoding="utf-8"?>
<formControlPr xmlns="http://schemas.microsoft.com/office/spreadsheetml/2009/9/main" objectType="CheckBox" fmlaLink="Ber_Lab_Neo!Q28" lockText="1"/>
</file>

<file path=xl/ctrlProps/ctrlProp1224.xml><?xml version="1.0" encoding="utf-8"?>
<formControlPr xmlns="http://schemas.microsoft.com/office/spreadsheetml/2009/9/main" objectType="CheckBox" fmlaLink="Ber_Lab_Neo!Q32" lockText="1"/>
</file>

<file path=xl/ctrlProps/ctrlProp1225.xml><?xml version="1.0" encoding="utf-8"?>
<formControlPr xmlns="http://schemas.microsoft.com/office/spreadsheetml/2009/9/main" objectType="CheckBox" fmlaLink="Ber_Lab_Neo!Q6" lockText="1"/>
</file>

<file path=xl/ctrlProps/ctrlProp1226.xml><?xml version="1.0" encoding="utf-8"?>
<formControlPr xmlns="http://schemas.microsoft.com/office/spreadsheetml/2009/9/main" objectType="CheckBox" fmlaLink="Ber_Lab_Neo!Q17" lockText="1"/>
</file>

<file path=xl/ctrlProps/ctrlProp1227.xml><?xml version="1.0" encoding="utf-8"?>
<formControlPr xmlns="http://schemas.microsoft.com/office/spreadsheetml/2009/9/main" objectType="CheckBox" fmlaLink="Ber_Lab_Neo!Q33" lockText="1"/>
</file>

<file path=xl/ctrlProps/ctrlProp1228.xml><?xml version="1.0" encoding="utf-8"?>
<formControlPr xmlns="http://schemas.microsoft.com/office/spreadsheetml/2009/9/main" objectType="CheckBox" fmlaLink="Ber_Lab_Neo!Q34" lockText="1"/>
</file>

<file path=xl/ctrlProps/ctrlProp1229.xml><?xml version="1.0" encoding="utf-8"?>
<formControlPr xmlns="http://schemas.microsoft.com/office/spreadsheetml/2009/9/main" objectType="CheckBox" fmlaLink="Ber_Lab_Neo!Q9" lockText="1"/>
</file>

<file path=xl/ctrlProps/ctrlProp1230.xml><?xml version="1.0" encoding="utf-8"?>
<formControlPr xmlns="http://schemas.microsoft.com/office/spreadsheetml/2009/9/main" objectType="CheckBox" fmlaLink="Ber_Lab_Neo!Q11" lockText="1"/>
</file>

<file path=xl/ctrlProps/ctrlProp1231.xml><?xml version="1.0" encoding="utf-8"?>
<formControlPr xmlns="http://schemas.microsoft.com/office/spreadsheetml/2009/9/main" objectType="CheckBox" fmlaLink="Ber_Lab_Neo!Q15" lockText="1"/>
</file>

<file path=xl/ctrlProps/ctrlProp1232.xml><?xml version="1.0" encoding="utf-8"?>
<formControlPr xmlns="http://schemas.microsoft.com/office/spreadsheetml/2009/9/main" objectType="CheckBox" fmlaLink="Ber_Lab_Neo!Q22" lockText="1"/>
</file>

<file path=xl/ctrlProps/ctrlProp1233.xml><?xml version="1.0" encoding="utf-8"?>
<formControlPr xmlns="http://schemas.microsoft.com/office/spreadsheetml/2009/9/main" objectType="CheckBox" fmlaLink="Ber_Lab_Neo!Q23" lockText="1"/>
</file>

<file path=xl/ctrlProps/ctrlProp1234.xml><?xml version="1.0" encoding="utf-8"?>
<formControlPr xmlns="http://schemas.microsoft.com/office/spreadsheetml/2009/9/main" objectType="CheckBox" fmlaLink="Ber_Lab_Neo!Q24" lockText="1"/>
</file>

<file path=xl/ctrlProps/ctrlProp1235.xml><?xml version="1.0" encoding="utf-8"?>
<formControlPr xmlns="http://schemas.microsoft.com/office/spreadsheetml/2009/9/main" objectType="CheckBox" fmlaLink="Ber_Lab_Neo!Q25" lockText="1"/>
</file>

<file path=xl/ctrlProps/ctrlProp1236.xml><?xml version="1.0" encoding="utf-8"?>
<formControlPr xmlns="http://schemas.microsoft.com/office/spreadsheetml/2009/9/main" objectType="CheckBox" fmlaLink="Ber_Lab_Neo!Q26" lockText="1"/>
</file>

<file path=xl/ctrlProps/ctrlProp1237.xml><?xml version="1.0" encoding="utf-8"?>
<formControlPr xmlns="http://schemas.microsoft.com/office/spreadsheetml/2009/9/main" objectType="CheckBox" fmlaLink="Ber_Lab_Neo!Q29" lockText="1"/>
</file>

<file path=xl/ctrlProps/ctrlProp1238.xml><?xml version="1.0" encoding="utf-8"?>
<formControlPr xmlns="http://schemas.microsoft.com/office/spreadsheetml/2009/9/main" objectType="CheckBox" fmlaLink="Ber_Lab_Neo!Q18" lockText="1"/>
</file>

<file path=xl/ctrlProps/ctrlProp1239.xml><?xml version="1.0" encoding="utf-8"?>
<formControlPr xmlns="http://schemas.microsoft.com/office/spreadsheetml/2009/9/main" objectType="CheckBox" fmlaLink="Ber_Lab_Neo!Q10" lockText="1"/>
</file>

<file path=xl/ctrlProps/ctrlProp1240.xml><?xml version="1.0" encoding="utf-8"?>
<formControlPr xmlns="http://schemas.microsoft.com/office/spreadsheetml/2009/9/main" objectType="CheckBox" fmlaLink="Ber_Lab_Neo!Q31" lockText="1"/>
</file>

<file path=xl/ctrlProps/ctrlProp1241.xml><?xml version="1.0" encoding="utf-8"?>
<formControlPr xmlns="http://schemas.microsoft.com/office/spreadsheetml/2009/9/main" objectType="CheckBox" fmlaLink="Ber_Lab_Neo!Q27" lockText="1"/>
</file>

<file path=xl/ctrlProps/ctrlProp1242.xml><?xml version="1.0" encoding="utf-8"?>
<formControlPr xmlns="http://schemas.microsoft.com/office/spreadsheetml/2009/9/main" objectType="CheckBox" fmlaLink="Ber_Lab_Neo!$S$4" lockText="1"/>
</file>

<file path=xl/ctrlProps/ctrlProp1243.xml><?xml version="1.0" encoding="utf-8"?>
<formControlPr xmlns="http://schemas.microsoft.com/office/spreadsheetml/2009/9/main" objectType="CheckBox" fmlaLink="Ber_Lab_Neo!S5" lockText="1"/>
</file>

<file path=xl/ctrlProps/ctrlProp1244.xml><?xml version="1.0" encoding="utf-8"?>
<formControlPr xmlns="http://schemas.microsoft.com/office/spreadsheetml/2009/9/main" objectType="CheckBox" fmlaLink="Ber_Lab_Neo!S7" lockText="1"/>
</file>

<file path=xl/ctrlProps/ctrlProp1245.xml><?xml version="1.0" encoding="utf-8"?>
<formControlPr xmlns="http://schemas.microsoft.com/office/spreadsheetml/2009/9/main" objectType="CheckBox" fmlaLink="Ber_Lab_Neo!S8" lockText="1"/>
</file>

<file path=xl/ctrlProps/ctrlProp1246.xml><?xml version="1.0" encoding="utf-8"?>
<formControlPr xmlns="http://schemas.microsoft.com/office/spreadsheetml/2009/9/main" objectType="CheckBox" fmlaLink="Ber_Lab_Neo!S14" lockText="1"/>
</file>

<file path=xl/ctrlProps/ctrlProp1247.xml><?xml version="1.0" encoding="utf-8"?>
<formControlPr xmlns="http://schemas.microsoft.com/office/spreadsheetml/2009/9/main" objectType="CheckBox" fmlaLink="Ber_Lab_Neo!S13" lockText="1"/>
</file>

<file path=xl/ctrlProps/ctrlProp1248.xml><?xml version="1.0" encoding="utf-8"?>
<formControlPr xmlns="http://schemas.microsoft.com/office/spreadsheetml/2009/9/main" objectType="CheckBox" fmlaLink="Ber_Lab_Neo!S30" lockText="1"/>
</file>

<file path=xl/ctrlProps/ctrlProp1249.xml><?xml version="1.0" encoding="utf-8"?>
<formControlPr xmlns="http://schemas.microsoft.com/office/spreadsheetml/2009/9/main" objectType="CheckBox" fmlaLink="Ber_Lab_Neo!S16" lockText="1"/>
</file>

<file path=xl/ctrlProps/ctrlProp1250.xml><?xml version="1.0" encoding="utf-8"?>
<formControlPr xmlns="http://schemas.microsoft.com/office/spreadsheetml/2009/9/main" objectType="CheckBox" fmlaLink="Ber_Lab_Neo!S19" lockText="1"/>
</file>

<file path=xl/ctrlProps/ctrlProp1251.xml><?xml version="1.0" encoding="utf-8"?>
<formControlPr xmlns="http://schemas.microsoft.com/office/spreadsheetml/2009/9/main" objectType="CheckBox" fmlaLink="Ber_Lab_Neo!S20" lockText="1"/>
</file>

<file path=xl/ctrlProps/ctrlProp1252.xml><?xml version="1.0" encoding="utf-8"?>
<formControlPr xmlns="http://schemas.microsoft.com/office/spreadsheetml/2009/9/main" objectType="CheckBox" fmlaLink="Ber_Lab_Neo!S21" lockText="1"/>
</file>

<file path=xl/ctrlProps/ctrlProp1253.xml><?xml version="1.0" encoding="utf-8"?>
<formControlPr xmlns="http://schemas.microsoft.com/office/spreadsheetml/2009/9/main" objectType="CheckBox" fmlaLink="Ber_Lab_Neo!S12" lockText="1"/>
</file>

<file path=xl/ctrlProps/ctrlProp1254.xml><?xml version="1.0" encoding="utf-8"?>
<formControlPr xmlns="http://schemas.microsoft.com/office/spreadsheetml/2009/9/main" objectType="CheckBox" fmlaLink="Ber_Lab_Neo!S28" lockText="1"/>
</file>

<file path=xl/ctrlProps/ctrlProp1255.xml><?xml version="1.0" encoding="utf-8"?>
<formControlPr xmlns="http://schemas.microsoft.com/office/spreadsheetml/2009/9/main" objectType="CheckBox" fmlaLink="Ber_Lab_Neo!S32" lockText="1"/>
</file>

<file path=xl/ctrlProps/ctrlProp1256.xml><?xml version="1.0" encoding="utf-8"?>
<formControlPr xmlns="http://schemas.microsoft.com/office/spreadsheetml/2009/9/main" objectType="CheckBox" fmlaLink="Ber_Lab_Neo!S6" lockText="1"/>
</file>

<file path=xl/ctrlProps/ctrlProp1257.xml><?xml version="1.0" encoding="utf-8"?>
<formControlPr xmlns="http://schemas.microsoft.com/office/spreadsheetml/2009/9/main" objectType="CheckBox" fmlaLink="Ber_Lab_Neo!S17" lockText="1"/>
</file>

<file path=xl/ctrlProps/ctrlProp1258.xml><?xml version="1.0" encoding="utf-8"?>
<formControlPr xmlns="http://schemas.microsoft.com/office/spreadsheetml/2009/9/main" objectType="CheckBox" fmlaLink="Ber_Lab_Neo!S33" lockText="1"/>
</file>

<file path=xl/ctrlProps/ctrlProp1259.xml><?xml version="1.0" encoding="utf-8"?>
<formControlPr xmlns="http://schemas.microsoft.com/office/spreadsheetml/2009/9/main" objectType="CheckBox" fmlaLink="Ber_Lab_Neo!S34" lockText="1"/>
</file>

<file path=xl/ctrlProps/ctrlProp1260.xml><?xml version="1.0" encoding="utf-8"?>
<formControlPr xmlns="http://schemas.microsoft.com/office/spreadsheetml/2009/9/main" objectType="CheckBox" fmlaLink="Ber_Lab_Neo!S9" lockText="1"/>
</file>

<file path=xl/ctrlProps/ctrlProp1261.xml><?xml version="1.0" encoding="utf-8"?>
<formControlPr xmlns="http://schemas.microsoft.com/office/spreadsheetml/2009/9/main" objectType="CheckBox" fmlaLink="Ber_Lab_Neo!S11" lockText="1"/>
</file>

<file path=xl/ctrlProps/ctrlProp1262.xml><?xml version="1.0" encoding="utf-8"?>
<formControlPr xmlns="http://schemas.microsoft.com/office/spreadsheetml/2009/9/main" objectType="CheckBox" fmlaLink="Ber_Lab_Neo!S15" lockText="1"/>
</file>

<file path=xl/ctrlProps/ctrlProp1263.xml><?xml version="1.0" encoding="utf-8"?>
<formControlPr xmlns="http://schemas.microsoft.com/office/spreadsheetml/2009/9/main" objectType="CheckBox" fmlaLink="Ber_Lab_Neo!S22" lockText="1"/>
</file>

<file path=xl/ctrlProps/ctrlProp1264.xml><?xml version="1.0" encoding="utf-8"?>
<formControlPr xmlns="http://schemas.microsoft.com/office/spreadsheetml/2009/9/main" objectType="CheckBox" fmlaLink="Ber_Lab_Neo!S23" lockText="1"/>
</file>

<file path=xl/ctrlProps/ctrlProp1265.xml><?xml version="1.0" encoding="utf-8"?>
<formControlPr xmlns="http://schemas.microsoft.com/office/spreadsheetml/2009/9/main" objectType="CheckBox" fmlaLink="Ber_Lab_Neo!S24" lockText="1"/>
</file>

<file path=xl/ctrlProps/ctrlProp1266.xml><?xml version="1.0" encoding="utf-8"?>
<formControlPr xmlns="http://schemas.microsoft.com/office/spreadsheetml/2009/9/main" objectType="CheckBox" fmlaLink="Ber_Lab_Neo!S25" lockText="1"/>
</file>

<file path=xl/ctrlProps/ctrlProp1267.xml><?xml version="1.0" encoding="utf-8"?>
<formControlPr xmlns="http://schemas.microsoft.com/office/spreadsheetml/2009/9/main" objectType="CheckBox" fmlaLink="Ber_Lab_Neo!S26" lockText="1"/>
</file>

<file path=xl/ctrlProps/ctrlProp1268.xml><?xml version="1.0" encoding="utf-8"?>
<formControlPr xmlns="http://schemas.microsoft.com/office/spreadsheetml/2009/9/main" objectType="CheckBox" fmlaLink="Ber_Lab_Neo!S29" lockText="1"/>
</file>

<file path=xl/ctrlProps/ctrlProp1269.xml><?xml version="1.0" encoding="utf-8"?>
<formControlPr xmlns="http://schemas.microsoft.com/office/spreadsheetml/2009/9/main" objectType="CheckBox" fmlaLink="Ber_Lab_Neo!S18" lockText="1"/>
</file>

<file path=xl/ctrlProps/ctrlProp1270.xml><?xml version="1.0" encoding="utf-8"?>
<formControlPr xmlns="http://schemas.microsoft.com/office/spreadsheetml/2009/9/main" objectType="CheckBox" fmlaLink="Ber_Lab_Neo!S10" lockText="1"/>
</file>

<file path=xl/ctrlProps/ctrlProp1271.xml><?xml version="1.0" encoding="utf-8"?>
<formControlPr xmlns="http://schemas.microsoft.com/office/spreadsheetml/2009/9/main" objectType="CheckBox" fmlaLink="Ber_Lab_Neo!S31" lockText="1"/>
</file>

<file path=xl/ctrlProps/ctrlProp1272.xml><?xml version="1.0" encoding="utf-8"?>
<formControlPr xmlns="http://schemas.microsoft.com/office/spreadsheetml/2009/9/main" objectType="CheckBox" fmlaLink="Ber_Lab_Neo!S27" lockText="1"/>
</file>

<file path=xl/ctrlProps/ctrlProp1273.xml><?xml version="1.0" encoding="utf-8"?>
<formControlPr xmlns="http://schemas.microsoft.com/office/spreadsheetml/2009/9/main" objectType="Spin" dx="15" fmlaLink="dbBead!$H$2" max="200" min="25" page="10" val="8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8</xdr:row>
          <xdr:rowOff>47874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9</xdr:row>
          <xdr:rowOff>47874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10</xdr:row>
          <xdr:rowOff>47874</xdr:rowOff>
        </xdr:from>
        <xdr:to>
          <xdr:col>3</xdr:col>
          <xdr:colOff>0</xdr:colOff>
          <xdr:row>11</xdr:row>
          <xdr:rowOff>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11</xdr:row>
          <xdr:rowOff>47874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12</xdr:row>
          <xdr:rowOff>47874</xdr:rowOff>
        </xdr:from>
        <xdr:to>
          <xdr:col>3</xdr:col>
          <xdr:colOff>0</xdr:colOff>
          <xdr:row>13</xdr:row>
          <xdr:rowOff>0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13</xdr:row>
          <xdr:rowOff>47874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14</xdr:row>
          <xdr:rowOff>47874</xdr:rowOff>
        </xdr:from>
        <xdr:to>
          <xdr:col>3</xdr:col>
          <xdr:colOff>0</xdr:colOff>
          <xdr:row>15</xdr:row>
          <xdr:rowOff>0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15</xdr:row>
          <xdr:rowOff>47874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16</xdr:row>
          <xdr:rowOff>47874</xdr:rowOff>
        </xdr:from>
        <xdr:to>
          <xdr:col>3</xdr:col>
          <xdr:colOff>0</xdr:colOff>
          <xdr:row>17</xdr:row>
          <xdr:rowOff>0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8</xdr:row>
          <xdr:rowOff>19150</xdr:rowOff>
        </xdr:from>
        <xdr:to>
          <xdr:col>5</xdr:col>
          <xdr:colOff>722903</xdr:colOff>
          <xdr:row>8</xdr:row>
          <xdr:rowOff>239372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9</xdr:row>
          <xdr:rowOff>19150</xdr:rowOff>
        </xdr:from>
        <xdr:to>
          <xdr:col>5</xdr:col>
          <xdr:colOff>722903</xdr:colOff>
          <xdr:row>9</xdr:row>
          <xdr:rowOff>239372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10</xdr:row>
          <xdr:rowOff>19150</xdr:rowOff>
        </xdr:from>
        <xdr:to>
          <xdr:col>5</xdr:col>
          <xdr:colOff>722903</xdr:colOff>
          <xdr:row>10</xdr:row>
          <xdr:rowOff>239372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11</xdr:row>
          <xdr:rowOff>19150</xdr:rowOff>
        </xdr:from>
        <xdr:to>
          <xdr:col>5</xdr:col>
          <xdr:colOff>722903</xdr:colOff>
          <xdr:row>11</xdr:row>
          <xdr:rowOff>239372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12</xdr:row>
          <xdr:rowOff>19150</xdr:rowOff>
        </xdr:from>
        <xdr:to>
          <xdr:col>5</xdr:col>
          <xdr:colOff>722903</xdr:colOff>
          <xdr:row>12</xdr:row>
          <xdr:rowOff>239372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13</xdr:row>
          <xdr:rowOff>19150</xdr:rowOff>
        </xdr:from>
        <xdr:to>
          <xdr:col>5</xdr:col>
          <xdr:colOff>722903</xdr:colOff>
          <xdr:row>13</xdr:row>
          <xdr:rowOff>239372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14</xdr:row>
          <xdr:rowOff>19150</xdr:rowOff>
        </xdr:from>
        <xdr:to>
          <xdr:col>5</xdr:col>
          <xdr:colOff>722903</xdr:colOff>
          <xdr:row>14</xdr:row>
          <xdr:rowOff>239372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15</xdr:row>
          <xdr:rowOff>19150</xdr:rowOff>
        </xdr:from>
        <xdr:to>
          <xdr:col>5</xdr:col>
          <xdr:colOff>722903</xdr:colOff>
          <xdr:row>15</xdr:row>
          <xdr:rowOff>239372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16</xdr:row>
          <xdr:rowOff>19150</xdr:rowOff>
        </xdr:from>
        <xdr:to>
          <xdr:col>5</xdr:col>
          <xdr:colOff>722903</xdr:colOff>
          <xdr:row>16</xdr:row>
          <xdr:rowOff>239372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21</xdr:row>
          <xdr:rowOff>0</xdr:rowOff>
        </xdr:from>
        <xdr:to>
          <xdr:col>5</xdr:col>
          <xdr:colOff>665453</xdr:colOff>
          <xdr:row>21</xdr:row>
          <xdr:rowOff>220222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22</xdr:row>
          <xdr:rowOff>0</xdr:rowOff>
        </xdr:from>
        <xdr:to>
          <xdr:col>5</xdr:col>
          <xdr:colOff>665453</xdr:colOff>
          <xdr:row>22</xdr:row>
          <xdr:rowOff>220222</xdr:rowOff>
        </xdr:to>
        <xdr:sp macro="" textlink="">
          <xdr:nvSpPr>
            <xdr:cNvPr id="2085" name="Drop Down 37" hidden="1">
              <a:extLst>
                <a:ext uri="{63B3BB69-23CF-44E3-9099-C40C66FF867C}">
                  <a14:compatExt spid="_x0000_s2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23</xdr:row>
          <xdr:rowOff>0</xdr:rowOff>
        </xdr:from>
        <xdr:to>
          <xdr:col>5</xdr:col>
          <xdr:colOff>665453</xdr:colOff>
          <xdr:row>23</xdr:row>
          <xdr:rowOff>220222</xdr:rowOff>
        </xdr:to>
        <xdr:sp macro="" textlink="">
          <xdr:nvSpPr>
            <xdr:cNvPr id="2086" name="Drop Down 38" hidden="1">
              <a:extLst>
                <a:ext uri="{63B3BB69-23CF-44E3-9099-C40C66FF867C}">
                  <a14:compatExt spid="_x0000_s2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21</xdr:row>
          <xdr:rowOff>28725</xdr:rowOff>
        </xdr:from>
        <xdr:to>
          <xdr:col>4</xdr:col>
          <xdr:colOff>646304</xdr:colOff>
          <xdr:row>21</xdr:row>
          <xdr:rowOff>220222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22</xdr:row>
          <xdr:rowOff>0</xdr:rowOff>
        </xdr:from>
        <xdr:to>
          <xdr:col>5</xdr:col>
          <xdr:colOff>665453</xdr:colOff>
          <xdr:row>22</xdr:row>
          <xdr:rowOff>220222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22</xdr:row>
          <xdr:rowOff>28725</xdr:rowOff>
        </xdr:from>
        <xdr:to>
          <xdr:col>4</xdr:col>
          <xdr:colOff>646304</xdr:colOff>
          <xdr:row>22</xdr:row>
          <xdr:rowOff>220222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23</xdr:row>
          <xdr:rowOff>0</xdr:rowOff>
        </xdr:from>
        <xdr:to>
          <xdr:col>5</xdr:col>
          <xdr:colOff>665453</xdr:colOff>
          <xdr:row>23</xdr:row>
          <xdr:rowOff>220222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23</xdr:row>
          <xdr:rowOff>28725</xdr:rowOff>
        </xdr:from>
        <xdr:to>
          <xdr:col>4</xdr:col>
          <xdr:colOff>646304</xdr:colOff>
          <xdr:row>23</xdr:row>
          <xdr:rowOff>220222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21</xdr:row>
          <xdr:rowOff>19150</xdr:rowOff>
        </xdr:from>
        <xdr:to>
          <xdr:col>6</xdr:col>
          <xdr:colOff>962274</xdr:colOff>
          <xdr:row>21</xdr:row>
          <xdr:rowOff>210647</xdr:rowOff>
        </xdr:to>
        <xdr:sp macro="" textlink="">
          <xdr:nvSpPr>
            <xdr:cNvPr id="2115" name="Spinner 67" hidden="1">
              <a:extLst>
                <a:ext uri="{63B3BB69-23CF-44E3-9099-C40C66FF867C}">
                  <a14:compatExt spid="_x0000_s2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22</xdr:row>
          <xdr:rowOff>19150</xdr:rowOff>
        </xdr:from>
        <xdr:to>
          <xdr:col>6</xdr:col>
          <xdr:colOff>962274</xdr:colOff>
          <xdr:row>22</xdr:row>
          <xdr:rowOff>210647</xdr:rowOff>
        </xdr:to>
        <xdr:sp macro="" textlink="">
          <xdr:nvSpPr>
            <xdr:cNvPr id="2116" name="Spinner 68" hidden="1">
              <a:extLst>
                <a:ext uri="{63B3BB69-23CF-44E3-9099-C40C66FF867C}">
                  <a14:compatExt spid="_x0000_s2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23</xdr:row>
          <xdr:rowOff>19150</xdr:rowOff>
        </xdr:from>
        <xdr:to>
          <xdr:col>6</xdr:col>
          <xdr:colOff>962274</xdr:colOff>
          <xdr:row>23</xdr:row>
          <xdr:rowOff>210647</xdr:rowOff>
        </xdr:to>
        <xdr:sp macro="" textlink="">
          <xdr:nvSpPr>
            <xdr:cNvPr id="2117" name="Spinner 69" hidden="1">
              <a:extLst>
                <a:ext uri="{63B3BB69-23CF-44E3-9099-C40C66FF867C}">
                  <a14:compatExt spid="_x0000_s2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19</xdr:row>
          <xdr:rowOff>0</xdr:rowOff>
        </xdr:from>
        <xdr:to>
          <xdr:col>5</xdr:col>
          <xdr:colOff>665453</xdr:colOff>
          <xdr:row>19</xdr:row>
          <xdr:rowOff>220222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19</xdr:row>
          <xdr:rowOff>28725</xdr:rowOff>
        </xdr:from>
        <xdr:to>
          <xdr:col>4</xdr:col>
          <xdr:colOff>646304</xdr:colOff>
          <xdr:row>19</xdr:row>
          <xdr:rowOff>220222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19</xdr:row>
          <xdr:rowOff>19150</xdr:rowOff>
        </xdr:from>
        <xdr:to>
          <xdr:col>6</xdr:col>
          <xdr:colOff>962274</xdr:colOff>
          <xdr:row>19</xdr:row>
          <xdr:rowOff>210647</xdr:rowOff>
        </xdr:to>
        <xdr:sp macro="" textlink="">
          <xdr:nvSpPr>
            <xdr:cNvPr id="2120" name="Spinner 72" hidden="1">
              <a:extLst>
                <a:ext uri="{63B3BB69-23CF-44E3-9099-C40C66FF867C}">
                  <a14:compatExt spid="_x0000_s2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20</xdr:row>
          <xdr:rowOff>0</xdr:rowOff>
        </xdr:from>
        <xdr:to>
          <xdr:col>5</xdr:col>
          <xdr:colOff>665453</xdr:colOff>
          <xdr:row>20</xdr:row>
          <xdr:rowOff>220222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20</xdr:row>
          <xdr:rowOff>28725</xdr:rowOff>
        </xdr:from>
        <xdr:to>
          <xdr:col>4</xdr:col>
          <xdr:colOff>646304</xdr:colOff>
          <xdr:row>20</xdr:row>
          <xdr:rowOff>220222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20</xdr:row>
          <xdr:rowOff>19150</xdr:rowOff>
        </xdr:from>
        <xdr:to>
          <xdr:col>6</xdr:col>
          <xdr:colOff>962274</xdr:colOff>
          <xdr:row>20</xdr:row>
          <xdr:rowOff>210647</xdr:rowOff>
        </xdr:to>
        <xdr:sp macro="" textlink="">
          <xdr:nvSpPr>
            <xdr:cNvPr id="2123" name="Spinner 75" hidden="1">
              <a:extLst>
                <a:ext uri="{63B3BB69-23CF-44E3-9099-C40C66FF867C}">
                  <a14:compatExt spid="_x0000_s2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17</xdr:row>
          <xdr:rowOff>47874</xdr:rowOff>
        </xdr:from>
        <xdr:to>
          <xdr:col>3</xdr:col>
          <xdr:colOff>0</xdr:colOff>
          <xdr:row>18</xdr:row>
          <xdr:rowOff>0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17</xdr:row>
          <xdr:rowOff>19150</xdr:rowOff>
        </xdr:from>
        <xdr:to>
          <xdr:col>5</xdr:col>
          <xdr:colOff>722903</xdr:colOff>
          <xdr:row>17</xdr:row>
          <xdr:rowOff>239372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8</xdr:row>
          <xdr:rowOff>9575</xdr:rowOff>
        </xdr:from>
        <xdr:to>
          <xdr:col>7</xdr:col>
          <xdr:colOff>0</xdr:colOff>
          <xdr:row>8</xdr:row>
          <xdr:rowOff>220222</xdr:rowOff>
        </xdr:to>
        <xdr:sp macro="" textlink="">
          <xdr:nvSpPr>
            <xdr:cNvPr id="2126" name="Spinner 78" hidden="1">
              <a:extLst>
                <a:ext uri="{63B3BB69-23CF-44E3-9099-C40C66FF867C}">
                  <a14:compatExt spid="_x0000_s2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9</xdr:row>
          <xdr:rowOff>9575</xdr:rowOff>
        </xdr:from>
        <xdr:to>
          <xdr:col>7</xdr:col>
          <xdr:colOff>0</xdr:colOff>
          <xdr:row>9</xdr:row>
          <xdr:rowOff>220222</xdr:rowOff>
        </xdr:to>
        <xdr:sp macro="" textlink="">
          <xdr:nvSpPr>
            <xdr:cNvPr id="2127" name="Spinner 79" hidden="1">
              <a:extLst>
                <a:ext uri="{63B3BB69-23CF-44E3-9099-C40C66FF867C}">
                  <a14:compatExt spid="_x0000_s2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10</xdr:row>
          <xdr:rowOff>9575</xdr:rowOff>
        </xdr:from>
        <xdr:to>
          <xdr:col>7</xdr:col>
          <xdr:colOff>0</xdr:colOff>
          <xdr:row>10</xdr:row>
          <xdr:rowOff>220222</xdr:rowOff>
        </xdr:to>
        <xdr:sp macro="" textlink="">
          <xdr:nvSpPr>
            <xdr:cNvPr id="2128" name="Spinner 80" hidden="1">
              <a:extLst>
                <a:ext uri="{63B3BB69-23CF-44E3-9099-C40C66FF867C}">
                  <a14:compatExt spid="_x0000_s2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11</xdr:row>
          <xdr:rowOff>9575</xdr:rowOff>
        </xdr:from>
        <xdr:to>
          <xdr:col>7</xdr:col>
          <xdr:colOff>0</xdr:colOff>
          <xdr:row>11</xdr:row>
          <xdr:rowOff>220222</xdr:rowOff>
        </xdr:to>
        <xdr:sp macro="" textlink="">
          <xdr:nvSpPr>
            <xdr:cNvPr id="2129" name="Spinner 81" hidden="1">
              <a:extLst>
                <a:ext uri="{63B3BB69-23CF-44E3-9099-C40C66FF867C}">
                  <a14:compatExt spid="_x0000_s2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12</xdr:row>
          <xdr:rowOff>9575</xdr:rowOff>
        </xdr:from>
        <xdr:to>
          <xdr:col>7</xdr:col>
          <xdr:colOff>0</xdr:colOff>
          <xdr:row>12</xdr:row>
          <xdr:rowOff>220222</xdr:rowOff>
        </xdr:to>
        <xdr:sp macro="" textlink="">
          <xdr:nvSpPr>
            <xdr:cNvPr id="2130" name="Spinner 82" hidden="1">
              <a:extLst>
                <a:ext uri="{63B3BB69-23CF-44E3-9099-C40C66FF867C}">
                  <a14:compatExt spid="_x0000_s2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13</xdr:row>
          <xdr:rowOff>9575</xdr:rowOff>
        </xdr:from>
        <xdr:to>
          <xdr:col>7</xdr:col>
          <xdr:colOff>0</xdr:colOff>
          <xdr:row>13</xdr:row>
          <xdr:rowOff>220222</xdr:rowOff>
        </xdr:to>
        <xdr:sp macro="" textlink="">
          <xdr:nvSpPr>
            <xdr:cNvPr id="2131" name="Spinner 83" hidden="1">
              <a:extLst>
                <a:ext uri="{63B3BB69-23CF-44E3-9099-C40C66FF867C}">
                  <a14:compatExt spid="_x0000_s2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14</xdr:row>
          <xdr:rowOff>9575</xdr:rowOff>
        </xdr:from>
        <xdr:to>
          <xdr:col>7</xdr:col>
          <xdr:colOff>0</xdr:colOff>
          <xdr:row>14</xdr:row>
          <xdr:rowOff>220222</xdr:rowOff>
        </xdr:to>
        <xdr:sp macro="" textlink="">
          <xdr:nvSpPr>
            <xdr:cNvPr id="2132" name="Spinner 84" hidden="1">
              <a:extLst>
                <a:ext uri="{63B3BB69-23CF-44E3-9099-C40C66FF867C}">
                  <a14:compatExt spid="_x0000_s2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15</xdr:row>
          <xdr:rowOff>9575</xdr:rowOff>
        </xdr:from>
        <xdr:to>
          <xdr:col>7</xdr:col>
          <xdr:colOff>0</xdr:colOff>
          <xdr:row>15</xdr:row>
          <xdr:rowOff>220222</xdr:rowOff>
        </xdr:to>
        <xdr:sp macro="" textlink="">
          <xdr:nvSpPr>
            <xdr:cNvPr id="2133" name="Spinner 85" hidden="1">
              <a:extLst>
                <a:ext uri="{63B3BB69-23CF-44E3-9099-C40C66FF867C}">
                  <a14:compatExt spid="_x0000_s2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16</xdr:row>
          <xdr:rowOff>9575</xdr:rowOff>
        </xdr:from>
        <xdr:to>
          <xdr:col>7</xdr:col>
          <xdr:colOff>0</xdr:colOff>
          <xdr:row>16</xdr:row>
          <xdr:rowOff>220222</xdr:rowOff>
        </xdr:to>
        <xdr:sp macro="" textlink="">
          <xdr:nvSpPr>
            <xdr:cNvPr id="2134" name="Spinner 86" hidden="1">
              <a:extLst>
                <a:ext uri="{63B3BB69-23CF-44E3-9099-C40C66FF867C}">
                  <a14:compatExt spid="_x0000_s2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17</xdr:row>
          <xdr:rowOff>9575</xdr:rowOff>
        </xdr:from>
        <xdr:to>
          <xdr:col>7</xdr:col>
          <xdr:colOff>0</xdr:colOff>
          <xdr:row>17</xdr:row>
          <xdr:rowOff>220222</xdr:rowOff>
        </xdr:to>
        <xdr:sp macro="" textlink="">
          <xdr:nvSpPr>
            <xdr:cNvPr id="2135" name="Spinner 87" hidden="1">
              <a:extLst>
                <a:ext uri="{63B3BB69-23CF-44E3-9099-C40C66FF867C}">
                  <a14:compatExt spid="_x0000_s2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2</xdr:col>
      <xdr:colOff>9525</xdr:colOff>
      <xdr:row>19</xdr:row>
      <xdr:rowOff>0</xdr:rowOff>
    </xdr:from>
    <xdr:to>
      <xdr:col>2</xdr:col>
      <xdr:colOff>1114425</xdr:colOff>
      <xdr:row>19</xdr:row>
      <xdr:rowOff>238125</xdr:rowOff>
    </xdr:to>
    <xdr:sp macro="[0]!MedIV_11" textlink="">
      <xdr:nvSpPr>
        <xdr:cNvPr id="2154" name="Rectangle 106"/>
        <xdr:cNvSpPr>
          <a:spLocks noChangeArrowheads="1"/>
        </xdr:cNvSpPr>
      </xdr:nvSpPr>
      <xdr:spPr bwMode="auto">
        <a:xfrm>
          <a:off x="600075" y="38862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20</xdr:row>
      <xdr:rowOff>0</xdr:rowOff>
    </xdr:from>
    <xdr:to>
      <xdr:col>2</xdr:col>
      <xdr:colOff>1114425</xdr:colOff>
      <xdr:row>20</xdr:row>
      <xdr:rowOff>238125</xdr:rowOff>
    </xdr:to>
    <xdr:sp macro="[0]!MedIV_12" textlink="">
      <xdr:nvSpPr>
        <xdr:cNvPr id="2155" name="Rectangle 107"/>
        <xdr:cNvSpPr>
          <a:spLocks noChangeArrowheads="1"/>
        </xdr:cNvSpPr>
      </xdr:nvSpPr>
      <xdr:spPr bwMode="auto">
        <a:xfrm>
          <a:off x="600075" y="413385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21</xdr:row>
      <xdr:rowOff>0</xdr:rowOff>
    </xdr:from>
    <xdr:to>
      <xdr:col>2</xdr:col>
      <xdr:colOff>1114425</xdr:colOff>
      <xdr:row>21</xdr:row>
      <xdr:rowOff>238125</xdr:rowOff>
    </xdr:to>
    <xdr:sp macro="[0]!MedIV_13" textlink="">
      <xdr:nvSpPr>
        <xdr:cNvPr id="2156" name="Rectangle 108"/>
        <xdr:cNvSpPr>
          <a:spLocks noChangeArrowheads="1"/>
        </xdr:cNvSpPr>
      </xdr:nvSpPr>
      <xdr:spPr bwMode="auto">
        <a:xfrm>
          <a:off x="600075" y="43815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22</xdr:row>
      <xdr:rowOff>0</xdr:rowOff>
    </xdr:from>
    <xdr:to>
      <xdr:col>2</xdr:col>
      <xdr:colOff>1114425</xdr:colOff>
      <xdr:row>22</xdr:row>
      <xdr:rowOff>238125</xdr:rowOff>
    </xdr:to>
    <xdr:sp macro="[0]!MedIV_14" textlink="">
      <xdr:nvSpPr>
        <xdr:cNvPr id="2157" name="Rectangle 109"/>
        <xdr:cNvSpPr>
          <a:spLocks noChangeArrowheads="1"/>
        </xdr:cNvSpPr>
      </xdr:nvSpPr>
      <xdr:spPr bwMode="auto">
        <a:xfrm>
          <a:off x="600075" y="462915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23</xdr:row>
      <xdr:rowOff>0</xdr:rowOff>
    </xdr:from>
    <xdr:to>
      <xdr:col>2</xdr:col>
      <xdr:colOff>1114425</xdr:colOff>
      <xdr:row>23</xdr:row>
      <xdr:rowOff>238125</xdr:rowOff>
    </xdr:to>
    <xdr:sp macro="[0]!MedIV_15" textlink="">
      <xdr:nvSpPr>
        <xdr:cNvPr id="2158" name="Rectangle 110"/>
        <xdr:cNvSpPr>
          <a:spLocks noChangeArrowheads="1"/>
        </xdr:cNvSpPr>
      </xdr:nvSpPr>
      <xdr:spPr bwMode="auto">
        <a:xfrm>
          <a:off x="600075" y="48768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636729</xdr:colOff>
          <xdr:row>2</xdr:row>
          <xdr:rowOff>57449</xdr:rowOff>
        </xdr:from>
        <xdr:to>
          <xdr:col>10</xdr:col>
          <xdr:colOff>799502</xdr:colOff>
          <xdr:row>3</xdr:row>
          <xdr:rowOff>9575</xdr:rowOff>
        </xdr:to>
        <xdr:sp macro="" textlink="">
          <xdr:nvSpPr>
            <xdr:cNvPr id="2160" name="Spinner 112" hidden="1">
              <a:extLst>
                <a:ext uri="{63B3BB69-23CF-44E3-9099-C40C66FF867C}">
                  <a14:compatExt spid="_x0000_s21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9</xdr:col>
      <xdr:colOff>19050</xdr:colOff>
      <xdr:row>1</xdr:row>
      <xdr:rowOff>47625</xdr:rowOff>
    </xdr:from>
    <xdr:to>
      <xdr:col>10</xdr:col>
      <xdr:colOff>0</xdr:colOff>
      <xdr:row>2</xdr:row>
      <xdr:rowOff>9525</xdr:rowOff>
    </xdr:to>
    <xdr:sp macro="[0]!InGewicht" textlink="">
      <xdr:nvSpPr>
        <xdr:cNvPr id="2161" name="Rectangle 113"/>
        <xdr:cNvSpPr>
          <a:spLocks noChangeArrowheads="1"/>
        </xdr:cNvSpPr>
      </xdr:nvSpPr>
      <xdr:spPr bwMode="auto">
        <a:xfrm>
          <a:off x="7229475" y="361950"/>
          <a:ext cx="8667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9</xdr:col>
      <xdr:colOff>609600</xdr:colOff>
      <xdr:row>2</xdr:row>
      <xdr:rowOff>171450</xdr:rowOff>
    </xdr:to>
    <xdr:sp macro="[0]!InLengte" textlink="">
      <xdr:nvSpPr>
        <xdr:cNvPr id="2162" name="Rectangle 114"/>
        <xdr:cNvSpPr>
          <a:spLocks noChangeArrowheads="1"/>
        </xdr:cNvSpPr>
      </xdr:nvSpPr>
      <xdr:spPr bwMode="auto">
        <a:xfrm>
          <a:off x="7886700" y="333375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2163" name="Rectangle 115"/>
        <xdr:cNvSpPr>
          <a:spLocks noChangeArrowheads="1"/>
        </xdr:cNvSpPr>
      </xdr:nvSpPr>
      <xdr:spPr bwMode="auto">
        <a:xfrm flipV="1">
          <a:off x="1714500" y="314325"/>
          <a:ext cx="16383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228600</xdr:colOff>
      <xdr:row>31</xdr:row>
      <xdr:rowOff>9525</xdr:rowOff>
    </xdr:from>
    <xdr:to>
      <xdr:col>10</xdr:col>
      <xdr:colOff>695325</xdr:colOff>
      <xdr:row>35</xdr:row>
      <xdr:rowOff>152400</xdr:rowOff>
    </xdr:to>
    <xdr:sp macro="[0]!opmAfsprMedIV_1" textlink="">
      <xdr:nvSpPr>
        <xdr:cNvPr id="2164" name="Rectangle 116"/>
        <xdr:cNvSpPr>
          <a:spLocks noChangeArrowheads="1"/>
        </xdr:cNvSpPr>
      </xdr:nvSpPr>
      <xdr:spPr bwMode="auto">
        <a:xfrm>
          <a:off x="581025" y="6267450"/>
          <a:ext cx="7258050" cy="790575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190500</xdr:colOff>
      <xdr:row>5</xdr:row>
      <xdr:rowOff>133350</xdr:rowOff>
    </xdr:from>
    <xdr:to>
      <xdr:col>2</xdr:col>
      <xdr:colOff>828675</xdr:colOff>
      <xdr:row>7</xdr:row>
      <xdr:rowOff>9525</xdr:rowOff>
    </xdr:to>
    <xdr:sp macro="[0]!gaNaarContinueMedicatie" textlink="">
      <xdr:nvSpPr>
        <xdr:cNvPr id="2165" name="Rectangle 117"/>
        <xdr:cNvSpPr>
          <a:spLocks noChangeArrowheads="1"/>
        </xdr:cNvSpPr>
      </xdr:nvSpPr>
      <xdr:spPr bwMode="auto">
        <a:xfrm>
          <a:off x="542925" y="8858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8</xdr:row>
          <xdr:rowOff>9575</xdr:rowOff>
        </xdr:from>
        <xdr:to>
          <xdr:col>5</xdr:col>
          <xdr:colOff>0</xdr:colOff>
          <xdr:row>8</xdr:row>
          <xdr:rowOff>220222</xdr:rowOff>
        </xdr:to>
        <xdr:sp macro="" textlink="">
          <xdr:nvSpPr>
            <xdr:cNvPr id="2" name="Spinner 113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9</xdr:row>
          <xdr:rowOff>9575</xdr:rowOff>
        </xdr:from>
        <xdr:to>
          <xdr:col>5</xdr:col>
          <xdr:colOff>0</xdr:colOff>
          <xdr:row>9</xdr:row>
          <xdr:rowOff>220222</xdr:rowOff>
        </xdr:to>
        <xdr:sp macro="" textlink="">
          <xdr:nvSpPr>
            <xdr:cNvPr id="3" name="Spinner 114" hidden="1">
              <a:extLst>
                <a:ext uri="{63B3BB69-23CF-44E3-9099-C40C66FF867C}">
                  <a14:compatExt spid="_x0000_s2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10</xdr:row>
          <xdr:rowOff>9575</xdr:rowOff>
        </xdr:from>
        <xdr:to>
          <xdr:col>5</xdr:col>
          <xdr:colOff>0</xdr:colOff>
          <xdr:row>10</xdr:row>
          <xdr:rowOff>220222</xdr:rowOff>
        </xdr:to>
        <xdr:sp macro="" textlink="">
          <xdr:nvSpPr>
            <xdr:cNvPr id="4" name="Spinner 115" hidden="1">
              <a:extLst>
                <a:ext uri="{63B3BB69-23CF-44E3-9099-C40C66FF867C}">
                  <a14:compatExt spid="_x0000_s2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11</xdr:row>
          <xdr:rowOff>9575</xdr:rowOff>
        </xdr:from>
        <xdr:to>
          <xdr:col>5</xdr:col>
          <xdr:colOff>0</xdr:colOff>
          <xdr:row>11</xdr:row>
          <xdr:rowOff>220222</xdr:rowOff>
        </xdr:to>
        <xdr:sp macro="" textlink="">
          <xdr:nvSpPr>
            <xdr:cNvPr id="5" name="Spinner 116" hidden="1">
              <a:extLst>
                <a:ext uri="{63B3BB69-23CF-44E3-9099-C40C66FF867C}">
                  <a14:compatExt spid="_x0000_s2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12</xdr:row>
          <xdr:rowOff>9575</xdr:rowOff>
        </xdr:from>
        <xdr:to>
          <xdr:col>5</xdr:col>
          <xdr:colOff>0</xdr:colOff>
          <xdr:row>12</xdr:row>
          <xdr:rowOff>220222</xdr:rowOff>
        </xdr:to>
        <xdr:sp macro="" textlink="">
          <xdr:nvSpPr>
            <xdr:cNvPr id="6" name="Spinner 117" hidden="1">
              <a:extLst>
                <a:ext uri="{63B3BB69-23CF-44E3-9099-C40C66FF867C}">
                  <a14:compatExt spid="_x0000_s21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13</xdr:row>
          <xdr:rowOff>9575</xdr:rowOff>
        </xdr:from>
        <xdr:to>
          <xdr:col>5</xdr:col>
          <xdr:colOff>0</xdr:colOff>
          <xdr:row>13</xdr:row>
          <xdr:rowOff>220222</xdr:rowOff>
        </xdr:to>
        <xdr:sp macro="" textlink="">
          <xdr:nvSpPr>
            <xdr:cNvPr id="2166" name="Spinner 118" hidden="1">
              <a:extLst>
                <a:ext uri="{63B3BB69-23CF-44E3-9099-C40C66FF867C}">
                  <a14:compatExt spid="_x0000_s21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14</xdr:row>
          <xdr:rowOff>9575</xdr:rowOff>
        </xdr:from>
        <xdr:to>
          <xdr:col>5</xdr:col>
          <xdr:colOff>0</xdr:colOff>
          <xdr:row>14</xdr:row>
          <xdr:rowOff>220222</xdr:rowOff>
        </xdr:to>
        <xdr:sp macro="" textlink="">
          <xdr:nvSpPr>
            <xdr:cNvPr id="2167" name="Spinner 119" hidden="1">
              <a:extLst>
                <a:ext uri="{63B3BB69-23CF-44E3-9099-C40C66FF867C}">
                  <a14:compatExt spid="_x0000_s21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15</xdr:row>
          <xdr:rowOff>9575</xdr:rowOff>
        </xdr:from>
        <xdr:to>
          <xdr:col>5</xdr:col>
          <xdr:colOff>0</xdr:colOff>
          <xdr:row>15</xdr:row>
          <xdr:rowOff>220222</xdr:rowOff>
        </xdr:to>
        <xdr:sp macro="" textlink="">
          <xdr:nvSpPr>
            <xdr:cNvPr id="2168" name="Spinner 120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16</xdr:row>
          <xdr:rowOff>9575</xdr:rowOff>
        </xdr:from>
        <xdr:to>
          <xdr:col>5</xdr:col>
          <xdr:colOff>0</xdr:colOff>
          <xdr:row>16</xdr:row>
          <xdr:rowOff>220222</xdr:rowOff>
        </xdr:to>
        <xdr:sp macro="" textlink="">
          <xdr:nvSpPr>
            <xdr:cNvPr id="2169" name="Spinner 121" hidden="1">
              <a:extLst>
                <a:ext uri="{63B3BB69-23CF-44E3-9099-C40C66FF867C}">
                  <a14:compatExt spid="_x0000_s2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17</xdr:row>
          <xdr:rowOff>9575</xdr:rowOff>
        </xdr:from>
        <xdr:to>
          <xdr:col>5</xdr:col>
          <xdr:colOff>0</xdr:colOff>
          <xdr:row>17</xdr:row>
          <xdr:rowOff>220222</xdr:rowOff>
        </xdr:to>
        <xdr:sp macro="" textlink="">
          <xdr:nvSpPr>
            <xdr:cNvPr id="2170" name="Spinner 122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8</xdr:row>
          <xdr:rowOff>28725</xdr:rowOff>
        </xdr:from>
        <xdr:to>
          <xdr:col>4</xdr:col>
          <xdr:colOff>0</xdr:colOff>
          <xdr:row>8</xdr:row>
          <xdr:rowOff>239372</xdr:rowOff>
        </xdr:to>
        <xdr:sp macro="" textlink="">
          <xdr:nvSpPr>
            <xdr:cNvPr id="2171" name="Spinner 123" hidden="1">
              <a:extLst>
                <a:ext uri="{63B3BB69-23CF-44E3-9099-C40C66FF867C}">
                  <a14:compatExt spid="_x0000_s2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9</xdr:row>
          <xdr:rowOff>28725</xdr:rowOff>
        </xdr:from>
        <xdr:to>
          <xdr:col>4</xdr:col>
          <xdr:colOff>0</xdr:colOff>
          <xdr:row>9</xdr:row>
          <xdr:rowOff>239372</xdr:rowOff>
        </xdr:to>
        <xdr:sp macro="" textlink="">
          <xdr:nvSpPr>
            <xdr:cNvPr id="2172" name="Spinner 124" hidden="1">
              <a:extLst>
                <a:ext uri="{63B3BB69-23CF-44E3-9099-C40C66FF867C}">
                  <a14:compatExt spid="_x0000_s2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10</xdr:row>
          <xdr:rowOff>28725</xdr:rowOff>
        </xdr:from>
        <xdr:to>
          <xdr:col>4</xdr:col>
          <xdr:colOff>0</xdr:colOff>
          <xdr:row>10</xdr:row>
          <xdr:rowOff>239372</xdr:rowOff>
        </xdr:to>
        <xdr:sp macro="" textlink="">
          <xdr:nvSpPr>
            <xdr:cNvPr id="2173" name="Spinner 125" hidden="1">
              <a:extLst>
                <a:ext uri="{63B3BB69-23CF-44E3-9099-C40C66FF867C}">
                  <a14:compatExt spid="_x0000_s2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11</xdr:row>
          <xdr:rowOff>28725</xdr:rowOff>
        </xdr:from>
        <xdr:to>
          <xdr:col>4</xdr:col>
          <xdr:colOff>0</xdr:colOff>
          <xdr:row>11</xdr:row>
          <xdr:rowOff>239372</xdr:rowOff>
        </xdr:to>
        <xdr:sp macro="" textlink="">
          <xdr:nvSpPr>
            <xdr:cNvPr id="2174" name="Spinner 126" hidden="1">
              <a:extLst>
                <a:ext uri="{63B3BB69-23CF-44E3-9099-C40C66FF867C}">
                  <a14:compatExt spid="_x0000_s2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12</xdr:row>
          <xdr:rowOff>28725</xdr:rowOff>
        </xdr:from>
        <xdr:to>
          <xdr:col>4</xdr:col>
          <xdr:colOff>0</xdr:colOff>
          <xdr:row>12</xdr:row>
          <xdr:rowOff>239372</xdr:rowOff>
        </xdr:to>
        <xdr:sp macro="" textlink="">
          <xdr:nvSpPr>
            <xdr:cNvPr id="2175" name="Spinner 127" hidden="1">
              <a:extLst>
                <a:ext uri="{63B3BB69-23CF-44E3-9099-C40C66FF867C}">
                  <a14:compatExt spid="_x0000_s2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13</xdr:row>
          <xdr:rowOff>28725</xdr:rowOff>
        </xdr:from>
        <xdr:to>
          <xdr:col>4</xdr:col>
          <xdr:colOff>0</xdr:colOff>
          <xdr:row>13</xdr:row>
          <xdr:rowOff>239372</xdr:rowOff>
        </xdr:to>
        <xdr:sp macro="" textlink="">
          <xdr:nvSpPr>
            <xdr:cNvPr id="2176" name="Spinner 128" hidden="1">
              <a:extLst>
                <a:ext uri="{63B3BB69-23CF-44E3-9099-C40C66FF867C}">
                  <a14:compatExt spid="_x0000_s2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14</xdr:row>
          <xdr:rowOff>28725</xdr:rowOff>
        </xdr:from>
        <xdr:to>
          <xdr:col>4</xdr:col>
          <xdr:colOff>0</xdr:colOff>
          <xdr:row>14</xdr:row>
          <xdr:rowOff>239372</xdr:rowOff>
        </xdr:to>
        <xdr:sp macro="" textlink="">
          <xdr:nvSpPr>
            <xdr:cNvPr id="2177" name="Spinner 129" hidden="1">
              <a:extLst>
                <a:ext uri="{63B3BB69-23CF-44E3-9099-C40C66FF867C}">
                  <a14:compatExt spid="_x0000_s2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15</xdr:row>
          <xdr:rowOff>28725</xdr:rowOff>
        </xdr:from>
        <xdr:to>
          <xdr:col>4</xdr:col>
          <xdr:colOff>0</xdr:colOff>
          <xdr:row>15</xdr:row>
          <xdr:rowOff>239372</xdr:rowOff>
        </xdr:to>
        <xdr:sp macro="" textlink="">
          <xdr:nvSpPr>
            <xdr:cNvPr id="2178" name="Spinner 130" hidden="1">
              <a:extLst>
                <a:ext uri="{63B3BB69-23CF-44E3-9099-C40C66FF867C}">
                  <a14:compatExt spid="_x0000_s2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16</xdr:row>
          <xdr:rowOff>28725</xdr:rowOff>
        </xdr:from>
        <xdr:to>
          <xdr:col>4</xdr:col>
          <xdr:colOff>0</xdr:colOff>
          <xdr:row>16</xdr:row>
          <xdr:rowOff>239372</xdr:rowOff>
        </xdr:to>
        <xdr:sp macro="" textlink="">
          <xdr:nvSpPr>
            <xdr:cNvPr id="2179" name="Spinner 131" hidden="1">
              <a:extLst>
                <a:ext uri="{63B3BB69-23CF-44E3-9099-C40C66FF867C}">
                  <a14:compatExt spid="_x0000_s2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17</xdr:row>
          <xdr:rowOff>28725</xdr:rowOff>
        </xdr:from>
        <xdr:to>
          <xdr:col>4</xdr:col>
          <xdr:colOff>0</xdr:colOff>
          <xdr:row>17</xdr:row>
          <xdr:rowOff>239372</xdr:rowOff>
        </xdr:to>
        <xdr:sp macro="" textlink="">
          <xdr:nvSpPr>
            <xdr:cNvPr id="2180" name="Spinner 132" hidden="1">
              <a:extLst>
                <a:ext uri="{63B3BB69-23CF-44E3-9099-C40C66FF867C}">
                  <a14:compatExt spid="_x0000_s2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8</xdr:row>
          <xdr:rowOff>57449</xdr:rowOff>
        </xdr:from>
        <xdr:to>
          <xdr:col>1</xdr:col>
          <xdr:colOff>28725</xdr:colOff>
          <xdr:row>8</xdr:row>
          <xdr:rowOff>210647</xdr:rowOff>
        </xdr:to>
        <xdr:sp macro="" textlink="">
          <xdr:nvSpPr>
            <xdr:cNvPr id="2181" name="Button 133" hidden="1">
              <a:extLst>
                <a:ext uri="{63B3BB69-23CF-44E3-9099-C40C66FF867C}">
                  <a14:compatExt spid="_x0000_s21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9</xdr:row>
          <xdr:rowOff>47874</xdr:rowOff>
        </xdr:from>
        <xdr:to>
          <xdr:col>1</xdr:col>
          <xdr:colOff>28725</xdr:colOff>
          <xdr:row>9</xdr:row>
          <xdr:rowOff>201072</xdr:rowOff>
        </xdr:to>
        <xdr:sp macro="" textlink="">
          <xdr:nvSpPr>
            <xdr:cNvPr id="2182" name="Button 134" hidden="1">
              <a:extLst>
                <a:ext uri="{63B3BB69-23CF-44E3-9099-C40C66FF867C}">
                  <a14:compatExt spid="_x0000_s2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10</xdr:row>
          <xdr:rowOff>57449</xdr:rowOff>
        </xdr:from>
        <xdr:to>
          <xdr:col>1</xdr:col>
          <xdr:colOff>28725</xdr:colOff>
          <xdr:row>10</xdr:row>
          <xdr:rowOff>210647</xdr:rowOff>
        </xdr:to>
        <xdr:sp macro="" textlink="">
          <xdr:nvSpPr>
            <xdr:cNvPr id="2183" name="Button 135" hidden="1">
              <a:extLst>
                <a:ext uri="{63B3BB69-23CF-44E3-9099-C40C66FF867C}">
                  <a14:compatExt spid="_x0000_s2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11</xdr:row>
          <xdr:rowOff>57449</xdr:rowOff>
        </xdr:from>
        <xdr:to>
          <xdr:col>1</xdr:col>
          <xdr:colOff>28725</xdr:colOff>
          <xdr:row>11</xdr:row>
          <xdr:rowOff>210647</xdr:rowOff>
        </xdr:to>
        <xdr:sp macro="" textlink="">
          <xdr:nvSpPr>
            <xdr:cNvPr id="2184" name="Button 136" hidden="1">
              <a:extLst>
                <a:ext uri="{63B3BB69-23CF-44E3-9099-C40C66FF867C}">
                  <a14:compatExt spid="_x0000_s21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12</xdr:row>
          <xdr:rowOff>57449</xdr:rowOff>
        </xdr:from>
        <xdr:to>
          <xdr:col>1</xdr:col>
          <xdr:colOff>28725</xdr:colOff>
          <xdr:row>12</xdr:row>
          <xdr:rowOff>210647</xdr:rowOff>
        </xdr:to>
        <xdr:sp macro="" textlink="">
          <xdr:nvSpPr>
            <xdr:cNvPr id="2185" name="Button 137" hidden="1">
              <a:extLst>
                <a:ext uri="{63B3BB69-23CF-44E3-9099-C40C66FF867C}">
                  <a14:compatExt spid="_x0000_s2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13</xdr:row>
          <xdr:rowOff>57449</xdr:rowOff>
        </xdr:from>
        <xdr:to>
          <xdr:col>1</xdr:col>
          <xdr:colOff>28725</xdr:colOff>
          <xdr:row>13</xdr:row>
          <xdr:rowOff>210647</xdr:rowOff>
        </xdr:to>
        <xdr:sp macro="" textlink="">
          <xdr:nvSpPr>
            <xdr:cNvPr id="2186" name="Button 138" hidden="1">
              <a:extLst>
                <a:ext uri="{63B3BB69-23CF-44E3-9099-C40C66FF867C}">
                  <a14:compatExt spid="_x0000_s2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14</xdr:row>
          <xdr:rowOff>57449</xdr:rowOff>
        </xdr:from>
        <xdr:to>
          <xdr:col>1</xdr:col>
          <xdr:colOff>28725</xdr:colOff>
          <xdr:row>14</xdr:row>
          <xdr:rowOff>210647</xdr:rowOff>
        </xdr:to>
        <xdr:sp macro="" textlink="">
          <xdr:nvSpPr>
            <xdr:cNvPr id="2187" name="Button 139" hidden="1">
              <a:extLst>
                <a:ext uri="{63B3BB69-23CF-44E3-9099-C40C66FF867C}">
                  <a14:compatExt spid="_x0000_s2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15</xdr:row>
          <xdr:rowOff>57449</xdr:rowOff>
        </xdr:from>
        <xdr:to>
          <xdr:col>1</xdr:col>
          <xdr:colOff>28725</xdr:colOff>
          <xdr:row>15</xdr:row>
          <xdr:rowOff>210647</xdr:rowOff>
        </xdr:to>
        <xdr:sp macro="" textlink="">
          <xdr:nvSpPr>
            <xdr:cNvPr id="2188" name="Button 140" hidden="1">
              <a:extLst>
                <a:ext uri="{63B3BB69-23CF-44E3-9099-C40C66FF867C}">
                  <a14:compatExt spid="_x0000_s2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16</xdr:row>
          <xdr:rowOff>57449</xdr:rowOff>
        </xdr:from>
        <xdr:to>
          <xdr:col>1</xdr:col>
          <xdr:colOff>28725</xdr:colOff>
          <xdr:row>16</xdr:row>
          <xdr:rowOff>210647</xdr:rowOff>
        </xdr:to>
        <xdr:sp macro="" textlink="">
          <xdr:nvSpPr>
            <xdr:cNvPr id="2189" name="Button 141" hidden="1">
              <a:extLst>
                <a:ext uri="{63B3BB69-23CF-44E3-9099-C40C66FF867C}">
                  <a14:compatExt spid="_x0000_s2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17</xdr:row>
          <xdr:rowOff>57449</xdr:rowOff>
        </xdr:from>
        <xdr:to>
          <xdr:col>1</xdr:col>
          <xdr:colOff>28725</xdr:colOff>
          <xdr:row>17</xdr:row>
          <xdr:rowOff>210647</xdr:rowOff>
        </xdr:to>
        <xdr:sp macro="" textlink="">
          <xdr:nvSpPr>
            <xdr:cNvPr id="2190" name="Button 142" hidden="1">
              <a:extLst>
                <a:ext uri="{63B3BB69-23CF-44E3-9099-C40C66FF867C}">
                  <a14:compatExt spid="_x0000_s21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8</xdr:row>
      <xdr:rowOff>38101</xdr:rowOff>
    </xdr:from>
    <xdr:to>
      <xdr:col>3</xdr:col>
      <xdr:colOff>762000</xdr:colOff>
      <xdr:row>9</xdr:row>
      <xdr:rowOff>1</xdr:rowOff>
    </xdr:to>
    <xdr:sp macro="[0]!PedMed1Sterkte" textlink="">
      <xdr:nvSpPr>
        <xdr:cNvPr id="96" name="Rectangle 142"/>
        <xdr:cNvSpPr>
          <a:spLocks noChangeArrowheads="1"/>
        </xdr:cNvSpPr>
      </xdr:nvSpPr>
      <xdr:spPr bwMode="auto">
        <a:xfrm>
          <a:off x="2686050" y="1419226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9</xdr:row>
      <xdr:rowOff>38100</xdr:rowOff>
    </xdr:from>
    <xdr:to>
      <xdr:col>3</xdr:col>
      <xdr:colOff>762000</xdr:colOff>
      <xdr:row>10</xdr:row>
      <xdr:rowOff>0</xdr:rowOff>
    </xdr:to>
    <xdr:sp macro="[0]!PedMed2Sterkte" textlink="">
      <xdr:nvSpPr>
        <xdr:cNvPr id="91" name="Rectangle 142"/>
        <xdr:cNvSpPr>
          <a:spLocks noChangeArrowheads="1"/>
        </xdr:cNvSpPr>
      </xdr:nvSpPr>
      <xdr:spPr bwMode="auto">
        <a:xfrm>
          <a:off x="2686050" y="1666875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10</xdr:row>
      <xdr:rowOff>28575</xdr:rowOff>
    </xdr:from>
    <xdr:to>
      <xdr:col>3</xdr:col>
      <xdr:colOff>762000</xdr:colOff>
      <xdr:row>10</xdr:row>
      <xdr:rowOff>238125</xdr:rowOff>
    </xdr:to>
    <xdr:sp macro="[0]!PedMed3Sterkte" textlink="">
      <xdr:nvSpPr>
        <xdr:cNvPr id="93" name="Rectangle 142"/>
        <xdr:cNvSpPr>
          <a:spLocks noChangeArrowheads="1"/>
        </xdr:cNvSpPr>
      </xdr:nvSpPr>
      <xdr:spPr bwMode="auto">
        <a:xfrm>
          <a:off x="2686050" y="1905000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11</xdr:row>
      <xdr:rowOff>38100</xdr:rowOff>
    </xdr:from>
    <xdr:to>
      <xdr:col>3</xdr:col>
      <xdr:colOff>781050</xdr:colOff>
      <xdr:row>12</xdr:row>
      <xdr:rowOff>0</xdr:rowOff>
    </xdr:to>
    <xdr:sp macro="[0]!PedMed4Sterkte" textlink="">
      <xdr:nvSpPr>
        <xdr:cNvPr id="95" name="Rectangle 142"/>
        <xdr:cNvSpPr>
          <a:spLocks noChangeArrowheads="1"/>
        </xdr:cNvSpPr>
      </xdr:nvSpPr>
      <xdr:spPr bwMode="auto">
        <a:xfrm>
          <a:off x="2705100" y="2162175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12</xdr:row>
      <xdr:rowOff>38100</xdr:rowOff>
    </xdr:from>
    <xdr:to>
      <xdr:col>3</xdr:col>
      <xdr:colOff>762000</xdr:colOff>
      <xdr:row>13</xdr:row>
      <xdr:rowOff>0</xdr:rowOff>
    </xdr:to>
    <xdr:sp macro="[0]!PedMed5Sterkte" textlink="">
      <xdr:nvSpPr>
        <xdr:cNvPr id="97" name="Rectangle 142"/>
        <xdr:cNvSpPr>
          <a:spLocks noChangeArrowheads="1"/>
        </xdr:cNvSpPr>
      </xdr:nvSpPr>
      <xdr:spPr bwMode="auto">
        <a:xfrm>
          <a:off x="2686050" y="2409825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13</xdr:row>
      <xdr:rowOff>38100</xdr:rowOff>
    </xdr:from>
    <xdr:to>
      <xdr:col>3</xdr:col>
      <xdr:colOff>762000</xdr:colOff>
      <xdr:row>14</xdr:row>
      <xdr:rowOff>0</xdr:rowOff>
    </xdr:to>
    <xdr:sp macro="[0]!PedMed6Sterkte" textlink="">
      <xdr:nvSpPr>
        <xdr:cNvPr id="99" name="Rectangle 142"/>
        <xdr:cNvSpPr>
          <a:spLocks noChangeArrowheads="1"/>
        </xdr:cNvSpPr>
      </xdr:nvSpPr>
      <xdr:spPr bwMode="auto">
        <a:xfrm>
          <a:off x="2686050" y="2657475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1790700</xdr:colOff>
      <xdr:row>14</xdr:row>
      <xdr:rowOff>28575</xdr:rowOff>
    </xdr:from>
    <xdr:to>
      <xdr:col>3</xdr:col>
      <xdr:colOff>752475</xdr:colOff>
      <xdr:row>14</xdr:row>
      <xdr:rowOff>238125</xdr:rowOff>
    </xdr:to>
    <xdr:sp macro="[0]!PedMed7Sterkte" textlink="">
      <xdr:nvSpPr>
        <xdr:cNvPr id="100" name="Rectangle 142"/>
        <xdr:cNvSpPr>
          <a:spLocks noChangeArrowheads="1"/>
        </xdr:cNvSpPr>
      </xdr:nvSpPr>
      <xdr:spPr bwMode="auto">
        <a:xfrm>
          <a:off x="2676525" y="2895600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15</xdr:row>
      <xdr:rowOff>38100</xdr:rowOff>
    </xdr:from>
    <xdr:to>
      <xdr:col>3</xdr:col>
      <xdr:colOff>762000</xdr:colOff>
      <xdr:row>16</xdr:row>
      <xdr:rowOff>0</xdr:rowOff>
    </xdr:to>
    <xdr:sp macro="[0]!PedMed8Sterkte" textlink="">
      <xdr:nvSpPr>
        <xdr:cNvPr id="101" name="Rectangle 142"/>
        <xdr:cNvSpPr>
          <a:spLocks noChangeArrowheads="1"/>
        </xdr:cNvSpPr>
      </xdr:nvSpPr>
      <xdr:spPr bwMode="auto">
        <a:xfrm>
          <a:off x="2686050" y="3152775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16</xdr:row>
      <xdr:rowOff>28575</xdr:rowOff>
    </xdr:from>
    <xdr:to>
      <xdr:col>3</xdr:col>
      <xdr:colOff>762000</xdr:colOff>
      <xdr:row>16</xdr:row>
      <xdr:rowOff>238125</xdr:rowOff>
    </xdr:to>
    <xdr:sp macro="[0]!PedMed9Sterkte" textlink="">
      <xdr:nvSpPr>
        <xdr:cNvPr id="102" name="Rectangle 142"/>
        <xdr:cNvSpPr>
          <a:spLocks noChangeArrowheads="1"/>
        </xdr:cNvSpPr>
      </xdr:nvSpPr>
      <xdr:spPr bwMode="auto">
        <a:xfrm>
          <a:off x="2686050" y="3390900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17</xdr:row>
      <xdr:rowOff>28575</xdr:rowOff>
    </xdr:from>
    <xdr:to>
      <xdr:col>3</xdr:col>
      <xdr:colOff>762000</xdr:colOff>
      <xdr:row>17</xdr:row>
      <xdr:rowOff>238125</xdr:rowOff>
    </xdr:to>
    <xdr:sp macro="[0]!PedMed10Sterkte" textlink="">
      <xdr:nvSpPr>
        <xdr:cNvPr id="104" name="Rectangle 142"/>
        <xdr:cNvSpPr>
          <a:spLocks noChangeArrowheads="1"/>
        </xdr:cNvSpPr>
      </xdr:nvSpPr>
      <xdr:spPr bwMode="auto">
        <a:xfrm>
          <a:off x="2686050" y="3638550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8</xdr:row>
      <xdr:rowOff>57150</xdr:rowOff>
    </xdr:from>
    <xdr:to>
      <xdr:col>4</xdr:col>
      <xdr:colOff>590550</xdr:colOff>
      <xdr:row>8</xdr:row>
      <xdr:rowOff>238125</xdr:rowOff>
    </xdr:to>
    <xdr:sp macro="[0]!PedMed1Oplossing" textlink="">
      <xdr:nvSpPr>
        <xdr:cNvPr id="106" name="Rectangle 142"/>
        <xdr:cNvSpPr>
          <a:spLocks noChangeArrowheads="1"/>
        </xdr:cNvSpPr>
      </xdr:nvSpPr>
      <xdr:spPr bwMode="auto">
        <a:xfrm>
          <a:off x="3590925" y="1438275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9</xdr:row>
      <xdr:rowOff>57150</xdr:rowOff>
    </xdr:from>
    <xdr:to>
      <xdr:col>4</xdr:col>
      <xdr:colOff>581025</xdr:colOff>
      <xdr:row>9</xdr:row>
      <xdr:rowOff>238125</xdr:rowOff>
    </xdr:to>
    <xdr:sp macro="[0]!PedMed2Oplossing" textlink="">
      <xdr:nvSpPr>
        <xdr:cNvPr id="109" name="Rectangle 142"/>
        <xdr:cNvSpPr>
          <a:spLocks noChangeArrowheads="1"/>
        </xdr:cNvSpPr>
      </xdr:nvSpPr>
      <xdr:spPr bwMode="auto">
        <a:xfrm>
          <a:off x="3581400" y="1685925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10</xdr:row>
      <xdr:rowOff>47625</xdr:rowOff>
    </xdr:from>
    <xdr:to>
      <xdr:col>4</xdr:col>
      <xdr:colOff>581025</xdr:colOff>
      <xdr:row>10</xdr:row>
      <xdr:rowOff>228600</xdr:rowOff>
    </xdr:to>
    <xdr:sp macro="[0]!PedMed3Oplossing" textlink="">
      <xdr:nvSpPr>
        <xdr:cNvPr id="110" name="Rectangle 142"/>
        <xdr:cNvSpPr>
          <a:spLocks noChangeArrowheads="1"/>
        </xdr:cNvSpPr>
      </xdr:nvSpPr>
      <xdr:spPr bwMode="auto">
        <a:xfrm>
          <a:off x="3581400" y="192405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11</xdr:row>
      <xdr:rowOff>47625</xdr:rowOff>
    </xdr:from>
    <xdr:to>
      <xdr:col>4</xdr:col>
      <xdr:colOff>581025</xdr:colOff>
      <xdr:row>11</xdr:row>
      <xdr:rowOff>228600</xdr:rowOff>
    </xdr:to>
    <xdr:sp macro="[0]!PedMed4Oplossing" textlink="">
      <xdr:nvSpPr>
        <xdr:cNvPr id="111" name="Rectangle 142"/>
        <xdr:cNvSpPr>
          <a:spLocks noChangeArrowheads="1"/>
        </xdr:cNvSpPr>
      </xdr:nvSpPr>
      <xdr:spPr bwMode="auto">
        <a:xfrm>
          <a:off x="3581400" y="217170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12</xdr:row>
      <xdr:rowOff>57150</xdr:rowOff>
    </xdr:from>
    <xdr:to>
      <xdr:col>4</xdr:col>
      <xdr:colOff>581025</xdr:colOff>
      <xdr:row>12</xdr:row>
      <xdr:rowOff>238125</xdr:rowOff>
    </xdr:to>
    <xdr:sp macro="[0]!PedMed5Oplossing" textlink="">
      <xdr:nvSpPr>
        <xdr:cNvPr id="112" name="Rectangle 142"/>
        <xdr:cNvSpPr>
          <a:spLocks noChangeArrowheads="1"/>
        </xdr:cNvSpPr>
      </xdr:nvSpPr>
      <xdr:spPr bwMode="auto">
        <a:xfrm>
          <a:off x="3581400" y="2428875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13</xdr:row>
      <xdr:rowOff>47625</xdr:rowOff>
    </xdr:from>
    <xdr:to>
      <xdr:col>4</xdr:col>
      <xdr:colOff>581025</xdr:colOff>
      <xdr:row>13</xdr:row>
      <xdr:rowOff>228600</xdr:rowOff>
    </xdr:to>
    <xdr:sp macro="[0]!PedMed6Oplossing" textlink="">
      <xdr:nvSpPr>
        <xdr:cNvPr id="113" name="Rectangle 142"/>
        <xdr:cNvSpPr>
          <a:spLocks noChangeArrowheads="1"/>
        </xdr:cNvSpPr>
      </xdr:nvSpPr>
      <xdr:spPr bwMode="auto">
        <a:xfrm>
          <a:off x="3581400" y="266700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14</xdr:row>
      <xdr:rowOff>28575</xdr:rowOff>
    </xdr:from>
    <xdr:to>
      <xdr:col>4</xdr:col>
      <xdr:colOff>581025</xdr:colOff>
      <xdr:row>14</xdr:row>
      <xdr:rowOff>209550</xdr:rowOff>
    </xdr:to>
    <xdr:sp macro="[0]!PedMed7Oplossing" textlink="">
      <xdr:nvSpPr>
        <xdr:cNvPr id="114" name="Rectangle 142"/>
        <xdr:cNvSpPr>
          <a:spLocks noChangeArrowheads="1"/>
        </xdr:cNvSpPr>
      </xdr:nvSpPr>
      <xdr:spPr bwMode="auto">
        <a:xfrm>
          <a:off x="3581400" y="289560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15</xdr:row>
      <xdr:rowOff>28575</xdr:rowOff>
    </xdr:from>
    <xdr:to>
      <xdr:col>4</xdr:col>
      <xdr:colOff>581025</xdr:colOff>
      <xdr:row>15</xdr:row>
      <xdr:rowOff>209550</xdr:rowOff>
    </xdr:to>
    <xdr:sp macro="[0]!PedMed8Oplossing" textlink="">
      <xdr:nvSpPr>
        <xdr:cNvPr id="115" name="Rectangle 142"/>
        <xdr:cNvSpPr>
          <a:spLocks noChangeArrowheads="1"/>
        </xdr:cNvSpPr>
      </xdr:nvSpPr>
      <xdr:spPr bwMode="auto">
        <a:xfrm>
          <a:off x="3581400" y="314325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16</xdr:row>
      <xdr:rowOff>47625</xdr:rowOff>
    </xdr:from>
    <xdr:to>
      <xdr:col>4</xdr:col>
      <xdr:colOff>581025</xdr:colOff>
      <xdr:row>16</xdr:row>
      <xdr:rowOff>228600</xdr:rowOff>
    </xdr:to>
    <xdr:sp macro="[0]!PedMed9Oplossing" textlink="">
      <xdr:nvSpPr>
        <xdr:cNvPr id="116" name="Rectangle 142"/>
        <xdr:cNvSpPr>
          <a:spLocks noChangeArrowheads="1"/>
        </xdr:cNvSpPr>
      </xdr:nvSpPr>
      <xdr:spPr bwMode="auto">
        <a:xfrm>
          <a:off x="3581400" y="340995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885825</xdr:colOff>
      <xdr:row>17</xdr:row>
      <xdr:rowOff>47625</xdr:rowOff>
    </xdr:from>
    <xdr:to>
      <xdr:col>4</xdr:col>
      <xdr:colOff>571500</xdr:colOff>
      <xdr:row>17</xdr:row>
      <xdr:rowOff>228600</xdr:rowOff>
    </xdr:to>
    <xdr:sp macro="[0]!PedMed10Oplossing" textlink="">
      <xdr:nvSpPr>
        <xdr:cNvPr id="117" name="Rectangle 142"/>
        <xdr:cNvSpPr>
          <a:spLocks noChangeArrowheads="1"/>
        </xdr:cNvSpPr>
      </xdr:nvSpPr>
      <xdr:spPr bwMode="auto">
        <a:xfrm>
          <a:off x="3571875" y="365760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</xdr:row>
          <xdr:rowOff>28725</xdr:rowOff>
        </xdr:from>
        <xdr:to>
          <xdr:col>7</xdr:col>
          <xdr:colOff>579280</xdr:colOff>
          <xdr:row>5</xdr:row>
          <xdr:rowOff>220222</xdr:rowOff>
        </xdr:to>
        <xdr:sp macro="" textlink="">
          <xdr:nvSpPr>
            <xdr:cNvPr id="18502" name="Spinner 70" hidden="1">
              <a:extLst>
                <a:ext uri="{63B3BB69-23CF-44E3-9099-C40C66FF867C}">
                  <a14:compatExt spid="_x0000_s18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9575</xdr:rowOff>
        </xdr:from>
        <xdr:to>
          <xdr:col>9</xdr:col>
          <xdr:colOff>134048</xdr:colOff>
          <xdr:row>5</xdr:row>
          <xdr:rowOff>239372</xdr:rowOff>
        </xdr:to>
        <xdr:sp macro="" textlink="">
          <xdr:nvSpPr>
            <xdr:cNvPr id="18506" name="Spinner 74" hidden="1">
              <a:extLst>
                <a:ext uri="{63B3BB69-23CF-44E3-9099-C40C66FF867C}">
                  <a14:compatExt spid="_x0000_s18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</xdr:row>
          <xdr:rowOff>28725</xdr:rowOff>
        </xdr:from>
        <xdr:to>
          <xdr:col>13</xdr:col>
          <xdr:colOff>531405</xdr:colOff>
          <xdr:row>5</xdr:row>
          <xdr:rowOff>229797</xdr:rowOff>
        </xdr:to>
        <xdr:sp macro="" textlink="">
          <xdr:nvSpPr>
            <xdr:cNvPr id="18510" name="Drop Down 78" hidden="1">
              <a:extLst>
                <a:ext uri="{63B3BB69-23CF-44E3-9099-C40C66FF867C}">
                  <a14:compatExt spid="_x0000_s18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</xdr:row>
          <xdr:rowOff>38299</xdr:rowOff>
        </xdr:from>
        <xdr:to>
          <xdr:col>12</xdr:col>
          <xdr:colOff>464381</xdr:colOff>
          <xdr:row>5</xdr:row>
          <xdr:rowOff>229797</xdr:rowOff>
        </xdr:to>
        <xdr:sp macro="" textlink="">
          <xdr:nvSpPr>
            <xdr:cNvPr id="18511" name="Spinner 79" hidden="1">
              <a:extLst>
                <a:ext uri="{63B3BB69-23CF-44E3-9099-C40C66FF867C}">
                  <a14:compatExt spid="_x0000_s18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7</xdr:row>
          <xdr:rowOff>9575</xdr:rowOff>
        </xdr:from>
        <xdr:to>
          <xdr:col>9</xdr:col>
          <xdr:colOff>134048</xdr:colOff>
          <xdr:row>7</xdr:row>
          <xdr:rowOff>239372</xdr:rowOff>
        </xdr:to>
        <xdr:sp macro="" textlink="">
          <xdr:nvSpPr>
            <xdr:cNvPr id="18557" name="Spinner 125" hidden="1">
              <a:extLst>
                <a:ext uri="{63B3BB69-23CF-44E3-9099-C40C66FF867C}">
                  <a14:compatExt spid="_x0000_s18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7</xdr:row>
          <xdr:rowOff>28725</xdr:rowOff>
        </xdr:from>
        <xdr:to>
          <xdr:col>13</xdr:col>
          <xdr:colOff>531405</xdr:colOff>
          <xdr:row>7</xdr:row>
          <xdr:rowOff>229797</xdr:rowOff>
        </xdr:to>
        <xdr:sp macro="" textlink="">
          <xdr:nvSpPr>
            <xdr:cNvPr id="18559" name="Drop Down 127" hidden="1">
              <a:extLst>
                <a:ext uri="{63B3BB69-23CF-44E3-9099-C40C66FF867C}">
                  <a14:compatExt spid="_x0000_s18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7</xdr:row>
          <xdr:rowOff>38299</xdr:rowOff>
        </xdr:from>
        <xdr:to>
          <xdr:col>12</xdr:col>
          <xdr:colOff>464381</xdr:colOff>
          <xdr:row>7</xdr:row>
          <xdr:rowOff>229797</xdr:rowOff>
        </xdr:to>
        <xdr:sp macro="" textlink="">
          <xdr:nvSpPr>
            <xdr:cNvPr id="18560" name="Spinner 128" hidden="1">
              <a:extLst>
                <a:ext uri="{63B3BB69-23CF-44E3-9099-C40C66FF867C}">
                  <a14:compatExt spid="_x0000_s18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9</xdr:row>
          <xdr:rowOff>28725</xdr:rowOff>
        </xdr:from>
        <xdr:to>
          <xdr:col>7</xdr:col>
          <xdr:colOff>579280</xdr:colOff>
          <xdr:row>9</xdr:row>
          <xdr:rowOff>220222</xdr:rowOff>
        </xdr:to>
        <xdr:sp macro="" textlink="">
          <xdr:nvSpPr>
            <xdr:cNvPr id="18562" name="Spinner 130" hidden="1">
              <a:extLst>
                <a:ext uri="{63B3BB69-23CF-44E3-9099-C40C66FF867C}">
                  <a14:compatExt spid="_x0000_s18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9</xdr:row>
          <xdr:rowOff>9575</xdr:rowOff>
        </xdr:from>
        <xdr:to>
          <xdr:col>9</xdr:col>
          <xdr:colOff>134048</xdr:colOff>
          <xdr:row>9</xdr:row>
          <xdr:rowOff>239372</xdr:rowOff>
        </xdr:to>
        <xdr:sp macro="" textlink="">
          <xdr:nvSpPr>
            <xdr:cNvPr id="18564" name="Spinner 132" hidden="1">
              <a:extLst>
                <a:ext uri="{63B3BB69-23CF-44E3-9099-C40C66FF867C}">
                  <a14:compatExt spid="_x0000_s18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9</xdr:row>
          <xdr:rowOff>28725</xdr:rowOff>
        </xdr:from>
        <xdr:to>
          <xdr:col>13</xdr:col>
          <xdr:colOff>531405</xdr:colOff>
          <xdr:row>9</xdr:row>
          <xdr:rowOff>229797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9</xdr:row>
          <xdr:rowOff>38299</xdr:rowOff>
        </xdr:from>
        <xdr:to>
          <xdr:col>12</xdr:col>
          <xdr:colOff>464381</xdr:colOff>
          <xdr:row>9</xdr:row>
          <xdr:rowOff>229797</xdr:rowOff>
        </xdr:to>
        <xdr:sp macro="" textlink="">
          <xdr:nvSpPr>
            <xdr:cNvPr id="18567" name="Spinner 135" hidden="1">
              <a:extLst>
                <a:ext uri="{63B3BB69-23CF-44E3-9099-C40C66FF867C}">
                  <a14:compatExt spid="_x0000_s18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11</xdr:row>
          <xdr:rowOff>28725</xdr:rowOff>
        </xdr:from>
        <xdr:to>
          <xdr:col>7</xdr:col>
          <xdr:colOff>579280</xdr:colOff>
          <xdr:row>11</xdr:row>
          <xdr:rowOff>220222</xdr:rowOff>
        </xdr:to>
        <xdr:sp macro="" textlink="">
          <xdr:nvSpPr>
            <xdr:cNvPr id="18569" name="Spinner 137" hidden="1">
              <a:extLst>
                <a:ext uri="{63B3BB69-23CF-44E3-9099-C40C66FF867C}">
                  <a14:compatExt spid="_x0000_s18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11</xdr:row>
          <xdr:rowOff>9575</xdr:rowOff>
        </xdr:from>
        <xdr:to>
          <xdr:col>9</xdr:col>
          <xdr:colOff>134048</xdr:colOff>
          <xdr:row>11</xdr:row>
          <xdr:rowOff>239372</xdr:rowOff>
        </xdr:to>
        <xdr:sp macro="" textlink="">
          <xdr:nvSpPr>
            <xdr:cNvPr id="18571" name="Spinner 139" hidden="1">
              <a:extLst>
                <a:ext uri="{63B3BB69-23CF-44E3-9099-C40C66FF867C}">
                  <a14:compatExt spid="_x0000_s18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11</xdr:row>
          <xdr:rowOff>28725</xdr:rowOff>
        </xdr:from>
        <xdr:to>
          <xdr:col>13</xdr:col>
          <xdr:colOff>531405</xdr:colOff>
          <xdr:row>11</xdr:row>
          <xdr:rowOff>229797</xdr:rowOff>
        </xdr:to>
        <xdr:sp macro="" textlink="">
          <xdr:nvSpPr>
            <xdr:cNvPr id="18573" name="Drop Down 141" hidden="1">
              <a:extLst>
                <a:ext uri="{63B3BB69-23CF-44E3-9099-C40C66FF867C}">
                  <a14:compatExt spid="_x0000_s18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11</xdr:row>
          <xdr:rowOff>38299</xdr:rowOff>
        </xdr:from>
        <xdr:to>
          <xdr:col>12</xdr:col>
          <xdr:colOff>464381</xdr:colOff>
          <xdr:row>11</xdr:row>
          <xdr:rowOff>229797</xdr:rowOff>
        </xdr:to>
        <xdr:sp macro="" textlink="">
          <xdr:nvSpPr>
            <xdr:cNvPr id="18574" name="Spinner 142" hidden="1">
              <a:extLst>
                <a:ext uri="{63B3BB69-23CF-44E3-9099-C40C66FF867C}">
                  <a14:compatExt spid="_x0000_s18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13</xdr:row>
          <xdr:rowOff>28725</xdr:rowOff>
        </xdr:from>
        <xdr:to>
          <xdr:col>7</xdr:col>
          <xdr:colOff>579280</xdr:colOff>
          <xdr:row>13</xdr:row>
          <xdr:rowOff>220222</xdr:rowOff>
        </xdr:to>
        <xdr:sp macro="" textlink="">
          <xdr:nvSpPr>
            <xdr:cNvPr id="18576" name="Spinner 144" hidden="1">
              <a:extLst>
                <a:ext uri="{63B3BB69-23CF-44E3-9099-C40C66FF867C}">
                  <a14:compatExt spid="_x0000_s18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13</xdr:row>
          <xdr:rowOff>9575</xdr:rowOff>
        </xdr:from>
        <xdr:to>
          <xdr:col>9</xdr:col>
          <xdr:colOff>134048</xdr:colOff>
          <xdr:row>13</xdr:row>
          <xdr:rowOff>239372</xdr:rowOff>
        </xdr:to>
        <xdr:sp macro="" textlink="">
          <xdr:nvSpPr>
            <xdr:cNvPr id="18578" name="Spinner 146" hidden="1">
              <a:extLst>
                <a:ext uri="{63B3BB69-23CF-44E3-9099-C40C66FF867C}">
                  <a14:compatExt spid="_x0000_s18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13</xdr:row>
          <xdr:rowOff>28725</xdr:rowOff>
        </xdr:from>
        <xdr:to>
          <xdr:col>13</xdr:col>
          <xdr:colOff>531405</xdr:colOff>
          <xdr:row>13</xdr:row>
          <xdr:rowOff>229797</xdr:rowOff>
        </xdr:to>
        <xdr:sp macro="" textlink="">
          <xdr:nvSpPr>
            <xdr:cNvPr id="18580" name="Drop Down 148" hidden="1">
              <a:extLst>
                <a:ext uri="{63B3BB69-23CF-44E3-9099-C40C66FF867C}">
                  <a14:compatExt spid="_x0000_s18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13</xdr:row>
          <xdr:rowOff>38299</xdr:rowOff>
        </xdr:from>
        <xdr:to>
          <xdr:col>12</xdr:col>
          <xdr:colOff>464381</xdr:colOff>
          <xdr:row>13</xdr:row>
          <xdr:rowOff>229797</xdr:rowOff>
        </xdr:to>
        <xdr:sp macro="" textlink="">
          <xdr:nvSpPr>
            <xdr:cNvPr id="18581" name="Spinner 149" hidden="1">
              <a:extLst>
                <a:ext uri="{63B3BB69-23CF-44E3-9099-C40C66FF867C}">
                  <a14:compatExt spid="_x0000_s18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15</xdr:row>
          <xdr:rowOff>28725</xdr:rowOff>
        </xdr:from>
        <xdr:to>
          <xdr:col>7</xdr:col>
          <xdr:colOff>579280</xdr:colOff>
          <xdr:row>15</xdr:row>
          <xdr:rowOff>220222</xdr:rowOff>
        </xdr:to>
        <xdr:sp macro="" textlink="">
          <xdr:nvSpPr>
            <xdr:cNvPr id="18583" name="Spinner 151" hidden="1">
              <a:extLst>
                <a:ext uri="{63B3BB69-23CF-44E3-9099-C40C66FF867C}">
                  <a14:compatExt spid="_x0000_s18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15</xdr:row>
          <xdr:rowOff>9575</xdr:rowOff>
        </xdr:from>
        <xdr:to>
          <xdr:col>9</xdr:col>
          <xdr:colOff>134048</xdr:colOff>
          <xdr:row>15</xdr:row>
          <xdr:rowOff>239372</xdr:rowOff>
        </xdr:to>
        <xdr:sp macro="" textlink="">
          <xdr:nvSpPr>
            <xdr:cNvPr id="18585" name="Spinner 153" hidden="1">
              <a:extLst>
                <a:ext uri="{63B3BB69-23CF-44E3-9099-C40C66FF867C}">
                  <a14:compatExt spid="_x0000_s18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15</xdr:row>
          <xdr:rowOff>28725</xdr:rowOff>
        </xdr:from>
        <xdr:to>
          <xdr:col>13</xdr:col>
          <xdr:colOff>531405</xdr:colOff>
          <xdr:row>15</xdr:row>
          <xdr:rowOff>229797</xdr:rowOff>
        </xdr:to>
        <xdr:sp macro="" textlink="">
          <xdr:nvSpPr>
            <xdr:cNvPr id="18587" name="Drop Down 155" hidden="1">
              <a:extLst>
                <a:ext uri="{63B3BB69-23CF-44E3-9099-C40C66FF867C}">
                  <a14:compatExt spid="_x0000_s18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15</xdr:row>
          <xdr:rowOff>38299</xdr:rowOff>
        </xdr:from>
        <xdr:to>
          <xdr:col>12</xdr:col>
          <xdr:colOff>464381</xdr:colOff>
          <xdr:row>15</xdr:row>
          <xdr:rowOff>229797</xdr:rowOff>
        </xdr:to>
        <xdr:sp macro="" textlink="">
          <xdr:nvSpPr>
            <xdr:cNvPr id="18588" name="Spinner 156" hidden="1">
              <a:extLst>
                <a:ext uri="{63B3BB69-23CF-44E3-9099-C40C66FF867C}">
                  <a14:compatExt spid="_x0000_s18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17</xdr:row>
          <xdr:rowOff>28725</xdr:rowOff>
        </xdr:from>
        <xdr:to>
          <xdr:col>7</xdr:col>
          <xdr:colOff>579280</xdr:colOff>
          <xdr:row>17</xdr:row>
          <xdr:rowOff>220222</xdr:rowOff>
        </xdr:to>
        <xdr:sp macro="" textlink="">
          <xdr:nvSpPr>
            <xdr:cNvPr id="18590" name="Spinner 158" hidden="1">
              <a:extLst>
                <a:ext uri="{63B3BB69-23CF-44E3-9099-C40C66FF867C}">
                  <a14:compatExt spid="_x0000_s18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17</xdr:row>
          <xdr:rowOff>9575</xdr:rowOff>
        </xdr:from>
        <xdr:to>
          <xdr:col>9</xdr:col>
          <xdr:colOff>134048</xdr:colOff>
          <xdr:row>17</xdr:row>
          <xdr:rowOff>239372</xdr:rowOff>
        </xdr:to>
        <xdr:sp macro="" textlink="">
          <xdr:nvSpPr>
            <xdr:cNvPr id="18592" name="Spinner 160" hidden="1">
              <a:extLst>
                <a:ext uri="{63B3BB69-23CF-44E3-9099-C40C66FF867C}">
                  <a14:compatExt spid="_x0000_s18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17</xdr:row>
          <xdr:rowOff>28725</xdr:rowOff>
        </xdr:from>
        <xdr:to>
          <xdr:col>13</xdr:col>
          <xdr:colOff>531405</xdr:colOff>
          <xdr:row>17</xdr:row>
          <xdr:rowOff>229797</xdr:rowOff>
        </xdr:to>
        <xdr:sp macro="" textlink="">
          <xdr:nvSpPr>
            <xdr:cNvPr id="18594" name="Drop Down 162" hidden="1">
              <a:extLst>
                <a:ext uri="{63B3BB69-23CF-44E3-9099-C40C66FF867C}">
                  <a14:compatExt spid="_x0000_s18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17</xdr:row>
          <xdr:rowOff>38299</xdr:rowOff>
        </xdr:from>
        <xdr:to>
          <xdr:col>12</xdr:col>
          <xdr:colOff>464381</xdr:colOff>
          <xdr:row>17</xdr:row>
          <xdr:rowOff>229797</xdr:rowOff>
        </xdr:to>
        <xdr:sp macro="" textlink="">
          <xdr:nvSpPr>
            <xdr:cNvPr id="18595" name="Spinner 163" hidden="1">
              <a:extLst>
                <a:ext uri="{63B3BB69-23CF-44E3-9099-C40C66FF867C}">
                  <a14:compatExt spid="_x0000_s18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19</xdr:row>
          <xdr:rowOff>28725</xdr:rowOff>
        </xdr:from>
        <xdr:to>
          <xdr:col>7</xdr:col>
          <xdr:colOff>579280</xdr:colOff>
          <xdr:row>19</xdr:row>
          <xdr:rowOff>220222</xdr:rowOff>
        </xdr:to>
        <xdr:sp macro="" textlink="">
          <xdr:nvSpPr>
            <xdr:cNvPr id="18597" name="Spinner 165" hidden="1">
              <a:extLst>
                <a:ext uri="{63B3BB69-23CF-44E3-9099-C40C66FF867C}">
                  <a14:compatExt spid="_x0000_s18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19</xdr:row>
          <xdr:rowOff>9575</xdr:rowOff>
        </xdr:from>
        <xdr:to>
          <xdr:col>9</xdr:col>
          <xdr:colOff>134048</xdr:colOff>
          <xdr:row>19</xdr:row>
          <xdr:rowOff>239372</xdr:rowOff>
        </xdr:to>
        <xdr:sp macro="" textlink="">
          <xdr:nvSpPr>
            <xdr:cNvPr id="18599" name="Spinner 167" hidden="1">
              <a:extLst>
                <a:ext uri="{63B3BB69-23CF-44E3-9099-C40C66FF867C}">
                  <a14:compatExt spid="_x0000_s18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19</xdr:row>
          <xdr:rowOff>28725</xdr:rowOff>
        </xdr:from>
        <xdr:to>
          <xdr:col>13</xdr:col>
          <xdr:colOff>531405</xdr:colOff>
          <xdr:row>19</xdr:row>
          <xdr:rowOff>229797</xdr:rowOff>
        </xdr:to>
        <xdr:sp macro="" textlink="">
          <xdr:nvSpPr>
            <xdr:cNvPr id="18601" name="Drop Down 169" hidden="1">
              <a:extLst>
                <a:ext uri="{63B3BB69-23CF-44E3-9099-C40C66FF867C}">
                  <a14:compatExt spid="_x0000_s18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19</xdr:row>
          <xdr:rowOff>38299</xdr:rowOff>
        </xdr:from>
        <xdr:to>
          <xdr:col>12</xdr:col>
          <xdr:colOff>464381</xdr:colOff>
          <xdr:row>19</xdr:row>
          <xdr:rowOff>229797</xdr:rowOff>
        </xdr:to>
        <xdr:sp macro="" textlink="">
          <xdr:nvSpPr>
            <xdr:cNvPr id="18602" name="Spinner 170" hidden="1">
              <a:extLst>
                <a:ext uri="{63B3BB69-23CF-44E3-9099-C40C66FF867C}">
                  <a14:compatExt spid="_x0000_s18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21</xdr:row>
          <xdr:rowOff>28725</xdr:rowOff>
        </xdr:from>
        <xdr:to>
          <xdr:col>7</xdr:col>
          <xdr:colOff>579280</xdr:colOff>
          <xdr:row>21</xdr:row>
          <xdr:rowOff>220222</xdr:rowOff>
        </xdr:to>
        <xdr:sp macro="" textlink="">
          <xdr:nvSpPr>
            <xdr:cNvPr id="18604" name="Spinner 172" hidden="1">
              <a:extLst>
                <a:ext uri="{63B3BB69-23CF-44E3-9099-C40C66FF867C}">
                  <a14:compatExt spid="_x0000_s18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21</xdr:row>
          <xdr:rowOff>9575</xdr:rowOff>
        </xdr:from>
        <xdr:to>
          <xdr:col>9</xdr:col>
          <xdr:colOff>134048</xdr:colOff>
          <xdr:row>21</xdr:row>
          <xdr:rowOff>239372</xdr:rowOff>
        </xdr:to>
        <xdr:sp macro="" textlink="">
          <xdr:nvSpPr>
            <xdr:cNvPr id="18606" name="Spinner 174" hidden="1">
              <a:extLst>
                <a:ext uri="{63B3BB69-23CF-44E3-9099-C40C66FF867C}">
                  <a14:compatExt spid="_x0000_s18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21</xdr:row>
          <xdr:rowOff>28725</xdr:rowOff>
        </xdr:from>
        <xdr:to>
          <xdr:col>13</xdr:col>
          <xdr:colOff>531405</xdr:colOff>
          <xdr:row>21</xdr:row>
          <xdr:rowOff>229797</xdr:rowOff>
        </xdr:to>
        <xdr:sp macro="" textlink="">
          <xdr:nvSpPr>
            <xdr:cNvPr id="18608" name="Drop Down 176" hidden="1">
              <a:extLst>
                <a:ext uri="{63B3BB69-23CF-44E3-9099-C40C66FF867C}">
                  <a14:compatExt spid="_x0000_s18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21</xdr:row>
          <xdr:rowOff>38299</xdr:rowOff>
        </xdr:from>
        <xdr:to>
          <xdr:col>12</xdr:col>
          <xdr:colOff>464381</xdr:colOff>
          <xdr:row>21</xdr:row>
          <xdr:rowOff>229797</xdr:rowOff>
        </xdr:to>
        <xdr:sp macro="" textlink="">
          <xdr:nvSpPr>
            <xdr:cNvPr id="18609" name="Spinner 177" hidden="1">
              <a:extLst>
                <a:ext uri="{63B3BB69-23CF-44E3-9099-C40C66FF867C}">
                  <a14:compatExt spid="_x0000_s18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23</xdr:row>
          <xdr:rowOff>28725</xdr:rowOff>
        </xdr:from>
        <xdr:to>
          <xdr:col>7</xdr:col>
          <xdr:colOff>579280</xdr:colOff>
          <xdr:row>23</xdr:row>
          <xdr:rowOff>220222</xdr:rowOff>
        </xdr:to>
        <xdr:sp macro="" textlink="">
          <xdr:nvSpPr>
            <xdr:cNvPr id="18611" name="Spinner 179" hidden="1">
              <a:extLst>
                <a:ext uri="{63B3BB69-23CF-44E3-9099-C40C66FF867C}">
                  <a14:compatExt spid="_x0000_s186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23</xdr:row>
          <xdr:rowOff>9575</xdr:rowOff>
        </xdr:from>
        <xdr:to>
          <xdr:col>9</xdr:col>
          <xdr:colOff>134048</xdr:colOff>
          <xdr:row>23</xdr:row>
          <xdr:rowOff>239372</xdr:rowOff>
        </xdr:to>
        <xdr:sp macro="" textlink="">
          <xdr:nvSpPr>
            <xdr:cNvPr id="18613" name="Spinner 181" hidden="1">
              <a:extLst>
                <a:ext uri="{63B3BB69-23CF-44E3-9099-C40C66FF867C}">
                  <a14:compatExt spid="_x0000_s18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23</xdr:row>
          <xdr:rowOff>28725</xdr:rowOff>
        </xdr:from>
        <xdr:to>
          <xdr:col>13</xdr:col>
          <xdr:colOff>531405</xdr:colOff>
          <xdr:row>23</xdr:row>
          <xdr:rowOff>229797</xdr:rowOff>
        </xdr:to>
        <xdr:sp macro="" textlink="">
          <xdr:nvSpPr>
            <xdr:cNvPr id="18615" name="Drop Down 183" hidden="1">
              <a:extLst>
                <a:ext uri="{63B3BB69-23CF-44E3-9099-C40C66FF867C}">
                  <a14:compatExt spid="_x0000_s186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23</xdr:row>
          <xdr:rowOff>38299</xdr:rowOff>
        </xdr:from>
        <xdr:to>
          <xdr:col>12</xdr:col>
          <xdr:colOff>464381</xdr:colOff>
          <xdr:row>23</xdr:row>
          <xdr:rowOff>229797</xdr:rowOff>
        </xdr:to>
        <xdr:sp macro="" textlink="">
          <xdr:nvSpPr>
            <xdr:cNvPr id="18616" name="Spinner 184" hidden="1">
              <a:extLst>
                <a:ext uri="{63B3BB69-23CF-44E3-9099-C40C66FF867C}">
                  <a14:compatExt spid="_x0000_s186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25</xdr:row>
          <xdr:rowOff>28725</xdr:rowOff>
        </xdr:from>
        <xdr:to>
          <xdr:col>7</xdr:col>
          <xdr:colOff>579280</xdr:colOff>
          <xdr:row>25</xdr:row>
          <xdr:rowOff>220222</xdr:rowOff>
        </xdr:to>
        <xdr:sp macro="" textlink="">
          <xdr:nvSpPr>
            <xdr:cNvPr id="18695" name="Spinner 263" hidden="1">
              <a:extLst>
                <a:ext uri="{63B3BB69-23CF-44E3-9099-C40C66FF867C}">
                  <a14:compatExt spid="_x0000_s18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25</xdr:row>
          <xdr:rowOff>9575</xdr:rowOff>
        </xdr:from>
        <xdr:to>
          <xdr:col>9</xdr:col>
          <xdr:colOff>134048</xdr:colOff>
          <xdr:row>25</xdr:row>
          <xdr:rowOff>239372</xdr:rowOff>
        </xdr:to>
        <xdr:sp macro="" textlink="">
          <xdr:nvSpPr>
            <xdr:cNvPr id="18697" name="Spinner 265" hidden="1">
              <a:extLst>
                <a:ext uri="{63B3BB69-23CF-44E3-9099-C40C66FF867C}">
                  <a14:compatExt spid="_x0000_s18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25</xdr:row>
          <xdr:rowOff>28725</xdr:rowOff>
        </xdr:from>
        <xdr:to>
          <xdr:col>13</xdr:col>
          <xdr:colOff>531405</xdr:colOff>
          <xdr:row>25</xdr:row>
          <xdr:rowOff>229797</xdr:rowOff>
        </xdr:to>
        <xdr:sp macro="" textlink="">
          <xdr:nvSpPr>
            <xdr:cNvPr id="18699" name="Drop Down 267" hidden="1">
              <a:extLst>
                <a:ext uri="{63B3BB69-23CF-44E3-9099-C40C66FF867C}">
                  <a14:compatExt spid="_x0000_s18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25</xdr:row>
          <xdr:rowOff>38299</xdr:rowOff>
        </xdr:from>
        <xdr:to>
          <xdr:col>12</xdr:col>
          <xdr:colOff>464381</xdr:colOff>
          <xdr:row>25</xdr:row>
          <xdr:rowOff>229797</xdr:rowOff>
        </xdr:to>
        <xdr:sp macro="" textlink="">
          <xdr:nvSpPr>
            <xdr:cNvPr id="18700" name="Spinner 268" hidden="1">
              <a:extLst>
                <a:ext uri="{63B3BB69-23CF-44E3-9099-C40C66FF867C}">
                  <a14:compatExt spid="_x0000_s18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27</xdr:row>
          <xdr:rowOff>28725</xdr:rowOff>
        </xdr:from>
        <xdr:to>
          <xdr:col>7</xdr:col>
          <xdr:colOff>579280</xdr:colOff>
          <xdr:row>27</xdr:row>
          <xdr:rowOff>220222</xdr:rowOff>
        </xdr:to>
        <xdr:sp macro="" textlink="">
          <xdr:nvSpPr>
            <xdr:cNvPr id="18702" name="Spinner 270" hidden="1">
              <a:extLst>
                <a:ext uri="{63B3BB69-23CF-44E3-9099-C40C66FF867C}">
                  <a14:compatExt spid="_x0000_s18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27</xdr:row>
          <xdr:rowOff>9575</xdr:rowOff>
        </xdr:from>
        <xdr:to>
          <xdr:col>9</xdr:col>
          <xdr:colOff>134048</xdr:colOff>
          <xdr:row>27</xdr:row>
          <xdr:rowOff>239372</xdr:rowOff>
        </xdr:to>
        <xdr:sp macro="" textlink="">
          <xdr:nvSpPr>
            <xdr:cNvPr id="18704" name="Spinner 272" hidden="1">
              <a:extLst>
                <a:ext uri="{63B3BB69-23CF-44E3-9099-C40C66FF867C}">
                  <a14:compatExt spid="_x0000_s18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27</xdr:row>
          <xdr:rowOff>28725</xdr:rowOff>
        </xdr:from>
        <xdr:to>
          <xdr:col>13</xdr:col>
          <xdr:colOff>531405</xdr:colOff>
          <xdr:row>27</xdr:row>
          <xdr:rowOff>229797</xdr:rowOff>
        </xdr:to>
        <xdr:sp macro="" textlink="">
          <xdr:nvSpPr>
            <xdr:cNvPr id="18706" name="Drop Down 274" hidden="1">
              <a:extLst>
                <a:ext uri="{63B3BB69-23CF-44E3-9099-C40C66FF867C}">
                  <a14:compatExt spid="_x0000_s18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27</xdr:row>
          <xdr:rowOff>38299</xdr:rowOff>
        </xdr:from>
        <xdr:to>
          <xdr:col>12</xdr:col>
          <xdr:colOff>464381</xdr:colOff>
          <xdr:row>27</xdr:row>
          <xdr:rowOff>229797</xdr:rowOff>
        </xdr:to>
        <xdr:sp macro="" textlink="">
          <xdr:nvSpPr>
            <xdr:cNvPr id="18707" name="Spinner 275" hidden="1">
              <a:extLst>
                <a:ext uri="{63B3BB69-23CF-44E3-9099-C40C66FF867C}">
                  <a14:compatExt spid="_x0000_s18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29</xdr:row>
          <xdr:rowOff>28725</xdr:rowOff>
        </xdr:from>
        <xdr:to>
          <xdr:col>7</xdr:col>
          <xdr:colOff>579280</xdr:colOff>
          <xdr:row>29</xdr:row>
          <xdr:rowOff>220222</xdr:rowOff>
        </xdr:to>
        <xdr:sp macro="" textlink="">
          <xdr:nvSpPr>
            <xdr:cNvPr id="18709" name="Spinner 277" hidden="1">
              <a:extLst>
                <a:ext uri="{63B3BB69-23CF-44E3-9099-C40C66FF867C}">
                  <a14:compatExt spid="_x0000_s18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29</xdr:row>
          <xdr:rowOff>9575</xdr:rowOff>
        </xdr:from>
        <xdr:to>
          <xdr:col>9</xdr:col>
          <xdr:colOff>134048</xdr:colOff>
          <xdr:row>29</xdr:row>
          <xdr:rowOff>239372</xdr:rowOff>
        </xdr:to>
        <xdr:sp macro="" textlink="">
          <xdr:nvSpPr>
            <xdr:cNvPr id="18711" name="Spinner 279" hidden="1">
              <a:extLst>
                <a:ext uri="{63B3BB69-23CF-44E3-9099-C40C66FF867C}">
                  <a14:compatExt spid="_x0000_s18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29</xdr:row>
          <xdr:rowOff>28725</xdr:rowOff>
        </xdr:from>
        <xdr:to>
          <xdr:col>13</xdr:col>
          <xdr:colOff>531405</xdr:colOff>
          <xdr:row>29</xdr:row>
          <xdr:rowOff>229797</xdr:rowOff>
        </xdr:to>
        <xdr:sp macro="" textlink="">
          <xdr:nvSpPr>
            <xdr:cNvPr id="18713" name="Drop Down 281" hidden="1">
              <a:extLst>
                <a:ext uri="{63B3BB69-23CF-44E3-9099-C40C66FF867C}">
                  <a14:compatExt spid="_x0000_s18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29</xdr:row>
          <xdr:rowOff>38299</xdr:rowOff>
        </xdr:from>
        <xdr:to>
          <xdr:col>12</xdr:col>
          <xdr:colOff>464381</xdr:colOff>
          <xdr:row>29</xdr:row>
          <xdr:rowOff>229797</xdr:rowOff>
        </xdr:to>
        <xdr:sp macro="" textlink="">
          <xdr:nvSpPr>
            <xdr:cNvPr id="18714" name="Spinner 282" hidden="1">
              <a:extLst>
                <a:ext uri="{63B3BB69-23CF-44E3-9099-C40C66FF867C}">
                  <a14:compatExt spid="_x0000_s18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31</xdr:row>
          <xdr:rowOff>28725</xdr:rowOff>
        </xdr:from>
        <xdr:to>
          <xdr:col>7</xdr:col>
          <xdr:colOff>579280</xdr:colOff>
          <xdr:row>31</xdr:row>
          <xdr:rowOff>220222</xdr:rowOff>
        </xdr:to>
        <xdr:sp macro="" textlink="">
          <xdr:nvSpPr>
            <xdr:cNvPr id="18716" name="Spinner 284" hidden="1">
              <a:extLst>
                <a:ext uri="{63B3BB69-23CF-44E3-9099-C40C66FF867C}">
                  <a14:compatExt spid="_x0000_s18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31</xdr:row>
          <xdr:rowOff>9575</xdr:rowOff>
        </xdr:from>
        <xdr:to>
          <xdr:col>9</xdr:col>
          <xdr:colOff>134048</xdr:colOff>
          <xdr:row>31</xdr:row>
          <xdr:rowOff>239372</xdr:rowOff>
        </xdr:to>
        <xdr:sp macro="" textlink="">
          <xdr:nvSpPr>
            <xdr:cNvPr id="18718" name="Spinner 286" hidden="1">
              <a:extLst>
                <a:ext uri="{63B3BB69-23CF-44E3-9099-C40C66FF867C}">
                  <a14:compatExt spid="_x0000_s18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31</xdr:row>
          <xdr:rowOff>28725</xdr:rowOff>
        </xdr:from>
        <xdr:to>
          <xdr:col>13</xdr:col>
          <xdr:colOff>531405</xdr:colOff>
          <xdr:row>31</xdr:row>
          <xdr:rowOff>229797</xdr:rowOff>
        </xdr:to>
        <xdr:sp macro="" textlink="">
          <xdr:nvSpPr>
            <xdr:cNvPr id="18720" name="Drop Down 288" hidden="1">
              <a:extLst>
                <a:ext uri="{63B3BB69-23CF-44E3-9099-C40C66FF867C}">
                  <a14:compatExt spid="_x0000_s18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31</xdr:row>
          <xdr:rowOff>38299</xdr:rowOff>
        </xdr:from>
        <xdr:to>
          <xdr:col>12</xdr:col>
          <xdr:colOff>464381</xdr:colOff>
          <xdr:row>31</xdr:row>
          <xdr:rowOff>229797</xdr:rowOff>
        </xdr:to>
        <xdr:sp macro="" textlink="">
          <xdr:nvSpPr>
            <xdr:cNvPr id="18721" name="Spinner 289" hidden="1">
              <a:extLst>
                <a:ext uri="{63B3BB69-23CF-44E3-9099-C40C66FF867C}">
                  <a14:compatExt spid="_x0000_s18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33</xdr:row>
          <xdr:rowOff>28725</xdr:rowOff>
        </xdr:from>
        <xdr:to>
          <xdr:col>7</xdr:col>
          <xdr:colOff>579280</xdr:colOff>
          <xdr:row>33</xdr:row>
          <xdr:rowOff>220222</xdr:rowOff>
        </xdr:to>
        <xdr:sp macro="" textlink="">
          <xdr:nvSpPr>
            <xdr:cNvPr id="18723" name="Spinner 291" hidden="1">
              <a:extLst>
                <a:ext uri="{63B3BB69-23CF-44E3-9099-C40C66FF867C}">
                  <a14:compatExt spid="_x0000_s18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33</xdr:row>
          <xdr:rowOff>9575</xdr:rowOff>
        </xdr:from>
        <xdr:to>
          <xdr:col>9</xdr:col>
          <xdr:colOff>134048</xdr:colOff>
          <xdr:row>33</xdr:row>
          <xdr:rowOff>239372</xdr:rowOff>
        </xdr:to>
        <xdr:sp macro="" textlink="">
          <xdr:nvSpPr>
            <xdr:cNvPr id="18725" name="Spinner 293" hidden="1">
              <a:extLst>
                <a:ext uri="{63B3BB69-23CF-44E3-9099-C40C66FF867C}">
                  <a14:compatExt spid="_x0000_s18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33</xdr:row>
          <xdr:rowOff>28725</xdr:rowOff>
        </xdr:from>
        <xdr:to>
          <xdr:col>13</xdr:col>
          <xdr:colOff>531405</xdr:colOff>
          <xdr:row>33</xdr:row>
          <xdr:rowOff>229797</xdr:rowOff>
        </xdr:to>
        <xdr:sp macro="" textlink="">
          <xdr:nvSpPr>
            <xdr:cNvPr id="18727" name="Drop Down 295" hidden="1">
              <a:extLst>
                <a:ext uri="{63B3BB69-23CF-44E3-9099-C40C66FF867C}">
                  <a14:compatExt spid="_x0000_s18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33</xdr:row>
          <xdr:rowOff>38299</xdr:rowOff>
        </xdr:from>
        <xdr:to>
          <xdr:col>12</xdr:col>
          <xdr:colOff>464381</xdr:colOff>
          <xdr:row>33</xdr:row>
          <xdr:rowOff>229797</xdr:rowOff>
        </xdr:to>
        <xdr:sp macro="" textlink="">
          <xdr:nvSpPr>
            <xdr:cNvPr id="18728" name="Spinner 296" hidden="1">
              <a:extLst>
                <a:ext uri="{63B3BB69-23CF-44E3-9099-C40C66FF867C}">
                  <a14:compatExt spid="_x0000_s18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35</xdr:row>
          <xdr:rowOff>28725</xdr:rowOff>
        </xdr:from>
        <xdr:to>
          <xdr:col>7</xdr:col>
          <xdr:colOff>579280</xdr:colOff>
          <xdr:row>35</xdr:row>
          <xdr:rowOff>220222</xdr:rowOff>
        </xdr:to>
        <xdr:sp macro="" textlink="">
          <xdr:nvSpPr>
            <xdr:cNvPr id="18730" name="Spinner 298" hidden="1">
              <a:extLst>
                <a:ext uri="{63B3BB69-23CF-44E3-9099-C40C66FF867C}">
                  <a14:compatExt spid="_x0000_s18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35</xdr:row>
          <xdr:rowOff>9575</xdr:rowOff>
        </xdr:from>
        <xdr:to>
          <xdr:col>9</xdr:col>
          <xdr:colOff>134048</xdr:colOff>
          <xdr:row>35</xdr:row>
          <xdr:rowOff>239372</xdr:rowOff>
        </xdr:to>
        <xdr:sp macro="" textlink="">
          <xdr:nvSpPr>
            <xdr:cNvPr id="18732" name="Spinner 300" hidden="1">
              <a:extLst>
                <a:ext uri="{63B3BB69-23CF-44E3-9099-C40C66FF867C}">
                  <a14:compatExt spid="_x0000_s18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35</xdr:row>
          <xdr:rowOff>28725</xdr:rowOff>
        </xdr:from>
        <xdr:to>
          <xdr:col>13</xdr:col>
          <xdr:colOff>531405</xdr:colOff>
          <xdr:row>35</xdr:row>
          <xdr:rowOff>229797</xdr:rowOff>
        </xdr:to>
        <xdr:sp macro="" textlink="">
          <xdr:nvSpPr>
            <xdr:cNvPr id="18734" name="Drop Down 302" hidden="1">
              <a:extLst>
                <a:ext uri="{63B3BB69-23CF-44E3-9099-C40C66FF867C}">
                  <a14:compatExt spid="_x0000_s18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35</xdr:row>
          <xdr:rowOff>38299</xdr:rowOff>
        </xdr:from>
        <xdr:to>
          <xdr:col>12</xdr:col>
          <xdr:colOff>464381</xdr:colOff>
          <xdr:row>35</xdr:row>
          <xdr:rowOff>229797</xdr:rowOff>
        </xdr:to>
        <xdr:sp macro="" textlink="">
          <xdr:nvSpPr>
            <xdr:cNvPr id="18735" name="Spinner 303" hidden="1">
              <a:extLst>
                <a:ext uri="{63B3BB69-23CF-44E3-9099-C40C66FF867C}">
                  <a14:compatExt spid="_x0000_s18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37</xdr:row>
          <xdr:rowOff>28725</xdr:rowOff>
        </xdr:from>
        <xdr:to>
          <xdr:col>7</xdr:col>
          <xdr:colOff>579280</xdr:colOff>
          <xdr:row>37</xdr:row>
          <xdr:rowOff>220222</xdr:rowOff>
        </xdr:to>
        <xdr:sp macro="" textlink="">
          <xdr:nvSpPr>
            <xdr:cNvPr id="18737" name="Spinner 305" hidden="1">
              <a:extLst>
                <a:ext uri="{63B3BB69-23CF-44E3-9099-C40C66FF867C}">
                  <a14:compatExt spid="_x0000_s18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37</xdr:row>
          <xdr:rowOff>9575</xdr:rowOff>
        </xdr:from>
        <xdr:to>
          <xdr:col>9</xdr:col>
          <xdr:colOff>134048</xdr:colOff>
          <xdr:row>37</xdr:row>
          <xdr:rowOff>239372</xdr:rowOff>
        </xdr:to>
        <xdr:sp macro="" textlink="">
          <xdr:nvSpPr>
            <xdr:cNvPr id="18739" name="Spinner 307" hidden="1">
              <a:extLst>
                <a:ext uri="{63B3BB69-23CF-44E3-9099-C40C66FF867C}">
                  <a14:compatExt spid="_x0000_s18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37</xdr:row>
          <xdr:rowOff>28725</xdr:rowOff>
        </xdr:from>
        <xdr:to>
          <xdr:col>13</xdr:col>
          <xdr:colOff>531405</xdr:colOff>
          <xdr:row>37</xdr:row>
          <xdr:rowOff>229797</xdr:rowOff>
        </xdr:to>
        <xdr:sp macro="" textlink="">
          <xdr:nvSpPr>
            <xdr:cNvPr id="18741" name="Drop Down 309" hidden="1">
              <a:extLst>
                <a:ext uri="{63B3BB69-23CF-44E3-9099-C40C66FF867C}">
                  <a14:compatExt spid="_x0000_s18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37</xdr:row>
          <xdr:rowOff>38299</xdr:rowOff>
        </xdr:from>
        <xdr:to>
          <xdr:col>12</xdr:col>
          <xdr:colOff>464381</xdr:colOff>
          <xdr:row>37</xdr:row>
          <xdr:rowOff>229797</xdr:rowOff>
        </xdr:to>
        <xdr:sp macro="" textlink="">
          <xdr:nvSpPr>
            <xdr:cNvPr id="18742" name="Spinner 310" hidden="1">
              <a:extLst>
                <a:ext uri="{63B3BB69-23CF-44E3-9099-C40C66FF867C}">
                  <a14:compatExt spid="_x0000_s18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39</xdr:row>
          <xdr:rowOff>28725</xdr:rowOff>
        </xdr:from>
        <xdr:to>
          <xdr:col>7</xdr:col>
          <xdr:colOff>579280</xdr:colOff>
          <xdr:row>39</xdr:row>
          <xdr:rowOff>220222</xdr:rowOff>
        </xdr:to>
        <xdr:sp macro="" textlink="">
          <xdr:nvSpPr>
            <xdr:cNvPr id="18744" name="Spinner 312" hidden="1">
              <a:extLst>
                <a:ext uri="{63B3BB69-23CF-44E3-9099-C40C66FF867C}">
                  <a14:compatExt spid="_x0000_s18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39</xdr:row>
          <xdr:rowOff>9575</xdr:rowOff>
        </xdr:from>
        <xdr:to>
          <xdr:col>9</xdr:col>
          <xdr:colOff>134048</xdr:colOff>
          <xdr:row>39</xdr:row>
          <xdr:rowOff>239372</xdr:rowOff>
        </xdr:to>
        <xdr:sp macro="" textlink="">
          <xdr:nvSpPr>
            <xdr:cNvPr id="18746" name="Spinner 314" hidden="1">
              <a:extLst>
                <a:ext uri="{63B3BB69-23CF-44E3-9099-C40C66FF867C}">
                  <a14:compatExt spid="_x0000_s18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39</xdr:row>
          <xdr:rowOff>28725</xdr:rowOff>
        </xdr:from>
        <xdr:to>
          <xdr:col>13</xdr:col>
          <xdr:colOff>531405</xdr:colOff>
          <xdr:row>39</xdr:row>
          <xdr:rowOff>229797</xdr:rowOff>
        </xdr:to>
        <xdr:sp macro="" textlink="">
          <xdr:nvSpPr>
            <xdr:cNvPr id="18748" name="Drop Down 316" hidden="1">
              <a:extLst>
                <a:ext uri="{63B3BB69-23CF-44E3-9099-C40C66FF867C}">
                  <a14:compatExt spid="_x0000_s18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39</xdr:row>
          <xdr:rowOff>38299</xdr:rowOff>
        </xdr:from>
        <xdr:to>
          <xdr:col>12</xdr:col>
          <xdr:colOff>464381</xdr:colOff>
          <xdr:row>39</xdr:row>
          <xdr:rowOff>229797</xdr:rowOff>
        </xdr:to>
        <xdr:sp macro="" textlink="">
          <xdr:nvSpPr>
            <xdr:cNvPr id="18749" name="Spinner 317" hidden="1">
              <a:extLst>
                <a:ext uri="{63B3BB69-23CF-44E3-9099-C40C66FF867C}">
                  <a14:compatExt spid="_x0000_s18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41</xdr:row>
          <xdr:rowOff>28725</xdr:rowOff>
        </xdr:from>
        <xdr:to>
          <xdr:col>7</xdr:col>
          <xdr:colOff>579280</xdr:colOff>
          <xdr:row>41</xdr:row>
          <xdr:rowOff>220222</xdr:rowOff>
        </xdr:to>
        <xdr:sp macro="" textlink="">
          <xdr:nvSpPr>
            <xdr:cNvPr id="18751" name="Spinner 319" hidden="1">
              <a:extLst>
                <a:ext uri="{63B3BB69-23CF-44E3-9099-C40C66FF867C}">
                  <a14:compatExt spid="_x0000_s18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41</xdr:row>
          <xdr:rowOff>9575</xdr:rowOff>
        </xdr:from>
        <xdr:to>
          <xdr:col>9</xdr:col>
          <xdr:colOff>134048</xdr:colOff>
          <xdr:row>41</xdr:row>
          <xdr:rowOff>239372</xdr:rowOff>
        </xdr:to>
        <xdr:sp macro="" textlink="">
          <xdr:nvSpPr>
            <xdr:cNvPr id="18753" name="Spinner 321" hidden="1">
              <a:extLst>
                <a:ext uri="{63B3BB69-23CF-44E3-9099-C40C66FF867C}">
                  <a14:compatExt spid="_x0000_s18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41</xdr:row>
          <xdr:rowOff>28725</xdr:rowOff>
        </xdr:from>
        <xdr:to>
          <xdr:col>13</xdr:col>
          <xdr:colOff>531405</xdr:colOff>
          <xdr:row>41</xdr:row>
          <xdr:rowOff>229797</xdr:rowOff>
        </xdr:to>
        <xdr:sp macro="" textlink="">
          <xdr:nvSpPr>
            <xdr:cNvPr id="18755" name="Drop Down 323" hidden="1">
              <a:extLst>
                <a:ext uri="{63B3BB69-23CF-44E3-9099-C40C66FF867C}">
                  <a14:compatExt spid="_x0000_s18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41</xdr:row>
          <xdr:rowOff>38299</xdr:rowOff>
        </xdr:from>
        <xdr:to>
          <xdr:col>12</xdr:col>
          <xdr:colOff>464381</xdr:colOff>
          <xdr:row>41</xdr:row>
          <xdr:rowOff>229797</xdr:rowOff>
        </xdr:to>
        <xdr:sp macro="" textlink="">
          <xdr:nvSpPr>
            <xdr:cNvPr id="18756" name="Spinner 324" hidden="1">
              <a:extLst>
                <a:ext uri="{63B3BB69-23CF-44E3-9099-C40C66FF867C}">
                  <a14:compatExt spid="_x0000_s18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43</xdr:row>
          <xdr:rowOff>28725</xdr:rowOff>
        </xdr:from>
        <xdr:to>
          <xdr:col>7</xdr:col>
          <xdr:colOff>579280</xdr:colOff>
          <xdr:row>43</xdr:row>
          <xdr:rowOff>220222</xdr:rowOff>
        </xdr:to>
        <xdr:sp macro="" textlink="">
          <xdr:nvSpPr>
            <xdr:cNvPr id="18758" name="Spinner 326" hidden="1">
              <a:extLst>
                <a:ext uri="{63B3BB69-23CF-44E3-9099-C40C66FF867C}">
                  <a14:compatExt spid="_x0000_s18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43</xdr:row>
          <xdr:rowOff>9575</xdr:rowOff>
        </xdr:from>
        <xdr:to>
          <xdr:col>9</xdr:col>
          <xdr:colOff>134048</xdr:colOff>
          <xdr:row>43</xdr:row>
          <xdr:rowOff>239372</xdr:rowOff>
        </xdr:to>
        <xdr:sp macro="" textlink="">
          <xdr:nvSpPr>
            <xdr:cNvPr id="18760" name="Spinner 328" hidden="1">
              <a:extLst>
                <a:ext uri="{63B3BB69-23CF-44E3-9099-C40C66FF867C}">
                  <a14:compatExt spid="_x0000_s18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43</xdr:row>
          <xdr:rowOff>28725</xdr:rowOff>
        </xdr:from>
        <xdr:to>
          <xdr:col>13</xdr:col>
          <xdr:colOff>531405</xdr:colOff>
          <xdr:row>43</xdr:row>
          <xdr:rowOff>229797</xdr:rowOff>
        </xdr:to>
        <xdr:sp macro="" textlink="">
          <xdr:nvSpPr>
            <xdr:cNvPr id="18762" name="Drop Down 330" hidden="1">
              <a:extLst>
                <a:ext uri="{63B3BB69-23CF-44E3-9099-C40C66FF867C}">
                  <a14:compatExt spid="_x0000_s18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43</xdr:row>
          <xdr:rowOff>38299</xdr:rowOff>
        </xdr:from>
        <xdr:to>
          <xdr:col>12</xdr:col>
          <xdr:colOff>464381</xdr:colOff>
          <xdr:row>43</xdr:row>
          <xdr:rowOff>229797</xdr:rowOff>
        </xdr:to>
        <xdr:sp macro="" textlink="">
          <xdr:nvSpPr>
            <xdr:cNvPr id="18763" name="Spinner 331" hidden="1">
              <a:extLst>
                <a:ext uri="{63B3BB69-23CF-44E3-9099-C40C66FF867C}">
                  <a14:compatExt spid="_x0000_s18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7</xdr:row>
          <xdr:rowOff>28725</xdr:rowOff>
        </xdr:from>
        <xdr:to>
          <xdr:col>7</xdr:col>
          <xdr:colOff>579280</xdr:colOff>
          <xdr:row>7</xdr:row>
          <xdr:rowOff>220222</xdr:rowOff>
        </xdr:to>
        <xdr:sp macro="" textlink="">
          <xdr:nvSpPr>
            <xdr:cNvPr id="18796" name="Spinner 364" hidden="1">
              <a:extLst>
                <a:ext uri="{63B3BB69-23CF-44E3-9099-C40C66FF867C}">
                  <a14:compatExt spid="_x0000_s18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</xdr:row>
          <xdr:rowOff>38299</xdr:rowOff>
        </xdr:from>
        <xdr:to>
          <xdr:col>15</xdr:col>
          <xdr:colOff>181923</xdr:colOff>
          <xdr:row>5</xdr:row>
          <xdr:rowOff>229797</xdr:rowOff>
        </xdr:to>
        <xdr:sp macro="" textlink="">
          <xdr:nvSpPr>
            <xdr:cNvPr id="18797" name="Spinner 365" hidden="1">
              <a:extLst>
                <a:ext uri="{63B3BB69-23CF-44E3-9099-C40C66FF867C}">
                  <a14:compatExt spid="_x0000_s18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7</xdr:row>
          <xdr:rowOff>38299</xdr:rowOff>
        </xdr:from>
        <xdr:to>
          <xdr:col>15</xdr:col>
          <xdr:colOff>181923</xdr:colOff>
          <xdr:row>7</xdr:row>
          <xdr:rowOff>229797</xdr:rowOff>
        </xdr:to>
        <xdr:sp macro="" textlink="">
          <xdr:nvSpPr>
            <xdr:cNvPr id="18806" name="Spinner 374" hidden="1">
              <a:extLst>
                <a:ext uri="{63B3BB69-23CF-44E3-9099-C40C66FF867C}">
                  <a14:compatExt spid="_x0000_s188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9</xdr:row>
          <xdr:rowOff>38299</xdr:rowOff>
        </xdr:from>
        <xdr:to>
          <xdr:col>15</xdr:col>
          <xdr:colOff>181923</xdr:colOff>
          <xdr:row>9</xdr:row>
          <xdr:rowOff>229797</xdr:rowOff>
        </xdr:to>
        <xdr:sp macro="" textlink="">
          <xdr:nvSpPr>
            <xdr:cNvPr id="18807" name="Spinner 375" hidden="1">
              <a:extLst>
                <a:ext uri="{63B3BB69-23CF-44E3-9099-C40C66FF867C}">
                  <a14:compatExt spid="_x0000_s18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11</xdr:row>
          <xdr:rowOff>38299</xdr:rowOff>
        </xdr:from>
        <xdr:to>
          <xdr:col>15</xdr:col>
          <xdr:colOff>181923</xdr:colOff>
          <xdr:row>11</xdr:row>
          <xdr:rowOff>229797</xdr:rowOff>
        </xdr:to>
        <xdr:sp macro="" textlink="">
          <xdr:nvSpPr>
            <xdr:cNvPr id="18808" name="Spinner 376" hidden="1">
              <a:extLst>
                <a:ext uri="{63B3BB69-23CF-44E3-9099-C40C66FF867C}">
                  <a14:compatExt spid="_x0000_s18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13</xdr:row>
          <xdr:rowOff>38299</xdr:rowOff>
        </xdr:from>
        <xdr:to>
          <xdr:col>15</xdr:col>
          <xdr:colOff>181923</xdr:colOff>
          <xdr:row>13</xdr:row>
          <xdr:rowOff>229797</xdr:rowOff>
        </xdr:to>
        <xdr:sp macro="" textlink="">
          <xdr:nvSpPr>
            <xdr:cNvPr id="18809" name="Spinner 377" hidden="1">
              <a:extLst>
                <a:ext uri="{63B3BB69-23CF-44E3-9099-C40C66FF867C}">
                  <a14:compatExt spid="_x0000_s18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15</xdr:row>
          <xdr:rowOff>38299</xdr:rowOff>
        </xdr:from>
        <xdr:to>
          <xdr:col>15</xdr:col>
          <xdr:colOff>181923</xdr:colOff>
          <xdr:row>15</xdr:row>
          <xdr:rowOff>229797</xdr:rowOff>
        </xdr:to>
        <xdr:sp macro="" textlink="">
          <xdr:nvSpPr>
            <xdr:cNvPr id="18810" name="Spinner 378" hidden="1">
              <a:extLst>
                <a:ext uri="{63B3BB69-23CF-44E3-9099-C40C66FF867C}">
                  <a14:compatExt spid="_x0000_s18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17</xdr:row>
          <xdr:rowOff>38299</xdr:rowOff>
        </xdr:from>
        <xdr:to>
          <xdr:col>15</xdr:col>
          <xdr:colOff>181923</xdr:colOff>
          <xdr:row>17</xdr:row>
          <xdr:rowOff>229797</xdr:rowOff>
        </xdr:to>
        <xdr:sp macro="" textlink="">
          <xdr:nvSpPr>
            <xdr:cNvPr id="18811" name="Spinner 379" hidden="1">
              <a:extLst>
                <a:ext uri="{63B3BB69-23CF-44E3-9099-C40C66FF867C}">
                  <a14:compatExt spid="_x0000_s18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19</xdr:row>
          <xdr:rowOff>38299</xdr:rowOff>
        </xdr:from>
        <xdr:to>
          <xdr:col>15</xdr:col>
          <xdr:colOff>181923</xdr:colOff>
          <xdr:row>19</xdr:row>
          <xdr:rowOff>229797</xdr:rowOff>
        </xdr:to>
        <xdr:sp macro="" textlink="">
          <xdr:nvSpPr>
            <xdr:cNvPr id="18812" name="Spinner 380" hidden="1">
              <a:extLst>
                <a:ext uri="{63B3BB69-23CF-44E3-9099-C40C66FF867C}">
                  <a14:compatExt spid="_x0000_s188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21</xdr:row>
          <xdr:rowOff>38299</xdr:rowOff>
        </xdr:from>
        <xdr:to>
          <xdr:col>15</xdr:col>
          <xdr:colOff>181923</xdr:colOff>
          <xdr:row>21</xdr:row>
          <xdr:rowOff>229797</xdr:rowOff>
        </xdr:to>
        <xdr:sp macro="" textlink="">
          <xdr:nvSpPr>
            <xdr:cNvPr id="18813" name="Spinner 381" hidden="1">
              <a:extLst>
                <a:ext uri="{63B3BB69-23CF-44E3-9099-C40C66FF867C}">
                  <a14:compatExt spid="_x0000_s18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23</xdr:row>
          <xdr:rowOff>38299</xdr:rowOff>
        </xdr:from>
        <xdr:to>
          <xdr:col>15</xdr:col>
          <xdr:colOff>181923</xdr:colOff>
          <xdr:row>23</xdr:row>
          <xdr:rowOff>229797</xdr:rowOff>
        </xdr:to>
        <xdr:sp macro="" textlink="">
          <xdr:nvSpPr>
            <xdr:cNvPr id="18814" name="Spinner 382" hidden="1">
              <a:extLst>
                <a:ext uri="{63B3BB69-23CF-44E3-9099-C40C66FF867C}">
                  <a14:compatExt spid="_x0000_s18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25</xdr:row>
          <xdr:rowOff>38299</xdr:rowOff>
        </xdr:from>
        <xdr:to>
          <xdr:col>15</xdr:col>
          <xdr:colOff>181923</xdr:colOff>
          <xdr:row>25</xdr:row>
          <xdr:rowOff>229797</xdr:rowOff>
        </xdr:to>
        <xdr:sp macro="" textlink="">
          <xdr:nvSpPr>
            <xdr:cNvPr id="18815" name="Spinner 383" hidden="1">
              <a:extLst>
                <a:ext uri="{63B3BB69-23CF-44E3-9099-C40C66FF867C}">
                  <a14:compatExt spid="_x0000_s18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27</xdr:row>
          <xdr:rowOff>38299</xdr:rowOff>
        </xdr:from>
        <xdr:to>
          <xdr:col>15</xdr:col>
          <xdr:colOff>181923</xdr:colOff>
          <xdr:row>27</xdr:row>
          <xdr:rowOff>229797</xdr:rowOff>
        </xdr:to>
        <xdr:sp macro="" textlink="">
          <xdr:nvSpPr>
            <xdr:cNvPr id="18816" name="Spinner 384" hidden="1">
              <a:extLst>
                <a:ext uri="{63B3BB69-23CF-44E3-9099-C40C66FF867C}">
                  <a14:compatExt spid="_x0000_s18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29</xdr:row>
          <xdr:rowOff>38299</xdr:rowOff>
        </xdr:from>
        <xdr:to>
          <xdr:col>15</xdr:col>
          <xdr:colOff>181923</xdr:colOff>
          <xdr:row>29</xdr:row>
          <xdr:rowOff>229797</xdr:rowOff>
        </xdr:to>
        <xdr:sp macro="" textlink="">
          <xdr:nvSpPr>
            <xdr:cNvPr id="18817" name="Spinner 385" hidden="1">
              <a:extLst>
                <a:ext uri="{63B3BB69-23CF-44E3-9099-C40C66FF867C}">
                  <a14:compatExt spid="_x0000_s18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31</xdr:row>
          <xdr:rowOff>38299</xdr:rowOff>
        </xdr:from>
        <xdr:to>
          <xdr:col>15</xdr:col>
          <xdr:colOff>181923</xdr:colOff>
          <xdr:row>31</xdr:row>
          <xdr:rowOff>229797</xdr:rowOff>
        </xdr:to>
        <xdr:sp macro="" textlink="">
          <xdr:nvSpPr>
            <xdr:cNvPr id="18818" name="Spinner 386" hidden="1">
              <a:extLst>
                <a:ext uri="{63B3BB69-23CF-44E3-9099-C40C66FF867C}">
                  <a14:compatExt spid="_x0000_s18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33</xdr:row>
          <xdr:rowOff>38299</xdr:rowOff>
        </xdr:from>
        <xdr:to>
          <xdr:col>15</xdr:col>
          <xdr:colOff>181923</xdr:colOff>
          <xdr:row>33</xdr:row>
          <xdr:rowOff>229797</xdr:rowOff>
        </xdr:to>
        <xdr:sp macro="" textlink="">
          <xdr:nvSpPr>
            <xdr:cNvPr id="18819" name="Spinner 387" hidden="1">
              <a:extLst>
                <a:ext uri="{63B3BB69-23CF-44E3-9099-C40C66FF867C}">
                  <a14:compatExt spid="_x0000_s18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35</xdr:row>
          <xdr:rowOff>38299</xdr:rowOff>
        </xdr:from>
        <xdr:to>
          <xdr:col>15</xdr:col>
          <xdr:colOff>181923</xdr:colOff>
          <xdr:row>35</xdr:row>
          <xdr:rowOff>229797</xdr:rowOff>
        </xdr:to>
        <xdr:sp macro="" textlink="">
          <xdr:nvSpPr>
            <xdr:cNvPr id="18820" name="Spinner 388" hidden="1">
              <a:extLst>
                <a:ext uri="{63B3BB69-23CF-44E3-9099-C40C66FF867C}">
                  <a14:compatExt spid="_x0000_s18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37</xdr:row>
          <xdr:rowOff>38299</xdr:rowOff>
        </xdr:from>
        <xdr:to>
          <xdr:col>15</xdr:col>
          <xdr:colOff>181923</xdr:colOff>
          <xdr:row>37</xdr:row>
          <xdr:rowOff>229797</xdr:rowOff>
        </xdr:to>
        <xdr:sp macro="" textlink="">
          <xdr:nvSpPr>
            <xdr:cNvPr id="18821" name="Spinner 389" hidden="1">
              <a:extLst>
                <a:ext uri="{63B3BB69-23CF-44E3-9099-C40C66FF867C}">
                  <a14:compatExt spid="_x0000_s18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39</xdr:row>
          <xdr:rowOff>38299</xdr:rowOff>
        </xdr:from>
        <xdr:to>
          <xdr:col>15</xdr:col>
          <xdr:colOff>181923</xdr:colOff>
          <xdr:row>39</xdr:row>
          <xdr:rowOff>229797</xdr:rowOff>
        </xdr:to>
        <xdr:sp macro="" textlink="">
          <xdr:nvSpPr>
            <xdr:cNvPr id="18822" name="Spinner 390" hidden="1">
              <a:extLst>
                <a:ext uri="{63B3BB69-23CF-44E3-9099-C40C66FF867C}">
                  <a14:compatExt spid="_x0000_s18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41</xdr:row>
          <xdr:rowOff>38299</xdr:rowOff>
        </xdr:from>
        <xdr:to>
          <xdr:col>15</xdr:col>
          <xdr:colOff>181923</xdr:colOff>
          <xdr:row>41</xdr:row>
          <xdr:rowOff>229797</xdr:rowOff>
        </xdr:to>
        <xdr:sp macro="" textlink="">
          <xdr:nvSpPr>
            <xdr:cNvPr id="18823" name="Spinner 391" hidden="1">
              <a:extLst>
                <a:ext uri="{63B3BB69-23CF-44E3-9099-C40C66FF867C}">
                  <a14:compatExt spid="_x0000_s18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43</xdr:row>
          <xdr:rowOff>38299</xdr:rowOff>
        </xdr:from>
        <xdr:to>
          <xdr:col>15</xdr:col>
          <xdr:colOff>181923</xdr:colOff>
          <xdr:row>43</xdr:row>
          <xdr:rowOff>229797</xdr:rowOff>
        </xdr:to>
        <xdr:sp macro="" textlink="">
          <xdr:nvSpPr>
            <xdr:cNvPr id="18824" name="Spinner 392" hidden="1">
              <a:extLst>
                <a:ext uri="{63B3BB69-23CF-44E3-9099-C40C66FF867C}">
                  <a14:compatExt spid="_x0000_s18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35</xdr:row>
      <xdr:rowOff>9525</xdr:rowOff>
    </xdr:from>
    <xdr:to>
      <xdr:col>7</xdr:col>
      <xdr:colOff>0</xdr:colOff>
      <xdr:row>35</xdr:row>
      <xdr:rowOff>238125</xdr:rowOff>
    </xdr:to>
    <xdr:sp macro="[0]!Medicament_16" textlink="">
      <xdr:nvSpPr>
        <xdr:cNvPr id="18830" name="Rectangle 398"/>
        <xdr:cNvSpPr>
          <a:spLocks noChangeArrowheads="1"/>
        </xdr:cNvSpPr>
      </xdr:nvSpPr>
      <xdr:spPr bwMode="auto">
        <a:xfrm>
          <a:off x="1057275" y="8343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37</xdr:row>
      <xdr:rowOff>9525</xdr:rowOff>
    </xdr:from>
    <xdr:to>
      <xdr:col>7</xdr:col>
      <xdr:colOff>0</xdr:colOff>
      <xdr:row>37</xdr:row>
      <xdr:rowOff>238125</xdr:rowOff>
    </xdr:to>
    <xdr:sp macro="[0]!Medicament_17" textlink="">
      <xdr:nvSpPr>
        <xdr:cNvPr id="18831" name="Rectangle 399"/>
        <xdr:cNvSpPr>
          <a:spLocks noChangeArrowheads="1"/>
        </xdr:cNvSpPr>
      </xdr:nvSpPr>
      <xdr:spPr bwMode="auto">
        <a:xfrm>
          <a:off x="1057275" y="8839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39</xdr:row>
      <xdr:rowOff>9525</xdr:rowOff>
    </xdr:from>
    <xdr:to>
      <xdr:col>7</xdr:col>
      <xdr:colOff>0</xdr:colOff>
      <xdr:row>39</xdr:row>
      <xdr:rowOff>238125</xdr:rowOff>
    </xdr:to>
    <xdr:sp macro="[0]!Medicament_18" textlink="">
      <xdr:nvSpPr>
        <xdr:cNvPr id="18832" name="Rectangle 400"/>
        <xdr:cNvSpPr>
          <a:spLocks noChangeArrowheads="1"/>
        </xdr:cNvSpPr>
      </xdr:nvSpPr>
      <xdr:spPr bwMode="auto">
        <a:xfrm>
          <a:off x="1057275" y="9334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41</xdr:row>
      <xdr:rowOff>9525</xdr:rowOff>
    </xdr:from>
    <xdr:to>
      <xdr:col>7</xdr:col>
      <xdr:colOff>0</xdr:colOff>
      <xdr:row>41</xdr:row>
      <xdr:rowOff>238125</xdr:rowOff>
    </xdr:to>
    <xdr:sp macro="[0]!Medicament_19" textlink="">
      <xdr:nvSpPr>
        <xdr:cNvPr id="18833" name="Rectangle 401"/>
        <xdr:cNvSpPr>
          <a:spLocks noChangeArrowheads="1"/>
        </xdr:cNvSpPr>
      </xdr:nvSpPr>
      <xdr:spPr bwMode="auto">
        <a:xfrm>
          <a:off x="1057275" y="9829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43</xdr:row>
      <xdr:rowOff>9525</xdr:rowOff>
    </xdr:from>
    <xdr:to>
      <xdr:col>7</xdr:col>
      <xdr:colOff>0</xdr:colOff>
      <xdr:row>43</xdr:row>
      <xdr:rowOff>238125</xdr:rowOff>
    </xdr:to>
    <xdr:sp macro="[0]!Medicament_20" textlink="">
      <xdr:nvSpPr>
        <xdr:cNvPr id="18834" name="Rectangle 402"/>
        <xdr:cNvSpPr>
          <a:spLocks noChangeArrowheads="1"/>
        </xdr:cNvSpPr>
      </xdr:nvSpPr>
      <xdr:spPr bwMode="auto">
        <a:xfrm>
          <a:off x="1057275" y="10325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5</xdr:row>
      <xdr:rowOff>0</xdr:rowOff>
    </xdr:from>
    <xdr:to>
      <xdr:col>16</xdr:col>
      <xdr:colOff>0</xdr:colOff>
      <xdr:row>5</xdr:row>
      <xdr:rowOff>0</xdr:rowOff>
    </xdr:to>
    <xdr:sp macro="[0]!medDiscBijz" textlink="">
      <xdr:nvSpPr>
        <xdr:cNvPr id="18835" name="Rectangle 403"/>
        <xdr:cNvSpPr>
          <a:spLocks noChangeArrowheads="1"/>
        </xdr:cNvSpPr>
      </xdr:nvSpPr>
      <xdr:spPr bwMode="auto">
        <a:xfrm>
          <a:off x="1647825" y="904875"/>
          <a:ext cx="75628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590550</xdr:colOff>
      <xdr:row>5</xdr:row>
      <xdr:rowOff>0</xdr:rowOff>
    </xdr:from>
    <xdr:to>
      <xdr:col>16</xdr:col>
      <xdr:colOff>0</xdr:colOff>
      <xdr:row>5</xdr:row>
      <xdr:rowOff>0</xdr:rowOff>
    </xdr:to>
    <xdr:sp macro="[0]!medDiscDos" textlink="">
      <xdr:nvSpPr>
        <xdr:cNvPr id="18836" name="Rectangle 404"/>
        <xdr:cNvSpPr>
          <a:spLocks noChangeArrowheads="1"/>
        </xdr:cNvSpPr>
      </xdr:nvSpPr>
      <xdr:spPr bwMode="auto">
        <a:xfrm>
          <a:off x="1628775" y="904875"/>
          <a:ext cx="75819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6</xdr:row>
      <xdr:rowOff>104775</xdr:rowOff>
    </xdr:from>
    <xdr:to>
      <xdr:col>7</xdr:col>
      <xdr:colOff>19050</xdr:colOff>
      <xdr:row>6</xdr:row>
      <xdr:rowOff>190500</xdr:rowOff>
    </xdr:to>
    <xdr:sp macro="[0]!opmMedDisc_1" textlink="">
      <xdr:nvSpPr>
        <xdr:cNvPr id="18837" name="Rectangle 405"/>
        <xdr:cNvSpPr>
          <a:spLocks noChangeArrowheads="1"/>
        </xdr:cNvSpPr>
      </xdr:nvSpPr>
      <xdr:spPr bwMode="auto">
        <a:xfrm>
          <a:off x="209550" y="12573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8</xdr:row>
      <xdr:rowOff>104775</xdr:rowOff>
    </xdr:from>
    <xdr:to>
      <xdr:col>6</xdr:col>
      <xdr:colOff>571500</xdr:colOff>
      <xdr:row>8</xdr:row>
      <xdr:rowOff>190500</xdr:rowOff>
    </xdr:to>
    <xdr:sp macro="[0]!opmMedDisc_2" textlink="">
      <xdr:nvSpPr>
        <xdr:cNvPr id="18838" name="Rectangle 406"/>
        <xdr:cNvSpPr>
          <a:spLocks noChangeArrowheads="1"/>
        </xdr:cNvSpPr>
      </xdr:nvSpPr>
      <xdr:spPr bwMode="auto">
        <a:xfrm>
          <a:off x="152400" y="17526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10</xdr:row>
      <xdr:rowOff>104775</xdr:rowOff>
    </xdr:from>
    <xdr:to>
      <xdr:col>7</xdr:col>
      <xdr:colOff>19050</xdr:colOff>
      <xdr:row>10</xdr:row>
      <xdr:rowOff>190500</xdr:rowOff>
    </xdr:to>
    <xdr:sp macro="[0]!opmMedDisc_3" textlink="">
      <xdr:nvSpPr>
        <xdr:cNvPr id="18840" name="Rectangle 408"/>
        <xdr:cNvSpPr>
          <a:spLocks noChangeArrowheads="1"/>
        </xdr:cNvSpPr>
      </xdr:nvSpPr>
      <xdr:spPr bwMode="auto">
        <a:xfrm>
          <a:off x="209550" y="22479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552450</xdr:colOff>
      <xdr:row>5</xdr:row>
      <xdr:rowOff>0</xdr:rowOff>
    </xdr:from>
    <xdr:to>
      <xdr:col>6</xdr:col>
      <xdr:colOff>266700</xdr:colOff>
      <xdr:row>5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561975</xdr:colOff>
      <xdr:row>5</xdr:row>
      <xdr:rowOff>0</xdr:rowOff>
    </xdr:from>
    <xdr:to>
      <xdr:col>10</xdr:col>
      <xdr:colOff>533400</xdr:colOff>
      <xdr:row>5</xdr:row>
      <xdr:rowOff>0</xdr:rowOff>
    </xdr:to>
    <xdr:sp macro="[0]!medDiscStandDos" textlink="">
      <xdr:nvSpPr>
        <xdr:cNvPr id="18842" name="Rectangle 410"/>
        <xdr:cNvSpPr>
          <a:spLocks noChangeArrowheads="1"/>
        </xdr:cNvSpPr>
      </xdr:nvSpPr>
      <xdr:spPr bwMode="auto">
        <a:xfrm>
          <a:off x="4067175" y="904875"/>
          <a:ext cx="20097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12</xdr:row>
      <xdr:rowOff>104775</xdr:rowOff>
    </xdr:from>
    <xdr:to>
      <xdr:col>7</xdr:col>
      <xdr:colOff>19050</xdr:colOff>
      <xdr:row>12</xdr:row>
      <xdr:rowOff>190500</xdr:rowOff>
    </xdr:to>
    <xdr:sp macro="[0]!opmMedDisc_4" textlink="">
      <xdr:nvSpPr>
        <xdr:cNvPr id="18844" name="Rectangle 412"/>
        <xdr:cNvSpPr>
          <a:spLocks noChangeArrowheads="1"/>
        </xdr:cNvSpPr>
      </xdr:nvSpPr>
      <xdr:spPr bwMode="auto">
        <a:xfrm>
          <a:off x="209550" y="27432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14</xdr:row>
      <xdr:rowOff>104775</xdr:rowOff>
    </xdr:from>
    <xdr:to>
      <xdr:col>7</xdr:col>
      <xdr:colOff>19050</xdr:colOff>
      <xdr:row>14</xdr:row>
      <xdr:rowOff>190500</xdr:rowOff>
    </xdr:to>
    <xdr:sp macro="[0]!opmMedDisc_5" textlink="">
      <xdr:nvSpPr>
        <xdr:cNvPr id="18845" name="Rectangle 413"/>
        <xdr:cNvSpPr>
          <a:spLocks noChangeArrowheads="1"/>
        </xdr:cNvSpPr>
      </xdr:nvSpPr>
      <xdr:spPr bwMode="auto">
        <a:xfrm>
          <a:off x="209550" y="32385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16</xdr:row>
      <xdr:rowOff>104775</xdr:rowOff>
    </xdr:from>
    <xdr:to>
      <xdr:col>7</xdr:col>
      <xdr:colOff>19050</xdr:colOff>
      <xdr:row>16</xdr:row>
      <xdr:rowOff>190500</xdr:rowOff>
    </xdr:to>
    <xdr:sp macro="[0]!opmMedDisc_6" textlink="">
      <xdr:nvSpPr>
        <xdr:cNvPr id="18846" name="Rectangle 414"/>
        <xdr:cNvSpPr>
          <a:spLocks noChangeArrowheads="1"/>
        </xdr:cNvSpPr>
      </xdr:nvSpPr>
      <xdr:spPr bwMode="auto">
        <a:xfrm>
          <a:off x="209550" y="37338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18</xdr:row>
      <xdr:rowOff>104775</xdr:rowOff>
    </xdr:from>
    <xdr:to>
      <xdr:col>7</xdr:col>
      <xdr:colOff>19050</xdr:colOff>
      <xdr:row>18</xdr:row>
      <xdr:rowOff>190500</xdr:rowOff>
    </xdr:to>
    <xdr:sp macro="[0]!opmMedDisc_7" textlink="">
      <xdr:nvSpPr>
        <xdr:cNvPr id="18847" name="Rectangle 415"/>
        <xdr:cNvSpPr>
          <a:spLocks noChangeArrowheads="1"/>
        </xdr:cNvSpPr>
      </xdr:nvSpPr>
      <xdr:spPr bwMode="auto">
        <a:xfrm>
          <a:off x="209550" y="42291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20</xdr:row>
      <xdr:rowOff>104775</xdr:rowOff>
    </xdr:from>
    <xdr:to>
      <xdr:col>7</xdr:col>
      <xdr:colOff>19050</xdr:colOff>
      <xdr:row>20</xdr:row>
      <xdr:rowOff>190500</xdr:rowOff>
    </xdr:to>
    <xdr:sp macro="[0]!opmMedDisc_8" textlink="">
      <xdr:nvSpPr>
        <xdr:cNvPr id="18848" name="Rectangle 416"/>
        <xdr:cNvSpPr>
          <a:spLocks noChangeArrowheads="1"/>
        </xdr:cNvSpPr>
      </xdr:nvSpPr>
      <xdr:spPr bwMode="auto">
        <a:xfrm>
          <a:off x="209550" y="47244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22</xdr:row>
      <xdr:rowOff>104775</xdr:rowOff>
    </xdr:from>
    <xdr:to>
      <xdr:col>7</xdr:col>
      <xdr:colOff>19050</xdr:colOff>
      <xdr:row>22</xdr:row>
      <xdr:rowOff>190500</xdr:rowOff>
    </xdr:to>
    <xdr:sp macro="[0]!opmMedDisc_9" textlink="">
      <xdr:nvSpPr>
        <xdr:cNvPr id="18849" name="Rectangle 417"/>
        <xdr:cNvSpPr>
          <a:spLocks noChangeArrowheads="1"/>
        </xdr:cNvSpPr>
      </xdr:nvSpPr>
      <xdr:spPr bwMode="auto">
        <a:xfrm>
          <a:off x="209550" y="52197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24</xdr:row>
      <xdr:rowOff>114300</xdr:rowOff>
    </xdr:from>
    <xdr:to>
      <xdr:col>7</xdr:col>
      <xdr:colOff>19050</xdr:colOff>
      <xdr:row>24</xdr:row>
      <xdr:rowOff>200025</xdr:rowOff>
    </xdr:to>
    <xdr:sp macro="[0]!opmMedDisc_10" textlink="">
      <xdr:nvSpPr>
        <xdr:cNvPr id="18850" name="Rectangle 418"/>
        <xdr:cNvSpPr>
          <a:spLocks noChangeArrowheads="1"/>
        </xdr:cNvSpPr>
      </xdr:nvSpPr>
      <xdr:spPr bwMode="auto">
        <a:xfrm>
          <a:off x="209550" y="5724525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26</xdr:row>
      <xdr:rowOff>104775</xdr:rowOff>
    </xdr:from>
    <xdr:to>
      <xdr:col>7</xdr:col>
      <xdr:colOff>19050</xdr:colOff>
      <xdr:row>26</xdr:row>
      <xdr:rowOff>190500</xdr:rowOff>
    </xdr:to>
    <xdr:sp macro="[0]!opmMedDisc_11" textlink="">
      <xdr:nvSpPr>
        <xdr:cNvPr id="18851" name="Rectangle 419"/>
        <xdr:cNvSpPr>
          <a:spLocks noChangeArrowheads="1"/>
        </xdr:cNvSpPr>
      </xdr:nvSpPr>
      <xdr:spPr bwMode="auto">
        <a:xfrm>
          <a:off x="209550" y="62103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28</xdr:row>
      <xdr:rowOff>104775</xdr:rowOff>
    </xdr:from>
    <xdr:to>
      <xdr:col>7</xdr:col>
      <xdr:colOff>19050</xdr:colOff>
      <xdr:row>28</xdr:row>
      <xdr:rowOff>190500</xdr:rowOff>
    </xdr:to>
    <xdr:sp macro="[0]!opmMedDisc_12" textlink="">
      <xdr:nvSpPr>
        <xdr:cNvPr id="18852" name="Rectangle 420"/>
        <xdr:cNvSpPr>
          <a:spLocks noChangeArrowheads="1"/>
        </xdr:cNvSpPr>
      </xdr:nvSpPr>
      <xdr:spPr bwMode="auto">
        <a:xfrm>
          <a:off x="209550" y="67056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30</xdr:row>
      <xdr:rowOff>104775</xdr:rowOff>
    </xdr:from>
    <xdr:to>
      <xdr:col>7</xdr:col>
      <xdr:colOff>19050</xdr:colOff>
      <xdr:row>30</xdr:row>
      <xdr:rowOff>190500</xdr:rowOff>
    </xdr:to>
    <xdr:sp macro="[0]!opmMedDisc_13" textlink="">
      <xdr:nvSpPr>
        <xdr:cNvPr id="18853" name="Rectangle 421"/>
        <xdr:cNvSpPr>
          <a:spLocks noChangeArrowheads="1"/>
        </xdr:cNvSpPr>
      </xdr:nvSpPr>
      <xdr:spPr bwMode="auto">
        <a:xfrm>
          <a:off x="209550" y="72009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32</xdr:row>
      <xdr:rowOff>104775</xdr:rowOff>
    </xdr:from>
    <xdr:to>
      <xdr:col>7</xdr:col>
      <xdr:colOff>19050</xdr:colOff>
      <xdr:row>32</xdr:row>
      <xdr:rowOff>190500</xdr:rowOff>
    </xdr:to>
    <xdr:sp macro="[0]!opmMedDisc_14" textlink="">
      <xdr:nvSpPr>
        <xdr:cNvPr id="18854" name="Rectangle 422"/>
        <xdr:cNvSpPr>
          <a:spLocks noChangeArrowheads="1"/>
        </xdr:cNvSpPr>
      </xdr:nvSpPr>
      <xdr:spPr bwMode="auto">
        <a:xfrm>
          <a:off x="209550" y="76962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34</xdr:row>
      <xdr:rowOff>104775</xdr:rowOff>
    </xdr:from>
    <xdr:to>
      <xdr:col>7</xdr:col>
      <xdr:colOff>19050</xdr:colOff>
      <xdr:row>34</xdr:row>
      <xdr:rowOff>190500</xdr:rowOff>
    </xdr:to>
    <xdr:sp macro="[0]!opmMedDisc_15" textlink="">
      <xdr:nvSpPr>
        <xdr:cNvPr id="18855" name="Rectangle 423"/>
        <xdr:cNvSpPr>
          <a:spLocks noChangeArrowheads="1"/>
        </xdr:cNvSpPr>
      </xdr:nvSpPr>
      <xdr:spPr bwMode="auto">
        <a:xfrm>
          <a:off x="209550" y="81915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36</xdr:row>
      <xdr:rowOff>104775</xdr:rowOff>
    </xdr:from>
    <xdr:to>
      <xdr:col>7</xdr:col>
      <xdr:colOff>19050</xdr:colOff>
      <xdr:row>36</xdr:row>
      <xdr:rowOff>190500</xdr:rowOff>
    </xdr:to>
    <xdr:sp macro="[0]!opmMedDisc_16" textlink="">
      <xdr:nvSpPr>
        <xdr:cNvPr id="18856" name="Rectangle 424"/>
        <xdr:cNvSpPr>
          <a:spLocks noChangeArrowheads="1"/>
        </xdr:cNvSpPr>
      </xdr:nvSpPr>
      <xdr:spPr bwMode="auto">
        <a:xfrm>
          <a:off x="209550" y="86868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38</xdr:row>
      <xdr:rowOff>104775</xdr:rowOff>
    </xdr:from>
    <xdr:to>
      <xdr:col>7</xdr:col>
      <xdr:colOff>19050</xdr:colOff>
      <xdr:row>38</xdr:row>
      <xdr:rowOff>190500</xdr:rowOff>
    </xdr:to>
    <xdr:sp macro="[0]!opmMedDisc_17" textlink="">
      <xdr:nvSpPr>
        <xdr:cNvPr id="18857" name="Rectangle 425"/>
        <xdr:cNvSpPr>
          <a:spLocks noChangeArrowheads="1"/>
        </xdr:cNvSpPr>
      </xdr:nvSpPr>
      <xdr:spPr bwMode="auto">
        <a:xfrm>
          <a:off x="209550" y="91821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40</xdr:row>
      <xdr:rowOff>104775</xdr:rowOff>
    </xdr:from>
    <xdr:to>
      <xdr:col>7</xdr:col>
      <xdr:colOff>19050</xdr:colOff>
      <xdr:row>40</xdr:row>
      <xdr:rowOff>190500</xdr:rowOff>
    </xdr:to>
    <xdr:sp macro="[0]!opmMedDisc_18" textlink="">
      <xdr:nvSpPr>
        <xdr:cNvPr id="18858" name="Rectangle 426"/>
        <xdr:cNvSpPr>
          <a:spLocks noChangeArrowheads="1"/>
        </xdr:cNvSpPr>
      </xdr:nvSpPr>
      <xdr:spPr bwMode="auto">
        <a:xfrm>
          <a:off x="209550" y="96774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42</xdr:row>
      <xdr:rowOff>104775</xdr:rowOff>
    </xdr:from>
    <xdr:to>
      <xdr:col>7</xdr:col>
      <xdr:colOff>19050</xdr:colOff>
      <xdr:row>42</xdr:row>
      <xdr:rowOff>190500</xdr:rowOff>
    </xdr:to>
    <xdr:sp macro="[0]!opmMedDisc_19" textlink="">
      <xdr:nvSpPr>
        <xdr:cNvPr id="18859" name="Rectangle 427"/>
        <xdr:cNvSpPr>
          <a:spLocks noChangeArrowheads="1"/>
        </xdr:cNvSpPr>
      </xdr:nvSpPr>
      <xdr:spPr bwMode="auto">
        <a:xfrm>
          <a:off x="209550" y="101727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44</xdr:row>
      <xdr:rowOff>104775</xdr:rowOff>
    </xdr:from>
    <xdr:to>
      <xdr:col>7</xdr:col>
      <xdr:colOff>19050</xdr:colOff>
      <xdr:row>44</xdr:row>
      <xdr:rowOff>190500</xdr:rowOff>
    </xdr:to>
    <xdr:sp macro="[0]!opmMedDisc_20" textlink="">
      <xdr:nvSpPr>
        <xdr:cNvPr id="18860" name="Rectangle 428"/>
        <xdr:cNvSpPr>
          <a:spLocks noChangeArrowheads="1"/>
        </xdr:cNvSpPr>
      </xdr:nvSpPr>
      <xdr:spPr bwMode="auto">
        <a:xfrm>
          <a:off x="209550" y="106680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9</xdr:row>
          <xdr:rowOff>28725</xdr:rowOff>
        </xdr:from>
        <xdr:to>
          <xdr:col>13</xdr:col>
          <xdr:colOff>531405</xdr:colOff>
          <xdr:row>9</xdr:row>
          <xdr:rowOff>229797</xdr:rowOff>
        </xdr:to>
        <xdr:sp macro="" textlink="">
          <xdr:nvSpPr>
            <xdr:cNvPr id="18863" name="Drop Down 431" hidden="1">
              <a:extLst>
                <a:ext uri="{63B3BB69-23CF-44E3-9099-C40C66FF867C}">
                  <a14:compatExt spid="_x0000_s18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19050</xdr:colOff>
      <xdr:row>33</xdr:row>
      <xdr:rowOff>9525</xdr:rowOff>
    </xdr:from>
    <xdr:to>
      <xdr:col>7</xdr:col>
      <xdr:colOff>0</xdr:colOff>
      <xdr:row>33</xdr:row>
      <xdr:rowOff>238125</xdr:rowOff>
    </xdr:to>
    <xdr:sp macro="[0]!Medicament_15" textlink="">
      <xdr:nvSpPr>
        <xdr:cNvPr id="18867" name="Rectangle 435"/>
        <xdr:cNvSpPr>
          <a:spLocks noChangeArrowheads="1"/>
        </xdr:cNvSpPr>
      </xdr:nvSpPr>
      <xdr:spPr bwMode="auto">
        <a:xfrm>
          <a:off x="1057275" y="7848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31</xdr:row>
      <xdr:rowOff>9525</xdr:rowOff>
    </xdr:from>
    <xdr:to>
      <xdr:col>7</xdr:col>
      <xdr:colOff>0</xdr:colOff>
      <xdr:row>31</xdr:row>
      <xdr:rowOff>238125</xdr:rowOff>
    </xdr:to>
    <xdr:sp macro="[0]!Medicament_14" textlink="">
      <xdr:nvSpPr>
        <xdr:cNvPr id="18868" name="Rectangle 436"/>
        <xdr:cNvSpPr>
          <a:spLocks noChangeArrowheads="1"/>
        </xdr:cNvSpPr>
      </xdr:nvSpPr>
      <xdr:spPr bwMode="auto">
        <a:xfrm>
          <a:off x="1057275" y="7353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29</xdr:row>
      <xdr:rowOff>9525</xdr:rowOff>
    </xdr:from>
    <xdr:to>
      <xdr:col>7</xdr:col>
      <xdr:colOff>0</xdr:colOff>
      <xdr:row>29</xdr:row>
      <xdr:rowOff>238125</xdr:rowOff>
    </xdr:to>
    <xdr:sp macro="[0]!Medicament_13" textlink="">
      <xdr:nvSpPr>
        <xdr:cNvPr id="18869" name="Rectangle 437"/>
        <xdr:cNvSpPr>
          <a:spLocks noChangeArrowheads="1"/>
        </xdr:cNvSpPr>
      </xdr:nvSpPr>
      <xdr:spPr bwMode="auto">
        <a:xfrm>
          <a:off x="1057275" y="6858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27</xdr:row>
      <xdr:rowOff>9525</xdr:rowOff>
    </xdr:from>
    <xdr:to>
      <xdr:col>7</xdr:col>
      <xdr:colOff>0</xdr:colOff>
      <xdr:row>27</xdr:row>
      <xdr:rowOff>238125</xdr:rowOff>
    </xdr:to>
    <xdr:sp macro="[0]!Medicament_12" textlink="">
      <xdr:nvSpPr>
        <xdr:cNvPr id="18870" name="Rectangle 438"/>
        <xdr:cNvSpPr>
          <a:spLocks noChangeArrowheads="1"/>
        </xdr:cNvSpPr>
      </xdr:nvSpPr>
      <xdr:spPr bwMode="auto">
        <a:xfrm>
          <a:off x="1057275" y="63627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25</xdr:row>
      <xdr:rowOff>9525</xdr:rowOff>
    </xdr:from>
    <xdr:to>
      <xdr:col>7</xdr:col>
      <xdr:colOff>0</xdr:colOff>
      <xdr:row>25</xdr:row>
      <xdr:rowOff>238125</xdr:rowOff>
    </xdr:to>
    <xdr:sp macro="[0]!Medicament_11" textlink="">
      <xdr:nvSpPr>
        <xdr:cNvPr id="18871" name="Rectangle 439"/>
        <xdr:cNvSpPr>
          <a:spLocks noChangeArrowheads="1"/>
        </xdr:cNvSpPr>
      </xdr:nvSpPr>
      <xdr:spPr bwMode="auto">
        <a:xfrm>
          <a:off x="1057275" y="5867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23</xdr:row>
      <xdr:rowOff>9525</xdr:rowOff>
    </xdr:from>
    <xdr:to>
      <xdr:col>7</xdr:col>
      <xdr:colOff>0</xdr:colOff>
      <xdr:row>23</xdr:row>
      <xdr:rowOff>238125</xdr:rowOff>
    </xdr:to>
    <xdr:sp macro="[0]!Medicament_10" textlink="">
      <xdr:nvSpPr>
        <xdr:cNvPr id="18872" name="Rectangle 440"/>
        <xdr:cNvSpPr>
          <a:spLocks noChangeArrowheads="1"/>
        </xdr:cNvSpPr>
      </xdr:nvSpPr>
      <xdr:spPr bwMode="auto">
        <a:xfrm>
          <a:off x="1057275" y="5372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21</xdr:row>
      <xdr:rowOff>9525</xdr:rowOff>
    </xdr:from>
    <xdr:to>
      <xdr:col>7</xdr:col>
      <xdr:colOff>0</xdr:colOff>
      <xdr:row>21</xdr:row>
      <xdr:rowOff>238125</xdr:rowOff>
    </xdr:to>
    <xdr:sp macro="[0]!Medicament_9" textlink="">
      <xdr:nvSpPr>
        <xdr:cNvPr id="18873" name="Rectangle 441"/>
        <xdr:cNvSpPr>
          <a:spLocks noChangeArrowheads="1"/>
        </xdr:cNvSpPr>
      </xdr:nvSpPr>
      <xdr:spPr bwMode="auto">
        <a:xfrm>
          <a:off x="1057275" y="4876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19</xdr:row>
      <xdr:rowOff>9525</xdr:rowOff>
    </xdr:from>
    <xdr:to>
      <xdr:col>7</xdr:col>
      <xdr:colOff>0</xdr:colOff>
      <xdr:row>19</xdr:row>
      <xdr:rowOff>238125</xdr:rowOff>
    </xdr:to>
    <xdr:sp macro="[0]!Medicament_8" textlink="">
      <xdr:nvSpPr>
        <xdr:cNvPr id="18874" name="Rectangle 442"/>
        <xdr:cNvSpPr>
          <a:spLocks noChangeArrowheads="1"/>
        </xdr:cNvSpPr>
      </xdr:nvSpPr>
      <xdr:spPr bwMode="auto">
        <a:xfrm>
          <a:off x="1057275" y="4381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17</xdr:row>
      <xdr:rowOff>9525</xdr:rowOff>
    </xdr:from>
    <xdr:to>
      <xdr:col>7</xdr:col>
      <xdr:colOff>0</xdr:colOff>
      <xdr:row>17</xdr:row>
      <xdr:rowOff>238125</xdr:rowOff>
    </xdr:to>
    <xdr:sp macro="[0]!Medicament_7" textlink="">
      <xdr:nvSpPr>
        <xdr:cNvPr id="18875" name="Rectangle 443"/>
        <xdr:cNvSpPr>
          <a:spLocks noChangeArrowheads="1"/>
        </xdr:cNvSpPr>
      </xdr:nvSpPr>
      <xdr:spPr bwMode="auto">
        <a:xfrm>
          <a:off x="1057275" y="3886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15</xdr:row>
      <xdr:rowOff>9525</xdr:rowOff>
    </xdr:from>
    <xdr:to>
      <xdr:col>7</xdr:col>
      <xdr:colOff>0</xdr:colOff>
      <xdr:row>15</xdr:row>
      <xdr:rowOff>238125</xdr:rowOff>
    </xdr:to>
    <xdr:sp macro="[0]!Medicament_6" textlink="">
      <xdr:nvSpPr>
        <xdr:cNvPr id="18876" name="Rectangle 444"/>
        <xdr:cNvSpPr>
          <a:spLocks noChangeArrowheads="1"/>
        </xdr:cNvSpPr>
      </xdr:nvSpPr>
      <xdr:spPr bwMode="auto">
        <a:xfrm>
          <a:off x="1057275" y="3390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13</xdr:row>
      <xdr:rowOff>9525</xdr:rowOff>
    </xdr:from>
    <xdr:to>
      <xdr:col>7</xdr:col>
      <xdr:colOff>0</xdr:colOff>
      <xdr:row>13</xdr:row>
      <xdr:rowOff>238125</xdr:rowOff>
    </xdr:to>
    <xdr:sp macro="[0]!Medicament_5" textlink="">
      <xdr:nvSpPr>
        <xdr:cNvPr id="18877" name="Rectangle 445"/>
        <xdr:cNvSpPr>
          <a:spLocks noChangeArrowheads="1"/>
        </xdr:cNvSpPr>
      </xdr:nvSpPr>
      <xdr:spPr bwMode="auto">
        <a:xfrm>
          <a:off x="1057275" y="2895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11</xdr:row>
      <xdr:rowOff>9525</xdr:rowOff>
    </xdr:from>
    <xdr:to>
      <xdr:col>7</xdr:col>
      <xdr:colOff>0</xdr:colOff>
      <xdr:row>11</xdr:row>
      <xdr:rowOff>238125</xdr:rowOff>
    </xdr:to>
    <xdr:sp macro="[0]!Medicament_4" textlink="">
      <xdr:nvSpPr>
        <xdr:cNvPr id="18878" name="Rectangle 446"/>
        <xdr:cNvSpPr>
          <a:spLocks noChangeArrowheads="1"/>
        </xdr:cNvSpPr>
      </xdr:nvSpPr>
      <xdr:spPr bwMode="auto">
        <a:xfrm>
          <a:off x="1057275" y="2400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9</xdr:row>
      <xdr:rowOff>9525</xdr:rowOff>
    </xdr:from>
    <xdr:to>
      <xdr:col>7</xdr:col>
      <xdr:colOff>0</xdr:colOff>
      <xdr:row>9</xdr:row>
      <xdr:rowOff>238125</xdr:rowOff>
    </xdr:to>
    <xdr:sp macro="[0]!Medicament_3" textlink="">
      <xdr:nvSpPr>
        <xdr:cNvPr id="18879" name="Rectangle 447"/>
        <xdr:cNvSpPr>
          <a:spLocks noChangeArrowheads="1"/>
        </xdr:cNvSpPr>
      </xdr:nvSpPr>
      <xdr:spPr bwMode="auto">
        <a:xfrm>
          <a:off x="1057275" y="1905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6</xdr:row>
      <xdr:rowOff>238125</xdr:rowOff>
    </xdr:from>
    <xdr:to>
      <xdr:col>7</xdr:col>
      <xdr:colOff>0</xdr:colOff>
      <xdr:row>7</xdr:row>
      <xdr:rowOff>219075</xdr:rowOff>
    </xdr:to>
    <xdr:sp macro="[0]!Medicament_2" textlink="">
      <xdr:nvSpPr>
        <xdr:cNvPr id="18880" name="Rectangle 448"/>
        <xdr:cNvSpPr>
          <a:spLocks noChangeArrowheads="1"/>
        </xdr:cNvSpPr>
      </xdr:nvSpPr>
      <xdr:spPr bwMode="auto">
        <a:xfrm>
          <a:off x="1057275" y="139065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5</xdr:row>
      <xdr:rowOff>9525</xdr:rowOff>
    </xdr:from>
    <xdr:to>
      <xdr:col>7</xdr:col>
      <xdr:colOff>0</xdr:colOff>
      <xdr:row>5</xdr:row>
      <xdr:rowOff>238125</xdr:rowOff>
    </xdr:to>
    <xdr:sp macro="[0]!Medicament_1" textlink="">
      <xdr:nvSpPr>
        <xdr:cNvPr id="18881" name="Rectangle 449"/>
        <xdr:cNvSpPr>
          <a:spLocks noChangeArrowheads="1"/>
        </xdr:cNvSpPr>
      </xdr:nvSpPr>
      <xdr:spPr bwMode="auto">
        <a:xfrm>
          <a:off x="1057275" y="914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354270</xdr:colOff>
          <xdr:row>2</xdr:row>
          <xdr:rowOff>28725</xdr:rowOff>
        </xdr:from>
        <xdr:to>
          <xdr:col>14</xdr:col>
          <xdr:colOff>512255</xdr:colOff>
          <xdr:row>2</xdr:row>
          <xdr:rowOff>201072</xdr:rowOff>
        </xdr:to>
        <xdr:sp macro="" textlink="">
          <xdr:nvSpPr>
            <xdr:cNvPr id="18884" name="Spinner 452" hidden="1">
              <a:extLst>
                <a:ext uri="{63B3BB69-23CF-44E3-9099-C40C66FF867C}">
                  <a14:compatExt spid="_x0000_s188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10</xdr:col>
      <xdr:colOff>19050</xdr:colOff>
      <xdr:row>2</xdr:row>
      <xdr:rowOff>38100</xdr:rowOff>
    </xdr:from>
    <xdr:to>
      <xdr:col>10</xdr:col>
      <xdr:colOff>990600</xdr:colOff>
      <xdr:row>3</xdr:row>
      <xdr:rowOff>0</xdr:rowOff>
    </xdr:to>
    <xdr:sp macro="[0]!InGewicht" textlink="">
      <xdr:nvSpPr>
        <xdr:cNvPr id="18885" name="Rectangle 453"/>
        <xdr:cNvSpPr>
          <a:spLocks noChangeArrowheads="1"/>
        </xdr:cNvSpPr>
      </xdr:nvSpPr>
      <xdr:spPr bwMode="auto">
        <a:xfrm>
          <a:off x="5562600" y="342900"/>
          <a:ext cx="590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28575</xdr:colOff>
      <xdr:row>2</xdr:row>
      <xdr:rowOff>19050</xdr:rowOff>
    </xdr:from>
    <xdr:to>
      <xdr:col>13</xdr:col>
      <xdr:colOff>609600</xdr:colOff>
      <xdr:row>2</xdr:row>
      <xdr:rowOff>171450</xdr:rowOff>
    </xdr:to>
    <xdr:sp macro="[0]!InLengte" textlink="">
      <xdr:nvSpPr>
        <xdr:cNvPr id="18886" name="Rectangle 454"/>
        <xdr:cNvSpPr>
          <a:spLocks noChangeArrowheads="1"/>
        </xdr:cNvSpPr>
      </xdr:nvSpPr>
      <xdr:spPr bwMode="auto">
        <a:xfrm>
          <a:off x="7410450" y="323850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2</xdr:row>
      <xdr:rowOff>0</xdr:rowOff>
    </xdr:from>
    <xdr:to>
      <xdr:col>5</xdr:col>
      <xdr:colOff>1028700</xdr:colOff>
      <xdr:row>3</xdr:row>
      <xdr:rowOff>0</xdr:rowOff>
    </xdr:to>
    <xdr:sp macro="[0]!NieuwePatient" textlink="">
      <xdr:nvSpPr>
        <xdr:cNvPr id="18887" name="Rectangle 455"/>
        <xdr:cNvSpPr>
          <a:spLocks noChangeArrowheads="1"/>
        </xdr:cNvSpPr>
      </xdr:nvSpPr>
      <xdr:spPr bwMode="auto">
        <a:xfrm flipV="1">
          <a:off x="1647825" y="304800"/>
          <a:ext cx="124777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2" name="Drop Down 455" hidden="1">
              <a:extLst>
                <a:ext uri="{63B3BB69-23CF-44E3-9099-C40C66FF867C}">
                  <a14:compatExt spid="_x0000_s18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892" name="Drop Down 460" hidden="1">
              <a:extLst>
                <a:ext uri="{63B3BB69-23CF-44E3-9099-C40C66FF867C}">
                  <a14:compatExt spid="_x0000_s188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897" name="Drop Down 465" hidden="1">
              <a:extLst>
                <a:ext uri="{63B3BB69-23CF-44E3-9099-C40C66FF867C}">
                  <a14:compatExt spid="_x0000_s18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02" name="Drop Down 470" hidden="1">
              <a:extLst>
                <a:ext uri="{63B3BB69-23CF-44E3-9099-C40C66FF867C}">
                  <a14:compatExt spid="_x0000_s189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07" name="Drop Down 475" hidden="1">
              <a:extLst>
                <a:ext uri="{63B3BB69-23CF-44E3-9099-C40C66FF867C}">
                  <a14:compatExt spid="_x0000_s189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12" name="Drop Down 480" hidden="1">
              <a:extLst>
                <a:ext uri="{63B3BB69-23CF-44E3-9099-C40C66FF867C}">
                  <a14:compatExt spid="_x0000_s189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17" name="Drop Down 485" hidden="1">
              <a:extLst>
                <a:ext uri="{63B3BB69-23CF-44E3-9099-C40C66FF867C}">
                  <a14:compatExt spid="_x0000_s189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22" name="Drop Down 490" hidden="1">
              <a:extLst>
                <a:ext uri="{63B3BB69-23CF-44E3-9099-C40C66FF867C}">
                  <a14:compatExt spid="_x0000_s18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27" name="Drop Down 495" hidden="1">
              <a:extLst>
                <a:ext uri="{63B3BB69-23CF-44E3-9099-C40C66FF867C}">
                  <a14:compatExt spid="_x0000_s189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32" name="Drop Down 500" hidden="1">
              <a:extLst>
                <a:ext uri="{63B3BB69-23CF-44E3-9099-C40C66FF867C}">
                  <a14:compatExt spid="_x0000_s189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45</xdr:row>
          <xdr:rowOff>28725</xdr:rowOff>
        </xdr:from>
        <xdr:to>
          <xdr:col>7</xdr:col>
          <xdr:colOff>579280</xdr:colOff>
          <xdr:row>45</xdr:row>
          <xdr:rowOff>220222</xdr:rowOff>
        </xdr:to>
        <xdr:sp macro="" textlink="">
          <xdr:nvSpPr>
            <xdr:cNvPr id="18935" name="Spinner 503" hidden="1">
              <a:extLst>
                <a:ext uri="{63B3BB69-23CF-44E3-9099-C40C66FF867C}">
                  <a14:compatExt spid="_x0000_s18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45</xdr:row>
          <xdr:rowOff>9575</xdr:rowOff>
        </xdr:from>
        <xdr:to>
          <xdr:col>9</xdr:col>
          <xdr:colOff>134048</xdr:colOff>
          <xdr:row>45</xdr:row>
          <xdr:rowOff>239372</xdr:rowOff>
        </xdr:to>
        <xdr:sp macro="" textlink="">
          <xdr:nvSpPr>
            <xdr:cNvPr id="18936" name="Spinner 504" hidden="1">
              <a:extLst>
                <a:ext uri="{63B3BB69-23CF-44E3-9099-C40C66FF867C}">
                  <a14:compatExt spid="_x0000_s189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45</xdr:row>
          <xdr:rowOff>38299</xdr:rowOff>
        </xdr:from>
        <xdr:to>
          <xdr:col>12</xdr:col>
          <xdr:colOff>464381</xdr:colOff>
          <xdr:row>45</xdr:row>
          <xdr:rowOff>229797</xdr:rowOff>
        </xdr:to>
        <xdr:sp macro="" textlink="">
          <xdr:nvSpPr>
            <xdr:cNvPr id="18938" name="Spinner 506" hidden="1">
              <a:extLst>
                <a:ext uri="{63B3BB69-23CF-44E3-9099-C40C66FF867C}">
                  <a14:compatExt spid="_x0000_s189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45</xdr:row>
          <xdr:rowOff>38299</xdr:rowOff>
        </xdr:from>
        <xdr:to>
          <xdr:col>15</xdr:col>
          <xdr:colOff>181923</xdr:colOff>
          <xdr:row>45</xdr:row>
          <xdr:rowOff>229797</xdr:rowOff>
        </xdr:to>
        <xdr:sp macro="" textlink="">
          <xdr:nvSpPr>
            <xdr:cNvPr id="18939" name="Spinner 507" hidden="1">
              <a:extLst>
                <a:ext uri="{63B3BB69-23CF-44E3-9099-C40C66FF867C}">
                  <a14:compatExt spid="_x0000_s189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45</xdr:row>
      <xdr:rowOff>9525</xdr:rowOff>
    </xdr:from>
    <xdr:to>
      <xdr:col>7</xdr:col>
      <xdr:colOff>0</xdr:colOff>
      <xdr:row>45</xdr:row>
      <xdr:rowOff>238125</xdr:rowOff>
    </xdr:to>
    <xdr:sp macro="[0]!Medicament_21" textlink="">
      <xdr:nvSpPr>
        <xdr:cNvPr id="226" name="Rectangle 402"/>
        <xdr:cNvSpPr>
          <a:spLocks noChangeArrowheads="1"/>
        </xdr:cNvSpPr>
      </xdr:nvSpPr>
      <xdr:spPr bwMode="auto">
        <a:xfrm>
          <a:off x="1057275" y="10325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46</xdr:row>
      <xdr:rowOff>104775</xdr:rowOff>
    </xdr:from>
    <xdr:to>
      <xdr:col>7</xdr:col>
      <xdr:colOff>19050</xdr:colOff>
      <xdr:row>46</xdr:row>
      <xdr:rowOff>190500</xdr:rowOff>
    </xdr:to>
    <xdr:sp macro="[0]!opmMedDisc_21" textlink="">
      <xdr:nvSpPr>
        <xdr:cNvPr id="227" name="Rectangle 428"/>
        <xdr:cNvSpPr>
          <a:spLocks noChangeArrowheads="1"/>
        </xdr:cNvSpPr>
      </xdr:nvSpPr>
      <xdr:spPr bwMode="auto">
        <a:xfrm>
          <a:off x="209550" y="106680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0" name="Drop Down 508" hidden="1">
              <a:extLst>
                <a:ext uri="{63B3BB69-23CF-44E3-9099-C40C66FF867C}">
                  <a14:compatExt spid="_x0000_s189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1" name="Drop Down 509" hidden="1">
              <a:extLst>
                <a:ext uri="{63B3BB69-23CF-44E3-9099-C40C66FF867C}">
                  <a14:compatExt spid="_x0000_s189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2" name="Drop Down 510" hidden="1">
              <a:extLst>
                <a:ext uri="{63B3BB69-23CF-44E3-9099-C40C66FF867C}">
                  <a14:compatExt spid="_x0000_s189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3" name="Drop Down 511" hidden="1">
              <a:extLst>
                <a:ext uri="{63B3BB69-23CF-44E3-9099-C40C66FF867C}">
                  <a14:compatExt spid="_x0000_s189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4" name="Drop Down 512" hidden="1">
              <a:extLst>
                <a:ext uri="{63B3BB69-23CF-44E3-9099-C40C66FF867C}">
                  <a14:compatExt spid="_x0000_s189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5" name="Drop Down 513" hidden="1">
              <a:extLst>
                <a:ext uri="{63B3BB69-23CF-44E3-9099-C40C66FF867C}">
                  <a14:compatExt spid="_x0000_s189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6" name="Drop Down 514" hidden="1">
              <a:extLst>
                <a:ext uri="{63B3BB69-23CF-44E3-9099-C40C66FF867C}">
                  <a14:compatExt spid="_x0000_s189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7" name="Drop Down 515" hidden="1">
              <a:extLst>
                <a:ext uri="{63B3BB69-23CF-44E3-9099-C40C66FF867C}">
                  <a14:compatExt spid="_x0000_s189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8" name="Drop Down 516" hidden="1">
              <a:extLst>
                <a:ext uri="{63B3BB69-23CF-44E3-9099-C40C66FF867C}">
                  <a14:compatExt spid="_x0000_s189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9" name="Drop Down 517" hidden="1">
              <a:extLst>
                <a:ext uri="{63B3BB69-23CF-44E3-9099-C40C66FF867C}">
                  <a14:compatExt spid="_x0000_s189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47</xdr:row>
          <xdr:rowOff>28725</xdr:rowOff>
        </xdr:from>
        <xdr:to>
          <xdr:col>7</xdr:col>
          <xdr:colOff>579280</xdr:colOff>
          <xdr:row>47</xdr:row>
          <xdr:rowOff>220222</xdr:rowOff>
        </xdr:to>
        <xdr:sp macro="" textlink="">
          <xdr:nvSpPr>
            <xdr:cNvPr id="18950" name="Spinner 518" hidden="1">
              <a:extLst>
                <a:ext uri="{63B3BB69-23CF-44E3-9099-C40C66FF867C}">
                  <a14:compatExt spid="_x0000_s189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47</xdr:row>
          <xdr:rowOff>9575</xdr:rowOff>
        </xdr:from>
        <xdr:to>
          <xdr:col>9</xdr:col>
          <xdr:colOff>134048</xdr:colOff>
          <xdr:row>47</xdr:row>
          <xdr:rowOff>239372</xdr:rowOff>
        </xdr:to>
        <xdr:sp macro="" textlink="">
          <xdr:nvSpPr>
            <xdr:cNvPr id="18951" name="Spinner 519" hidden="1">
              <a:extLst>
                <a:ext uri="{63B3BB69-23CF-44E3-9099-C40C66FF867C}">
                  <a14:compatExt spid="_x0000_s189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47</xdr:row>
          <xdr:rowOff>38299</xdr:rowOff>
        </xdr:from>
        <xdr:to>
          <xdr:col>12</xdr:col>
          <xdr:colOff>464381</xdr:colOff>
          <xdr:row>47</xdr:row>
          <xdr:rowOff>229797</xdr:rowOff>
        </xdr:to>
        <xdr:sp macro="" textlink="">
          <xdr:nvSpPr>
            <xdr:cNvPr id="18953" name="Spinner 521" hidden="1">
              <a:extLst>
                <a:ext uri="{63B3BB69-23CF-44E3-9099-C40C66FF867C}">
                  <a14:compatExt spid="_x0000_s189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47</xdr:row>
          <xdr:rowOff>38299</xdr:rowOff>
        </xdr:from>
        <xdr:to>
          <xdr:col>15</xdr:col>
          <xdr:colOff>181923</xdr:colOff>
          <xdr:row>47</xdr:row>
          <xdr:rowOff>229797</xdr:rowOff>
        </xdr:to>
        <xdr:sp macro="" textlink="">
          <xdr:nvSpPr>
            <xdr:cNvPr id="18954" name="Spinner 522" hidden="1">
              <a:extLst>
                <a:ext uri="{63B3BB69-23CF-44E3-9099-C40C66FF867C}">
                  <a14:compatExt spid="_x0000_s189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47</xdr:row>
      <xdr:rowOff>9525</xdr:rowOff>
    </xdr:from>
    <xdr:to>
      <xdr:col>7</xdr:col>
      <xdr:colOff>0</xdr:colOff>
      <xdr:row>47</xdr:row>
      <xdr:rowOff>238125</xdr:rowOff>
    </xdr:to>
    <xdr:sp macro="[0]!Medicament_22" textlink="">
      <xdr:nvSpPr>
        <xdr:cNvPr id="243" name="Rectangle 402"/>
        <xdr:cNvSpPr>
          <a:spLocks noChangeArrowheads="1"/>
        </xdr:cNvSpPr>
      </xdr:nvSpPr>
      <xdr:spPr bwMode="auto">
        <a:xfrm>
          <a:off x="1057275" y="10820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48</xdr:row>
      <xdr:rowOff>104775</xdr:rowOff>
    </xdr:from>
    <xdr:to>
      <xdr:col>7</xdr:col>
      <xdr:colOff>19050</xdr:colOff>
      <xdr:row>48</xdr:row>
      <xdr:rowOff>190500</xdr:rowOff>
    </xdr:to>
    <xdr:sp macro="[0]!opmMedDisc_22" textlink="">
      <xdr:nvSpPr>
        <xdr:cNvPr id="244" name="Rectangle 428"/>
        <xdr:cNvSpPr>
          <a:spLocks noChangeArrowheads="1"/>
        </xdr:cNvSpPr>
      </xdr:nvSpPr>
      <xdr:spPr bwMode="auto">
        <a:xfrm>
          <a:off x="209550" y="111633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55" name="Drop Down 523" hidden="1">
              <a:extLst>
                <a:ext uri="{63B3BB69-23CF-44E3-9099-C40C66FF867C}">
                  <a14:compatExt spid="_x0000_s189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56" name="Drop Down 524" hidden="1">
              <a:extLst>
                <a:ext uri="{63B3BB69-23CF-44E3-9099-C40C66FF867C}">
                  <a14:compatExt spid="_x0000_s189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57" name="Drop Down 525" hidden="1">
              <a:extLst>
                <a:ext uri="{63B3BB69-23CF-44E3-9099-C40C66FF867C}">
                  <a14:compatExt spid="_x0000_s189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58" name="Drop Down 526" hidden="1">
              <a:extLst>
                <a:ext uri="{63B3BB69-23CF-44E3-9099-C40C66FF867C}">
                  <a14:compatExt spid="_x0000_s189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59" name="Drop Down 527" hidden="1">
              <a:extLst>
                <a:ext uri="{63B3BB69-23CF-44E3-9099-C40C66FF867C}">
                  <a14:compatExt spid="_x0000_s189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60" name="Drop Down 528" hidden="1">
              <a:extLst>
                <a:ext uri="{63B3BB69-23CF-44E3-9099-C40C66FF867C}">
                  <a14:compatExt spid="_x0000_s189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61" name="Drop Down 529" hidden="1">
              <a:extLst>
                <a:ext uri="{63B3BB69-23CF-44E3-9099-C40C66FF867C}">
                  <a14:compatExt spid="_x0000_s18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62" name="Drop Down 530" hidden="1">
              <a:extLst>
                <a:ext uri="{63B3BB69-23CF-44E3-9099-C40C66FF867C}">
                  <a14:compatExt spid="_x0000_s18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63" name="Drop Down 531" hidden="1">
              <a:extLst>
                <a:ext uri="{63B3BB69-23CF-44E3-9099-C40C66FF867C}">
                  <a14:compatExt spid="_x0000_s18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64" name="Drop Down 532" hidden="1">
              <a:extLst>
                <a:ext uri="{63B3BB69-23CF-44E3-9099-C40C66FF867C}">
                  <a14:compatExt spid="_x0000_s189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49</xdr:row>
          <xdr:rowOff>28725</xdr:rowOff>
        </xdr:from>
        <xdr:to>
          <xdr:col>7</xdr:col>
          <xdr:colOff>579280</xdr:colOff>
          <xdr:row>49</xdr:row>
          <xdr:rowOff>220222</xdr:rowOff>
        </xdr:to>
        <xdr:sp macro="" textlink="">
          <xdr:nvSpPr>
            <xdr:cNvPr id="18965" name="Spinner 533" hidden="1">
              <a:extLst>
                <a:ext uri="{63B3BB69-23CF-44E3-9099-C40C66FF867C}">
                  <a14:compatExt spid="_x0000_s189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49</xdr:row>
          <xdr:rowOff>9575</xdr:rowOff>
        </xdr:from>
        <xdr:to>
          <xdr:col>9</xdr:col>
          <xdr:colOff>134048</xdr:colOff>
          <xdr:row>49</xdr:row>
          <xdr:rowOff>239372</xdr:rowOff>
        </xdr:to>
        <xdr:sp macro="" textlink="">
          <xdr:nvSpPr>
            <xdr:cNvPr id="18966" name="Spinner 534" hidden="1">
              <a:extLst>
                <a:ext uri="{63B3BB69-23CF-44E3-9099-C40C66FF867C}">
                  <a14:compatExt spid="_x0000_s189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49</xdr:row>
          <xdr:rowOff>38299</xdr:rowOff>
        </xdr:from>
        <xdr:to>
          <xdr:col>12</xdr:col>
          <xdr:colOff>464381</xdr:colOff>
          <xdr:row>49</xdr:row>
          <xdr:rowOff>229797</xdr:rowOff>
        </xdr:to>
        <xdr:sp macro="" textlink="">
          <xdr:nvSpPr>
            <xdr:cNvPr id="18967" name="Spinner 535" hidden="1">
              <a:extLst>
                <a:ext uri="{63B3BB69-23CF-44E3-9099-C40C66FF867C}">
                  <a14:compatExt spid="_x0000_s189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49</xdr:row>
          <xdr:rowOff>38299</xdr:rowOff>
        </xdr:from>
        <xdr:to>
          <xdr:col>15</xdr:col>
          <xdr:colOff>181923</xdr:colOff>
          <xdr:row>49</xdr:row>
          <xdr:rowOff>229797</xdr:rowOff>
        </xdr:to>
        <xdr:sp macro="" textlink="">
          <xdr:nvSpPr>
            <xdr:cNvPr id="18968" name="Spinner 536" hidden="1">
              <a:extLst>
                <a:ext uri="{63B3BB69-23CF-44E3-9099-C40C66FF867C}">
                  <a14:compatExt spid="_x0000_s189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49</xdr:row>
      <xdr:rowOff>9525</xdr:rowOff>
    </xdr:from>
    <xdr:to>
      <xdr:col>7</xdr:col>
      <xdr:colOff>0</xdr:colOff>
      <xdr:row>49</xdr:row>
      <xdr:rowOff>238125</xdr:rowOff>
    </xdr:to>
    <xdr:sp macro="[0]!Medicament_23" textlink="">
      <xdr:nvSpPr>
        <xdr:cNvPr id="197" name="Rectangle 402"/>
        <xdr:cNvSpPr>
          <a:spLocks noChangeArrowheads="1"/>
        </xdr:cNvSpPr>
      </xdr:nvSpPr>
      <xdr:spPr bwMode="auto">
        <a:xfrm>
          <a:off x="1057275" y="113157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50</xdr:row>
      <xdr:rowOff>104775</xdr:rowOff>
    </xdr:from>
    <xdr:to>
      <xdr:col>7</xdr:col>
      <xdr:colOff>19050</xdr:colOff>
      <xdr:row>50</xdr:row>
      <xdr:rowOff>190500</xdr:rowOff>
    </xdr:to>
    <xdr:sp macro="[0]!opmMedDisc_23" textlink="">
      <xdr:nvSpPr>
        <xdr:cNvPr id="198" name="Rectangle 428"/>
        <xdr:cNvSpPr>
          <a:spLocks noChangeArrowheads="1"/>
        </xdr:cNvSpPr>
      </xdr:nvSpPr>
      <xdr:spPr bwMode="auto">
        <a:xfrm>
          <a:off x="209550" y="116586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69" name="Drop Down 537" hidden="1">
              <a:extLst>
                <a:ext uri="{63B3BB69-23CF-44E3-9099-C40C66FF867C}">
                  <a14:compatExt spid="_x0000_s18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0" name="Drop Down 538" hidden="1">
              <a:extLst>
                <a:ext uri="{63B3BB69-23CF-44E3-9099-C40C66FF867C}">
                  <a14:compatExt spid="_x0000_s18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1" name="Drop Down 539" hidden="1">
              <a:extLst>
                <a:ext uri="{63B3BB69-23CF-44E3-9099-C40C66FF867C}">
                  <a14:compatExt spid="_x0000_s18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2" name="Drop Down 540" hidden="1">
              <a:extLst>
                <a:ext uri="{63B3BB69-23CF-44E3-9099-C40C66FF867C}">
                  <a14:compatExt spid="_x0000_s189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3" name="Drop Down 541" hidden="1">
              <a:extLst>
                <a:ext uri="{63B3BB69-23CF-44E3-9099-C40C66FF867C}">
                  <a14:compatExt spid="_x0000_s189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4" name="Drop Down 542" hidden="1">
              <a:extLst>
                <a:ext uri="{63B3BB69-23CF-44E3-9099-C40C66FF867C}">
                  <a14:compatExt spid="_x0000_s189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5" name="Drop Down 543" hidden="1">
              <a:extLst>
                <a:ext uri="{63B3BB69-23CF-44E3-9099-C40C66FF867C}">
                  <a14:compatExt spid="_x0000_s189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6" name="Drop Down 544" hidden="1">
              <a:extLst>
                <a:ext uri="{63B3BB69-23CF-44E3-9099-C40C66FF867C}">
                  <a14:compatExt spid="_x0000_s189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7" name="Drop Down 545" hidden="1">
              <a:extLst>
                <a:ext uri="{63B3BB69-23CF-44E3-9099-C40C66FF867C}">
                  <a14:compatExt spid="_x0000_s189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8" name="Drop Down 546" hidden="1">
              <a:extLst>
                <a:ext uri="{63B3BB69-23CF-44E3-9099-C40C66FF867C}">
                  <a14:compatExt spid="_x0000_s189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51</xdr:row>
          <xdr:rowOff>28725</xdr:rowOff>
        </xdr:from>
        <xdr:to>
          <xdr:col>7</xdr:col>
          <xdr:colOff>579280</xdr:colOff>
          <xdr:row>51</xdr:row>
          <xdr:rowOff>220222</xdr:rowOff>
        </xdr:to>
        <xdr:sp macro="" textlink="">
          <xdr:nvSpPr>
            <xdr:cNvPr id="18979" name="Spinner 547" hidden="1">
              <a:extLst>
                <a:ext uri="{63B3BB69-23CF-44E3-9099-C40C66FF867C}">
                  <a14:compatExt spid="_x0000_s189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51</xdr:row>
          <xdr:rowOff>9575</xdr:rowOff>
        </xdr:from>
        <xdr:to>
          <xdr:col>9</xdr:col>
          <xdr:colOff>134048</xdr:colOff>
          <xdr:row>51</xdr:row>
          <xdr:rowOff>239372</xdr:rowOff>
        </xdr:to>
        <xdr:sp macro="" textlink="">
          <xdr:nvSpPr>
            <xdr:cNvPr id="18980" name="Spinner 548" hidden="1">
              <a:extLst>
                <a:ext uri="{63B3BB69-23CF-44E3-9099-C40C66FF867C}">
                  <a14:compatExt spid="_x0000_s189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51</xdr:row>
          <xdr:rowOff>38299</xdr:rowOff>
        </xdr:from>
        <xdr:to>
          <xdr:col>12</xdr:col>
          <xdr:colOff>464381</xdr:colOff>
          <xdr:row>51</xdr:row>
          <xdr:rowOff>229797</xdr:rowOff>
        </xdr:to>
        <xdr:sp macro="" textlink="">
          <xdr:nvSpPr>
            <xdr:cNvPr id="18981" name="Spinner 549" hidden="1">
              <a:extLst>
                <a:ext uri="{63B3BB69-23CF-44E3-9099-C40C66FF867C}">
                  <a14:compatExt spid="_x0000_s189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51</xdr:row>
          <xdr:rowOff>38299</xdr:rowOff>
        </xdr:from>
        <xdr:to>
          <xdr:col>15</xdr:col>
          <xdr:colOff>181923</xdr:colOff>
          <xdr:row>51</xdr:row>
          <xdr:rowOff>229797</xdr:rowOff>
        </xdr:to>
        <xdr:sp macro="" textlink="">
          <xdr:nvSpPr>
            <xdr:cNvPr id="18982" name="Spinner 550" hidden="1">
              <a:extLst>
                <a:ext uri="{63B3BB69-23CF-44E3-9099-C40C66FF867C}">
                  <a14:compatExt spid="_x0000_s189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51</xdr:row>
      <xdr:rowOff>9525</xdr:rowOff>
    </xdr:from>
    <xdr:to>
      <xdr:col>7</xdr:col>
      <xdr:colOff>0</xdr:colOff>
      <xdr:row>51</xdr:row>
      <xdr:rowOff>238125</xdr:rowOff>
    </xdr:to>
    <xdr:sp macro="[0]!Medicament_24" textlink="">
      <xdr:nvSpPr>
        <xdr:cNvPr id="213" name="Rectangle 402"/>
        <xdr:cNvSpPr>
          <a:spLocks noChangeArrowheads="1"/>
        </xdr:cNvSpPr>
      </xdr:nvSpPr>
      <xdr:spPr bwMode="auto">
        <a:xfrm>
          <a:off x="1057275" y="11811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52</xdr:row>
      <xdr:rowOff>104775</xdr:rowOff>
    </xdr:from>
    <xdr:to>
      <xdr:col>7</xdr:col>
      <xdr:colOff>19050</xdr:colOff>
      <xdr:row>52</xdr:row>
      <xdr:rowOff>190500</xdr:rowOff>
    </xdr:to>
    <xdr:sp macro="[0]!opmMedDisc_24" textlink="">
      <xdr:nvSpPr>
        <xdr:cNvPr id="214" name="Rectangle 428"/>
        <xdr:cNvSpPr>
          <a:spLocks noChangeArrowheads="1"/>
        </xdr:cNvSpPr>
      </xdr:nvSpPr>
      <xdr:spPr bwMode="auto">
        <a:xfrm>
          <a:off x="209550" y="121539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3" name="Drop Down 551" hidden="1">
              <a:extLst>
                <a:ext uri="{63B3BB69-23CF-44E3-9099-C40C66FF867C}">
                  <a14:compatExt spid="_x0000_s189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4" name="Drop Down 552" hidden="1">
              <a:extLst>
                <a:ext uri="{63B3BB69-23CF-44E3-9099-C40C66FF867C}">
                  <a14:compatExt spid="_x0000_s189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5" name="Drop Down 553" hidden="1">
              <a:extLst>
                <a:ext uri="{63B3BB69-23CF-44E3-9099-C40C66FF867C}">
                  <a14:compatExt spid="_x0000_s18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6" name="Drop Down 554" hidden="1">
              <a:extLst>
                <a:ext uri="{63B3BB69-23CF-44E3-9099-C40C66FF867C}">
                  <a14:compatExt spid="_x0000_s189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7" name="Drop Down 555" hidden="1">
              <a:extLst>
                <a:ext uri="{63B3BB69-23CF-44E3-9099-C40C66FF867C}">
                  <a14:compatExt spid="_x0000_s189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8" name="Drop Down 556" hidden="1">
              <a:extLst>
                <a:ext uri="{63B3BB69-23CF-44E3-9099-C40C66FF867C}">
                  <a14:compatExt spid="_x0000_s189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9" name="Drop Down 557" hidden="1">
              <a:extLst>
                <a:ext uri="{63B3BB69-23CF-44E3-9099-C40C66FF867C}">
                  <a14:compatExt spid="_x0000_s189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90" name="Drop Down 558" hidden="1">
              <a:extLst>
                <a:ext uri="{63B3BB69-23CF-44E3-9099-C40C66FF867C}">
                  <a14:compatExt spid="_x0000_s189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91" name="Drop Down 559" hidden="1">
              <a:extLst>
                <a:ext uri="{63B3BB69-23CF-44E3-9099-C40C66FF867C}">
                  <a14:compatExt spid="_x0000_s189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92" name="Drop Down 560" hidden="1">
              <a:extLst>
                <a:ext uri="{63B3BB69-23CF-44E3-9099-C40C66FF867C}">
                  <a14:compatExt spid="_x0000_s189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53</xdr:row>
          <xdr:rowOff>28725</xdr:rowOff>
        </xdr:from>
        <xdr:to>
          <xdr:col>7</xdr:col>
          <xdr:colOff>579280</xdr:colOff>
          <xdr:row>53</xdr:row>
          <xdr:rowOff>220222</xdr:rowOff>
        </xdr:to>
        <xdr:sp macro="" textlink="">
          <xdr:nvSpPr>
            <xdr:cNvPr id="18993" name="Spinner 561" hidden="1">
              <a:extLst>
                <a:ext uri="{63B3BB69-23CF-44E3-9099-C40C66FF867C}">
                  <a14:compatExt spid="_x0000_s189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53</xdr:row>
          <xdr:rowOff>9575</xdr:rowOff>
        </xdr:from>
        <xdr:to>
          <xdr:col>9</xdr:col>
          <xdr:colOff>134048</xdr:colOff>
          <xdr:row>53</xdr:row>
          <xdr:rowOff>239372</xdr:rowOff>
        </xdr:to>
        <xdr:sp macro="" textlink="">
          <xdr:nvSpPr>
            <xdr:cNvPr id="18994" name="Spinner 562" hidden="1">
              <a:extLst>
                <a:ext uri="{63B3BB69-23CF-44E3-9099-C40C66FF867C}">
                  <a14:compatExt spid="_x0000_s189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53</xdr:row>
          <xdr:rowOff>38299</xdr:rowOff>
        </xdr:from>
        <xdr:to>
          <xdr:col>12</xdr:col>
          <xdr:colOff>464381</xdr:colOff>
          <xdr:row>53</xdr:row>
          <xdr:rowOff>229797</xdr:rowOff>
        </xdr:to>
        <xdr:sp macro="" textlink="">
          <xdr:nvSpPr>
            <xdr:cNvPr id="18995" name="Spinner 563" hidden="1">
              <a:extLst>
                <a:ext uri="{63B3BB69-23CF-44E3-9099-C40C66FF867C}">
                  <a14:compatExt spid="_x0000_s189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53</xdr:row>
          <xdr:rowOff>38299</xdr:rowOff>
        </xdr:from>
        <xdr:to>
          <xdr:col>15</xdr:col>
          <xdr:colOff>181923</xdr:colOff>
          <xdr:row>53</xdr:row>
          <xdr:rowOff>229797</xdr:rowOff>
        </xdr:to>
        <xdr:sp macro="" textlink="">
          <xdr:nvSpPr>
            <xdr:cNvPr id="18996" name="Spinner 564" hidden="1">
              <a:extLst>
                <a:ext uri="{63B3BB69-23CF-44E3-9099-C40C66FF867C}">
                  <a14:compatExt spid="_x0000_s189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53</xdr:row>
      <xdr:rowOff>9525</xdr:rowOff>
    </xdr:from>
    <xdr:to>
      <xdr:col>7</xdr:col>
      <xdr:colOff>0</xdr:colOff>
      <xdr:row>53</xdr:row>
      <xdr:rowOff>238125</xdr:rowOff>
    </xdr:to>
    <xdr:sp macro="[0]!Medicament_25" textlink="">
      <xdr:nvSpPr>
        <xdr:cNvPr id="229" name="Rectangle 402"/>
        <xdr:cNvSpPr>
          <a:spLocks noChangeArrowheads="1"/>
        </xdr:cNvSpPr>
      </xdr:nvSpPr>
      <xdr:spPr bwMode="auto">
        <a:xfrm>
          <a:off x="1057275" y="12306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54</xdr:row>
      <xdr:rowOff>104775</xdr:rowOff>
    </xdr:from>
    <xdr:to>
      <xdr:col>7</xdr:col>
      <xdr:colOff>19050</xdr:colOff>
      <xdr:row>54</xdr:row>
      <xdr:rowOff>190500</xdr:rowOff>
    </xdr:to>
    <xdr:sp macro="[0]!opmMedDisc_25" textlink="">
      <xdr:nvSpPr>
        <xdr:cNvPr id="230" name="Rectangle 428"/>
        <xdr:cNvSpPr>
          <a:spLocks noChangeArrowheads="1"/>
        </xdr:cNvSpPr>
      </xdr:nvSpPr>
      <xdr:spPr bwMode="auto">
        <a:xfrm>
          <a:off x="209550" y="126492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8997" name="Drop Down 565" hidden="1">
              <a:extLst>
                <a:ext uri="{63B3BB69-23CF-44E3-9099-C40C66FF867C}">
                  <a14:compatExt spid="_x0000_s189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8998" name="Drop Down 566" hidden="1">
              <a:extLst>
                <a:ext uri="{63B3BB69-23CF-44E3-9099-C40C66FF867C}">
                  <a14:compatExt spid="_x0000_s189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8999" name="Drop Down 567" hidden="1">
              <a:extLst>
                <a:ext uri="{63B3BB69-23CF-44E3-9099-C40C66FF867C}">
                  <a14:compatExt spid="_x0000_s189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0" name="Drop Down 568" hidden="1">
              <a:extLst>
                <a:ext uri="{63B3BB69-23CF-44E3-9099-C40C66FF867C}">
                  <a14:compatExt spid="_x0000_s190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1" name="Drop Down 569" hidden="1">
              <a:extLst>
                <a:ext uri="{63B3BB69-23CF-44E3-9099-C40C66FF867C}">
                  <a14:compatExt spid="_x0000_s190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2" name="Drop Down 570" hidden="1">
              <a:extLst>
                <a:ext uri="{63B3BB69-23CF-44E3-9099-C40C66FF867C}">
                  <a14:compatExt spid="_x0000_s190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3" name="Drop Down 571" hidden="1">
              <a:extLst>
                <a:ext uri="{63B3BB69-23CF-44E3-9099-C40C66FF867C}">
                  <a14:compatExt spid="_x0000_s190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4" name="Drop Down 572" hidden="1">
              <a:extLst>
                <a:ext uri="{63B3BB69-23CF-44E3-9099-C40C66FF867C}">
                  <a14:compatExt spid="_x0000_s190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5" name="Drop Down 573" hidden="1">
              <a:extLst>
                <a:ext uri="{63B3BB69-23CF-44E3-9099-C40C66FF867C}">
                  <a14:compatExt spid="_x0000_s190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6" name="Drop Down 574" hidden="1">
              <a:extLst>
                <a:ext uri="{63B3BB69-23CF-44E3-9099-C40C66FF867C}">
                  <a14:compatExt spid="_x0000_s190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55</xdr:row>
          <xdr:rowOff>28725</xdr:rowOff>
        </xdr:from>
        <xdr:to>
          <xdr:col>7</xdr:col>
          <xdr:colOff>579280</xdr:colOff>
          <xdr:row>55</xdr:row>
          <xdr:rowOff>220222</xdr:rowOff>
        </xdr:to>
        <xdr:sp macro="" textlink="">
          <xdr:nvSpPr>
            <xdr:cNvPr id="19007" name="Spinner 575" hidden="1">
              <a:extLst>
                <a:ext uri="{63B3BB69-23CF-44E3-9099-C40C66FF867C}">
                  <a14:compatExt spid="_x0000_s190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55</xdr:row>
          <xdr:rowOff>9575</xdr:rowOff>
        </xdr:from>
        <xdr:to>
          <xdr:col>9</xdr:col>
          <xdr:colOff>134048</xdr:colOff>
          <xdr:row>55</xdr:row>
          <xdr:rowOff>239372</xdr:rowOff>
        </xdr:to>
        <xdr:sp macro="" textlink="">
          <xdr:nvSpPr>
            <xdr:cNvPr id="19008" name="Spinner 576" hidden="1">
              <a:extLst>
                <a:ext uri="{63B3BB69-23CF-44E3-9099-C40C66FF867C}">
                  <a14:compatExt spid="_x0000_s190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55</xdr:row>
          <xdr:rowOff>38299</xdr:rowOff>
        </xdr:from>
        <xdr:to>
          <xdr:col>12</xdr:col>
          <xdr:colOff>464381</xdr:colOff>
          <xdr:row>55</xdr:row>
          <xdr:rowOff>229797</xdr:rowOff>
        </xdr:to>
        <xdr:sp macro="" textlink="">
          <xdr:nvSpPr>
            <xdr:cNvPr id="19009" name="Spinner 577" hidden="1">
              <a:extLst>
                <a:ext uri="{63B3BB69-23CF-44E3-9099-C40C66FF867C}">
                  <a14:compatExt spid="_x0000_s19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55</xdr:row>
          <xdr:rowOff>38299</xdr:rowOff>
        </xdr:from>
        <xdr:to>
          <xdr:col>15</xdr:col>
          <xdr:colOff>181923</xdr:colOff>
          <xdr:row>55</xdr:row>
          <xdr:rowOff>229797</xdr:rowOff>
        </xdr:to>
        <xdr:sp macro="" textlink="">
          <xdr:nvSpPr>
            <xdr:cNvPr id="19010" name="Spinner 578" hidden="1">
              <a:extLst>
                <a:ext uri="{63B3BB69-23CF-44E3-9099-C40C66FF867C}">
                  <a14:compatExt spid="_x0000_s190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55</xdr:row>
      <xdr:rowOff>9525</xdr:rowOff>
    </xdr:from>
    <xdr:to>
      <xdr:col>7</xdr:col>
      <xdr:colOff>0</xdr:colOff>
      <xdr:row>55</xdr:row>
      <xdr:rowOff>238125</xdr:rowOff>
    </xdr:to>
    <xdr:sp macro="[0]!Medicament_26" textlink="">
      <xdr:nvSpPr>
        <xdr:cNvPr id="245" name="Rectangle 402"/>
        <xdr:cNvSpPr>
          <a:spLocks noChangeArrowheads="1"/>
        </xdr:cNvSpPr>
      </xdr:nvSpPr>
      <xdr:spPr bwMode="auto">
        <a:xfrm>
          <a:off x="1057275" y="12801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56</xdr:row>
      <xdr:rowOff>104775</xdr:rowOff>
    </xdr:from>
    <xdr:to>
      <xdr:col>7</xdr:col>
      <xdr:colOff>19050</xdr:colOff>
      <xdr:row>56</xdr:row>
      <xdr:rowOff>190500</xdr:rowOff>
    </xdr:to>
    <xdr:sp macro="[0]!opmMedDisc_26" textlink="">
      <xdr:nvSpPr>
        <xdr:cNvPr id="246" name="Rectangle 428"/>
        <xdr:cNvSpPr>
          <a:spLocks noChangeArrowheads="1"/>
        </xdr:cNvSpPr>
      </xdr:nvSpPr>
      <xdr:spPr bwMode="auto">
        <a:xfrm>
          <a:off x="209550" y="131445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1" name="Drop Down 579" hidden="1">
              <a:extLst>
                <a:ext uri="{63B3BB69-23CF-44E3-9099-C40C66FF867C}">
                  <a14:compatExt spid="_x0000_s190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2" name="Drop Down 580" hidden="1">
              <a:extLst>
                <a:ext uri="{63B3BB69-23CF-44E3-9099-C40C66FF867C}">
                  <a14:compatExt spid="_x0000_s190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3" name="Drop Down 581" hidden="1">
              <a:extLst>
                <a:ext uri="{63B3BB69-23CF-44E3-9099-C40C66FF867C}">
                  <a14:compatExt spid="_x0000_s190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4" name="Drop Down 582" hidden="1">
              <a:extLst>
                <a:ext uri="{63B3BB69-23CF-44E3-9099-C40C66FF867C}">
                  <a14:compatExt spid="_x0000_s190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5" name="Drop Down 583" hidden="1">
              <a:extLst>
                <a:ext uri="{63B3BB69-23CF-44E3-9099-C40C66FF867C}">
                  <a14:compatExt spid="_x0000_s190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6" name="Drop Down 584" hidden="1">
              <a:extLst>
                <a:ext uri="{63B3BB69-23CF-44E3-9099-C40C66FF867C}">
                  <a14:compatExt spid="_x0000_s190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7" name="Drop Down 585" hidden="1">
              <a:extLst>
                <a:ext uri="{63B3BB69-23CF-44E3-9099-C40C66FF867C}">
                  <a14:compatExt spid="_x0000_s190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8" name="Drop Down 586" hidden="1">
              <a:extLst>
                <a:ext uri="{63B3BB69-23CF-44E3-9099-C40C66FF867C}">
                  <a14:compatExt spid="_x0000_s190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9" name="Drop Down 587" hidden="1">
              <a:extLst>
                <a:ext uri="{63B3BB69-23CF-44E3-9099-C40C66FF867C}">
                  <a14:compatExt spid="_x0000_s190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20" name="Drop Down 588" hidden="1">
              <a:extLst>
                <a:ext uri="{63B3BB69-23CF-44E3-9099-C40C66FF867C}">
                  <a14:compatExt spid="_x0000_s190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57</xdr:row>
          <xdr:rowOff>28725</xdr:rowOff>
        </xdr:from>
        <xdr:to>
          <xdr:col>7</xdr:col>
          <xdr:colOff>579280</xdr:colOff>
          <xdr:row>57</xdr:row>
          <xdr:rowOff>220222</xdr:rowOff>
        </xdr:to>
        <xdr:sp macro="" textlink="">
          <xdr:nvSpPr>
            <xdr:cNvPr id="19021" name="Spinner 589" hidden="1">
              <a:extLst>
                <a:ext uri="{63B3BB69-23CF-44E3-9099-C40C66FF867C}">
                  <a14:compatExt spid="_x0000_s190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57</xdr:row>
          <xdr:rowOff>9575</xdr:rowOff>
        </xdr:from>
        <xdr:to>
          <xdr:col>9</xdr:col>
          <xdr:colOff>134048</xdr:colOff>
          <xdr:row>57</xdr:row>
          <xdr:rowOff>239372</xdr:rowOff>
        </xdr:to>
        <xdr:sp macro="" textlink="">
          <xdr:nvSpPr>
            <xdr:cNvPr id="19022" name="Spinner 590" hidden="1">
              <a:extLst>
                <a:ext uri="{63B3BB69-23CF-44E3-9099-C40C66FF867C}">
                  <a14:compatExt spid="_x0000_s190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57</xdr:row>
          <xdr:rowOff>38299</xdr:rowOff>
        </xdr:from>
        <xdr:to>
          <xdr:col>12</xdr:col>
          <xdr:colOff>464381</xdr:colOff>
          <xdr:row>57</xdr:row>
          <xdr:rowOff>229797</xdr:rowOff>
        </xdr:to>
        <xdr:sp macro="" textlink="">
          <xdr:nvSpPr>
            <xdr:cNvPr id="19023" name="Spinner 591" hidden="1">
              <a:extLst>
                <a:ext uri="{63B3BB69-23CF-44E3-9099-C40C66FF867C}">
                  <a14:compatExt spid="_x0000_s190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57</xdr:row>
          <xdr:rowOff>38299</xdr:rowOff>
        </xdr:from>
        <xdr:to>
          <xdr:col>15</xdr:col>
          <xdr:colOff>181923</xdr:colOff>
          <xdr:row>57</xdr:row>
          <xdr:rowOff>229797</xdr:rowOff>
        </xdr:to>
        <xdr:sp macro="" textlink="">
          <xdr:nvSpPr>
            <xdr:cNvPr id="19024" name="Spinner 592" hidden="1">
              <a:extLst>
                <a:ext uri="{63B3BB69-23CF-44E3-9099-C40C66FF867C}">
                  <a14:compatExt spid="_x0000_s190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57</xdr:row>
      <xdr:rowOff>9525</xdr:rowOff>
    </xdr:from>
    <xdr:to>
      <xdr:col>7</xdr:col>
      <xdr:colOff>0</xdr:colOff>
      <xdr:row>57</xdr:row>
      <xdr:rowOff>238125</xdr:rowOff>
    </xdr:to>
    <xdr:sp macro="[0]!Medicament_27" textlink="">
      <xdr:nvSpPr>
        <xdr:cNvPr id="261" name="Rectangle 402"/>
        <xdr:cNvSpPr>
          <a:spLocks noChangeArrowheads="1"/>
        </xdr:cNvSpPr>
      </xdr:nvSpPr>
      <xdr:spPr bwMode="auto">
        <a:xfrm>
          <a:off x="1057275" y="13296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58</xdr:row>
      <xdr:rowOff>104775</xdr:rowOff>
    </xdr:from>
    <xdr:to>
      <xdr:col>7</xdr:col>
      <xdr:colOff>19050</xdr:colOff>
      <xdr:row>58</xdr:row>
      <xdr:rowOff>190500</xdr:rowOff>
    </xdr:to>
    <xdr:sp macro="[0]!opmMedDisc_27" textlink="">
      <xdr:nvSpPr>
        <xdr:cNvPr id="262" name="Rectangle 428"/>
        <xdr:cNvSpPr>
          <a:spLocks noChangeArrowheads="1"/>
        </xdr:cNvSpPr>
      </xdr:nvSpPr>
      <xdr:spPr bwMode="auto">
        <a:xfrm>
          <a:off x="209550" y="136398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25" name="Drop Down 593" hidden="1">
              <a:extLst>
                <a:ext uri="{63B3BB69-23CF-44E3-9099-C40C66FF867C}">
                  <a14:compatExt spid="_x0000_s19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26" name="Drop Down 594" hidden="1">
              <a:extLst>
                <a:ext uri="{63B3BB69-23CF-44E3-9099-C40C66FF867C}">
                  <a14:compatExt spid="_x0000_s19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27" name="Drop Down 595" hidden="1">
              <a:extLst>
                <a:ext uri="{63B3BB69-23CF-44E3-9099-C40C66FF867C}">
                  <a14:compatExt spid="_x0000_s19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28" name="Drop Down 596" hidden="1">
              <a:extLst>
                <a:ext uri="{63B3BB69-23CF-44E3-9099-C40C66FF867C}">
                  <a14:compatExt spid="_x0000_s19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29" name="Drop Down 597" hidden="1">
              <a:extLst>
                <a:ext uri="{63B3BB69-23CF-44E3-9099-C40C66FF867C}">
                  <a14:compatExt spid="_x0000_s19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30" name="Drop Down 598" hidden="1">
              <a:extLst>
                <a:ext uri="{63B3BB69-23CF-44E3-9099-C40C66FF867C}">
                  <a14:compatExt spid="_x0000_s19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31" name="Drop Down 599" hidden="1">
              <a:extLst>
                <a:ext uri="{63B3BB69-23CF-44E3-9099-C40C66FF867C}">
                  <a14:compatExt spid="_x0000_s19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32" name="Drop Down 600" hidden="1">
              <a:extLst>
                <a:ext uri="{63B3BB69-23CF-44E3-9099-C40C66FF867C}">
                  <a14:compatExt spid="_x0000_s19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33" name="Drop Down 601" hidden="1">
              <a:extLst>
                <a:ext uri="{63B3BB69-23CF-44E3-9099-C40C66FF867C}">
                  <a14:compatExt spid="_x0000_s19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34" name="Drop Down 602" hidden="1">
              <a:extLst>
                <a:ext uri="{63B3BB69-23CF-44E3-9099-C40C66FF867C}">
                  <a14:compatExt spid="_x0000_s19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59</xdr:row>
          <xdr:rowOff>28725</xdr:rowOff>
        </xdr:from>
        <xdr:to>
          <xdr:col>7</xdr:col>
          <xdr:colOff>579280</xdr:colOff>
          <xdr:row>59</xdr:row>
          <xdr:rowOff>220222</xdr:rowOff>
        </xdr:to>
        <xdr:sp macro="" textlink="">
          <xdr:nvSpPr>
            <xdr:cNvPr id="19035" name="Spinner 603" hidden="1">
              <a:extLst>
                <a:ext uri="{63B3BB69-23CF-44E3-9099-C40C66FF867C}">
                  <a14:compatExt spid="_x0000_s19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59</xdr:row>
          <xdr:rowOff>9575</xdr:rowOff>
        </xdr:from>
        <xdr:to>
          <xdr:col>9</xdr:col>
          <xdr:colOff>134048</xdr:colOff>
          <xdr:row>59</xdr:row>
          <xdr:rowOff>239372</xdr:rowOff>
        </xdr:to>
        <xdr:sp macro="" textlink="">
          <xdr:nvSpPr>
            <xdr:cNvPr id="19036" name="Spinner 604" hidden="1">
              <a:extLst>
                <a:ext uri="{63B3BB69-23CF-44E3-9099-C40C66FF867C}">
                  <a14:compatExt spid="_x0000_s19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59</xdr:row>
          <xdr:rowOff>38299</xdr:rowOff>
        </xdr:from>
        <xdr:to>
          <xdr:col>12</xdr:col>
          <xdr:colOff>464381</xdr:colOff>
          <xdr:row>59</xdr:row>
          <xdr:rowOff>229797</xdr:rowOff>
        </xdr:to>
        <xdr:sp macro="" textlink="">
          <xdr:nvSpPr>
            <xdr:cNvPr id="19037" name="Spinner 605" hidden="1">
              <a:extLst>
                <a:ext uri="{63B3BB69-23CF-44E3-9099-C40C66FF867C}">
                  <a14:compatExt spid="_x0000_s19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59</xdr:row>
          <xdr:rowOff>38299</xdr:rowOff>
        </xdr:from>
        <xdr:to>
          <xdr:col>15</xdr:col>
          <xdr:colOff>181923</xdr:colOff>
          <xdr:row>59</xdr:row>
          <xdr:rowOff>229797</xdr:rowOff>
        </xdr:to>
        <xdr:sp macro="" textlink="">
          <xdr:nvSpPr>
            <xdr:cNvPr id="19038" name="Spinner 606" hidden="1">
              <a:extLst>
                <a:ext uri="{63B3BB69-23CF-44E3-9099-C40C66FF867C}">
                  <a14:compatExt spid="_x0000_s19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59</xdr:row>
      <xdr:rowOff>9525</xdr:rowOff>
    </xdr:from>
    <xdr:to>
      <xdr:col>7</xdr:col>
      <xdr:colOff>0</xdr:colOff>
      <xdr:row>59</xdr:row>
      <xdr:rowOff>238125</xdr:rowOff>
    </xdr:to>
    <xdr:sp macro="[0]!Medicament_28" textlink="">
      <xdr:nvSpPr>
        <xdr:cNvPr id="277" name="Rectangle 402"/>
        <xdr:cNvSpPr>
          <a:spLocks noChangeArrowheads="1"/>
        </xdr:cNvSpPr>
      </xdr:nvSpPr>
      <xdr:spPr bwMode="auto">
        <a:xfrm>
          <a:off x="1057275" y="13792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60</xdr:row>
      <xdr:rowOff>104775</xdr:rowOff>
    </xdr:from>
    <xdr:to>
      <xdr:col>7</xdr:col>
      <xdr:colOff>19050</xdr:colOff>
      <xdr:row>60</xdr:row>
      <xdr:rowOff>190500</xdr:rowOff>
    </xdr:to>
    <xdr:sp macro="[0]!opmMedDisc_28" textlink="">
      <xdr:nvSpPr>
        <xdr:cNvPr id="278" name="Rectangle 428"/>
        <xdr:cNvSpPr>
          <a:spLocks noChangeArrowheads="1"/>
        </xdr:cNvSpPr>
      </xdr:nvSpPr>
      <xdr:spPr bwMode="auto">
        <a:xfrm>
          <a:off x="209550" y="141351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39" name="Drop Down 607" hidden="1">
              <a:extLst>
                <a:ext uri="{63B3BB69-23CF-44E3-9099-C40C66FF867C}">
                  <a14:compatExt spid="_x0000_s19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0" name="Drop Down 608" hidden="1">
              <a:extLst>
                <a:ext uri="{63B3BB69-23CF-44E3-9099-C40C66FF867C}">
                  <a14:compatExt spid="_x0000_s19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1" name="Drop Down 609" hidden="1">
              <a:extLst>
                <a:ext uri="{63B3BB69-23CF-44E3-9099-C40C66FF867C}">
                  <a14:compatExt spid="_x0000_s19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2" name="Drop Down 610" hidden="1">
              <a:extLst>
                <a:ext uri="{63B3BB69-23CF-44E3-9099-C40C66FF867C}">
                  <a14:compatExt spid="_x0000_s19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3" name="Drop Down 611" hidden="1">
              <a:extLst>
                <a:ext uri="{63B3BB69-23CF-44E3-9099-C40C66FF867C}">
                  <a14:compatExt spid="_x0000_s19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4" name="Drop Down 612" hidden="1">
              <a:extLst>
                <a:ext uri="{63B3BB69-23CF-44E3-9099-C40C66FF867C}">
                  <a14:compatExt spid="_x0000_s19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5" name="Drop Down 613" hidden="1">
              <a:extLst>
                <a:ext uri="{63B3BB69-23CF-44E3-9099-C40C66FF867C}">
                  <a14:compatExt spid="_x0000_s19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6" name="Drop Down 614" hidden="1">
              <a:extLst>
                <a:ext uri="{63B3BB69-23CF-44E3-9099-C40C66FF867C}">
                  <a14:compatExt spid="_x0000_s19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7" name="Drop Down 615" hidden="1">
              <a:extLst>
                <a:ext uri="{63B3BB69-23CF-44E3-9099-C40C66FF867C}">
                  <a14:compatExt spid="_x0000_s19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8" name="Drop Down 616" hidden="1">
              <a:extLst>
                <a:ext uri="{63B3BB69-23CF-44E3-9099-C40C66FF867C}">
                  <a14:compatExt spid="_x0000_s19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61</xdr:row>
          <xdr:rowOff>28725</xdr:rowOff>
        </xdr:from>
        <xdr:to>
          <xdr:col>7</xdr:col>
          <xdr:colOff>579280</xdr:colOff>
          <xdr:row>61</xdr:row>
          <xdr:rowOff>220222</xdr:rowOff>
        </xdr:to>
        <xdr:sp macro="" textlink="">
          <xdr:nvSpPr>
            <xdr:cNvPr id="19049" name="Spinner 617" hidden="1">
              <a:extLst>
                <a:ext uri="{63B3BB69-23CF-44E3-9099-C40C66FF867C}">
                  <a14:compatExt spid="_x0000_s19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61</xdr:row>
          <xdr:rowOff>9575</xdr:rowOff>
        </xdr:from>
        <xdr:to>
          <xdr:col>9</xdr:col>
          <xdr:colOff>134048</xdr:colOff>
          <xdr:row>61</xdr:row>
          <xdr:rowOff>239372</xdr:rowOff>
        </xdr:to>
        <xdr:sp macro="" textlink="">
          <xdr:nvSpPr>
            <xdr:cNvPr id="19050" name="Spinner 618" hidden="1">
              <a:extLst>
                <a:ext uri="{63B3BB69-23CF-44E3-9099-C40C66FF867C}">
                  <a14:compatExt spid="_x0000_s19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61</xdr:row>
          <xdr:rowOff>38299</xdr:rowOff>
        </xdr:from>
        <xdr:to>
          <xdr:col>12</xdr:col>
          <xdr:colOff>464381</xdr:colOff>
          <xdr:row>61</xdr:row>
          <xdr:rowOff>229797</xdr:rowOff>
        </xdr:to>
        <xdr:sp macro="" textlink="">
          <xdr:nvSpPr>
            <xdr:cNvPr id="19051" name="Spinner 619" hidden="1">
              <a:extLst>
                <a:ext uri="{63B3BB69-23CF-44E3-9099-C40C66FF867C}">
                  <a14:compatExt spid="_x0000_s19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61</xdr:row>
          <xdr:rowOff>38299</xdr:rowOff>
        </xdr:from>
        <xdr:to>
          <xdr:col>15</xdr:col>
          <xdr:colOff>181923</xdr:colOff>
          <xdr:row>61</xdr:row>
          <xdr:rowOff>229797</xdr:rowOff>
        </xdr:to>
        <xdr:sp macro="" textlink="">
          <xdr:nvSpPr>
            <xdr:cNvPr id="19052" name="Spinner 620" hidden="1">
              <a:extLst>
                <a:ext uri="{63B3BB69-23CF-44E3-9099-C40C66FF867C}">
                  <a14:compatExt spid="_x0000_s19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61</xdr:row>
      <xdr:rowOff>9525</xdr:rowOff>
    </xdr:from>
    <xdr:to>
      <xdr:col>7</xdr:col>
      <xdr:colOff>0</xdr:colOff>
      <xdr:row>61</xdr:row>
      <xdr:rowOff>238125</xdr:rowOff>
    </xdr:to>
    <xdr:sp macro="[0]!Medicament_29" textlink="">
      <xdr:nvSpPr>
        <xdr:cNvPr id="293" name="Rectangle 402"/>
        <xdr:cNvSpPr>
          <a:spLocks noChangeArrowheads="1"/>
        </xdr:cNvSpPr>
      </xdr:nvSpPr>
      <xdr:spPr bwMode="auto">
        <a:xfrm>
          <a:off x="1057275" y="14287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62</xdr:row>
      <xdr:rowOff>104775</xdr:rowOff>
    </xdr:from>
    <xdr:to>
      <xdr:col>7</xdr:col>
      <xdr:colOff>19050</xdr:colOff>
      <xdr:row>62</xdr:row>
      <xdr:rowOff>190500</xdr:rowOff>
    </xdr:to>
    <xdr:sp macro="[0]!opmMedDisc_29" textlink="">
      <xdr:nvSpPr>
        <xdr:cNvPr id="294" name="Rectangle 428"/>
        <xdr:cNvSpPr>
          <a:spLocks noChangeArrowheads="1"/>
        </xdr:cNvSpPr>
      </xdr:nvSpPr>
      <xdr:spPr bwMode="auto">
        <a:xfrm>
          <a:off x="209550" y="146304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3" name="Drop Down 621" hidden="1">
              <a:extLst>
                <a:ext uri="{63B3BB69-23CF-44E3-9099-C40C66FF867C}">
                  <a14:compatExt spid="_x0000_s19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4" name="Drop Down 622" hidden="1">
              <a:extLst>
                <a:ext uri="{63B3BB69-23CF-44E3-9099-C40C66FF867C}">
                  <a14:compatExt spid="_x0000_s19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5" name="Drop Down 623" hidden="1">
              <a:extLst>
                <a:ext uri="{63B3BB69-23CF-44E3-9099-C40C66FF867C}">
                  <a14:compatExt spid="_x0000_s19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6" name="Drop Down 624" hidden="1">
              <a:extLst>
                <a:ext uri="{63B3BB69-23CF-44E3-9099-C40C66FF867C}">
                  <a14:compatExt spid="_x0000_s19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7" name="Drop Down 625" hidden="1">
              <a:extLst>
                <a:ext uri="{63B3BB69-23CF-44E3-9099-C40C66FF867C}">
                  <a14:compatExt spid="_x0000_s19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8" name="Drop Down 626" hidden="1">
              <a:extLst>
                <a:ext uri="{63B3BB69-23CF-44E3-9099-C40C66FF867C}">
                  <a14:compatExt spid="_x0000_s19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9" name="Drop Down 627" hidden="1">
              <a:extLst>
                <a:ext uri="{63B3BB69-23CF-44E3-9099-C40C66FF867C}">
                  <a14:compatExt spid="_x0000_s19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60" name="Drop Down 628" hidden="1">
              <a:extLst>
                <a:ext uri="{63B3BB69-23CF-44E3-9099-C40C66FF867C}">
                  <a14:compatExt spid="_x0000_s19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61" name="Drop Down 629" hidden="1">
              <a:extLst>
                <a:ext uri="{63B3BB69-23CF-44E3-9099-C40C66FF867C}">
                  <a14:compatExt spid="_x0000_s19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62" name="Drop Down 630" hidden="1">
              <a:extLst>
                <a:ext uri="{63B3BB69-23CF-44E3-9099-C40C66FF867C}">
                  <a14:compatExt spid="_x0000_s19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63</xdr:row>
          <xdr:rowOff>28725</xdr:rowOff>
        </xdr:from>
        <xdr:to>
          <xdr:col>7</xdr:col>
          <xdr:colOff>579280</xdr:colOff>
          <xdr:row>63</xdr:row>
          <xdr:rowOff>220222</xdr:rowOff>
        </xdr:to>
        <xdr:sp macro="" textlink="">
          <xdr:nvSpPr>
            <xdr:cNvPr id="19063" name="Spinner 631" hidden="1">
              <a:extLst>
                <a:ext uri="{63B3BB69-23CF-44E3-9099-C40C66FF867C}">
                  <a14:compatExt spid="_x0000_s19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63</xdr:row>
          <xdr:rowOff>9575</xdr:rowOff>
        </xdr:from>
        <xdr:to>
          <xdr:col>9</xdr:col>
          <xdr:colOff>134048</xdr:colOff>
          <xdr:row>63</xdr:row>
          <xdr:rowOff>239372</xdr:rowOff>
        </xdr:to>
        <xdr:sp macro="" textlink="">
          <xdr:nvSpPr>
            <xdr:cNvPr id="19064" name="Spinner 632" hidden="1">
              <a:extLst>
                <a:ext uri="{63B3BB69-23CF-44E3-9099-C40C66FF867C}">
                  <a14:compatExt spid="_x0000_s19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63</xdr:row>
          <xdr:rowOff>38299</xdr:rowOff>
        </xdr:from>
        <xdr:to>
          <xdr:col>12</xdr:col>
          <xdr:colOff>464381</xdr:colOff>
          <xdr:row>63</xdr:row>
          <xdr:rowOff>229797</xdr:rowOff>
        </xdr:to>
        <xdr:sp macro="" textlink="">
          <xdr:nvSpPr>
            <xdr:cNvPr id="19065" name="Spinner 633" hidden="1">
              <a:extLst>
                <a:ext uri="{63B3BB69-23CF-44E3-9099-C40C66FF867C}">
                  <a14:compatExt spid="_x0000_s19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63</xdr:row>
          <xdr:rowOff>38299</xdr:rowOff>
        </xdr:from>
        <xdr:to>
          <xdr:col>15</xdr:col>
          <xdr:colOff>181923</xdr:colOff>
          <xdr:row>63</xdr:row>
          <xdr:rowOff>229797</xdr:rowOff>
        </xdr:to>
        <xdr:sp macro="" textlink="">
          <xdr:nvSpPr>
            <xdr:cNvPr id="19066" name="Spinner 634" hidden="1">
              <a:extLst>
                <a:ext uri="{63B3BB69-23CF-44E3-9099-C40C66FF867C}">
                  <a14:compatExt spid="_x0000_s19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63</xdr:row>
      <xdr:rowOff>9525</xdr:rowOff>
    </xdr:from>
    <xdr:to>
      <xdr:col>7</xdr:col>
      <xdr:colOff>0</xdr:colOff>
      <xdr:row>63</xdr:row>
      <xdr:rowOff>238125</xdr:rowOff>
    </xdr:to>
    <xdr:sp macro="[0]!Medicament_30" textlink="">
      <xdr:nvSpPr>
        <xdr:cNvPr id="309" name="Rectangle 402"/>
        <xdr:cNvSpPr>
          <a:spLocks noChangeArrowheads="1"/>
        </xdr:cNvSpPr>
      </xdr:nvSpPr>
      <xdr:spPr bwMode="auto">
        <a:xfrm>
          <a:off x="1057275" y="14782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64</xdr:row>
      <xdr:rowOff>104775</xdr:rowOff>
    </xdr:from>
    <xdr:to>
      <xdr:col>7</xdr:col>
      <xdr:colOff>19050</xdr:colOff>
      <xdr:row>64</xdr:row>
      <xdr:rowOff>190500</xdr:rowOff>
    </xdr:to>
    <xdr:sp macro="[0]!opmMedDisc_30" textlink="">
      <xdr:nvSpPr>
        <xdr:cNvPr id="310" name="Rectangle 428"/>
        <xdr:cNvSpPr>
          <a:spLocks noChangeArrowheads="1"/>
        </xdr:cNvSpPr>
      </xdr:nvSpPr>
      <xdr:spPr bwMode="auto">
        <a:xfrm>
          <a:off x="209550" y="151257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7</xdr:row>
          <xdr:rowOff>19150</xdr:rowOff>
        </xdr:from>
        <xdr:to>
          <xdr:col>4</xdr:col>
          <xdr:colOff>904825</xdr:colOff>
          <xdr:row>8</xdr:row>
          <xdr:rowOff>0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8</xdr:row>
          <xdr:rowOff>19150</xdr:rowOff>
        </xdr:from>
        <xdr:to>
          <xdr:col>4</xdr:col>
          <xdr:colOff>904825</xdr:colOff>
          <xdr:row>9</xdr:row>
          <xdr:rowOff>0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9</xdr:row>
          <xdr:rowOff>19150</xdr:rowOff>
        </xdr:from>
        <xdr:to>
          <xdr:col>4</xdr:col>
          <xdr:colOff>904825</xdr:colOff>
          <xdr:row>10</xdr:row>
          <xdr:rowOff>0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10</xdr:row>
          <xdr:rowOff>19150</xdr:rowOff>
        </xdr:from>
        <xdr:to>
          <xdr:col>4</xdr:col>
          <xdr:colOff>904825</xdr:colOff>
          <xdr:row>11</xdr:row>
          <xdr:rowOff>0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11</xdr:row>
          <xdr:rowOff>19150</xdr:rowOff>
        </xdr:from>
        <xdr:to>
          <xdr:col>4</xdr:col>
          <xdr:colOff>904825</xdr:colOff>
          <xdr:row>12</xdr:row>
          <xdr:rowOff>0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12</xdr:row>
          <xdr:rowOff>19150</xdr:rowOff>
        </xdr:from>
        <xdr:to>
          <xdr:col>4</xdr:col>
          <xdr:colOff>904825</xdr:colOff>
          <xdr:row>13</xdr:row>
          <xdr:rowOff>0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411719</xdr:colOff>
          <xdr:row>2</xdr:row>
          <xdr:rowOff>0</xdr:rowOff>
        </xdr:from>
        <xdr:to>
          <xdr:col>9</xdr:col>
          <xdr:colOff>569705</xdr:colOff>
          <xdr:row>2</xdr:row>
          <xdr:rowOff>172348</xdr:rowOff>
        </xdr:to>
        <xdr:sp macro="" textlink="">
          <xdr:nvSpPr>
            <xdr:cNvPr id="11310" name="Spinner 46" hidden="1">
              <a:extLst>
                <a:ext uri="{63B3BB69-23CF-44E3-9099-C40C66FF867C}">
                  <a14:compatExt spid="_x0000_s11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19050</xdr:colOff>
      <xdr:row>2</xdr:row>
      <xdr:rowOff>38100</xdr:rowOff>
    </xdr:from>
    <xdr:to>
      <xdr:col>6</xdr:col>
      <xdr:colOff>990600</xdr:colOff>
      <xdr:row>3</xdr:row>
      <xdr:rowOff>0</xdr:rowOff>
    </xdr:to>
    <xdr:sp macro="[0]!InGewicht" textlink="">
      <xdr:nvSpPr>
        <xdr:cNvPr id="11311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19050</xdr:rowOff>
    </xdr:from>
    <xdr:to>
      <xdr:col>8</xdr:col>
      <xdr:colOff>628650</xdr:colOff>
      <xdr:row>2</xdr:row>
      <xdr:rowOff>171450</xdr:rowOff>
    </xdr:to>
    <xdr:sp macro="[0]!InLengte" textlink="">
      <xdr:nvSpPr>
        <xdr:cNvPr id="11312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1028700</xdr:colOff>
      <xdr:row>3</xdr:row>
      <xdr:rowOff>0</xdr:rowOff>
    </xdr:to>
    <xdr:sp macro="[0]!NieuwePatient" textlink="">
      <xdr:nvSpPr>
        <xdr:cNvPr id="11313" name="Rectangle 49"/>
        <xdr:cNvSpPr>
          <a:spLocks noChangeArrowheads="1"/>
        </xdr:cNvSpPr>
      </xdr:nvSpPr>
      <xdr:spPr bwMode="auto">
        <a:xfrm flipV="1">
          <a:off x="1476375" y="381000"/>
          <a:ext cx="21812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28575</xdr:colOff>
      <xdr:row>14</xdr:row>
      <xdr:rowOff>9525</xdr:rowOff>
    </xdr:from>
    <xdr:to>
      <xdr:col>6</xdr:col>
      <xdr:colOff>9525</xdr:colOff>
      <xdr:row>15</xdr:row>
      <xdr:rowOff>9525</xdr:rowOff>
    </xdr:to>
    <xdr:sp macro="[0]!opmAfsprInfusen" textlink="">
      <xdr:nvSpPr>
        <xdr:cNvPr id="11314" name="Rectangle 50"/>
        <xdr:cNvSpPr>
          <a:spLocks noChangeArrowheads="1"/>
        </xdr:cNvSpPr>
      </xdr:nvSpPr>
      <xdr:spPr bwMode="auto">
        <a:xfrm>
          <a:off x="400050" y="2857500"/>
          <a:ext cx="58674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361950</xdr:colOff>
      <xdr:row>5</xdr:row>
      <xdr:rowOff>47625</xdr:rowOff>
    </xdr:from>
    <xdr:to>
      <xdr:col>1</xdr:col>
      <xdr:colOff>866775</xdr:colOff>
      <xdr:row>6</xdr:row>
      <xdr:rowOff>28575</xdr:rowOff>
    </xdr:to>
    <xdr:sp macro="[0]!mMenuItems.gaNaarInfuusBeleid" textlink="">
      <xdr:nvSpPr>
        <xdr:cNvPr id="11317" name="Rectangle 53"/>
        <xdr:cNvSpPr>
          <a:spLocks noChangeArrowheads="1"/>
        </xdr:cNvSpPr>
      </xdr:nvSpPr>
      <xdr:spPr bwMode="auto">
        <a:xfrm>
          <a:off x="361950" y="1028700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19</xdr:row>
          <xdr:rowOff>19150</xdr:rowOff>
        </xdr:from>
        <xdr:to>
          <xdr:col>3</xdr:col>
          <xdr:colOff>473956</xdr:colOff>
          <xdr:row>19</xdr:row>
          <xdr:rowOff>220222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19</xdr:row>
          <xdr:rowOff>19150</xdr:rowOff>
        </xdr:from>
        <xdr:to>
          <xdr:col>6</xdr:col>
          <xdr:colOff>411719</xdr:colOff>
          <xdr:row>19</xdr:row>
          <xdr:rowOff>220222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21</xdr:row>
          <xdr:rowOff>28725</xdr:rowOff>
        </xdr:from>
        <xdr:to>
          <xdr:col>3</xdr:col>
          <xdr:colOff>0</xdr:colOff>
          <xdr:row>22</xdr:row>
          <xdr:rowOff>38299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23</xdr:row>
          <xdr:rowOff>28725</xdr:rowOff>
        </xdr:from>
        <xdr:to>
          <xdr:col>3</xdr:col>
          <xdr:colOff>0</xdr:colOff>
          <xdr:row>23</xdr:row>
          <xdr:rowOff>201072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24</xdr:row>
          <xdr:rowOff>28725</xdr:rowOff>
        </xdr:from>
        <xdr:to>
          <xdr:col>3</xdr:col>
          <xdr:colOff>0</xdr:colOff>
          <xdr:row>24</xdr:row>
          <xdr:rowOff>201072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26</xdr:row>
          <xdr:rowOff>28725</xdr:rowOff>
        </xdr:from>
        <xdr:to>
          <xdr:col>3</xdr:col>
          <xdr:colOff>0</xdr:colOff>
          <xdr:row>26</xdr:row>
          <xdr:rowOff>201072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28</xdr:row>
          <xdr:rowOff>28725</xdr:rowOff>
        </xdr:from>
        <xdr:to>
          <xdr:col>3</xdr:col>
          <xdr:colOff>0</xdr:colOff>
          <xdr:row>28</xdr:row>
          <xdr:rowOff>201072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29</xdr:row>
          <xdr:rowOff>28725</xdr:rowOff>
        </xdr:from>
        <xdr:to>
          <xdr:col>3</xdr:col>
          <xdr:colOff>0</xdr:colOff>
          <xdr:row>29</xdr:row>
          <xdr:rowOff>201072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8</xdr:row>
          <xdr:rowOff>76599</xdr:rowOff>
        </xdr:from>
        <xdr:to>
          <xdr:col>2</xdr:col>
          <xdr:colOff>856951</xdr:colOff>
          <xdr:row>9</xdr:row>
          <xdr:rowOff>0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694178</xdr:colOff>
          <xdr:row>8</xdr:row>
          <xdr:rowOff>67024</xdr:rowOff>
        </xdr:from>
        <xdr:to>
          <xdr:col>3</xdr:col>
          <xdr:colOff>818651</xdr:colOff>
          <xdr:row>8</xdr:row>
          <xdr:rowOff>239372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28725</xdr:rowOff>
        </xdr:from>
        <xdr:to>
          <xdr:col>5</xdr:col>
          <xdr:colOff>1713902</xdr:colOff>
          <xdr:row>8</xdr:row>
          <xdr:rowOff>239372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770777</xdr:colOff>
          <xdr:row>16</xdr:row>
          <xdr:rowOff>67024</xdr:rowOff>
        </xdr:from>
        <xdr:to>
          <xdr:col>3</xdr:col>
          <xdr:colOff>933550</xdr:colOff>
          <xdr:row>16</xdr:row>
          <xdr:rowOff>258521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19</xdr:row>
          <xdr:rowOff>28725</xdr:rowOff>
        </xdr:from>
        <xdr:to>
          <xdr:col>5</xdr:col>
          <xdr:colOff>229797</xdr:colOff>
          <xdr:row>19</xdr:row>
          <xdr:rowOff>220222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20</xdr:row>
          <xdr:rowOff>28725</xdr:rowOff>
        </xdr:from>
        <xdr:to>
          <xdr:col>5</xdr:col>
          <xdr:colOff>229797</xdr:colOff>
          <xdr:row>20</xdr:row>
          <xdr:rowOff>220222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22</xdr:row>
          <xdr:rowOff>28725</xdr:rowOff>
        </xdr:from>
        <xdr:to>
          <xdr:col>5</xdr:col>
          <xdr:colOff>229797</xdr:colOff>
          <xdr:row>22</xdr:row>
          <xdr:rowOff>220222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19</xdr:row>
          <xdr:rowOff>47874</xdr:rowOff>
        </xdr:from>
        <xdr:to>
          <xdr:col>2</xdr:col>
          <xdr:colOff>124473</xdr:colOff>
          <xdr:row>20</xdr:row>
          <xdr:rowOff>19150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20</xdr:row>
          <xdr:rowOff>47874</xdr:rowOff>
        </xdr:from>
        <xdr:to>
          <xdr:col>2</xdr:col>
          <xdr:colOff>124473</xdr:colOff>
          <xdr:row>21</xdr:row>
          <xdr:rowOff>19150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22</xdr:row>
          <xdr:rowOff>47874</xdr:rowOff>
        </xdr:from>
        <xdr:to>
          <xdr:col>2</xdr:col>
          <xdr:colOff>124473</xdr:colOff>
          <xdr:row>23</xdr:row>
          <xdr:rowOff>19150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933550</xdr:colOff>
          <xdr:row>26</xdr:row>
          <xdr:rowOff>76599</xdr:rowOff>
        </xdr:from>
        <xdr:to>
          <xdr:col>4</xdr:col>
          <xdr:colOff>134048</xdr:colOff>
          <xdr:row>26</xdr:row>
          <xdr:rowOff>268096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28</xdr:row>
          <xdr:rowOff>47874</xdr:rowOff>
        </xdr:from>
        <xdr:to>
          <xdr:col>2</xdr:col>
          <xdr:colOff>124473</xdr:colOff>
          <xdr:row>29</xdr:row>
          <xdr:rowOff>28725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29</xdr:row>
          <xdr:rowOff>47874</xdr:rowOff>
        </xdr:from>
        <xdr:to>
          <xdr:col>2</xdr:col>
          <xdr:colOff>124473</xdr:colOff>
          <xdr:row>30</xdr:row>
          <xdr:rowOff>19150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28</xdr:row>
          <xdr:rowOff>28725</xdr:rowOff>
        </xdr:from>
        <xdr:to>
          <xdr:col>5</xdr:col>
          <xdr:colOff>229797</xdr:colOff>
          <xdr:row>28</xdr:row>
          <xdr:rowOff>220222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29</xdr:row>
          <xdr:rowOff>28725</xdr:rowOff>
        </xdr:from>
        <xdr:to>
          <xdr:col>5</xdr:col>
          <xdr:colOff>229797</xdr:colOff>
          <xdr:row>29</xdr:row>
          <xdr:rowOff>220222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9575</xdr:rowOff>
        </xdr:from>
        <xdr:to>
          <xdr:col>5</xdr:col>
          <xdr:colOff>19150</xdr:colOff>
          <xdr:row>7</xdr:row>
          <xdr:rowOff>9575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23</xdr:row>
          <xdr:rowOff>47874</xdr:rowOff>
        </xdr:from>
        <xdr:to>
          <xdr:col>2</xdr:col>
          <xdr:colOff>124473</xdr:colOff>
          <xdr:row>24</xdr:row>
          <xdr:rowOff>19150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19150</xdr:colOff>
          <xdr:row>25</xdr:row>
          <xdr:rowOff>95749</xdr:rowOff>
        </xdr:from>
        <xdr:to>
          <xdr:col>2</xdr:col>
          <xdr:colOff>114898</xdr:colOff>
          <xdr:row>26</xdr:row>
          <xdr:rowOff>9575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23</xdr:row>
          <xdr:rowOff>28725</xdr:rowOff>
        </xdr:from>
        <xdr:to>
          <xdr:col>5</xdr:col>
          <xdr:colOff>229797</xdr:colOff>
          <xdr:row>23</xdr:row>
          <xdr:rowOff>220222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25</xdr:row>
          <xdr:rowOff>124473</xdr:rowOff>
        </xdr:from>
        <xdr:to>
          <xdr:col>5</xdr:col>
          <xdr:colOff>229797</xdr:colOff>
          <xdr:row>26</xdr:row>
          <xdr:rowOff>9575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86174</xdr:colOff>
          <xdr:row>17</xdr:row>
          <xdr:rowOff>67024</xdr:rowOff>
        </xdr:from>
        <xdr:to>
          <xdr:col>3</xdr:col>
          <xdr:colOff>440444</xdr:colOff>
          <xdr:row>17</xdr:row>
          <xdr:rowOff>268096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76599</xdr:colOff>
          <xdr:row>18</xdr:row>
          <xdr:rowOff>67024</xdr:rowOff>
        </xdr:from>
        <xdr:to>
          <xdr:col>3</xdr:col>
          <xdr:colOff>430869</xdr:colOff>
          <xdr:row>18</xdr:row>
          <xdr:rowOff>268096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57449</xdr:colOff>
          <xdr:row>17</xdr:row>
          <xdr:rowOff>76599</xdr:rowOff>
        </xdr:from>
        <xdr:to>
          <xdr:col>5</xdr:col>
          <xdr:colOff>220222</xdr:colOff>
          <xdr:row>17</xdr:row>
          <xdr:rowOff>268096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10</xdr:row>
          <xdr:rowOff>76599</xdr:rowOff>
        </xdr:from>
        <xdr:to>
          <xdr:col>2</xdr:col>
          <xdr:colOff>856951</xdr:colOff>
          <xdr:row>11</xdr:row>
          <xdr:rowOff>0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10</xdr:row>
          <xdr:rowOff>67024</xdr:rowOff>
        </xdr:from>
        <xdr:to>
          <xdr:col>3</xdr:col>
          <xdr:colOff>799502</xdr:colOff>
          <xdr:row>10</xdr:row>
          <xdr:rowOff>239372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28725</xdr:rowOff>
        </xdr:from>
        <xdr:to>
          <xdr:col>5</xdr:col>
          <xdr:colOff>1713902</xdr:colOff>
          <xdr:row>10</xdr:row>
          <xdr:rowOff>239372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493106</xdr:colOff>
          <xdr:row>17</xdr:row>
          <xdr:rowOff>76599</xdr:rowOff>
        </xdr:from>
        <xdr:to>
          <xdr:col>6</xdr:col>
          <xdr:colOff>655879</xdr:colOff>
          <xdr:row>17</xdr:row>
          <xdr:rowOff>268096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933450</xdr:colOff>
      <xdr:row>17</xdr:row>
      <xdr:rowOff>114300</xdr:rowOff>
    </xdr:from>
    <xdr:to>
      <xdr:col>4</xdr:col>
      <xdr:colOff>533400</xdr:colOff>
      <xdr:row>18</xdr:row>
      <xdr:rowOff>0</xdr:rowOff>
    </xdr:to>
    <xdr:sp macro="[0]!Nutriflex" textlink="">
      <xdr:nvSpPr>
        <xdr:cNvPr id="8251" name="Rectangle 59"/>
        <xdr:cNvSpPr>
          <a:spLocks noChangeArrowheads="1"/>
        </xdr:cNvSpPr>
      </xdr:nvSpPr>
      <xdr:spPr bwMode="auto">
        <a:xfrm>
          <a:off x="2247900" y="3448050"/>
          <a:ext cx="5619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11</xdr:row>
          <xdr:rowOff>76599</xdr:rowOff>
        </xdr:from>
        <xdr:to>
          <xdr:col>2</xdr:col>
          <xdr:colOff>856951</xdr:colOff>
          <xdr:row>12</xdr:row>
          <xdr:rowOff>0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11</xdr:row>
          <xdr:rowOff>67024</xdr:rowOff>
        </xdr:from>
        <xdr:to>
          <xdr:col>3</xdr:col>
          <xdr:colOff>799502</xdr:colOff>
          <xdr:row>11</xdr:row>
          <xdr:rowOff>239372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28725</xdr:rowOff>
        </xdr:from>
        <xdr:to>
          <xdr:col>5</xdr:col>
          <xdr:colOff>1713902</xdr:colOff>
          <xdr:row>11</xdr:row>
          <xdr:rowOff>239372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12</xdr:row>
          <xdr:rowOff>76599</xdr:rowOff>
        </xdr:from>
        <xdr:to>
          <xdr:col>2</xdr:col>
          <xdr:colOff>856951</xdr:colOff>
          <xdr:row>13</xdr:row>
          <xdr:rowOff>0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12</xdr:row>
          <xdr:rowOff>67024</xdr:rowOff>
        </xdr:from>
        <xdr:to>
          <xdr:col>3</xdr:col>
          <xdr:colOff>799502</xdr:colOff>
          <xdr:row>12</xdr:row>
          <xdr:rowOff>239372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</xdr:row>
          <xdr:rowOff>28725</xdr:rowOff>
        </xdr:from>
        <xdr:to>
          <xdr:col>5</xdr:col>
          <xdr:colOff>1713902</xdr:colOff>
          <xdr:row>12</xdr:row>
          <xdr:rowOff>239372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770777</xdr:colOff>
          <xdr:row>16</xdr:row>
          <xdr:rowOff>67024</xdr:rowOff>
        </xdr:from>
        <xdr:to>
          <xdr:col>8</xdr:col>
          <xdr:colOff>933550</xdr:colOff>
          <xdr:row>16</xdr:row>
          <xdr:rowOff>258521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287246</xdr:colOff>
          <xdr:row>19</xdr:row>
          <xdr:rowOff>38299</xdr:rowOff>
        </xdr:from>
        <xdr:to>
          <xdr:col>10</xdr:col>
          <xdr:colOff>450019</xdr:colOff>
          <xdr:row>19</xdr:row>
          <xdr:rowOff>229797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296821</xdr:colOff>
          <xdr:row>20</xdr:row>
          <xdr:rowOff>28725</xdr:rowOff>
        </xdr:from>
        <xdr:to>
          <xdr:col>10</xdr:col>
          <xdr:colOff>459594</xdr:colOff>
          <xdr:row>20</xdr:row>
          <xdr:rowOff>220222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28725</xdr:colOff>
          <xdr:row>19</xdr:row>
          <xdr:rowOff>47874</xdr:rowOff>
        </xdr:from>
        <xdr:to>
          <xdr:col>7</xdr:col>
          <xdr:colOff>335120</xdr:colOff>
          <xdr:row>20</xdr:row>
          <xdr:rowOff>19150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28725</xdr:colOff>
          <xdr:row>20</xdr:row>
          <xdr:rowOff>47874</xdr:rowOff>
        </xdr:from>
        <xdr:to>
          <xdr:col>7</xdr:col>
          <xdr:colOff>335120</xdr:colOff>
          <xdr:row>21</xdr:row>
          <xdr:rowOff>19150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76599</xdr:colOff>
          <xdr:row>18</xdr:row>
          <xdr:rowOff>67024</xdr:rowOff>
        </xdr:from>
        <xdr:to>
          <xdr:col>8</xdr:col>
          <xdr:colOff>569705</xdr:colOff>
          <xdr:row>18</xdr:row>
          <xdr:rowOff>268096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11</xdr:col>
      <xdr:colOff>36879</xdr:colOff>
      <xdr:row>6</xdr:row>
      <xdr:rowOff>18055</xdr:rowOff>
    </xdr:from>
    <xdr:to>
      <xdr:col>14</xdr:col>
      <xdr:colOff>568178</xdr:colOff>
      <xdr:row>18</xdr:row>
      <xdr:rowOff>5262</xdr:rowOff>
    </xdr:to>
    <xdr:sp macro="[0]!SpecialeVoeding" textlink="">
      <xdr:nvSpPr>
        <xdr:cNvPr id="8264" name="Rectangle 72"/>
        <xdr:cNvSpPr>
          <a:spLocks noChangeArrowheads="1"/>
        </xdr:cNvSpPr>
      </xdr:nvSpPr>
      <xdr:spPr bwMode="auto">
        <a:xfrm>
          <a:off x="8933090" y="854541"/>
          <a:ext cx="2504143" cy="27597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923925</xdr:colOff>
      <xdr:row>19</xdr:row>
      <xdr:rowOff>76200</xdr:rowOff>
    </xdr:from>
    <xdr:to>
      <xdr:col>5</xdr:col>
      <xdr:colOff>0</xdr:colOff>
      <xdr:row>20</xdr:row>
      <xdr:rowOff>0</xdr:rowOff>
    </xdr:to>
    <xdr:sp macro="[0]!mInvoer.NaCL" textlink="">
      <xdr:nvSpPr>
        <xdr:cNvPr id="8265" name="Rectangle 73"/>
        <xdr:cNvSpPr>
          <a:spLocks noChangeArrowheads="1"/>
        </xdr:cNvSpPr>
      </xdr:nvSpPr>
      <xdr:spPr bwMode="auto">
        <a:xfrm>
          <a:off x="2238375" y="400050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952500</xdr:colOff>
      <xdr:row>20</xdr:row>
      <xdr:rowOff>85725</xdr:rowOff>
    </xdr:from>
    <xdr:to>
      <xdr:col>5</xdr:col>
      <xdr:colOff>28575</xdr:colOff>
      <xdr:row>22</xdr:row>
      <xdr:rowOff>9525</xdr:rowOff>
    </xdr:to>
    <xdr:sp macro="[0]!mInvoer.KCl" textlink="">
      <xdr:nvSpPr>
        <xdr:cNvPr id="8266" name="Rectangle 74"/>
        <xdr:cNvSpPr>
          <a:spLocks noChangeArrowheads="1"/>
        </xdr:cNvSpPr>
      </xdr:nvSpPr>
      <xdr:spPr bwMode="auto">
        <a:xfrm>
          <a:off x="2266950" y="4257675"/>
          <a:ext cx="847725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76599</xdr:colOff>
          <xdr:row>1</xdr:row>
          <xdr:rowOff>143623</xdr:rowOff>
        </xdr:from>
        <xdr:to>
          <xdr:col>9</xdr:col>
          <xdr:colOff>210647</xdr:colOff>
          <xdr:row>3</xdr:row>
          <xdr:rowOff>28725</xdr:rowOff>
        </xdr:to>
        <xdr:sp macro="" textlink="">
          <xdr:nvSpPr>
            <xdr:cNvPr id="8268" name="Spinner 76" hidden="1">
              <a:extLst>
                <a:ext uri="{63B3BB69-23CF-44E3-9099-C40C66FF867C}">
                  <a14:compatExt spid="_x0000_s8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8</xdr:col>
      <xdr:colOff>19044</xdr:colOff>
      <xdr:row>1</xdr:row>
      <xdr:rowOff>27633</xdr:rowOff>
    </xdr:from>
    <xdr:to>
      <xdr:col>9</xdr:col>
      <xdr:colOff>383506</xdr:colOff>
      <xdr:row>1</xdr:row>
      <xdr:rowOff>146538</xdr:rowOff>
    </xdr:to>
    <xdr:sp macro="[0]!InGewicht" textlink="">
      <xdr:nvSpPr>
        <xdr:cNvPr id="8269" name="Rectangle 77"/>
        <xdr:cNvSpPr>
          <a:spLocks noChangeArrowheads="1"/>
        </xdr:cNvSpPr>
      </xdr:nvSpPr>
      <xdr:spPr bwMode="auto">
        <a:xfrm>
          <a:off x="7052890" y="341644"/>
          <a:ext cx="971550" cy="1189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29517</xdr:rowOff>
    </xdr:from>
    <xdr:to>
      <xdr:col>9</xdr:col>
      <xdr:colOff>0</xdr:colOff>
      <xdr:row>3</xdr:row>
      <xdr:rowOff>10466</xdr:rowOff>
    </xdr:to>
    <xdr:sp macro="[0]!InLengte" textlink="">
      <xdr:nvSpPr>
        <xdr:cNvPr id="8270" name="Rectangle 78"/>
        <xdr:cNvSpPr>
          <a:spLocks noChangeArrowheads="1"/>
        </xdr:cNvSpPr>
      </xdr:nvSpPr>
      <xdr:spPr bwMode="auto">
        <a:xfrm>
          <a:off x="7062421" y="500533"/>
          <a:ext cx="578513" cy="13795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8271" name="Rectangle 79"/>
        <xdr:cNvSpPr>
          <a:spLocks noChangeArrowheads="1"/>
        </xdr:cNvSpPr>
      </xdr:nvSpPr>
      <xdr:spPr bwMode="auto">
        <a:xfrm flipV="1">
          <a:off x="1314450" y="323850"/>
          <a:ext cx="17716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57150</xdr:colOff>
      <xdr:row>14</xdr:row>
      <xdr:rowOff>38100</xdr:rowOff>
    </xdr:from>
    <xdr:to>
      <xdr:col>9</xdr:col>
      <xdr:colOff>0</xdr:colOff>
      <xdr:row>14</xdr:row>
      <xdr:rowOff>228600</xdr:rowOff>
    </xdr:to>
    <xdr:sp macro="[0]!opmVoedPO" textlink="">
      <xdr:nvSpPr>
        <xdr:cNvPr id="8273" name="Rectangle 81"/>
        <xdr:cNvSpPr>
          <a:spLocks noChangeArrowheads="1"/>
        </xdr:cNvSpPr>
      </xdr:nvSpPr>
      <xdr:spPr bwMode="auto">
        <a:xfrm>
          <a:off x="419100" y="2552700"/>
          <a:ext cx="66198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57150</xdr:colOff>
      <xdr:row>31</xdr:row>
      <xdr:rowOff>57150</xdr:rowOff>
    </xdr:from>
    <xdr:to>
      <xdr:col>9</xdr:col>
      <xdr:colOff>0</xdr:colOff>
      <xdr:row>32</xdr:row>
      <xdr:rowOff>0</xdr:rowOff>
    </xdr:to>
    <xdr:sp macro="[0]!opmIntakeMedIV" textlink="">
      <xdr:nvSpPr>
        <xdr:cNvPr id="8274" name="Rectangle 82"/>
        <xdr:cNvSpPr>
          <a:spLocks noChangeArrowheads="1"/>
        </xdr:cNvSpPr>
      </xdr:nvSpPr>
      <xdr:spPr bwMode="auto">
        <a:xfrm>
          <a:off x="419100" y="6800850"/>
          <a:ext cx="66198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942975</xdr:colOff>
      <xdr:row>22</xdr:row>
      <xdr:rowOff>57150</xdr:rowOff>
    </xdr:from>
    <xdr:to>
      <xdr:col>5</xdr:col>
      <xdr:colOff>19050</xdr:colOff>
      <xdr:row>22</xdr:row>
      <xdr:rowOff>228600</xdr:rowOff>
    </xdr:to>
    <xdr:sp macro="[0]!mInvoer.CaGlucVol" textlink="">
      <xdr:nvSpPr>
        <xdr:cNvPr id="8275" name="Rectangle 83"/>
        <xdr:cNvSpPr>
          <a:spLocks noChangeArrowheads="1"/>
        </xdr:cNvSpPr>
      </xdr:nvSpPr>
      <xdr:spPr bwMode="auto">
        <a:xfrm>
          <a:off x="2257425" y="472440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952500</xdr:colOff>
      <xdr:row>23</xdr:row>
      <xdr:rowOff>57150</xdr:rowOff>
    </xdr:from>
    <xdr:to>
      <xdr:col>5</xdr:col>
      <xdr:colOff>28575</xdr:colOff>
      <xdr:row>23</xdr:row>
      <xdr:rowOff>228600</xdr:rowOff>
    </xdr:to>
    <xdr:sp macro="[0]!mInvoer.MgCl" textlink="">
      <xdr:nvSpPr>
        <xdr:cNvPr id="8276" name="Rectangle 84"/>
        <xdr:cNvSpPr>
          <a:spLocks noChangeArrowheads="1"/>
        </xdr:cNvSpPr>
      </xdr:nvSpPr>
      <xdr:spPr bwMode="auto">
        <a:xfrm>
          <a:off x="2266950" y="497205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6</xdr:row>
      <xdr:rowOff>38100</xdr:rowOff>
    </xdr:from>
    <xdr:to>
      <xdr:col>2</xdr:col>
      <xdr:colOff>571500</xdr:colOff>
      <xdr:row>8</xdr:row>
      <xdr:rowOff>38100</xdr:rowOff>
    </xdr:to>
    <xdr:sp macro="[0]!gaNaarVoeding" textlink="">
      <xdr:nvSpPr>
        <xdr:cNvPr id="8277" name="Rectangle 85"/>
        <xdr:cNvSpPr>
          <a:spLocks noChangeArrowheads="1"/>
        </xdr:cNvSpPr>
      </xdr:nvSpPr>
      <xdr:spPr bwMode="auto">
        <a:xfrm>
          <a:off x="381000" y="847725"/>
          <a:ext cx="552450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15</xdr:row>
      <xdr:rowOff>123825</xdr:rowOff>
    </xdr:from>
    <xdr:to>
      <xdr:col>2</xdr:col>
      <xdr:colOff>476250</xdr:colOff>
      <xdr:row>16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8</xdr:row>
      <xdr:rowOff>38100</xdr:rowOff>
    </xdr:from>
    <xdr:to>
      <xdr:col>2</xdr:col>
      <xdr:colOff>571500</xdr:colOff>
      <xdr:row>10</xdr:row>
      <xdr:rowOff>38100</xdr:rowOff>
    </xdr:to>
    <xdr:sp macro="[0]!gaNaarVoeding" textlink="">
      <xdr:nvSpPr>
        <xdr:cNvPr id="57" name="Rectangle 85"/>
        <xdr:cNvSpPr>
          <a:spLocks noChangeArrowheads="1"/>
        </xdr:cNvSpPr>
      </xdr:nvSpPr>
      <xdr:spPr bwMode="auto">
        <a:xfrm>
          <a:off x="385396" y="980133"/>
          <a:ext cx="552450" cy="47101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29</xdr:row>
          <xdr:rowOff>47874</xdr:rowOff>
        </xdr:from>
        <xdr:to>
          <xdr:col>2</xdr:col>
          <xdr:colOff>124473</xdr:colOff>
          <xdr:row>30</xdr:row>
          <xdr:rowOff>19150</xdr:rowOff>
        </xdr:to>
        <xdr:sp macro="" textlink="">
          <xdr:nvSpPr>
            <xdr:cNvPr id="2" name="Check Box 77" hidden="1">
              <a:extLst>
                <a:ext uri="{63B3BB69-23CF-44E3-9099-C40C66FF867C}">
                  <a14:compatExt spid="_x0000_s8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10</xdr:row>
          <xdr:rowOff>0</xdr:rowOff>
        </xdr:from>
        <xdr:to>
          <xdr:col>2</xdr:col>
          <xdr:colOff>627154</xdr:colOff>
          <xdr:row>10</xdr:row>
          <xdr:rowOff>229797</xdr:rowOff>
        </xdr:to>
        <xdr:sp macro="" textlink="">
          <xdr:nvSpPr>
            <xdr:cNvPr id="114689" name="Check Box 1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11</xdr:row>
          <xdr:rowOff>0</xdr:rowOff>
        </xdr:from>
        <xdr:to>
          <xdr:col>2</xdr:col>
          <xdr:colOff>627154</xdr:colOff>
          <xdr:row>11</xdr:row>
          <xdr:rowOff>220222</xdr:rowOff>
        </xdr:to>
        <xdr:sp macro="" textlink="">
          <xdr:nvSpPr>
            <xdr:cNvPr id="114690" name="Check Box 2" hidden="1">
              <a:extLst>
                <a:ext uri="{63B3BB69-23CF-44E3-9099-C40C66FF867C}">
                  <a14:compatExt spid="_x0000_s114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13</xdr:row>
          <xdr:rowOff>0</xdr:rowOff>
        </xdr:from>
        <xdr:to>
          <xdr:col>2</xdr:col>
          <xdr:colOff>627154</xdr:colOff>
          <xdr:row>13</xdr:row>
          <xdr:rowOff>220222</xdr:rowOff>
        </xdr:to>
        <xdr:sp macro="" textlink="">
          <xdr:nvSpPr>
            <xdr:cNvPr id="114691" name="Check Box 3" hidden="1">
              <a:extLst>
                <a:ext uri="{63B3BB69-23CF-44E3-9099-C40C66FF867C}">
                  <a14:compatExt spid="_x0000_s1146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14</xdr:row>
          <xdr:rowOff>0</xdr:rowOff>
        </xdr:from>
        <xdr:to>
          <xdr:col>2</xdr:col>
          <xdr:colOff>627154</xdr:colOff>
          <xdr:row>14</xdr:row>
          <xdr:rowOff>220222</xdr:rowOff>
        </xdr:to>
        <xdr:sp macro="" textlink="">
          <xdr:nvSpPr>
            <xdr:cNvPr id="114692" name="Check Box 4" hidden="1">
              <a:extLst>
                <a:ext uri="{63B3BB69-23CF-44E3-9099-C40C66FF867C}">
                  <a14:compatExt spid="_x0000_s1146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19</xdr:row>
          <xdr:rowOff>0</xdr:rowOff>
        </xdr:from>
        <xdr:to>
          <xdr:col>2</xdr:col>
          <xdr:colOff>617579</xdr:colOff>
          <xdr:row>19</xdr:row>
          <xdr:rowOff>220222</xdr:rowOff>
        </xdr:to>
        <xdr:sp macro="" textlink="">
          <xdr:nvSpPr>
            <xdr:cNvPr id="114693" name="Check Box 5" hidden="1">
              <a:extLst>
                <a:ext uri="{63B3BB69-23CF-44E3-9099-C40C66FF867C}">
                  <a14:compatExt spid="_x0000_s114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18</xdr:row>
          <xdr:rowOff>0</xdr:rowOff>
        </xdr:from>
        <xdr:to>
          <xdr:col>2</xdr:col>
          <xdr:colOff>627154</xdr:colOff>
          <xdr:row>18</xdr:row>
          <xdr:rowOff>220222</xdr:rowOff>
        </xdr:to>
        <xdr:sp macro="" textlink="">
          <xdr:nvSpPr>
            <xdr:cNvPr id="114694" name="Check Box 6" hidden="1">
              <a:extLst>
                <a:ext uri="{63B3BB69-23CF-44E3-9099-C40C66FF867C}">
                  <a14:compatExt spid="_x0000_s1146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36</xdr:row>
          <xdr:rowOff>0</xdr:rowOff>
        </xdr:from>
        <xdr:to>
          <xdr:col>2</xdr:col>
          <xdr:colOff>627154</xdr:colOff>
          <xdr:row>36</xdr:row>
          <xdr:rowOff>229797</xdr:rowOff>
        </xdr:to>
        <xdr:sp macro="" textlink="">
          <xdr:nvSpPr>
            <xdr:cNvPr id="114695" name="Check Box 7" hidden="1">
              <a:extLst>
                <a:ext uri="{63B3BB69-23CF-44E3-9099-C40C66FF867C}">
                  <a14:compatExt spid="_x0000_s114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21</xdr:row>
          <xdr:rowOff>0</xdr:rowOff>
        </xdr:from>
        <xdr:to>
          <xdr:col>2</xdr:col>
          <xdr:colOff>627154</xdr:colOff>
          <xdr:row>21</xdr:row>
          <xdr:rowOff>220222</xdr:rowOff>
        </xdr:to>
        <xdr:sp macro="" textlink="">
          <xdr:nvSpPr>
            <xdr:cNvPr id="114696" name="Check Box 8" hidden="1">
              <a:extLst>
                <a:ext uri="{63B3BB69-23CF-44E3-9099-C40C66FF867C}">
                  <a14:compatExt spid="_x0000_s1146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24</xdr:row>
          <xdr:rowOff>0</xdr:rowOff>
        </xdr:from>
        <xdr:to>
          <xdr:col>2</xdr:col>
          <xdr:colOff>627154</xdr:colOff>
          <xdr:row>24</xdr:row>
          <xdr:rowOff>229797</xdr:rowOff>
        </xdr:to>
        <xdr:sp macro="" textlink="">
          <xdr:nvSpPr>
            <xdr:cNvPr id="114697" name="Check Box 9" hidden="1">
              <a:extLst>
                <a:ext uri="{63B3BB69-23CF-44E3-9099-C40C66FF867C}">
                  <a14:compatExt spid="_x0000_s114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25</xdr:row>
          <xdr:rowOff>0</xdr:rowOff>
        </xdr:from>
        <xdr:to>
          <xdr:col>2</xdr:col>
          <xdr:colOff>627154</xdr:colOff>
          <xdr:row>25</xdr:row>
          <xdr:rowOff>229797</xdr:rowOff>
        </xdr:to>
        <xdr:sp macro="" textlink="">
          <xdr:nvSpPr>
            <xdr:cNvPr id="114698" name="Check Box 10" hidden="1">
              <a:extLst>
                <a:ext uri="{63B3BB69-23CF-44E3-9099-C40C66FF867C}">
                  <a14:compatExt spid="_x0000_s114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26</xdr:row>
          <xdr:rowOff>0</xdr:rowOff>
        </xdr:from>
        <xdr:to>
          <xdr:col>2</xdr:col>
          <xdr:colOff>627154</xdr:colOff>
          <xdr:row>26</xdr:row>
          <xdr:rowOff>229797</xdr:rowOff>
        </xdr:to>
        <xdr:sp macro="" textlink="">
          <xdr:nvSpPr>
            <xdr:cNvPr id="114699" name="Check Box 11" hidden="1">
              <a:extLst>
                <a:ext uri="{63B3BB69-23CF-44E3-9099-C40C66FF867C}">
                  <a14:compatExt spid="_x0000_s114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17</xdr:row>
          <xdr:rowOff>0</xdr:rowOff>
        </xdr:from>
        <xdr:to>
          <xdr:col>2</xdr:col>
          <xdr:colOff>617579</xdr:colOff>
          <xdr:row>17</xdr:row>
          <xdr:rowOff>220222</xdr:rowOff>
        </xdr:to>
        <xdr:sp macro="" textlink="">
          <xdr:nvSpPr>
            <xdr:cNvPr id="114700" name="Check Box 12" hidden="1">
              <a:extLst>
                <a:ext uri="{63B3BB69-23CF-44E3-9099-C40C66FF867C}">
                  <a14:compatExt spid="_x0000_s114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34</xdr:row>
          <xdr:rowOff>19150</xdr:rowOff>
        </xdr:from>
        <xdr:to>
          <xdr:col>2</xdr:col>
          <xdr:colOff>627154</xdr:colOff>
          <xdr:row>34</xdr:row>
          <xdr:rowOff>239372</xdr:rowOff>
        </xdr:to>
        <xdr:sp macro="" textlink="">
          <xdr:nvSpPr>
            <xdr:cNvPr id="114701" name="Check Box 13" hidden="1">
              <a:extLst>
                <a:ext uri="{63B3BB69-23CF-44E3-9099-C40C66FF867C}">
                  <a14:compatExt spid="_x0000_s114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10</xdr:row>
          <xdr:rowOff>0</xdr:rowOff>
        </xdr:from>
        <xdr:to>
          <xdr:col>6</xdr:col>
          <xdr:colOff>627154</xdr:colOff>
          <xdr:row>10</xdr:row>
          <xdr:rowOff>229797</xdr:rowOff>
        </xdr:to>
        <xdr:sp macro="" textlink="">
          <xdr:nvSpPr>
            <xdr:cNvPr id="114702" name="Check Box 14" hidden="1">
              <a:extLst>
                <a:ext uri="{63B3BB69-23CF-44E3-9099-C40C66FF867C}">
                  <a14:compatExt spid="_x0000_s114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11</xdr:row>
          <xdr:rowOff>0</xdr:rowOff>
        </xdr:from>
        <xdr:to>
          <xdr:col>6</xdr:col>
          <xdr:colOff>627154</xdr:colOff>
          <xdr:row>11</xdr:row>
          <xdr:rowOff>220222</xdr:rowOff>
        </xdr:to>
        <xdr:sp macro="" textlink="">
          <xdr:nvSpPr>
            <xdr:cNvPr id="114703" name="Check Box 15" hidden="1">
              <a:extLst>
                <a:ext uri="{63B3BB69-23CF-44E3-9099-C40C66FF867C}">
                  <a14:compatExt spid="_x0000_s114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13</xdr:row>
          <xdr:rowOff>0</xdr:rowOff>
        </xdr:from>
        <xdr:to>
          <xdr:col>6</xdr:col>
          <xdr:colOff>627154</xdr:colOff>
          <xdr:row>13</xdr:row>
          <xdr:rowOff>220222</xdr:rowOff>
        </xdr:to>
        <xdr:sp macro="" textlink="">
          <xdr:nvSpPr>
            <xdr:cNvPr id="114704" name="Check Box 16" hidden="1">
              <a:extLst>
                <a:ext uri="{63B3BB69-23CF-44E3-9099-C40C66FF867C}">
                  <a14:compatExt spid="_x0000_s114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14</xdr:row>
          <xdr:rowOff>0</xdr:rowOff>
        </xdr:from>
        <xdr:to>
          <xdr:col>6</xdr:col>
          <xdr:colOff>627154</xdr:colOff>
          <xdr:row>14</xdr:row>
          <xdr:rowOff>220222</xdr:rowOff>
        </xdr:to>
        <xdr:sp macro="" textlink="">
          <xdr:nvSpPr>
            <xdr:cNvPr id="114705" name="Check Box 17" hidden="1">
              <a:extLst>
                <a:ext uri="{63B3BB69-23CF-44E3-9099-C40C66FF867C}">
                  <a14:compatExt spid="_x0000_s114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19</xdr:row>
          <xdr:rowOff>0</xdr:rowOff>
        </xdr:from>
        <xdr:to>
          <xdr:col>6</xdr:col>
          <xdr:colOff>617579</xdr:colOff>
          <xdr:row>19</xdr:row>
          <xdr:rowOff>220222</xdr:rowOff>
        </xdr:to>
        <xdr:sp macro="" textlink="">
          <xdr:nvSpPr>
            <xdr:cNvPr id="114706" name="Check Box 18" hidden="1">
              <a:extLst>
                <a:ext uri="{63B3BB69-23CF-44E3-9099-C40C66FF867C}">
                  <a14:compatExt spid="_x0000_s114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18</xdr:row>
          <xdr:rowOff>0</xdr:rowOff>
        </xdr:from>
        <xdr:to>
          <xdr:col>6</xdr:col>
          <xdr:colOff>627154</xdr:colOff>
          <xdr:row>18</xdr:row>
          <xdr:rowOff>220222</xdr:rowOff>
        </xdr:to>
        <xdr:sp macro="" textlink="">
          <xdr:nvSpPr>
            <xdr:cNvPr id="114707" name="Check Box 19" hidden="1">
              <a:extLst>
                <a:ext uri="{63B3BB69-23CF-44E3-9099-C40C66FF867C}">
                  <a14:compatExt spid="_x0000_s114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36</xdr:row>
          <xdr:rowOff>0</xdr:rowOff>
        </xdr:from>
        <xdr:to>
          <xdr:col>6</xdr:col>
          <xdr:colOff>627154</xdr:colOff>
          <xdr:row>36</xdr:row>
          <xdr:rowOff>229797</xdr:rowOff>
        </xdr:to>
        <xdr:sp macro="" textlink="">
          <xdr:nvSpPr>
            <xdr:cNvPr id="114708" name="Check Box 20" hidden="1">
              <a:extLst>
                <a:ext uri="{63B3BB69-23CF-44E3-9099-C40C66FF867C}">
                  <a14:compatExt spid="_x0000_s1147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21</xdr:row>
          <xdr:rowOff>0</xdr:rowOff>
        </xdr:from>
        <xdr:to>
          <xdr:col>6</xdr:col>
          <xdr:colOff>627154</xdr:colOff>
          <xdr:row>21</xdr:row>
          <xdr:rowOff>220222</xdr:rowOff>
        </xdr:to>
        <xdr:sp macro="" textlink="">
          <xdr:nvSpPr>
            <xdr:cNvPr id="114709" name="Check Box 21" hidden="1">
              <a:extLst>
                <a:ext uri="{63B3BB69-23CF-44E3-9099-C40C66FF867C}">
                  <a14:compatExt spid="_x0000_s114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24</xdr:row>
          <xdr:rowOff>0</xdr:rowOff>
        </xdr:from>
        <xdr:to>
          <xdr:col>6</xdr:col>
          <xdr:colOff>627154</xdr:colOff>
          <xdr:row>24</xdr:row>
          <xdr:rowOff>229797</xdr:rowOff>
        </xdr:to>
        <xdr:sp macro="" textlink="">
          <xdr:nvSpPr>
            <xdr:cNvPr id="114710" name="Check Box 22" hidden="1">
              <a:extLst>
                <a:ext uri="{63B3BB69-23CF-44E3-9099-C40C66FF867C}">
                  <a14:compatExt spid="_x0000_s114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25</xdr:row>
          <xdr:rowOff>0</xdr:rowOff>
        </xdr:from>
        <xdr:to>
          <xdr:col>6</xdr:col>
          <xdr:colOff>627154</xdr:colOff>
          <xdr:row>25</xdr:row>
          <xdr:rowOff>229797</xdr:rowOff>
        </xdr:to>
        <xdr:sp macro="" textlink="">
          <xdr:nvSpPr>
            <xdr:cNvPr id="114711" name="Check Box 23" hidden="1">
              <a:extLst>
                <a:ext uri="{63B3BB69-23CF-44E3-9099-C40C66FF867C}">
                  <a14:compatExt spid="_x0000_s114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26</xdr:row>
          <xdr:rowOff>0</xdr:rowOff>
        </xdr:from>
        <xdr:to>
          <xdr:col>6</xdr:col>
          <xdr:colOff>627154</xdr:colOff>
          <xdr:row>26</xdr:row>
          <xdr:rowOff>229797</xdr:rowOff>
        </xdr:to>
        <xdr:sp macro="" textlink="">
          <xdr:nvSpPr>
            <xdr:cNvPr id="114712" name="Check Box 24" hidden="1">
              <a:extLst>
                <a:ext uri="{63B3BB69-23CF-44E3-9099-C40C66FF867C}">
                  <a14:compatExt spid="_x0000_s114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17</xdr:row>
          <xdr:rowOff>0</xdr:rowOff>
        </xdr:from>
        <xdr:to>
          <xdr:col>6</xdr:col>
          <xdr:colOff>617579</xdr:colOff>
          <xdr:row>17</xdr:row>
          <xdr:rowOff>220222</xdr:rowOff>
        </xdr:to>
        <xdr:sp macro="" textlink="">
          <xdr:nvSpPr>
            <xdr:cNvPr id="114713" name="Check Box 25" hidden="1">
              <a:extLst>
                <a:ext uri="{63B3BB69-23CF-44E3-9099-C40C66FF867C}">
                  <a14:compatExt spid="_x0000_s114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34</xdr:row>
          <xdr:rowOff>19150</xdr:rowOff>
        </xdr:from>
        <xdr:to>
          <xdr:col>6</xdr:col>
          <xdr:colOff>627154</xdr:colOff>
          <xdr:row>34</xdr:row>
          <xdr:rowOff>239372</xdr:rowOff>
        </xdr:to>
        <xdr:sp macro="" textlink="">
          <xdr:nvSpPr>
            <xdr:cNvPr id="114714" name="Check Box 26" hidden="1">
              <a:extLst>
                <a:ext uri="{63B3BB69-23CF-44E3-9099-C40C66FF867C}">
                  <a14:compatExt spid="_x0000_s114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10</xdr:row>
          <xdr:rowOff>0</xdr:rowOff>
        </xdr:from>
        <xdr:to>
          <xdr:col>8</xdr:col>
          <xdr:colOff>627154</xdr:colOff>
          <xdr:row>10</xdr:row>
          <xdr:rowOff>229797</xdr:rowOff>
        </xdr:to>
        <xdr:sp macro="" textlink="">
          <xdr:nvSpPr>
            <xdr:cNvPr id="114715" name="Check Box 27" hidden="1">
              <a:extLst>
                <a:ext uri="{63B3BB69-23CF-44E3-9099-C40C66FF867C}">
                  <a14:compatExt spid="_x0000_s114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11</xdr:row>
          <xdr:rowOff>0</xdr:rowOff>
        </xdr:from>
        <xdr:to>
          <xdr:col>8</xdr:col>
          <xdr:colOff>627154</xdr:colOff>
          <xdr:row>11</xdr:row>
          <xdr:rowOff>220222</xdr:rowOff>
        </xdr:to>
        <xdr:sp macro="" textlink="">
          <xdr:nvSpPr>
            <xdr:cNvPr id="114716" name="Check Box 28" hidden="1">
              <a:extLst>
                <a:ext uri="{63B3BB69-23CF-44E3-9099-C40C66FF867C}">
                  <a14:compatExt spid="_x0000_s114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13</xdr:row>
          <xdr:rowOff>0</xdr:rowOff>
        </xdr:from>
        <xdr:to>
          <xdr:col>8</xdr:col>
          <xdr:colOff>627154</xdr:colOff>
          <xdr:row>13</xdr:row>
          <xdr:rowOff>220222</xdr:rowOff>
        </xdr:to>
        <xdr:sp macro="" textlink="">
          <xdr:nvSpPr>
            <xdr:cNvPr id="114717" name="Check Box 29" hidden="1">
              <a:extLst>
                <a:ext uri="{63B3BB69-23CF-44E3-9099-C40C66FF867C}">
                  <a14:compatExt spid="_x0000_s114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14</xdr:row>
          <xdr:rowOff>0</xdr:rowOff>
        </xdr:from>
        <xdr:to>
          <xdr:col>8</xdr:col>
          <xdr:colOff>627154</xdr:colOff>
          <xdr:row>14</xdr:row>
          <xdr:rowOff>220222</xdr:rowOff>
        </xdr:to>
        <xdr:sp macro="" textlink="">
          <xdr:nvSpPr>
            <xdr:cNvPr id="114718" name="Check Box 30" hidden="1">
              <a:extLst>
                <a:ext uri="{63B3BB69-23CF-44E3-9099-C40C66FF867C}">
                  <a14:compatExt spid="_x0000_s114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19</xdr:row>
          <xdr:rowOff>0</xdr:rowOff>
        </xdr:from>
        <xdr:to>
          <xdr:col>8</xdr:col>
          <xdr:colOff>617579</xdr:colOff>
          <xdr:row>19</xdr:row>
          <xdr:rowOff>220222</xdr:rowOff>
        </xdr:to>
        <xdr:sp macro="" textlink="">
          <xdr:nvSpPr>
            <xdr:cNvPr id="114719" name="Check Box 31" hidden="1">
              <a:extLst>
                <a:ext uri="{63B3BB69-23CF-44E3-9099-C40C66FF867C}">
                  <a14:compatExt spid="_x0000_s114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18</xdr:row>
          <xdr:rowOff>0</xdr:rowOff>
        </xdr:from>
        <xdr:to>
          <xdr:col>8</xdr:col>
          <xdr:colOff>627154</xdr:colOff>
          <xdr:row>18</xdr:row>
          <xdr:rowOff>220222</xdr:rowOff>
        </xdr:to>
        <xdr:sp macro="" textlink="">
          <xdr:nvSpPr>
            <xdr:cNvPr id="114720" name="Check Box 32" hidden="1">
              <a:extLst>
                <a:ext uri="{63B3BB69-23CF-44E3-9099-C40C66FF867C}">
                  <a14:compatExt spid="_x0000_s114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36</xdr:row>
          <xdr:rowOff>0</xdr:rowOff>
        </xdr:from>
        <xdr:to>
          <xdr:col>8</xdr:col>
          <xdr:colOff>627154</xdr:colOff>
          <xdr:row>36</xdr:row>
          <xdr:rowOff>229797</xdr:rowOff>
        </xdr:to>
        <xdr:sp macro="" textlink="">
          <xdr:nvSpPr>
            <xdr:cNvPr id="114721" name="Check Box 33" hidden="1">
              <a:extLst>
                <a:ext uri="{63B3BB69-23CF-44E3-9099-C40C66FF867C}">
                  <a14:compatExt spid="_x0000_s114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21</xdr:row>
          <xdr:rowOff>0</xdr:rowOff>
        </xdr:from>
        <xdr:to>
          <xdr:col>8</xdr:col>
          <xdr:colOff>627154</xdr:colOff>
          <xdr:row>21</xdr:row>
          <xdr:rowOff>220222</xdr:rowOff>
        </xdr:to>
        <xdr:sp macro="" textlink="">
          <xdr:nvSpPr>
            <xdr:cNvPr id="114722" name="Check Box 34" hidden="1">
              <a:extLst>
                <a:ext uri="{63B3BB69-23CF-44E3-9099-C40C66FF867C}">
                  <a14:compatExt spid="_x0000_s1147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24</xdr:row>
          <xdr:rowOff>0</xdr:rowOff>
        </xdr:from>
        <xdr:to>
          <xdr:col>8</xdr:col>
          <xdr:colOff>627154</xdr:colOff>
          <xdr:row>24</xdr:row>
          <xdr:rowOff>229797</xdr:rowOff>
        </xdr:to>
        <xdr:sp macro="" textlink="">
          <xdr:nvSpPr>
            <xdr:cNvPr id="114723" name="Check Box 35" hidden="1">
              <a:extLst>
                <a:ext uri="{63B3BB69-23CF-44E3-9099-C40C66FF867C}">
                  <a14:compatExt spid="_x0000_s114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25</xdr:row>
          <xdr:rowOff>0</xdr:rowOff>
        </xdr:from>
        <xdr:to>
          <xdr:col>8</xdr:col>
          <xdr:colOff>627154</xdr:colOff>
          <xdr:row>25</xdr:row>
          <xdr:rowOff>229797</xdr:rowOff>
        </xdr:to>
        <xdr:sp macro="" textlink="">
          <xdr:nvSpPr>
            <xdr:cNvPr id="114724" name="Check Box 36" hidden="1">
              <a:extLst>
                <a:ext uri="{63B3BB69-23CF-44E3-9099-C40C66FF867C}">
                  <a14:compatExt spid="_x0000_s114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26</xdr:row>
          <xdr:rowOff>0</xdr:rowOff>
        </xdr:from>
        <xdr:to>
          <xdr:col>8</xdr:col>
          <xdr:colOff>627154</xdr:colOff>
          <xdr:row>26</xdr:row>
          <xdr:rowOff>229797</xdr:rowOff>
        </xdr:to>
        <xdr:sp macro="" textlink="">
          <xdr:nvSpPr>
            <xdr:cNvPr id="114725" name="Check Box 37" hidden="1">
              <a:extLst>
                <a:ext uri="{63B3BB69-23CF-44E3-9099-C40C66FF867C}">
                  <a14:compatExt spid="_x0000_s114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17</xdr:row>
          <xdr:rowOff>0</xdr:rowOff>
        </xdr:from>
        <xdr:to>
          <xdr:col>8</xdr:col>
          <xdr:colOff>617579</xdr:colOff>
          <xdr:row>17</xdr:row>
          <xdr:rowOff>220222</xdr:rowOff>
        </xdr:to>
        <xdr:sp macro="" textlink="">
          <xdr:nvSpPr>
            <xdr:cNvPr id="114726" name="Check Box 38" hidden="1">
              <a:extLst>
                <a:ext uri="{63B3BB69-23CF-44E3-9099-C40C66FF867C}">
                  <a14:compatExt spid="_x0000_s1147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34</xdr:row>
          <xdr:rowOff>19150</xdr:rowOff>
        </xdr:from>
        <xdr:to>
          <xdr:col>8</xdr:col>
          <xdr:colOff>627154</xdr:colOff>
          <xdr:row>34</xdr:row>
          <xdr:rowOff>239372</xdr:rowOff>
        </xdr:to>
        <xdr:sp macro="" textlink="">
          <xdr:nvSpPr>
            <xdr:cNvPr id="114727" name="Check Box 39" hidden="1">
              <a:extLst>
                <a:ext uri="{63B3BB69-23CF-44E3-9099-C40C66FF867C}">
                  <a14:compatExt spid="_x0000_s114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10</xdr:row>
          <xdr:rowOff>0</xdr:rowOff>
        </xdr:from>
        <xdr:to>
          <xdr:col>12</xdr:col>
          <xdr:colOff>627154</xdr:colOff>
          <xdr:row>10</xdr:row>
          <xdr:rowOff>229797</xdr:rowOff>
        </xdr:to>
        <xdr:sp macro="" textlink="">
          <xdr:nvSpPr>
            <xdr:cNvPr id="114728" name="Check Box 40" hidden="1">
              <a:extLst>
                <a:ext uri="{63B3BB69-23CF-44E3-9099-C40C66FF867C}">
                  <a14:compatExt spid="_x0000_s114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11</xdr:row>
          <xdr:rowOff>0</xdr:rowOff>
        </xdr:from>
        <xdr:to>
          <xdr:col>12</xdr:col>
          <xdr:colOff>627154</xdr:colOff>
          <xdr:row>11</xdr:row>
          <xdr:rowOff>220222</xdr:rowOff>
        </xdr:to>
        <xdr:sp macro="" textlink="">
          <xdr:nvSpPr>
            <xdr:cNvPr id="114729" name="Check Box 41" hidden="1">
              <a:extLst>
                <a:ext uri="{63B3BB69-23CF-44E3-9099-C40C66FF867C}">
                  <a14:compatExt spid="_x0000_s114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13</xdr:row>
          <xdr:rowOff>0</xdr:rowOff>
        </xdr:from>
        <xdr:to>
          <xdr:col>12</xdr:col>
          <xdr:colOff>627154</xdr:colOff>
          <xdr:row>13</xdr:row>
          <xdr:rowOff>220222</xdr:rowOff>
        </xdr:to>
        <xdr:sp macro="" textlink="">
          <xdr:nvSpPr>
            <xdr:cNvPr id="114730" name="Check Box 42" hidden="1">
              <a:extLst>
                <a:ext uri="{63B3BB69-23CF-44E3-9099-C40C66FF867C}">
                  <a14:compatExt spid="_x0000_s114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14</xdr:row>
          <xdr:rowOff>0</xdr:rowOff>
        </xdr:from>
        <xdr:to>
          <xdr:col>12</xdr:col>
          <xdr:colOff>627154</xdr:colOff>
          <xdr:row>14</xdr:row>
          <xdr:rowOff>220222</xdr:rowOff>
        </xdr:to>
        <xdr:sp macro="" textlink="">
          <xdr:nvSpPr>
            <xdr:cNvPr id="114731" name="Check Box 43" hidden="1">
              <a:extLst>
                <a:ext uri="{63B3BB69-23CF-44E3-9099-C40C66FF867C}">
                  <a14:compatExt spid="_x0000_s114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19</xdr:row>
          <xdr:rowOff>0</xdr:rowOff>
        </xdr:from>
        <xdr:to>
          <xdr:col>12</xdr:col>
          <xdr:colOff>617579</xdr:colOff>
          <xdr:row>19</xdr:row>
          <xdr:rowOff>220222</xdr:rowOff>
        </xdr:to>
        <xdr:sp macro="" textlink="">
          <xdr:nvSpPr>
            <xdr:cNvPr id="114732" name="Check Box 44" hidden="1">
              <a:extLst>
                <a:ext uri="{63B3BB69-23CF-44E3-9099-C40C66FF867C}">
                  <a14:compatExt spid="_x0000_s114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18</xdr:row>
          <xdr:rowOff>0</xdr:rowOff>
        </xdr:from>
        <xdr:to>
          <xdr:col>12</xdr:col>
          <xdr:colOff>627154</xdr:colOff>
          <xdr:row>18</xdr:row>
          <xdr:rowOff>220222</xdr:rowOff>
        </xdr:to>
        <xdr:sp macro="" textlink="">
          <xdr:nvSpPr>
            <xdr:cNvPr id="114733" name="Check Box 45" hidden="1">
              <a:extLst>
                <a:ext uri="{63B3BB69-23CF-44E3-9099-C40C66FF867C}">
                  <a14:compatExt spid="_x0000_s1147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36</xdr:row>
          <xdr:rowOff>0</xdr:rowOff>
        </xdr:from>
        <xdr:to>
          <xdr:col>12</xdr:col>
          <xdr:colOff>627154</xdr:colOff>
          <xdr:row>36</xdr:row>
          <xdr:rowOff>229797</xdr:rowOff>
        </xdr:to>
        <xdr:sp macro="" textlink="">
          <xdr:nvSpPr>
            <xdr:cNvPr id="114734" name="Check Box 46" hidden="1">
              <a:extLst>
                <a:ext uri="{63B3BB69-23CF-44E3-9099-C40C66FF867C}">
                  <a14:compatExt spid="_x0000_s114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21</xdr:row>
          <xdr:rowOff>0</xdr:rowOff>
        </xdr:from>
        <xdr:to>
          <xdr:col>12</xdr:col>
          <xdr:colOff>627154</xdr:colOff>
          <xdr:row>21</xdr:row>
          <xdr:rowOff>220222</xdr:rowOff>
        </xdr:to>
        <xdr:sp macro="" textlink="">
          <xdr:nvSpPr>
            <xdr:cNvPr id="114735" name="Check Box 47" hidden="1">
              <a:extLst>
                <a:ext uri="{63B3BB69-23CF-44E3-9099-C40C66FF867C}">
                  <a14:compatExt spid="_x0000_s114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24</xdr:row>
          <xdr:rowOff>0</xdr:rowOff>
        </xdr:from>
        <xdr:to>
          <xdr:col>12</xdr:col>
          <xdr:colOff>627154</xdr:colOff>
          <xdr:row>24</xdr:row>
          <xdr:rowOff>229797</xdr:rowOff>
        </xdr:to>
        <xdr:sp macro="" textlink="">
          <xdr:nvSpPr>
            <xdr:cNvPr id="114736" name="Check Box 48" hidden="1">
              <a:extLst>
                <a:ext uri="{63B3BB69-23CF-44E3-9099-C40C66FF867C}">
                  <a14:compatExt spid="_x0000_s1147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25</xdr:row>
          <xdr:rowOff>0</xdr:rowOff>
        </xdr:from>
        <xdr:to>
          <xdr:col>12</xdr:col>
          <xdr:colOff>627154</xdr:colOff>
          <xdr:row>25</xdr:row>
          <xdr:rowOff>229797</xdr:rowOff>
        </xdr:to>
        <xdr:sp macro="" textlink="">
          <xdr:nvSpPr>
            <xdr:cNvPr id="114737" name="Check Box 49" hidden="1">
              <a:extLst>
                <a:ext uri="{63B3BB69-23CF-44E3-9099-C40C66FF867C}">
                  <a14:compatExt spid="_x0000_s114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26</xdr:row>
          <xdr:rowOff>0</xdr:rowOff>
        </xdr:from>
        <xdr:to>
          <xdr:col>12</xdr:col>
          <xdr:colOff>627154</xdr:colOff>
          <xdr:row>26</xdr:row>
          <xdr:rowOff>229797</xdr:rowOff>
        </xdr:to>
        <xdr:sp macro="" textlink="">
          <xdr:nvSpPr>
            <xdr:cNvPr id="114738" name="Check Box 50" hidden="1">
              <a:extLst>
                <a:ext uri="{63B3BB69-23CF-44E3-9099-C40C66FF867C}">
                  <a14:compatExt spid="_x0000_s114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17</xdr:row>
          <xdr:rowOff>0</xdr:rowOff>
        </xdr:from>
        <xdr:to>
          <xdr:col>12</xdr:col>
          <xdr:colOff>617579</xdr:colOff>
          <xdr:row>17</xdr:row>
          <xdr:rowOff>220222</xdr:rowOff>
        </xdr:to>
        <xdr:sp macro="" textlink="">
          <xdr:nvSpPr>
            <xdr:cNvPr id="114739" name="Check Box 51" hidden="1">
              <a:extLst>
                <a:ext uri="{63B3BB69-23CF-44E3-9099-C40C66FF867C}">
                  <a14:compatExt spid="_x0000_s114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34</xdr:row>
          <xdr:rowOff>19150</xdr:rowOff>
        </xdr:from>
        <xdr:to>
          <xdr:col>12</xdr:col>
          <xdr:colOff>627154</xdr:colOff>
          <xdr:row>34</xdr:row>
          <xdr:rowOff>239372</xdr:rowOff>
        </xdr:to>
        <xdr:sp macro="" textlink="">
          <xdr:nvSpPr>
            <xdr:cNvPr id="114740" name="Check Box 52" hidden="1">
              <a:extLst>
                <a:ext uri="{63B3BB69-23CF-44E3-9099-C40C66FF867C}">
                  <a14:compatExt spid="_x0000_s1147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33</xdr:row>
          <xdr:rowOff>19150</xdr:rowOff>
        </xdr:from>
        <xdr:to>
          <xdr:col>2</xdr:col>
          <xdr:colOff>627154</xdr:colOff>
          <xdr:row>33</xdr:row>
          <xdr:rowOff>239372</xdr:rowOff>
        </xdr:to>
        <xdr:sp macro="" textlink="">
          <xdr:nvSpPr>
            <xdr:cNvPr id="114741" name="Check Box 53" hidden="1">
              <a:extLst>
                <a:ext uri="{63B3BB69-23CF-44E3-9099-C40C66FF867C}">
                  <a14:compatExt spid="_x0000_s114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33</xdr:row>
          <xdr:rowOff>19150</xdr:rowOff>
        </xdr:from>
        <xdr:to>
          <xdr:col>6</xdr:col>
          <xdr:colOff>627154</xdr:colOff>
          <xdr:row>33</xdr:row>
          <xdr:rowOff>239372</xdr:rowOff>
        </xdr:to>
        <xdr:sp macro="" textlink="">
          <xdr:nvSpPr>
            <xdr:cNvPr id="114742" name="Check Box 54" hidden="1">
              <a:extLst>
                <a:ext uri="{63B3BB69-23CF-44E3-9099-C40C66FF867C}">
                  <a14:compatExt spid="_x0000_s114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33</xdr:row>
          <xdr:rowOff>19150</xdr:rowOff>
        </xdr:from>
        <xdr:to>
          <xdr:col>8</xdr:col>
          <xdr:colOff>627154</xdr:colOff>
          <xdr:row>33</xdr:row>
          <xdr:rowOff>239372</xdr:rowOff>
        </xdr:to>
        <xdr:sp macro="" textlink="">
          <xdr:nvSpPr>
            <xdr:cNvPr id="114743" name="Check Box 55" hidden="1">
              <a:extLst>
                <a:ext uri="{63B3BB69-23CF-44E3-9099-C40C66FF867C}">
                  <a14:compatExt spid="_x0000_s114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33</xdr:row>
          <xdr:rowOff>19150</xdr:rowOff>
        </xdr:from>
        <xdr:to>
          <xdr:col>12</xdr:col>
          <xdr:colOff>627154</xdr:colOff>
          <xdr:row>33</xdr:row>
          <xdr:rowOff>239372</xdr:rowOff>
        </xdr:to>
        <xdr:sp macro="" textlink="">
          <xdr:nvSpPr>
            <xdr:cNvPr id="114744" name="Check Box 56" hidden="1">
              <a:extLst>
                <a:ext uri="{63B3BB69-23CF-44E3-9099-C40C66FF867C}">
                  <a14:compatExt spid="_x0000_s114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12</xdr:row>
          <xdr:rowOff>0</xdr:rowOff>
        </xdr:from>
        <xdr:to>
          <xdr:col>2</xdr:col>
          <xdr:colOff>627154</xdr:colOff>
          <xdr:row>12</xdr:row>
          <xdr:rowOff>220222</xdr:rowOff>
        </xdr:to>
        <xdr:sp macro="" textlink="">
          <xdr:nvSpPr>
            <xdr:cNvPr id="114745" name="Check Box 57" hidden="1">
              <a:extLst>
                <a:ext uri="{63B3BB69-23CF-44E3-9099-C40C66FF867C}">
                  <a14:compatExt spid="_x0000_s114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12</xdr:row>
          <xdr:rowOff>0</xdr:rowOff>
        </xdr:from>
        <xdr:to>
          <xdr:col>6</xdr:col>
          <xdr:colOff>627154</xdr:colOff>
          <xdr:row>12</xdr:row>
          <xdr:rowOff>220222</xdr:rowOff>
        </xdr:to>
        <xdr:sp macro="" textlink="">
          <xdr:nvSpPr>
            <xdr:cNvPr id="114746" name="Check Box 58" hidden="1">
              <a:extLst>
                <a:ext uri="{63B3BB69-23CF-44E3-9099-C40C66FF867C}">
                  <a14:compatExt spid="_x0000_s114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12</xdr:row>
          <xdr:rowOff>0</xdr:rowOff>
        </xdr:from>
        <xdr:to>
          <xdr:col>8</xdr:col>
          <xdr:colOff>627154</xdr:colOff>
          <xdr:row>12</xdr:row>
          <xdr:rowOff>220222</xdr:rowOff>
        </xdr:to>
        <xdr:sp macro="" textlink="">
          <xdr:nvSpPr>
            <xdr:cNvPr id="114747" name="Check Box 59" hidden="1">
              <a:extLst>
                <a:ext uri="{63B3BB69-23CF-44E3-9099-C40C66FF867C}">
                  <a14:compatExt spid="_x0000_s1147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12</xdr:row>
          <xdr:rowOff>0</xdr:rowOff>
        </xdr:from>
        <xdr:to>
          <xdr:col>12</xdr:col>
          <xdr:colOff>627154</xdr:colOff>
          <xdr:row>12</xdr:row>
          <xdr:rowOff>220222</xdr:rowOff>
        </xdr:to>
        <xdr:sp macro="" textlink="">
          <xdr:nvSpPr>
            <xdr:cNvPr id="114748" name="Check Box 60" hidden="1">
              <a:extLst>
                <a:ext uri="{63B3BB69-23CF-44E3-9099-C40C66FF867C}">
                  <a14:compatExt spid="_x0000_s114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22</xdr:row>
          <xdr:rowOff>0</xdr:rowOff>
        </xdr:from>
        <xdr:to>
          <xdr:col>2</xdr:col>
          <xdr:colOff>627154</xdr:colOff>
          <xdr:row>22</xdr:row>
          <xdr:rowOff>220222</xdr:rowOff>
        </xdr:to>
        <xdr:sp macro="" textlink="">
          <xdr:nvSpPr>
            <xdr:cNvPr id="114749" name="Check Box 61" hidden="1">
              <a:extLst>
                <a:ext uri="{63B3BB69-23CF-44E3-9099-C40C66FF867C}">
                  <a14:compatExt spid="_x0000_s114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22</xdr:row>
          <xdr:rowOff>0</xdr:rowOff>
        </xdr:from>
        <xdr:to>
          <xdr:col>6</xdr:col>
          <xdr:colOff>627154</xdr:colOff>
          <xdr:row>22</xdr:row>
          <xdr:rowOff>220222</xdr:rowOff>
        </xdr:to>
        <xdr:sp macro="" textlink="">
          <xdr:nvSpPr>
            <xdr:cNvPr id="114750" name="Check Box 62" hidden="1">
              <a:extLst>
                <a:ext uri="{63B3BB69-23CF-44E3-9099-C40C66FF867C}">
                  <a14:compatExt spid="_x0000_s114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22</xdr:row>
          <xdr:rowOff>0</xdr:rowOff>
        </xdr:from>
        <xdr:to>
          <xdr:col>8</xdr:col>
          <xdr:colOff>627154</xdr:colOff>
          <xdr:row>22</xdr:row>
          <xdr:rowOff>220222</xdr:rowOff>
        </xdr:to>
        <xdr:sp macro="" textlink="">
          <xdr:nvSpPr>
            <xdr:cNvPr id="114751" name="Check Box 63" hidden="1">
              <a:extLst>
                <a:ext uri="{63B3BB69-23CF-44E3-9099-C40C66FF867C}">
                  <a14:compatExt spid="_x0000_s114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22</xdr:row>
          <xdr:rowOff>0</xdr:rowOff>
        </xdr:from>
        <xdr:to>
          <xdr:col>12</xdr:col>
          <xdr:colOff>627154</xdr:colOff>
          <xdr:row>22</xdr:row>
          <xdr:rowOff>220222</xdr:rowOff>
        </xdr:to>
        <xdr:sp macro="" textlink="">
          <xdr:nvSpPr>
            <xdr:cNvPr id="114752" name="Check Box 64" hidden="1">
              <a:extLst>
                <a:ext uri="{63B3BB69-23CF-44E3-9099-C40C66FF867C}">
                  <a14:compatExt spid="_x0000_s1147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10</xdr:row>
          <xdr:rowOff>0</xdr:rowOff>
        </xdr:from>
        <xdr:to>
          <xdr:col>4</xdr:col>
          <xdr:colOff>627154</xdr:colOff>
          <xdr:row>10</xdr:row>
          <xdr:rowOff>229797</xdr:rowOff>
        </xdr:to>
        <xdr:sp macro="" textlink="">
          <xdr:nvSpPr>
            <xdr:cNvPr id="114753" name="Check Box 65" hidden="1">
              <a:extLst>
                <a:ext uri="{63B3BB69-23CF-44E3-9099-C40C66FF867C}">
                  <a14:compatExt spid="_x0000_s114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11</xdr:row>
          <xdr:rowOff>0</xdr:rowOff>
        </xdr:from>
        <xdr:to>
          <xdr:col>4</xdr:col>
          <xdr:colOff>627154</xdr:colOff>
          <xdr:row>11</xdr:row>
          <xdr:rowOff>220222</xdr:rowOff>
        </xdr:to>
        <xdr:sp macro="" textlink="">
          <xdr:nvSpPr>
            <xdr:cNvPr id="114754" name="Check Box 66" hidden="1">
              <a:extLst>
                <a:ext uri="{63B3BB69-23CF-44E3-9099-C40C66FF867C}">
                  <a14:compatExt spid="_x0000_s114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13</xdr:row>
          <xdr:rowOff>0</xdr:rowOff>
        </xdr:from>
        <xdr:to>
          <xdr:col>4</xdr:col>
          <xdr:colOff>627154</xdr:colOff>
          <xdr:row>13</xdr:row>
          <xdr:rowOff>220222</xdr:rowOff>
        </xdr:to>
        <xdr:sp macro="" textlink="">
          <xdr:nvSpPr>
            <xdr:cNvPr id="114755" name="Check Box 67" hidden="1">
              <a:extLst>
                <a:ext uri="{63B3BB69-23CF-44E3-9099-C40C66FF867C}">
                  <a14:compatExt spid="_x0000_s114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14</xdr:row>
          <xdr:rowOff>0</xdr:rowOff>
        </xdr:from>
        <xdr:to>
          <xdr:col>4</xdr:col>
          <xdr:colOff>627154</xdr:colOff>
          <xdr:row>14</xdr:row>
          <xdr:rowOff>220222</xdr:rowOff>
        </xdr:to>
        <xdr:sp macro="" textlink="">
          <xdr:nvSpPr>
            <xdr:cNvPr id="114756" name="Check Box 68" hidden="1">
              <a:extLst>
                <a:ext uri="{63B3BB69-23CF-44E3-9099-C40C66FF867C}">
                  <a14:compatExt spid="_x0000_s114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19</xdr:row>
          <xdr:rowOff>0</xdr:rowOff>
        </xdr:from>
        <xdr:to>
          <xdr:col>4</xdr:col>
          <xdr:colOff>617579</xdr:colOff>
          <xdr:row>19</xdr:row>
          <xdr:rowOff>220222</xdr:rowOff>
        </xdr:to>
        <xdr:sp macro="" textlink="">
          <xdr:nvSpPr>
            <xdr:cNvPr id="114757" name="Check Box 69" hidden="1">
              <a:extLst>
                <a:ext uri="{63B3BB69-23CF-44E3-9099-C40C66FF867C}">
                  <a14:compatExt spid="_x0000_s1147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18</xdr:row>
          <xdr:rowOff>0</xdr:rowOff>
        </xdr:from>
        <xdr:to>
          <xdr:col>4</xdr:col>
          <xdr:colOff>627154</xdr:colOff>
          <xdr:row>18</xdr:row>
          <xdr:rowOff>220222</xdr:rowOff>
        </xdr:to>
        <xdr:sp macro="" textlink="">
          <xdr:nvSpPr>
            <xdr:cNvPr id="114758" name="Check Box 70" hidden="1">
              <a:extLst>
                <a:ext uri="{63B3BB69-23CF-44E3-9099-C40C66FF867C}">
                  <a14:compatExt spid="_x0000_s114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36</xdr:row>
          <xdr:rowOff>0</xdr:rowOff>
        </xdr:from>
        <xdr:to>
          <xdr:col>4</xdr:col>
          <xdr:colOff>627154</xdr:colOff>
          <xdr:row>36</xdr:row>
          <xdr:rowOff>229797</xdr:rowOff>
        </xdr:to>
        <xdr:sp macro="" textlink="">
          <xdr:nvSpPr>
            <xdr:cNvPr id="114759" name="Check Box 71" hidden="1">
              <a:extLst>
                <a:ext uri="{63B3BB69-23CF-44E3-9099-C40C66FF867C}">
                  <a14:compatExt spid="_x0000_s1147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21</xdr:row>
          <xdr:rowOff>0</xdr:rowOff>
        </xdr:from>
        <xdr:to>
          <xdr:col>4</xdr:col>
          <xdr:colOff>627154</xdr:colOff>
          <xdr:row>21</xdr:row>
          <xdr:rowOff>220222</xdr:rowOff>
        </xdr:to>
        <xdr:sp macro="" textlink="">
          <xdr:nvSpPr>
            <xdr:cNvPr id="114760" name="Check Box 72" hidden="1">
              <a:extLst>
                <a:ext uri="{63B3BB69-23CF-44E3-9099-C40C66FF867C}">
                  <a14:compatExt spid="_x0000_s114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24</xdr:row>
          <xdr:rowOff>0</xdr:rowOff>
        </xdr:from>
        <xdr:to>
          <xdr:col>4</xdr:col>
          <xdr:colOff>627154</xdr:colOff>
          <xdr:row>24</xdr:row>
          <xdr:rowOff>229797</xdr:rowOff>
        </xdr:to>
        <xdr:sp macro="" textlink="">
          <xdr:nvSpPr>
            <xdr:cNvPr id="114761" name="Check Box 73" hidden="1">
              <a:extLst>
                <a:ext uri="{63B3BB69-23CF-44E3-9099-C40C66FF867C}">
                  <a14:compatExt spid="_x0000_s1147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25</xdr:row>
          <xdr:rowOff>0</xdr:rowOff>
        </xdr:from>
        <xdr:to>
          <xdr:col>4</xdr:col>
          <xdr:colOff>627154</xdr:colOff>
          <xdr:row>25</xdr:row>
          <xdr:rowOff>229797</xdr:rowOff>
        </xdr:to>
        <xdr:sp macro="" textlink="">
          <xdr:nvSpPr>
            <xdr:cNvPr id="114762" name="Check Box 74" hidden="1">
              <a:extLst>
                <a:ext uri="{63B3BB69-23CF-44E3-9099-C40C66FF867C}">
                  <a14:compatExt spid="_x0000_s114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26</xdr:row>
          <xdr:rowOff>0</xdr:rowOff>
        </xdr:from>
        <xdr:to>
          <xdr:col>4</xdr:col>
          <xdr:colOff>627154</xdr:colOff>
          <xdr:row>26</xdr:row>
          <xdr:rowOff>229797</xdr:rowOff>
        </xdr:to>
        <xdr:sp macro="" textlink="">
          <xdr:nvSpPr>
            <xdr:cNvPr id="114763" name="Check Box 75" hidden="1">
              <a:extLst>
                <a:ext uri="{63B3BB69-23CF-44E3-9099-C40C66FF867C}">
                  <a14:compatExt spid="_x0000_s114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17</xdr:row>
          <xdr:rowOff>0</xdr:rowOff>
        </xdr:from>
        <xdr:to>
          <xdr:col>4</xdr:col>
          <xdr:colOff>617579</xdr:colOff>
          <xdr:row>17</xdr:row>
          <xdr:rowOff>220222</xdr:rowOff>
        </xdr:to>
        <xdr:sp macro="" textlink="">
          <xdr:nvSpPr>
            <xdr:cNvPr id="114764" name="Check Box 76" hidden="1">
              <a:extLst>
                <a:ext uri="{63B3BB69-23CF-44E3-9099-C40C66FF867C}">
                  <a14:compatExt spid="_x0000_s1147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34</xdr:row>
          <xdr:rowOff>19150</xdr:rowOff>
        </xdr:from>
        <xdr:to>
          <xdr:col>4</xdr:col>
          <xdr:colOff>627154</xdr:colOff>
          <xdr:row>34</xdr:row>
          <xdr:rowOff>239372</xdr:rowOff>
        </xdr:to>
        <xdr:sp macro="" textlink="">
          <xdr:nvSpPr>
            <xdr:cNvPr id="114765" name="Check Box 77" hidden="1">
              <a:extLst>
                <a:ext uri="{63B3BB69-23CF-44E3-9099-C40C66FF867C}">
                  <a14:compatExt spid="_x0000_s1147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33</xdr:row>
          <xdr:rowOff>19150</xdr:rowOff>
        </xdr:from>
        <xdr:to>
          <xdr:col>4</xdr:col>
          <xdr:colOff>627154</xdr:colOff>
          <xdr:row>33</xdr:row>
          <xdr:rowOff>239372</xdr:rowOff>
        </xdr:to>
        <xdr:sp macro="" textlink="">
          <xdr:nvSpPr>
            <xdr:cNvPr id="114766" name="Check Box 78" hidden="1">
              <a:extLst>
                <a:ext uri="{63B3BB69-23CF-44E3-9099-C40C66FF867C}">
                  <a14:compatExt spid="_x0000_s1147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12</xdr:row>
          <xdr:rowOff>0</xdr:rowOff>
        </xdr:from>
        <xdr:to>
          <xdr:col>4</xdr:col>
          <xdr:colOff>627154</xdr:colOff>
          <xdr:row>12</xdr:row>
          <xdr:rowOff>220222</xdr:rowOff>
        </xdr:to>
        <xdr:sp macro="" textlink="">
          <xdr:nvSpPr>
            <xdr:cNvPr id="114767" name="Check Box 79" hidden="1">
              <a:extLst>
                <a:ext uri="{63B3BB69-23CF-44E3-9099-C40C66FF867C}">
                  <a14:compatExt spid="_x0000_s1147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22</xdr:row>
          <xdr:rowOff>0</xdr:rowOff>
        </xdr:from>
        <xdr:to>
          <xdr:col>4</xdr:col>
          <xdr:colOff>627154</xdr:colOff>
          <xdr:row>22</xdr:row>
          <xdr:rowOff>220222</xdr:rowOff>
        </xdr:to>
        <xdr:sp macro="" textlink="">
          <xdr:nvSpPr>
            <xdr:cNvPr id="114768" name="Check Box 80" hidden="1">
              <a:extLst>
                <a:ext uri="{63B3BB69-23CF-44E3-9099-C40C66FF867C}">
                  <a14:compatExt spid="_x0000_s1147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12</xdr:col>
      <xdr:colOff>704850</xdr:colOff>
      <xdr:row>43</xdr:row>
      <xdr:rowOff>0</xdr:rowOff>
    </xdr:to>
    <xdr:sp macro="[0]!opmOverig_1" textlink="">
      <xdr:nvSpPr>
        <xdr:cNvPr id="82" name="Rectangle 123"/>
        <xdr:cNvSpPr>
          <a:spLocks noChangeArrowheads="1"/>
        </xdr:cNvSpPr>
      </xdr:nvSpPr>
      <xdr:spPr bwMode="auto">
        <a:xfrm>
          <a:off x="256054" y="11305054"/>
          <a:ext cx="7441267" cy="147358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7</xdr:row>
      <xdr:rowOff>0</xdr:rowOff>
    </xdr:from>
    <xdr:to>
      <xdr:col>2</xdr:col>
      <xdr:colOff>152400</xdr:colOff>
      <xdr:row>7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32</xdr:row>
          <xdr:rowOff>19150</xdr:rowOff>
        </xdr:from>
        <xdr:to>
          <xdr:col>2</xdr:col>
          <xdr:colOff>627154</xdr:colOff>
          <xdr:row>32</xdr:row>
          <xdr:rowOff>239372</xdr:rowOff>
        </xdr:to>
        <xdr:sp macro="" textlink="">
          <xdr:nvSpPr>
            <xdr:cNvPr id="114801" name="Check Box 113" hidden="1">
              <a:extLst>
                <a:ext uri="{63B3BB69-23CF-44E3-9099-C40C66FF867C}">
                  <a14:compatExt spid="_x0000_s114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32</xdr:row>
          <xdr:rowOff>19150</xdr:rowOff>
        </xdr:from>
        <xdr:to>
          <xdr:col>6</xdr:col>
          <xdr:colOff>627154</xdr:colOff>
          <xdr:row>32</xdr:row>
          <xdr:rowOff>239372</xdr:rowOff>
        </xdr:to>
        <xdr:sp macro="" textlink="">
          <xdr:nvSpPr>
            <xdr:cNvPr id="114802" name="Check Box 114" hidden="1">
              <a:extLst>
                <a:ext uri="{63B3BB69-23CF-44E3-9099-C40C66FF867C}">
                  <a14:compatExt spid="_x0000_s114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32</xdr:row>
          <xdr:rowOff>19150</xdr:rowOff>
        </xdr:from>
        <xdr:to>
          <xdr:col>8</xdr:col>
          <xdr:colOff>627154</xdr:colOff>
          <xdr:row>32</xdr:row>
          <xdr:rowOff>239372</xdr:rowOff>
        </xdr:to>
        <xdr:sp macro="" textlink="">
          <xdr:nvSpPr>
            <xdr:cNvPr id="114803" name="Check Box 115" hidden="1">
              <a:extLst>
                <a:ext uri="{63B3BB69-23CF-44E3-9099-C40C66FF867C}">
                  <a14:compatExt spid="_x0000_s114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32</xdr:row>
          <xdr:rowOff>19150</xdr:rowOff>
        </xdr:from>
        <xdr:to>
          <xdr:col>12</xdr:col>
          <xdr:colOff>627154</xdr:colOff>
          <xdr:row>32</xdr:row>
          <xdr:rowOff>239372</xdr:rowOff>
        </xdr:to>
        <xdr:sp macro="" textlink="">
          <xdr:nvSpPr>
            <xdr:cNvPr id="114804" name="Check Box 116" hidden="1">
              <a:extLst>
                <a:ext uri="{63B3BB69-23CF-44E3-9099-C40C66FF867C}">
                  <a14:compatExt spid="_x0000_s114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32</xdr:row>
          <xdr:rowOff>19150</xdr:rowOff>
        </xdr:from>
        <xdr:to>
          <xdr:col>4</xdr:col>
          <xdr:colOff>627154</xdr:colOff>
          <xdr:row>32</xdr:row>
          <xdr:rowOff>239372</xdr:rowOff>
        </xdr:to>
        <xdr:sp macro="" textlink="">
          <xdr:nvSpPr>
            <xdr:cNvPr id="114805" name="Check Box 117" hidden="1">
              <a:extLst>
                <a:ext uri="{63B3BB69-23CF-44E3-9099-C40C66FF867C}">
                  <a14:compatExt spid="_x0000_s1148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38</xdr:row>
          <xdr:rowOff>19150</xdr:rowOff>
        </xdr:from>
        <xdr:to>
          <xdr:col>2</xdr:col>
          <xdr:colOff>627154</xdr:colOff>
          <xdr:row>38</xdr:row>
          <xdr:rowOff>239372</xdr:rowOff>
        </xdr:to>
        <xdr:sp macro="" textlink="">
          <xdr:nvSpPr>
            <xdr:cNvPr id="114808" name="Check Box 120" hidden="1">
              <a:extLst>
                <a:ext uri="{63B3BB69-23CF-44E3-9099-C40C66FF867C}">
                  <a14:compatExt spid="_x0000_s114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38</xdr:row>
          <xdr:rowOff>19150</xdr:rowOff>
        </xdr:from>
        <xdr:to>
          <xdr:col>6</xdr:col>
          <xdr:colOff>627154</xdr:colOff>
          <xdr:row>38</xdr:row>
          <xdr:rowOff>239372</xdr:rowOff>
        </xdr:to>
        <xdr:sp macro="" textlink="">
          <xdr:nvSpPr>
            <xdr:cNvPr id="114809" name="Check Box 121" hidden="1">
              <a:extLst>
                <a:ext uri="{63B3BB69-23CF-44E3-9099-C40C66FF867C}">
                  <a14:compatExt spid="_x0000_s114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38</xdr:row>
          <xdr:rowOff>19150</xdr:rowOff>
        </xdr:from>
        <xdr:to>
          <xdr:col>8</xdr:col>
          <xdr:colOff>627154</xdr:colOff>
          <xdr:row>38</xdr:row>
          <xdr:rowOff>239372</xdr:rowOff>
        </xdr:to>
        <xdr:sp macro="" textlink="">
          <xdr:nvSpPr>
            <xdr:cNvPr id="114810" name="Check Box 122" hidden="1">
              <a:extLst>
                <a:ext uri="{63B3BB69-23CF-44E3-9099-C40C66FF867C}">
                  <a14:compatExt spid="_x0000_s114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38</xdr:row>
          <xdr:rowOff>19150</xdr:rowOff>
        </xdr:from>
        <xdr:to>
          <xdr:col>12</xdr:col>
          <xdr:colOff>627154</xdr:colOff>
          <xdr:row>38</xdr:row>
          <xdr:rowOff>239372</xdr:rowOff>
        </xdr:to>
        <xdr:sp macro="" textlink="">
          <xdr:nvSpPr>
            <xdr:cNvPr id="114811" name="Check Box 123" hidden="1">
              <a:extLst>
                <a:ext uri="{63B3BB69-23CF-44E3-9099-C40C66FF867C}">
                  <a14:compatExt spid="_x0000_s114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38</xdr:row>
          <xdr:rowOff>19150</xdr:rowOff>
        </xdr:from>
        <xdr:to>
          <xdr:col>4</xdr:col>
          <xdr:colOff>627154</xdr:colOff>
          <xdr:row>38</xdr:row>
          <xdr:rowOff>239372</xdr:rowOff>
        </xdr:to>
        <xdr:sp macro="" textlink="">
          <xdr:nvSpPr>
            <xdr:cNvPr id="114812" name="Check Box 124" hidden="1">
              <a:extLst>
                <a:ext uri="{63B3BB69-23CF-44E3-9099-C40C66FF867C}">
                  <a14:compatExt spid="_x0000_s1148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15</xdr:row>
          <xdr:rowOff>0</xdr:rowOff>
        </xdr:from>
        <xdr:to>
          <xdr:col>2</xdr:col>
          <xdr:colOff>627154</xdr:colOff>
          <xdr:row>15</xdr:row>
          <xdr:rowOff>220222</xdr:rowOff>
        </xdr:to>
        <xdr:sp macro="" textlink="">
          <xdr:nvSpPr>
            <xdr:cNvPr id="114815" name="Check Box 127" hidden="1">
              <a:extLst>
                <a:ext uri="{63B3BB69-23CF-44E3-9099-C40C66FF867C}">
                  <a14:compatExt spid="_x0000_s114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15</xdr:row>
          <xdr:rowOff>0</xdr:rowOff>
        </xdr:from>
        <xdr:to>
          <xdr:col>6</xdr:col>
          <xdr:colOff>627154</xdr:colOff>
          <xdr:row>15</xdr:row>
          <xdr:rowOff>220222</xdr:rowOff>
        </xdr:to>
        <xdr:sp macro="" textlink="">
          <xdr:nvSpPr>
            <xdr:cNvPr id="114816" name="Check Box 128" hidden="1">
              <a:extLst>
                <a:ext uri="{63B3BB69-23CF-44E3-9099-C40C66FF867C}">
                  <a14:compatExt spid="_x0000_s114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15</xdr:row>
          <xdr:rowOff>0</xdr:rowOff>
        </xdr:from>
        <xdr:to>
          <xdr:col>8</xdr:col>
          <xdr:colOff>627154</xdr:colOff>
          <xdr:row>15</xdr:row>
          <xdr:rowOff>220222</xdr:rowOff>
        </xdr:to>
        <xdr:sp macro="" textlink="">
          <xdr:nvSpPr>
            <xdr:cNvPr id="114817" name="Check Box 129" hidden="1">
              <a:extLst>
                <a:ext uri="{63B3BB69-23CF-44E3-9099-C40C66FF867C}">
                  <a14:compatExt spid="_x0000_s114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15</xdr:row>
          <xdr:rowOff>0</xdr:rowOff>
        </xdr:from>
        <xdr:to>
          <xdr:col>12</xdr:col>
          <xdr:colOff>627154</xdr:colOff>
          <xdr:row>15</xdr:row>
          <xdr:rowOff>220222</xdr:rowOff>
        </xdr:to>
        <xdr:sp macro="" textlink="">
          <xdr:nvSpPr>
            <xdr:cNvPr id="114818" name="Check Box 130" hidden="1">
              <a:extLst>
                <a:ext uri="{63B3BB69-23CF-44E3-9099-C40C66FF867C}">
                  <a14:compatExt spid="_x0000_s114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15</xdr:row>
          <xdr:rowOff>0</xdr:rowOff>
        </xdr:from>
        <xdr:to>
          <xdr:col>4</xdr:col>
          <xdr:colOff>627154</xdr:colOff>
          <xdr:row>15</xdr:row>
          <xdr:rowOff>220222</xdr:rowOff>
        </xdr:to>
        <xdr:sp macro="" textlink="">
          <xdr:nvSpPr>
            <xdr:cNvPr id="114819" name="Check Box 131" hidden="1">
              <a:extLst>
                <a:ext uri="{63B3BB69-23CF-44E3-9099-C40C66FF867C}">
                  <a14:compatExt spid="_x0000_s114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16</xdr:row>
          <xdr:rowOff>0</xdr:rowOff>
        </xdr:from>
        <xdr:to>
          <xdr:col>2</xdr:col>
          <xdr:colOff>627154</xdr:colOff>
          <xdr:row>16</xdr:row>
          <xdr:rowOff>220222</xdr:rowOff>
        </xdr:to>
        <xdr:sp macro="" textlink="">
          <xdr:nvSpPr>
            <xdr:cNvPr id="114822" name="Check Box 134" hidden="1">
              <a:extLst>
                <a:ext uri="{63B3BB69-23CF-44E3-9099-C40C66FF867C}">
                  <a14:compatExt spid="_x0000_s114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16</xdr:row>
          <xdr:rowOff>0</xdr:rowOff>
        </xdr:from>
        <xdr:to>
          <xdr:col>6</xdr:col>
          <xdr:colOff>627154</xdr:colOff>
          <xdr:row>16</xdr:row>
          <xdr:rowOff>220222</xdr:rowOff>
        </xdr:to>
        <xdr:sp macro="" textlink="">
          <xdr:nvSpPr>
            <xdr:cNvPr id="114823" name="Check Box 135" hidden="1">
              <a:extLst>
                <a:ext uri="{63B3BB69-23CF-44E3-9099-C40C66FF867C}">
                  <a14:compatExt spid="_x0000_s114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16</xdr:row>
          <xdr:rowOff>0</xdr:rowOff>
        </xdr:from>
        <xdr:to>
          <xdr:col>8</xdr:col>
          <xdr:colOff>627154</xdr:colOff>
          <xdr:row>16</xdr:row>
          <xdr:rowOff>220222</xdr:rowOff>
        </xdr:to>
        <xdr:sp macro="" textlink="">
          <xdr:nvSpPr>
            <xdr:cNvPr id="114824" name="Check Box 136" hidden="1">
              <a:extLst>
                <a:ext uri="{63B3BB69-23CF-44E3-9099-C40C66FF867C}">
                  <a14:compatExt spid="_x0000_s114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16</xdr:row>
          <xdr:rowOff>0</xdr:rowOff>
        </xdr:from>
        <xdr:to>
          <xdr:col>12</xdr:col>
          <xdr:colOff>627154</xdr:colOff>
          <xdr:row>16</xdr:row>
          <xdr:rowOff>220222</xdr:rowOff>
        </xdr:to>
        <xdr:sp macro="" textlink="">
          <xdr:nvSpPr>
            <xdr:cNvPr id="114825" name="Check Box 137" hidden="1">
              <a:extLst>
                <a:ext uri="{63B3BB69-23CF-44E3-9099-C40C66FF867C}">
                  <a14:compatExt spid="_x0000_s114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16</xdr:row>
          <xdr:rowOff>0</xdr:rowOff>
        </xdr:from>
        <xdr:to>
          <xdr:col>4</xdr:col>
          <xdr:colOff>627154</xdr:colOff>
          <xdr:row>16</xdr:row>
          <xdr:rowOff>220222</xdr:rowOff>
        </xdr:to>
        <xdr:sp macro="" textlink="">
          <xdr:nvSpPr>
            <xdr:cNvPr id="114826" name="Check Box 138" hidden="1">
              <a:extLst>
                <a:ext uri="{63B3BB69-23CF-44E3-9099-C40C66FF867C}">
                  <a14:compatExt spid="_x0000_s1148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20</xdr:row>
          <xdr:rowOff>0</xdr:rowOff>
        </xdr:from>
        <xdr:to>
          <xdr:col>2</xdr:col>
          <xdr:colOff>617579</xdr:colOff>
          <xdr:row>20</xdr:row>
          <xdr:rowOff>220222</xdr:rowOff>
        </xdr:to>
        <xdr:sp macro="" textlink="">
          <xdr:nvSpPr>
            <xdr:cNvPr id="114829" name="Check Box 141" hidden="1">
              <a:extLst>
                <a:ext uri="{63B3BB69-23CF-44E3-9099-C40C66FF867C}">
                  <a14:compatExt spid="_x0000_s114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20</xdr:row>
          <xdr:rowOff>0</xdr:rowOff>
        </xdr:from>
        <xdr:to>
          <xdr:col>6</xdr:col>
          <xdr:colOff>617579</xdr:colOff>
          <xdr:row>20</xdr:row>
          <xdr:rowOff>220222</xdr:rowOff>
        </xdr:to>
        <xdr:sp macro="" textlink="">
          <xdr:nvSpPr>
            <xdr:cNvPr id="114830" name="Check Box 142" hidden="1">
              <a:extLst>
                <a:ext uri="{63B3BB69-23CF-44E3-9099-C40C66FF867C}">
                  <a14:compatExt spid="_x0000_s114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20</xdr:row>
          <xdr:rowOff>0</xdr:rowOff>
        </xdr:from>
        <xdr:to>
          <xdr:col>8</xdr:col>
          <xdr:colOff>617579</xdr:colOff>
          <xdr:row>20</xdr:row>
          <xdr:rowOff>220222</xdr:rowOff>
        </xdr:to>
        <xdr:sp macro="" textlink="">
          <xdr:nvSpPr>
            <xdr:cNvPr id="114831" name="Check Box 143" hidden="1">
              <a:extLst>
                <a:ext uri="{63B3BB69-23CF-44E3-9099-C40C66FF867C}">
                  <a14:compatExt spid="_x0000_s114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20</xdr:row>
          <xdr:rowOff>0</xdr:rowOff>
        </xdr:from>
        <xdr:to>
          <xdr:col>12</xdr:col>
          <xdr:colOff>617579</xdr:colOff>
          <xdr:row>20</xdr:row>
          <xdr:rowOff>220222</xdr:rowOff>
        </xdr:to>
        <xdr:sp macro="" textlink="">
          <xdr:nvSpPr>
            <xdr:cNvPr id="114832" name="Check Box 144" hidden="1">
              <a:extLst>
                <a:ext uri="{63B3BB69-23CF-44E3-9099-C40C66FF867C}">
                  <a14:compatExt spid="_x0000_s114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20</xdr:row>
          <xdr:rowOff>0</xdr:rowOff>
        </xdr:from>
        <xdr:to>
          <xdr:col>4</xdr:col>
          <xdr:colOff>617579</xdr:colOff>
          <xdr:row>20</xdr:row>
          <xdr:rowOff>220222</xdr:rowOff>
        </xdr:to>
        <xdr:sp macro="" textlink="">
          <xdr:nvSpPr>
            <xdr:cNvPr id="114833" name="Check Box 145" hidden="1">
              <a:extLst>
                <a:ext uri="{63B3BB69-23CF-44E3-9099-C40C66FF867C}">
                  <a14:compatExt spid="_x0000_s1148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27</xdr:row>
          <xdr:rowOff>0</xdr:rowOff>
        </xdr:from>
        <xdr:to>
          <xdr:col>2</xdr:col>
          <xdr:colOff>627154</xdr:colOff>
          <xdr:row>27</xdr:row>
          <xdr:rowOff>229797</xdr:rowOff>
        </xdr:to>
        <xdr:sp macro="" textlink="">
          <xdr:nvSpPr>
            <xdr:cNvPr id="114836" name="Check Box 148" hidden="1">
              <a:extLst>
                <a:ext uri="{63B3BB69-23CF-44E3-9099-C40C66FF867C}">
                  <a14:compatExt spid="_x0000_s1148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27</xdr:row>
          <xdr:rowOff>0</xdr:rowOff>
        </xdr:from>
        <xdr:to>
          <xdr:col>6</xdr:col>
          <xdr:colOff>627154</xdr:colOff>
          <xdr:row>27</xdr:row>
          <xdr:rowOff>229797</xdr:rowOff>
        </xdr:to>
        <xdr:sp macro="" textlink="">
          <xdr:nvSpPr>
            <xdr:cNvPr id="114837" name="Check Box 149" hidden="1">
              <a:extLst>
                <a:ext uri="{63B3BB69-23CF-44E3-9099-C40C66FF867C}">
                  <a14:compatExt spid="_x0000_s1148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27</xdr:row>
          <xdr:rowOff>0</xdr:rowOff>
        </xdr:from>
        <xdr:to>
          <xdr:col>8</xdr:col>
          <xdr:colOff>627154</xdr:colOff>
          <xdr:row>27</xdr:row>
          <xdr:rowOff>229797</xdr:rowOff>
        </xdr:to>
        <xdr:sp macro="" textlink="">
          <xdr:nvSpPr>
            <xdr:cNvPr id="114838" name="Check Box 150" hidden="1">
              <a:extLst>
                <a:ext uri="{63B3BB69-23CF-44E3-9099-C40C66FF867C}">
                  <a14:compatExt spid="_x0000_s1148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27</xdr:row>
          <xdr:rowOff>0</xdr:rowOff>
        </xdr:from>
        <xdr:to>
          <xdr:col>12</xdr:col>
          <xdr:colOff>627154</xdr:colOff>
          <xdr:row>27</xdr:row>
          <xdr:rowOff>229797</xdr:rowOff>
        </xdr:to>
        <xdr:sp macro="" textlink="">
          <xdr:nvSpPr>
            <xdr:cNvPr id="114839" name="Check Box 151" hidden="1">
              <a:extLst>
                <a:ext uri="{63B3BB69-23CF-44E3-9099-C40C66FF867C}">
                  <a14:compatExt spid="_x0000_s1148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27</xdr:row>
          <xdr:rowOff>0</xdr:rowOff>
        </xdr:from>
        <xdr:to>
          <xdr:col>4</xdr:col>
          <xdr:colOff>627154</xdr:colOff>
          <xdr:row>27</xdr:row>
          <xdr:rowOff>229797</xdr:rowOff>
        </xdr:to>
        <xdr:sp macro="" textlink="">
          <xdr:nvSpPr>
            <xdr:cNvPr id="114840" name="Check Box 152" hidden="1">
              <a:extLst>
                <a:ext uri="{63B3BB69-23CF-44E3-9099-C40C66FF867C}">
                  <a14:compatExt spid="_x0000_s1148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28</xdr:row>
          <xdr:rowOff>0</xdr:rowOff>
        </xdr:from>
        <xdr:to>
          <xdr:col>2</xdr:col>
          <xdr:colOff>627154</xdr:colOff>
          <xdr:row>28</xdr:row>
          <xdr:rowOff>229797</xdr:rowOff>
        </xdr:to>
        <xdr:sp macro="" textlink="">
          <xdr:nvSpPr>
            <xdr:cNvPr id="114843" name="Check Box 155" hidden="1">
              <a:extLst>
                <a:ext uri="{63B3BB69-23CF-44E3-9099-C40C66FF867C}">
                  <a14:compatExt spid="_x0000_s114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28</xdr:row>
          <xdr:rowOff>0</xdr:rowOff>
        </xdr:from>
        <xdr:to>
          <xdr:col>6</xdr:col>
          <xdr:colOff>627154</xdr:colOff>
          <xdr:row>28</xdr:row>
          <xdr:rowOff>229797</xdr:rowOff>
        </xdr:to>
        <xdr:sp macro="" textlink="">
          <xdr:nvSpPr>
            <xdr:cNvPr id="114844" name="Check Box 156" hidden="1">
              <a:extLst>
                <a:ext uri="{63B3BB69-23CF-44E3-9099-C40C66FF867C}">
                  <a14:compatExt spid="_x0000_s114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28</xdr:row>
          <xdr:rowOff>0</xdr:rowOff>
        </xdr:from>
        <xdr:to>
          <xdr:col>8</xdr:col>
          <xdr:colOff>627154</xdr:colOff>
          <xdr:row>28</xdr:row>
          <xdr:rowOff>229797</xdr:rowOff>
        </xdr:to>
        <xdr:sp macro="" textlink="">
          <xdr:nvSpPr>
            <xdr:cNvPr id="114845" name="Check Box 157" hidden="1">
              <a:extLst>
                <a:ext uri="{63B3BB69-23CF-44E3-9099-C40C66FF867C}">
                  <a14:compatExt spid="_x0000_s114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28</xdr:row>
          <xdr:rowOff>0</xdr:rowOff>
        </xdr:from>
        <xdr:to>
          <xdr:col>12</xdr:col>
          <xdr:colOff>627154</xdr:colOff>
          <xdr:row>28</xdr:row>
          <xdr:rowOff>229797</xdr:rowOff>
        </xdr:to>
        <xdr:sp macro="" textlink="">
          <xdr:nvSpPr>
            <xdr:cNvPr id="114846" name="Check Box 158" hidden="1">
              <a:extLst>
                <a:ext uri="{63B3BB69-23CF-44E3-9099-C40C66FF867C}">
                  <a14:compatExt spid="_x0000_s1148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28</xdr:row>
          <xdr:rowOff>0</xdr:rowOff>
        </xdr:from>
        <xdr:to>
          <xdr:col>4</xdr:col>
          <xdr:colOff>627154</xdr:colOff>
          <xdr:row>28</xdr:row>
          <xdr:rowOff>229797</xdr:rowOff>
        </xdr:to>
        <xdr:sp macro="" textlink="">
          <xdr:nvSpPr>
            <xdr:cNvPr id="114847" name="Check Box 159" hidden="1">
              <a:extLst>
                <a:ext uri="{63B3BB69-23CF-44E3-9099-C40C66FF867C}">
                  <a14:compatExt spid="_x0000_s1148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29</xdr:row>
          <xdr:rowOff>0</xdr:rowOff>
        </xdr:from>
        <xdr:to>
          <xdr:col>2</xdr:col>
          <xdr:colOff>627154</xdr:colOff>
          <xdr:row>29</xdr:row>
          <xdr:rowOff>229797</xdr:rowOff>
        </xdr:to>
        <xdr:sp macro="" textlink="">
          <xdr:nvSpPr>
            <xdr:cNvPr id="114850" name="Check Box 162" hidden="1">
              <a:extLst>
                <a:ext uri="{63B3BB69-23CF-44E3-9099-C40C66FF867C}">
                  <a14:compatExt spid="_x0000_s114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29</xdr:row>
          <xdr:rowOff>0</xdr:rowOff>
        </xdr:from>
        <xdr:to>
          <xdr:col>6</xdr:col>
          <xdr:colOff>627154</xdr:colOff>
          <xdr:row>29</xdr:row>
          <xdr:rowOff>229797</xdr:rowOff>
        </xdr:to>
        <xdr:sp macro="" textlink="">
          <xdr:nvSpPr>
            <xdr:cNvPr id="114851" name="Check Box 163" hidden="1">
              <a:extLst>
                <a:ext uri="{63B3BB69-23CF-44E3-9099-C40C66FF867C}">
                  <a14:compatExt spid="_x0000_s114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29</xdr:row>
          <xdr:rowOff>0</xdr:rowOff>
        </xdr:from>
        <xdr:to>
          <xdr:col>8</xdr:col>
          <xdr:colOff>627154</xdr:colOff>
          <xdr:row>29</xdr:row>
          <xdr:rowOff>229797</xdr:rowOff>
        </xdr:to>
        <xdr:sp macro="" textlink="">
          <xdr:nvSpPr>
            <xdr:cNvPr id="114852" name="Check Box 164" hidden="1">
              <a:extLst>
                <a:ext uri="{63B3BB69-23CF-44E3-9099-C40C66FF867C}">
                  <a14:compatExt spid="_x0000_s114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29</xdr:row>
          <xdr:rowOff>0</xdr:rowOff>
        </xdr:from>
        <xdr:to>
          <xdr:col>12</xdr:col>
          <xdr:colOff>627154</xdr:colOff>
          <xdr:row>29</xdr:row>
          <xdr:rowOff>229797</xdr:rowOff>
        </xdr:to>
        <xdr:sp macro="" textlink="">
          <xdr:nvSpPr>
            <xdr:cNvPr id="114853" name="Check Box 165" hidden="1">
              <a:extLst>
                <a:ext uri="{63B3BB69-23CF-44E3-9099-C40C66FF867C}">
                  <a14:compatExt spid="_x0000_s1148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29</xdr:row>
          <xdr:rowOff>0</xdr:rowOff>
        </xdr:from>
        <xdr:to>
          <xdr:col>4</xdr:col>
          <xdr:colOff>627154</xdr:colOff>
          <xdr:row>29</xdr:row>
          <xdr:rowOff>229797</xdr:rowOff>
        </xdr:to>
        <xdr:sp macro="" textlink="">
          <xdr:nvSpPr>
            <xdr:cNvPr id="114854" name="Check Box 166" hidden="1">
              <a:extLst>
                <a:ext uri="{63B3BB69-23CF-44E3-9099-C40C66FF867C}">
                  <a14:compatExt spid="_x0000_s1148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30</xdr:row>
          <xdr:rowOff>0</xdr:rowOff>
        </xdr:from>
        <xdr:to>
          <xdr:col>2</xdr:col>
          <xdr:colOff>627154</xdr:colOff>
          <xdr:row>30</xdr:row>
          <xdr:rowOff>229797</xdr:rowOff>
        </xdr:to>
        <xdr:sp macro="" textlink="">
          <xdr:nvSpPr>
            <xdr:cNvPr id="114857" name="Check Box 169" hidden="1">
              <a:extLst>
                <a:ext uri="{63B3BB69-23CF-44E3-9099-C40C66FF867C}">
                  <a14:compatExt spid="_x0000_s114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30</xdr:row>
          <xdr:rowOff>0</xdr:rowOff>
        </xdr:from>
        <xdr:to>
          <xdr:col>6</xdr:col>
          <xdr:colOff>627154</xdr:colOff>
          <xdr:row>30</xdr:row>
          <xdr:rowOff>229797</xdr:rowOff>
        </xdr:to>
        <xdr:sp macro="" textlink="">
          <xdr:nvSpPr>
            <xdr:cNvPr id="114858" name="Check Box 170" hidden="1">
              <a:extLst>
                <a:ext uri="{63B3BB69-23CF-44E3-9099-C40C66FF867C}">
                  <a14:compatExt spid="_x0000_s1148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30</xdr:row>
          <xdr:rowOff>0</xdr:rowOff>
        </xdr:from>
        <xdr:to>
          <xdr:col>8</xdr:col>
          <xdr:colOff>627154</xdr:colOff>
          <xdr:row>30</xdr:row>
          <xdr:rowOff>229797</xdr:rowOff>
        </xdr:to>
        <xdr:sp macro="" textlink="">
          <xdr:nvSpPr>
            <xdr:cNvPr id="114859" name="Check Box 171" hidden="1">
              <a:extLst>
                <a:ext uri="{63B3BB69-23CF-44E3-9099-C40C66FF867C}">
                  <a14:compatExt spid="_x0000_s114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30</xdr:row>
          <xdr:rowOff>0</xdr:rowOff>
        </xdr:from>
        <xdr:to>
          <xdr:col>12</xdr:col>
          <xdr:colOff>627154</xdr:colOff>
          <xdr:row>30</xdr:row>
          <xdr:rowOff>229797</xdr:rowOff>
        </xdr:to>
        <xdr:sp macro="" textlink="">
          <xdr:nvSpPr>
            <xdr:cNvPr id="114860" name="Check Box 172" hidden="1">
              <a:extLst>
                <a:ext uri="{63B3BB69-23CF-44E3-9099-C40C66FF867C}">
                  <a14:compatExt spid="_x0000_s1148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30</xdr:row>
          <xdr:rowOff>0</xdr:rowOff>
        </xdr:from>
        <xdr:to>
          <xdr:col>4</xdr:col>
          <xdr:colOff>627154</xdr:colOff>
          <xdr:row>30</xdr:row>
          <xdr:rowOff>229797</xdr:rowOff>
        </xdr:to>
        <xdr:sp macro="" textlink="">
          <xdr:nvSpPr>
            <xdr:cNvPr id="114861" name="Check Box 173" hidden="1">
              <a:extLst>
                <a:ext uri="{63B3BB69-23CF-44E3-9099-C40C66FF867C}">
                  <a14:compatExt spid="_x0000_s1148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31</xdr:row>
          <xdr:rowOff>0</xdr:rowOff>
        </xdr:from>
        <xdr:to>
          <xdr:col>2</xdr:col>
          <xdr:colOff>627154</xdr:colOff>
          <xdr:row>31</xdr:row>
          <xdr:rowOff>229797</xdr:rowOff>
        </xdr:to>
        <xdr:sp macro="" textlink="">
          <xdr:nvSpPr>
            <xdr:cNvPr id="114864" name="Check Box 176" hidden="1">
              <a:extLst>
                <a:ext uri="{63B3BB69-23CF-44E3-9099-C40C66FF867C}">
                  <a14:compatExt spid="_x0000_s1148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31</xdr:row>
          <xdr:rowOff>0</xdr:rowOff>
        </xdr:from>
        <xdr:to>
          <xdr:col>6</xdr:col>
          <xdr:colOff>627154</xdr:colOff>
          <xdr:row>31</xdr:row>
          <xdr:rowOff>229797</xdr:rowOff>
        </xdr:to>
        <xdr:sp macro="" textlink="">
          <xdr:nvSpPr>
            <xdr:cNvPr id="114865" name="Check Box 177" hidden="1">
              <a:extLst>
                <a:ext uri="{63B3BB69-23CF-44E3-9099-C40C66FF867C}">
                  <a14:compatExt spid="_x0000_s114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31</xdr:row>
          <xdr:rowOff>0</xdr:rowOff>
        </xdr:from>
        <xdr:to>
          <xdr:col>8</xdr:col>
          <xdr:colOff>627154</xdr:colOff>
          <xdr:row>31</xdr:row>
          <xdr:rowOff>229797</xdr:rowOff>
        </xdr:to>
        <xdr:sp macro="" textlink="">
          <xdr:nvSpPr>
            <xdr:cNvPr id="114866" name="Check Box 178" hidden="1">
              <a:extLst>
                <a:ext uri="{63B3BB69-23CF-44E3-9099-C40C66FF867C}">
                  <a14:compatExt spid="_x0000_s114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31</xdr:row>
          <xdr:rowOff>0</xdr:rowOff>
        </xdr:from>
        <xdr:to>
          <xdr:col>12</xdr:col>
          <xdr:colOff>627154</xdr:colOff>
          <xdr:row>31</xdr:row>
          <xdr:rowOff>229797</xdr:rowOff>
        </xdr:to>
        <xdr:sp macro="" textlink="">
          <xdr:nvSpPr>
            <xdr:cNvPr id="114867" name="Check Box 179" hidden="1">
              <a:extLst>
                <a:ext uri="{63B3BB69-23CF-44E3-9099-C40C66FF867C}">
                  <a14:compatExt spid="_x0000_s1148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31</xdr:row>
          <xdr:rowOff>0</xdr:rowOff>
        </xdr:from>
        <xdr:to>
          <xdr:col>4</xdr:col>
          <xdr:colOff>627154</xdr:colOff>
          <xdr:row>31</xdr:row>
          <xdr:rowOff>229797</xdr:rowOff>
        </xdr:to>
        <xdr:sp macro="" textlink="">
          <xdr:nvSpPr>
            <xdr:cNvPr id="114868" name="Check Box 180" hidden="1">
              <a:extLst>
                <a:ext uri="{63B3BB69-23CF-44E3-9099-C40C66FF867C}">
                  <a14:compatExt spid="_x0000_s1148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35</xdr:row>
          <xdr:rowOff>0</xdr:rowOff>
        </xdr:from>
        <xdr:to>
          <xdr:col>2</xdr:col>
          <xdr:colOff>627154</xdr:colOff>
          <xdr:row>35</xdr:row>
          <xdr:rowOff>229797</xdr:rowOff>
        </xdr:to>
        <xdr:sp macro="" textlink="">
          <xdr:nvSpPr>
            <xdr:cNvPr id="114871" name="Check Box 183" hidden="1">
              <a:extLst>
                <a:ext uri="{63B3BB69-23CF-44E3-9099-C40C66FF867C}">
                  <a14:compatExt spid="_x0000_s1148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35</xdr:row>
          <xdr:rowOff>0</xdr:rowOff>
        </xdr:from>
        <xdr:to>
          <xdr:col>6</xdr:col>
          <xdr:colOff>627154</xdr:colOff>
          <xdr:row>35</xdr:row>
          <xdr:rowOff>229797</xdr:rowOff>
        </xdr:to>
        <xdr:sp macro="" textlink="">
          <xdr:nvSpPr>
            <xdr:cNvPr id="114872" name="Check Box 184" hidden="1">
              <a:extLst>
                <a:ext uri="{63B3BB69-23CF-44E3-9099-C40C66FF867C}">
                  <a14:compatExt spid="_x0000_s1148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35</xdr:row>
          <xdr:rowOff>0</xdr:rowOff>
        </xdr:from>
        <xdr:to>
          <xdr:col>8</xdr:col>
          <xdr:colOff>627154</xdr:colOff>
          <xdr:row>35</xdr:row>
          <xdr:rowOff>229797</xdr:rowOff>
        </xdr:to>
        <xdr:sp macro="" textlink="">
          <xdr:nvSpPr>
            <xdr:cNvPr id="114873" name="Check Box 185" hidden="1">
              <a:extLst>
                <a:ext uri="{63B3BB69-23CF-44E3-9099-C40C66FF867C}">
                  <a14:compatExt spid="_x0000_s114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35</xdr:row>
          <xdr:rowOff>0</xdr:rowOff>
        </xdr:from>
        <xdr:to>
          <xdr:col>12</xdr:col>
          <xdr:colOff>627154</xdr:colOff>
          <xdr:row>35</xdr:row>
          <xdr:rowOff>229797</xdr:rowOff>
        </xdr:to>
        <xdr:sp macro="" textlink="">
          <xdr:nvSpPr>
            <xdr:cNvPr id="114874" name="Check Box 186" hidden="1">
              <a:extLst>
                <a:ext uri="{63B3BB69-23CF-44E3-9099-C40C66FF867C}">
                  <a14:compatExt spid="_x0000_s114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35</xdr:row>
          <xdr:rowOff>0</xdr:rowOff>
        </xdr:from>
        <xdr:to>
          <xdr:col>4</xdr:col>
          <xdr:colOff>627154</xdr:colOff>
          <xdr:row>35</xdr:row>
          <xdr:rowOff>229797</xdr:rowOff>
        </xdr:to>
        <xdr:sp macro="" textlink="">
          <xdr:nvSpPr>
            <xdr:cNvPr id="114875" name="Check Box 187" hidden="1">
              <a:extLst>
                <a:ext uri="{63B3BB69-23CF-44E3-9099-C40C66FF867C}">
                  <a14:compatExt spid="_x0000_s1148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23</xdr:row>
          <xdr:rowOff>19150</xdr:rowOff>
        </xdr:from>
        <xdr:to>
          <xdr:col>2</xdr:col>
          <xdr:colOff>627154</xdr:colOff>
          <xdr:row>23</xdr:row>
          <xdr:rowOff>239372</xdr:rowOff>
        </xdr:to>
        <xdr:sp macro="" textlink="">
          <xdr:nvSpPr>
            <xdr:cNvPr id="114878" name="Check Box 190" descr="Fosfaat" hidden="1">
              <a:extLst>
                <a:ext uri="{63B3BB69-23CF-44E3-9099-C40C66FF867C}">
                  <a14:compatExt spid="_x0000_s1148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23</xdr:row>
          <xdr:rowOff>19150</xdr:rowOff>
        </xdr:from>
        <xdr:to>
          <xdr:col>6</xdr:col>
          <xdr:colOff>627154</xdr:colOff>
          <xdr:row>23</xdr:row>
          <xdr:rowOff>239372</xdr:rowOff>
        </xdr:to>
        <xdr:sp macro="" textlink="">
          <xdr:nvSpPr>
            <xdr:cNvPr id="114879" name="Check Box 191" descr="Fosfaat" hidden="1">
              <a:extLst>
                <a:ext uri="{63B3BB69-23CF-44E3-9099-C40C66FF867C}">
                  <a14:compatExt spid="_x0000_s1148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23</xdr:row>
          <xdr:rowOff>19150</xdr:rowOff>
        </xdr:from>
        <xdr:to>
          <xdr:col>8</xdr:col>
          <xdr:colOff>627154</xdr:colOff>
          <xdr:row>23</xdr:row>
          <xdr:rowOff>239372</xdr:rowOff>
        </xdr:to>
        <xdr:sp macro="" textlink="">
          <xdr:nvSpPr>
            <xdr:cNvPr id="114880" name="Check Box 192" descr="Fosfaat" hidden="1">
              <a:extLst>
                <a:ext uri="{63B3BB69-23CF-44E3-9099-C40C66FF867C}">
                  <a14:compatExt spid="_x0000_s1148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23</xdr:row>
          <xdr:rowOff>19150</xdr:rowOff>
        </xdr:from>
        <xdr:to>
          <xdr:col>12</xdr:col>
          <xdr:colOff>627154</xdr:colOff>
          <xdr:row>23</xdr:row>
          <xdr:rowOff>239372</xdr:rowOff>
        </xdr:to>
        <xdr:sp macro="" textlink="">
          <xdr:nvSpPr>
            <xdr:cNvPr id="114881" name="Check Box 193" descr="Fosfaat" hidden="1">
              <a:extLst>
                <a:ext uri="{63B3BB69-23CF-44E3-9099-C40C66FF867C}">
                  <a14:compatExt spid="_x0000_s114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23</xdr:row>
          <xdr:rowOff>19150</xdr:rowOff>
        </xdr:from>
        <xdr:to>
          <xdr:col>4</xdr:col>
          <xdr:colOff>627154</xdr:colOff>
          <xdr:row>23</xdr:row>
          <xdr:rowOff>239372</xdr:rowOff>
        </xdr:to>
        <xdr:sp macro="" textlink="">
          <xdr:nvSpPr>
            <xdr:cNvPr id="114882" name="Check Box 194" descr="Fosfaat" hidden="1">
              <a:extLst>
                <a:ext uri="{63B3BB69-23CF-44E3-9099-C40C66FF867C}">
                  <a14:compatExt spid="_x0000_s1148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37</xdr:row>
          <xdr:rowOff>19150</xdr:rowOff>
        </xdr:from>
        <xdr:to>
          <xdr:col>2</xdr:col>
          <xdr:colOff>627154</xdr:colOff>
          <xdr:row>37</xdr:row>
          <xdr:rowOff>239372</xdr:rowOff>
        </xdr:to>
        <xdr:sp macro="" textlink="">
          <xdr:nvSpPr>
            <xdr:cNvPr id="114885" name="Check Box 197" descr="d-dimeren" hidden="1">
              <a:extLst>
                <a:ext uri="{63B3BB69-23CF-44E3-9099-C40C66FF867C}">
                  <a14:compatExt spid="_x0000_s1148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37</xdr:row>
          <xdr:rowOff>19150</xdr:rowOff>
        </xdr:from>
        <xdr:to>
          <xdr:col>6</xdr:col>
          <xdr:colOff>627154</xdr:colOff>
          <xdr:row>37</xdr:row>
          <xdr:rowOff>239372</xdr:rowOff>
        </xdr:to>
        <xdr:sp macro="" textlink="">
          <xdr:nvSpPr>
            <xdr:cNvPr id="114886" name="Check Box 198" descr="d-dimeren" hidden="1">
              <a:extLst>
                <a:ext uri="{63B3BB69-23CF-44E3-9099-C40C66FF867C}">
                  <a14:compatExt spid="_x0000_s1148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37</xdr:row>
          <xdr:rowOff>19150</xdr:rowOff>
        </xdr:from>
        <xdr:to>
          <xdr:col>8</xdr:col>
          <xdr:colOff>627154</xdr:colOff>
          <xdr:row>37</xdr:row>
          <xdr:rowOff>239372</xdr:rowOff>
        </xdr:to>
        <xdr:sp macro="" textlink="">
          <xdr:nvSpPr>
            <xdr:cNvPr id="114887" name="Check Box 199" descr="d-dimeren" hidden="1">
              <a:extLst>
                <a:ext uri="{63B3BB69-23CF-44E3-9099-C40C66FF867C}">
                  <a14:compatExt spid="_x0000_s114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37</xdr:row>
          <xdr:rowOff>19150</xdr:rowOff>
        </xdr:from>
        <xdr:to>
          <xdr:col>12</xdr:col>
          <xdr:colOff>627154</xdr:colOff>
          <xdr:row>37</xdr:row>
          <xdr:rowOff>239372</xdr:rowOff>
        </xdr:to>
        <xdr:sp macro="" textlink="">
          <xdr:nvSpPr>
            <xdr:cNvPr id="114888" name="Check Box 200" descr="d-dimeren" hidden="1">
              <a:extLst>
                <a:ext uri="{63B3BB69-23CF-44E3-9099-C40C66FF867C}">
                  <a14:compatExt spid="_x0000_s1148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37</xdr:row>
          <xdr:rowOff>19150</xdr:rowOff>
        </xdr:from>
        <xdr:to>
          <xdr:col>4</xdr:col>
          <xdr:colOff>627154</xdr:colOff>
          <xdr:row>37</xdr:row>
          <xdr:rowOff>239372</xdr:rowOff>
        </xdr:to>
        <xdr:sp macro="" textlink="">
          <xdr:nvSpPr>
            <xdr:cNvPr id="114889" name="Check Box 201" descr="d-dimeren" hidden="1">
              <a:extLst>
                <a:ext uri="{63B3BB69-23CF-44E3-9099-C40C66FF867C}">
                  <a14:compatExt spid="_x0000_s114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41</xdr:row>
          <xdr:rowOff>19150</xdr:rowOff>
        </xdr:from>
        <xdr:to>
          <xdr:col>2</xdr:col>
          <xdr:colOff>627154</xdr:colOff>
          <xdr:row>41</xdr:row>
          <xdr:rowOff>239372</xdr:rowOff>
        </xdr:to>
        <xdr:sp macro="" textlink="">
          <xdr:nvSpPr>
            <xdr:cNvPr id="114892" name="Check Box 204" descr="ACT" hidden="1">
              <a:extLst>
                <a:ext uri="{63B3BB69-23CF-44E3-9099-C40C66FF867C}">
                  <a14:compatExt spid="_x0000_s1148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39</xdr:row>
          <xdr:rowOff>19150</xdr:rowOff>
        </xdr:from>
        <xdr:to>
          <xdr:col>2</xdr:col>
          <xdr:colOff>627154</xdr:colOff>
          <xdr:row>39</xdr:row>
          <xdr:rowOff>239372</xdr:rowOff>
        </xdr:to>
        <xdr:sp macro="" textlink="">
          <xdr:nvSpPr>
            <xdr:cNvPr id="114893" name="Check Box 205" hidden="1">
              <a:extLst>
                <a:ext uri="{63B3BB69-23CF-44E3-9099-C40C66FF867C}">
                  <a14:compatExt spid="_x0000_s1148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39</xdr:row>
          <xdr:rowOff>19150</xdr:rowOff>
        </xdr:from>
        <xdr:to>
          <xdr:col>6</xdr:col>
          <xdr:colOff>627154</xdr:colOff>
          <xdr:row>39</xdr:row>
          <xdr:rowOff>239372</xdr:rowOff>
        </xdr:to>
        <xdr:sp macro="" textlink="">
          <xdr:nvSpPr>
            <xdr:cNvPr id="114894" name="Check Box 206" hidden="1">
              <a:extLst>
                <a:ext uri="{63B3BB69-23CF-44E3-9099-C40C66FF867C}">
                  <a14:compatExt spid="_x0000_s1148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39</xdr:row>
          <xdr:rowOff>19150</xdr:rowOff>
        </xdr:from>
        <xdr:to>
          <xdr:col>8</xdr:col>
          <xdr:colOff>627154</xdr:colOff>
          <xdr:row>39</xdr:row>
          <xdr:rowOff>239372</xdr:rowOff>
        </xdr:to>
        <xdr:sp macro="" textlink="">
          <xdr:nvSpPr>
            <xdr:cNvPr id="114895" name="Check Box 207" hidden="1">
              <a:extLst>
                <a:ext uri="{63B3BB69-23CF-44E3-9099-C40C66FF867C}">
                  <a14:compatExt spid="_x0000_s1148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39</xdr:row>
          <xdr:rowOff>19150</xdr:rowOff>
        </xdr:from>
        <xdr:to>
          <xdr:col>12</xdr:col>
          <xdr:colOff>627154</xdr:colOff>
          <xdr:row>39</xdr:row>
          <xdr:rowOff>239372</xdr:rowOff>
        </xdr:to>
        <xdr:sp macro="" textlink="">
          <xdr:nvSpPr>
            <xdr:cNvPr id="114896" name="Check Box 208" hidden="1">
              <a:extLst>
                <a:ext uri="{63B3BB69-23CF-44E3-9099-C40C66FF867C}">
                  <a14:compatExt spid="_x0000_s1148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39</xdr:row>
          <xdr:rowOff>19150</xdr:rowOff>
        </xdr:from>
        <xdr:to>
          <xdr:col>4</xdr:col>
          <xdr:colOff>627154</xdr:colOff>
          <xdr:row>39</xdr:row>
          <xdr:rowOff>239372</xdr:rowOff>
        </xdr:to>
        <xdr:sp macro="" textlink="">
          <xdr:nvSpPr>
            <xdr:cNvPr id="114897" name="Check Box 209" hidden="1">
              <a:extLst>
                <a:ext uri="{63B3BB69-23CF-44E3-9099-C40C66FF867C}">
                  <a14:compatExt spid="_x0000_s114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40</xdr:row>
          <xdr:rowOff>19150</xdr:rowOff>
        </xdr:from>
        <xdr:to>
          <xdr:col>2</xdr:col>
          <xdr:colOff>627154</xdr:colOff>
          <xdr:row>40</xdr:row>
          <xdr:rowOff>239372</xdr:rowOff>
        </xdr:to>
        <xdr:sp macro="" textlink="">
          <xdr:nvSpPr>
            <xdr:cNvPr id="114900" name="Check Box 212" hidden="1">
              <a:extLst>
                <a:ext uri="{63B3BB69-23CF-44E3-9099-C40C66FF867C}">
                  <a14:compatExt spid="_x0000_s1149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40</xdr:row>
          <xdr:rowOff>19150</xdr:rowOff>
        </xdr:from>
        <xdr:to>
          <xdr:col>6</xdr:col>
          <xdr:colOff>627154</xdr:colOff>
          <xdr:row>40</xdr:row>
          <xdr:rowOff>239372</xdr:rowOff>
        </xdr:to>
        <xdr:sp macro="" textlink="">
          <xdr:nvSpPr>
            <xdr:cNvPr id="114901" name="Check Box 213" hidden="1">
              <a:extLst>
                <a:ext uri="{63B3BB69-23CF-44E3-9099-C40C66FF867C}">
                  <a14:compatExt spid="_x0000_s1149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40</xdr:row>
          <xdr:rowOff>19150</xdr:rowOff>
        </xdr:from>
        <xdr:to>
          <xdr:col>8</xdr:col>
          <xdr:colOff>627154</xdr:colOff>
          <xdr:row>40</xdr:row>
          <xdr:rowOff>239372</xdr:rowOff>
        </xdr:to>
        <xdr:sp macro="" textlink="">
          <xdr:nvSpPr>
            <xdr:cNvPr id="114902" name="Check Box 214" hidden="1">
              <a:extLst>
                <a:ext uri="{63B3BB69-23CF-44E3-9099-C40C66FF867C}">
                  <a14:compatExt spid="_x0000_s1149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40</xdr:row>
          <xdr:rowOff>19150</xdr:rowOff>
        </xdr:from>
        <xdr:to>
          <xdr:col>12</xdr:col>
          <xdr:colOff>627154</xdr:colOff>
          <xdr:row>40</xdr:row>
          <xdr:rowOff>239372</xdr:rowOff>
        </xdr:to>
        <xdr:sp macro="" textlink="">
          <xdr:nvSpPr>
            <xdr:cNvPr id="114903" name="Check Box 215" hidden="1">
              <a:extLst>
                <a:ext uri="{63B3BB69-23CF-44E3-9099-C40C66FF867C}">
                  <a14:compatExt spid="_x0000_s1149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40</xdr:row>
          <xdr:rowOff>19150</xdr:rowOff>
        </xdr:from>
        <xdr:to>
          <xdr:col>4</xdr:col>
          <xdr:colOff>627154</xdr:colOff>
          <xdr:row>40</xdr:row>
          <xdr:rowOff>239372</xdr:rowOff>
        </xdr:to>
        <xdr:sp macro="" textlink="">
          <xdr:nvSpPr>
            <xdr:cNvPr id="114904" name="Check Box 216" hidden="1">
              <a:extLst>
                <a:ext uri="{63B3BB69-23CF-44E3-9099-C40C66FF867C}">
                  <a14:compatExt spid="_x0000_s1149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143623</xdr:colOff>
          <xdr:row>2</xdr:row>
          <xdr:rowOff>57449</xdr:rowOff>
        </xdr:from>
        <xdr:to>
          <xdr:col>10</xdr:col>
          <xdr:colOff>143623</xdr:colOff>
          <xdr:row>3</xdr:row>
          <xdr:rowOff>9575</xdr:rowOff>
        </xdr:to>
        <xdr:sp macro="" textlink="">
          <xdr:nvSpPr>
            <xdr:cNvPr id="114905" name="Spinner 217" hidden="1">
              <a:extLst>
                <a:ext uri="{63B3BB69-23CF-44E3-9099-C40C66FF867C}">
                  <a14:compatExt spid="_x0000_s114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9</xdr:col>
      <xdr:colOff>19050</xdr:colOff>
      <xdr:row>1</xdr:row>
      <xdr:rowOff>47625</xdr:rowOff>
    </xdr:from>
    <xdr:to>
      <xdr:col>10</xdr:col>
      <xdr:colOff>0</xdr:colOff>
      <xdr:row>2</xdr:row>
      <xdr:rowOff>9525</xdr:rowOff>
    </xdr:to>
    <xdr:sp macro="[0]!InGewicht" textlink="">
      <xdr:nvSpPr>
        <xdr:cNvPr id="161" name="Rectangle 113"/>
        <xdr:cNvSpPr>
          <a:spLocks noChangeArrowheads="1"/>
        </xdr:cNvSpPr>
      </xdr:nvSpPr>
      <xdr:spPr bwMode="auto">
        <a:xfrm>
          <a:off x="8410575" y="142875"/>
          <a:ext cx="590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9</xdr:col>
      <xdr:colOff>609600</xdr:colOff>
      <xdr:row>2</xdr:row>
      <xdr:rowOff>171450</xdr:rowOff>
    </xdr:to>
    <xdr:sp macro="[0]!InLengte" textlink="">
      <xdr:nvSpPr>
        <xdr:cNvPr id="162" name="Rectangle 114"/>
        <xdr:cNvSpPr>
          <a:spLocks noChangeArrowheads="1"/>
        </xdr:cNvSpPr>
      </xdr:nvSpPr>
      <xdr:spPr bwMode="auto">
        <a:xfrm>
          <a:off x="8420100" y="333375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163" name="Rectangle 115"/>
        <xdr:cNvSpPr>
          <a:spLocks noChangeArrowheads="1"/>
        </xdr:cNvSpPr>
      </xdr:nvSpPr>
      <xdr:spPr bwMode="auto">
        <a:xfrm flipV="1">
          <a:off x="2686050" y="314325"/>
          <a:ext cx="16383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411719</xdr:colOff>
          <xdr:row>2</xdr:row>
          <xdr:rowOff>0</xdr:rowOff>
        </xdr:from>
        <xdr:to>
          <xdr:col>9</xdr:col>
          <xdr:colOff>588854</xdr:colOff>
          <xdr:row>2</xdr:row>
          <xdr:rowOff>181923</xdr:rowOff>
        </xdr:to>
        <xdr:sp macro="" textlink="">
          <xdr:nvSpPr>
            <xdr:cNvPr id="198657" name="Spinner 1" hidden="1">
              <a:extLst>
                <a:ext uri="{63B3BB69-23CF-44E3-9099-C40C66FF867C}">
                  <a14:compatExt spid="_x0000_s198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19050</xdr:colOff>
      <xdr:row>2</xdr:row>
      <xdr:rowOff>38100</xdr:rowOff>
    </xdr:from>
    <xdr:to>
      <xdr:col>6</xdr:col>
      <xdr:colOff>990600</xdr:colOff>
      <xdr:row>3</xdr:row>
      <xdr:rowOff>0</xdr:rowOff>
    </xdr:to>
    <xdr:sp macro="[0]!InGewicht" textlink="">
      <xdr:nvSpPr>
        <xdr:cNvPr id="3" name="Rectangle 47"/>
        <xdr:cNvSpPr>
          <a:spLocks noChangeArrowheads="1"/>
        </xdr:cNvSpPr>
      </xdr:nvSpPr>
      <xdr:spPr bwMode="auto">
        <a:xfrm>
          <a:off x="7324725" y="419100"/>
          <a:ext cx="9525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19050</xdr:rowOff>
    </xdr:from>
    <xdr:to>
      <xdr:col>8</xdr:col>
      <xdr:colOff>628650</xdr:colOff>
      <xdr:row>2</xdr:row>
      <xdr:rowOff>171450</xdr:rowOff>
    </xdr:to>
    <xdr:sp macro="[0]!InLengte" textlink="">
      <xdr:nvSpPr>
        <xdr:cNvPr id="4" name="Rectangle 48"/>
        <xdr:cNvSpPr>
          <a:spLocks noChangeArrowheads="1"/>
        </xdr:cNvSpPr>
      </xdr:nvSpPr>
      <xdr:spPr bwMode="auto">
        <a:xfrm>
          <a:off x="87915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2</xdr:row>
      <xdr:rowOff>0</xdr:rowOff>
    </xdr:from>
    <xdr:to>
      <xdr:col>3</xdr:col>
      <xdr:colOff>1047750</xdr:colOff>
      <xdr:row>3</xdr:row>
      <xdr:rowOff>0</xdr:rowOff>
    </xdr:to>
    <xdr:sp macro="[0]!NieuwePatient" textlink="">
      <xdr:nvSpPr>
        <xdr:cNvPr id="5" name="Rectangle 49"/>
        <xdr:cNvSpPr>
          <a:spLocks noChangeArrowheads="1"/>
        </xdr:cNvSpPr>
      </xdr:nvSpPr>
      <xdr:spPr bwMode="auto">
        <a:xfrm flipV="1">
          <a:off x="2343150" y="381000"/>
          <a:ext cx="211455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6</xdr:row>
          <xdr:rowOff>19150</xdr:rowOff>
        </xdr:from>
        <xdr:to>
          <xdr:col>5</xdr:col>
          <xdr:colOff>1230371</xdr:colOff>
          <xdr:row>6</xdr:row>
          <xdr:rowOff>220222</xdr:rowOff>
        </xdr:to>
        <xdr:sp macro="" textlink="">
          <xdr:nvSpPr>
            <xdr:cNvPr id="198689" name="Check Box 33" hidden="1">
              <a:extLst>
                <a:ext uri="{63B3BB69-23CF-44E3-9099-C40C66FF867C}">
                  <a14:compatExt spid="_x0000_s198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7</xdr:row>
          <xdr:rowOff>19150</xdr:rowOff>
        </xdr:from>
        <xdr:to>
          <xdr:col>5</xdr:col>
          <xdr:colOff>1230371</xdr:colOff>
          <xdr:row>7</xdr:row>
          <xdr:rowOff>220222</xdr:rowOff>
        </xdr:to>
        <xdr:sp macro="" textlink="">
          <xdr:nvSpPr>
            <xdr:cNvPr id="198701" name="Check Box 45" hidden="1">
              <a:extLst>
                <a:ext uri="{63B3BB69-23CF-44E3-9099-C40C66FF867C}">
                  <a14:compatExt spid="_x0000_s198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10</xdr:row>
          <xdr:rowOff>28725</xdr:rowOff>
        </xdr:from>
        <xdr:to>
          <xdr:col>2</xdr:col>
          <xdr:colOff>713328</xdr:colOff>
          <xdr:row>10</xdr:row>
          <xdr:rowOff>210647</xdr:rowOff>
        </xdr:to>
        <xdr:sp macro="" textlink="">
          <xdr:nvSpPr>
            <xdr:cNvPr id="198713" name="Spinner 57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24</xdr:row>
          <xdr:rowOff>19150</xdr:rowOff>
        </xdr:from>
        <xdr:to>
          <xdr:col>1</xdr:col>
          <xdr:colOff>1230371</xdr:colOff>
          <xdr:row>24</xdr:row>
          <xdr:rowOff>220222</xdr:rowOff>
        </xdr:to>
        <xdr:sp macro="" textlink="">
          <xdr:nvSpPr>
            <xdr:cNvPr id="198717" name="Check Box 61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25</xdr:row>
          <xdr:rowOff>28725</xdr:rowOff>
        </xdr:from>
        <xdr:to>
          <xdr:col>1</xdr:col>
          <xdr:colOff>1560704</xdr:colOff>
          <xdr:row>25</xdr:row>
          <xdr:rowOff>220222</xdr:rowOff>
        </xdr:to>
        <xdr:sp macro="" textlink="">
          <xdr:nvSpPr>
            <xdr:cNvPr id="198718" name="Check Box 62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28</xdr:row>
          <xdr:rowOff>19150</xdr:rowOff>
        </xdr:from>
        <xdr:to>
          <xdr:col>1</xdr:col>
          <xdr:colOff>1230371</xdr:colOff>
          <xdr:row>28</xdr:row>
          <xdr:rowOff>220222</xdr:rowOff>
        </xdr:to>
        <xdr:sp macro="" textlink="">
          <xdr:nvSpPr>
            <xdr:cNvPr id="198720" name="Check Box 64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28</xdr:row>
          <xdr:rowOff>9575</xdr:rowOff>
        </xdr:from>
        <xdr:to>
          <xdr:col>2</xdr:col>
          <xdr:colOff>1029298</xdr:colOff>
          <xdr:row>28</xdr:row>
          <xdr:rowOff>220222</xdr:rowOff>
        </xdr:to>
        <xdr:sp macro="" textlink="">
          <xdr:nvSpPr>
            <xdr:cNvPr id="198723" name="Drop Down 67" hidden="1">
              <a:extLst>
                <a:ext uri="{63B3BB69-23CF-44E3-9099-C40C66FF867C}">
                  <a14:compatExt spid="_x0000_s198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28</xdr:row>
          <xdr:rowOff>9575</xdr:rowOff>
        </xdr:from>
        <xdr:to>
          <xdr:col>3</xdr:col>
          <xdr:colOff>923975</xdr:colOff>
          <xdr:row>28</xdr:row>
          <xdr:rowOff>220222</xdr:rowOff>
        </xdr:to>
        <xdr:sp macro="" textlink="">
          <xdr:nvSpPr>
            <xdr:cNvPr id="198724" name="Drop Down 68" hidden="1">
              <a:extLst>
                <a:ext uri="{63B3BB69-23CF-44E3-9099-C40C66FF867C}">
                  <a14:compatExt spid="_x0000_s198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29</xdr:row>
          <xdr:rowOff>19150</xdr:rowOff>
        </xdr:from>
        <xdr:to>
          <xdr:col>1</xdr:col>
          <xdr:colOff>1230371</xdr:colOff>
          <xdr:row>29</xdr:row>
          <xdr:rowOff>220222</xdr:rowOff>
        </xdr:to>
        <xdr:sp macro="" textlink="">
          <xdr:nvSpPr>
            <xdr:cNvPr id="198725" name="Check Box 69" hidden="1">
              <a:extLst>
                <a:ext uri="{63B3BB69-23CF-44E3-9099-C40C66FF867C}">
                  <a14:compatExt spid="_x0000_s198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29</xdr:row>
          <xdr:rowOff>9575</xdr:rowOff>
        </xdr:from>
        <xdr:to>
          <xdr:col>2</xdr:col>
          <xdr:colOff>1029298</xdr:colOff>
          <xdr:row>29</xdr:row>
          <xdr:rowOff>220222</xdr:rowOff>
        </xdr:to>
        <xdr:sp macro="" textlink="">
          <xdr:nvSpPr>
            <xdr:cNvPr id="198728" name="Drop Down 72" hidden="1">
              <a:extLst>
                <a:ext uri="{63B3BB69-23CF-44E3-9099-C40C66FF867C}">
                  <a14:compatExt spid="_x0000_s198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29</xdr:row>
          <xdr:rowOff>9575</xdr:rowOff>
        </xdr:from>
        <xdr:to>
          <xdr:col>3</xdr:col>
          <xdr:colOff>923975</xdr:colOff>
          <xdr:row>29</xdr:row>
          <xdr:rowOff>220222</xdr:rowOff>
        </xdr:to>
        <xdr:sp macro="" textlink="">
          <xdr:nvSpPr>
            <xdr:cNvPr id="198729" name="Drop Down 73" hidden="1">
              <a:extLst>
                <a:ext uri="{63B3BB69-23CF-44E3-9099-C40C66FF867C}">
                  <a14:compatExt spid="_x0000_s198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7</xdr:row>
          <xdr:rowOff>19150</xdr:rowOff>
        </xdr:from>
        <xdr:to>
          <xdr:col>1</xdr:col>
          <xdr:colOff>1230371</xdr:colOff>
          <xdr:row>7</xdr:row>
          <xdr:rowOff>220222</xdr:rowOff>
        </xdr:to>
        <xdr:sp macro="" textlink="">
          <xdr:nvSpPr>
            <xdr:cNvPr id="198731" name="Check Box 75" hidden="1">
              <a:extLst>
                <a:ext uri="{63B3BB69-23CF-44E3-9099-C40C66FF867C}">
                  <a14:compatExt spid="_x0000_s198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8</xdr:row>
          <xdr:rowOff>19150</xdr:rowOff>
        </xdr:from>
        <xdr:to>
          <xdr:col>1</xdr:col>
          <xdr:colOff>1230371</xdr:colOff>
          <xdr:row>8</xdr:row>
          <xdr:rowOff>220222</xdr:rowOff>
        </xdr:to>
        <xdr:sp macro="" textlink="">
          <xdr:nvSpPr>
            <xdr:cNvPr id="198732" name="Check Box 76" hidden="1">
              <a:extLst>
                <a:ext uri="{63B3BB69-23CF-44E3-9099-C40C66FF867C}">
                  <a14:compatExt spid="_x0000_s198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23</xdr:row>
          <xdr:rowOff>19150</xdr:rowOff>
        </xdr:from>
        <xdr:to>
          <xdr:col>1</xdr:col>
          <xdr:colOff>1230371</xdr:colOff>
          <xdr:row>23</xdr:row>
          <xdr:rowOff>220222</xdr:rowOff>
        </xdr:to>
        <xdr:sp macro="" textlink="">
          <xdr:nvSpPr>
            <xdr:cNvPr id="198739" name="Check Box 83" hidden="1">
              <a:extLst>
                <a:ext uri="{63B3BB69-23CF-44E3-9099-C40C66FF867C}">
                  <a14:compatExt spid="_x0000_s198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10</xdr:row>
          <xdr:rowOff>19150</xdr:rowOff>
        </xdr:from>
        <xdr:to>
          <xdr:col>1</xdr:col>
          <xdr:colOff>1230371</xdr:colOff>
          <xdr:row>10</xdr:row>
          <xdr:rowOff>220222</xdr:rowOff>
        </xdr:to>
        <xdr:sp macro="" textlink="">
          <xdr:nvSpPr>
            <xdr:cNvPr id="198742" name="Check Box 86" hidden="1">
              <a:extLst>
                <a:ext uri="{63B3BB69-23CF-44E3-9099-C40C66FF867C}">
                  <a14:compatExt spid="_x0000_s198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14</xdr:row>
          <xdr:rowOff>19150</xdr:rowOff>
        </xdr:from>
        <xdr:to>
          <xdr:col>1</xdr:col>
          <xdr:colOff>1493680</xdr:colOff>
          <xdr:row>14</xdr:row>
          <xdr:rowOff>220222</xdr:rowOff>
        </xdr:to>
        <xdr:sp macro="" textlink="">
          <xdr:nvSpPr>
            <xdr:cNvPr id="198743" name="Check Box 87" hidden="1">
              <a:extLst>
                <a:ext uri="{63B3BB69-23CF-44E3-9099-C40C66FF867C}">
                  <a14:compatExt spid="_x0000_s198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15</xdr:row>
          <xdr:rowOff>19150</xdr:rowOff>
        </xdr:from>
        <xdr:to>
          <xdr:col>1</xdr:col>
          <xdr:colOff>1493680</xdr:colOff>
          <xdr:row>15</xdr:row>
          <xdr:rowOff>220222</xdr:rowOff>
        </xdr:to>
        <xdr:sp macro="" textlink="">
          <xdr:nvSpPr>
            <xdr:cNvPr id="198744" name="Check Box 88" hidden="1">
              <a:extLst>
                <a:ext uri="{63B3BB69-23CF-44E3-9099-C40C66FF867C}">
                  <a14:compatExt spid="_x0000_s198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16</xdr:row>
          <xdr:rowOff>19150</xdr:rowOff>
        </xdr:from>
        <xdr:to>
          <xdr:col>1</xdr:col>
          <xdr:colOff>1493680</xdr:colOff>
          <xdr:row>16</xdr:row>
          <xdr:rowOff>220222</xdr:rowOff>
        </xdr:to>
        <xdr:sp macro="" textlink="">
          <xdr:nvSpPr>
            <xdr:cNvPr id="198745" name="Check Box 89" hidden="1">
              <a:extLst>
                <a:ext uri="{63B3BB69-23CF-44E3-9099-C40C66FF867C}">
                  <a14:compatExt spid="_x0000_s198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10</xdr:row>
          <xdr:rowOff>19150</xdr:rowOff>
        </xdr:from>
        <xdr:to>
          <xdr:col>3</xdr:col>
          <xdr:colOff>923975</xdr:colOff>
          <xdr:row>10</xdr:row>
          <xdr:rowOff>220222</xdr:rowOff>
        </xdr:to>
        <xdr:sp macro="" textlink="">
          <xdr:nvSpPr>
            <xdr:cNvPr id="198748" name="Check Box 92" hidden="1">
              <a:extLst>
                <a:ext uri="{63B3BB69-23CF-44E3-9099-C40C66FF867C}">
                  <a14:compatExt spid="_x0000_s198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11</xdr:row>
          <xdr:rowOff>19150</xdr:rowOff>
        </xdr:from>
        <xdr:to>
          <xdr:col>3</xdr:col>
          <xdr:colOff>923975</xdr:colOff>
          <xdr:row>11</xdr:row>
          <xdr:rowOff>220222</xdr:rowOff>
        </xdr:to>
        <xdr:sp macro="" textlink="">
          <xdr:nvSpPr>
            <xdr:cNvPr id="198749" name="Check Box 93" hidden="1">
              <a:extLst>
                <a:ext uri="{63B3BB69-23CF-44E3-9099-C40C66FF867C}">
                  <a14:compatExt spid="_x0000_s198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12</xdr:row>
          <xdr:rowOff>19150</xdr:rowOff>
        </xdr:from>
        <xdr:to>
          <xdr:col>3</xdr:col>
          <xdr:colOff>923975</xdr:colOff>
          <xdr:row>12</xdr:row>
          <xdr:rowOff>220222</xdr:rowOff>
        </xdr:to>
        <xdr:sp macro="" textlink="">
          <xdr:nvSpPr>
            <xdr:cNvPr id="198750" name="Check Box 94" hidden="1">
              <a:extLst>
                <a:ext uri="{63B3BB69-23CF-44E3-9099-C40C66FF867C}">
                  <a14:compatExt spid="_x0000_s198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13</xdr:row>
          <xdr:rowOff>19150</xdr:rowOff>
        </xdr:from>
        <xdr:to>
          <xdr:col>3</xdr:col>
          <xdr:colOff>923975</xdr:colOff>
          <xdr:row>13</xdr:row>
          <xdr:rowOff>220222</xdr:rowOff>
        </xdr:to>
        <xdr:sp macro="" textlink="">
          <xdr:nvSpPr>
            <xdr:cNvPr id="198751" name="Check Box 95" hidden="1">
              <a:extLst>
                <a:ext uri="{63B3BB69-23CF-44E3-9099-C40C66FF867C}">
                  <a14:compatExt spid="_x0000_s198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xdr:twoCellAnchor>
    <xdr:from>
      <xdr:col>9</xdr:col>
      <xdr:colOff>0</xdr:colOff>
      <xdr:row>11</xdr:row>
      <xdr:rowOff>0</xdr:rowOff>
    </xdr:from>
    <xdr:to>
      <xdr:col>10</xdr:col>
      <xdr:colOff>9525</xdr:colOff>
      <xdr:row>11</xdr:row>
      <xdr:rowOff>209550</xdr:rowOff>
    </xdr:to>
    <xdr:sp macro="[0]!MedTekstVerliezenCompenserenPed" textlink="">
      <xdr:nvSpPr>
        <xdr:cNvPr id="102" name="Rectangle 165"/>
        <xdr:cNvSpPr>
          <a:spLocks noChangeArrowheads="1"/>
        </xdr:cNvSpPr>
      </xdr:nvSpPr>
      <xdr:spPr bwMode="auto">
        <a:xfrm>
          <a:off x="10563225" y="4572000"/>
          <a:ext cx="10477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22</xdr:row>
          <xdr:rowOff>19150</xdr:rowOff>
        </xdr:from>
        <xdr:to>
          <xdr:col>1</xdr:col>
          <xdr:colOff>1230371</xdr:colOff>
          <xdr:row>22</xdr:row>
          <xdr:rowOff>220222</xdr:rowOff>
        </xdr:to>
        <xdr:sp macro="" textlink="">
          <xdr:nvSpPr>
            <xdr:cNvPr id="198753" name="Check Box 97" hidden="1">
              <a:extLst>
                <a:ext uri="{63B3BB69-23CF-44E3-9099-C40C66FF867C}">
                  <a14:compatExt spid="_x0000_s198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CFM</a:t>
              </a:r>
            </a:p>
          </xdr:txBody>
        </xdr:sp>
        <xdr:clientData/>
      </xdr:twoCellAnchor>
    </mc:Choice>
    <mc:Fallback/>
  </mc:AlternateContent>
  <xdr:twoCellAnchor>
    <xdr:from>
      <xdr:col>5</xdr:col>
      <xdr:colOff>19049</xdr:colOff>
      <xdr:row>17</xdr:row>
      <xdr:rowOff>9524</xdr:rowOff>
    </xdr:from>
    <xdr:to>
      <xdr:col>7</xdr:col>
      <xdr:colOff>771524</xdr:colOff>
      <xdr:row>19</xdr:row>
      <xdr:rowOff>209549</xdr:rowOff>
    </xdr:to>
    <xdr:sp macro="[0]!MedTekstAanvullendeAfsprakenOverigePed" textlink="">
      <xdr:nvSpPr>
        <xdr:cNvPr id="53" name="Rectangle 165"/>
        <xdr:cNvSpPr>
          <a:spLocks noChangeArrowheads="1"/>
        </xdr:cNvSpPr>
      </xdr:nvSpPr>
      <xdr:spPr bwMode="auto">
        <a:xfrm>
          <a:off x="5543549" y="2524124"/>
          <a:ext cx="3648075" cy="657225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9</xdr:row>
          <xdr:rowOff>19150</xdr:rowOff>
        </xdr:from>
        <xdr:to>
          <xdr:col>1</xdr:col>
          <xdr:colOff>1230371</xdr:colOff>
          <xdr:row>9</xdr:row>
          <xdr:rowOff>220222</xdr:rowOff>
        </xdr:to>
        <xdr:sp macro="" textlink="">
          <xdr:nvSpPr>
            <xdr:cNvPr id="198765" name="Check Box 109" hidden="1">
              <a:extLst>
                <a:ext uri="{63B3BB69-23CF-44E3-9099-C40C66FF867C}">
                  <a14:compatExt spid="_x0000_s1987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Schedelomvang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7</xdr:row>
          <xdr:rowOff>28725</xdr:rowOff>
        </xdr:from>
        <xdr:to>
          <xdr:col>2</xdr:col>
          <xdr:colOff>713328</xdr:colOff>
          <xdr:row>7</xdr:row>
          <xdr:rowOff>210647</xdr:rowOff>
        </xdr:to>
        <xdr:sp macro="" textlink="">
          <xdr:nvSpPr>
            <xdr:cNvPr id="198769" name="Spinner 113" hidden="1">
              <a:extLst>
                <a:ext uri="{63B3BB69-23CF-44E3-9099-C40C66FF867C}">
                  <a14:compatExt spid="_x0000_s198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98770" name="Spinner 114" hidden="1">
              <a:extLst>
                <a:ext uri="{63B3BB69-23CF-44E3-9099-C40C66FF867C}">
                  <a14:compatExt spid="_x0000_s1987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98771" name="Spinner 115" hidden="1">
              <a:extLst>
                <a:ext uri="{63B3BB69-23CF-44E3-9099-C40C66FF867C}">
                  <a14:compatExt spid="_x0000_s1987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7</xdr:row>
          <xdr:rowOff>9575</xdr:rowOff>
        </xdr:from>
        <xdr:to>
          <xdr:col>3</xdr:col>
          <xdr:colOff>1029298</xdr:colOff>
          <xdr:row>7</xdr:row>
          <xdr:rowOff>220222</xdr:rowOff>
        </xdr:to>
        <xdr:sp macro="" textlink="">
          <xdr:nvSpPr>
            <xdr:cNvPr id="198773" name="Drop Down 117" hidden="1">
              <a:extLst>
                <a:ext uri="{63B3BB69-23CF-44E3-9099-C40C66FF867C}">
                  <a14:compatExt spid="_x0000_s1987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8</xdr:row>
          <xdr:rowOff>9575</xdr:rowOff>
        </xdr:from>
        <xdr:to>
          <xdr:col>3</xdr:col>
          <xdr:colOff>1029298</xdr:colOff>
          <xdr:row>8</xdr:row>
          <xdr:rowOff>220222</xdr:rowOff>
        </xdr:to>
        <xdr:sp macro="" textlink="">
          <xdr:nvSpPr>
            <xdr:cNvPr id="198774" name="Drop Down 118" hidden="1">
              <a:extLst>
                <a:ext uri="{63B3BB69-23CF-44E3-9099-C40C66FF867C}">
                  <a14:compatExt spid="_x0000_s1987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9</xdr:row>
          <xdr:rowOff>9575</xdr:rowOff>
        </xdr:from>
        <xdr:to>
          <xdr:col>3</xdr:col>
          <xdr:colOff>1029298</xdr:colOff>
          <xdr:row>9</xdr:row>
          <xdr:rowOff>220222</xdr:rowOff>
        </xdr:to>
        <xdr:sp macro="" textlink="">
          <xdr:nvSpPr>
            <xdr:cNvPr id="198775" name="Drop Down 119" hidden="1">
              <a:extLst>
                <a:ext uri="{63B3BB69-23CF-44E3-9099-C40C66FF867C}">
                  <a14:compatExt spid="_x0000_s1987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98777" name="Spinner 121" hidden="1">
              <a:extLst>
                <a:ext uri="{63B3BB69-23CF-44E3-9099-C40C66FF867C}">
                  <a14:compatExt spid="_x0000_s1987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98778" name="Spinner 122" hidden="1">
              <a:extLst>
                <a:ext uri="{63B3BB69-23CF-44E3-9099-C40C66FF867C}">
                  <a14:compatExt spid="_x0000_s1987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28</xdr:row>
          <xdr:rowOff>9575</xdr:rowOff>
        </xdr:from>
        <xdr:to>
          <xdr:col>4</xdr:col>
          <xdr:colOff>923975</xdr:colOff>
          <xdr:row>28</xdr:row>
          <xdr:rowOff>220222</xdr:rowOff>
        </xdr:to>
        <xdr:sp macro="" textlink="">
          <xdr:nvSpPr>
            <xdr:cNvPr id="198782" name="Drop Down 126" hidden="1">
              <a:extLst>
                <a:ext uri="{63B3BB69-23CF-44E3-9099-C40C66FF867C}">
                  <a14:compatExt spid="_x0000_s1987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29</xdr:row>
          <xdr:rowOff>9575</xdr:rowOff>
        </xdr:from>
        <xdr:to>
          <xdr:col>4</xdr:col>
          <xdr:colOff>923975</xdr:colOff>
          <xdr:row>29</xdr:row>
          <xdr:rowOff>220222</xdr:rowOff>
        </xdr:to>
        <xdr:sp macro="" textlink="">
          <xdr:nvSpPr>
            <xdr:cNvPr id="198783" name="Drop Down 127" hidden="1">
              <a:extLst>
                <a:ext uri="{63B3BB69-23CF-44E3-9099-C40C66FF867C}">
                  <a14:compatExt spid="_x0000_s1987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30</xdr:row>
          <xdr:rowOff>19150</xdr:rowOff>
        </xdr:from>
        <xdr:to>
          <xdr:col>1</xdr:col>
          <xdr:colOff>1230371</xdr:colOff>
          <xdr:row>30</xdr:row>
          <xdr:rowOff>220222</xdr:rowOff>
        </xdr:to>
        <xdr:sp macro="" textlink="">
          <xdr:nvSpPr>
            <xdr:cNvPr id="198784" name="Check Box 128" hidden="1">
              <a:extLst>
                <a:ext uri="{63B3BB69-23CF-44E3-9099-C40C66FF867C}">
                  <a14:compatExt spid="_x0000_s1987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30</xdr:row>
          <xdr:rowOff>9575</xdr:rowOff>
        </xdr:from>
        <xdr:to>
          <xdr:col>2</xdr:col>
          <xdr:colOff>1029298</xdr:colOff>
          <xdr:row>30</xdr:row>
          <xdr:rowOff>220222</xdr:rowOff>
        </xdr:to>
        <xdr:sp macro="" textlink="">
          <xdr:nvSpPr>
            <xdr:cNvPr id="198785" name="Drop Down 129" hidden="1">
              <a:extLst>
                <a:ext uri="{63B3BB69-23CF-44E3-9099-C40C66FF867C}">
                  <a14:compatExt spid="_x0000_s1987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30</xdr:row>
          <xdr:rowOff>9575</xdr:rowOff>
        </xdr:from>
        <xdr:to>
          <xdr:col>3</xdr:col>
          <xdr:colOff>923975</xdr:colOff>
          <xdr:row>30</xdr:row>
          <xdr:rowOff>220222</xdr:rowOff>
        </xdr:to>
        <xdr:sp macro="" textlink="">
          <xdr:nvSpPr>
            <xdr:cNvPr id="198786" name="Drop Down 130" hidden="1">
              <a:extLst>
                <a:ext uri="{63B3BB69-23CF-44E3-9099-C40C66FF867C}">
                  <a14:compatExt spid="_x0000_s1987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30</xdr:row>
          <xdr:rowOff>9575</xdr:rowOff>
        </xdr:from>
        <xdr:to>
          <xdr:col>4</xdr:col>
          <xdr:colOff>923975</xdr:colOff>
          <xdr:row>30</xdr:row>
          <xdr:rowOff>220222</xdr:rowOff>
        </xdr:to>
        <xdr:sp macro="" textlink="">
          <xdr:nvSpPr>
            <xdr:cNvPr id="198787" name="Drop Down 131" hidden="1">
              <a:extLst>
                <a:ext uri="{63B3BB69-23CF-44E3-9099-C40C66FF867C}">
                  <a14:compatExt spid="_x0000_s1987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31</xdr:row>
          <xdr:rowOff>19150</xdr:rowOff>
        </xdr:from>
        <xdr:to>
          <xdr:col>1</xdr:col>
          <xdr:colOff>1230371</xdr:colOff>
          <xdr:row>31</xdr:row>
          <xdr:rowOff>220222</xdr:rowOff>
        </xdr:to>
        <xdr:sp macro="" textlink="">
          <xdr:nvSpPr>
            <xdr:cNvPr id="198797" name="Check Box 141" hidden="1">
              <a:extLst>
                <a:ext uri="{63B3BB69-23CF-44E3-9099-C40C66FF867C}">
                  <a14:compatExt spid="_x0000_s198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33</xdr:row>
          <xdr:rowOff>19150</xdr:rowOff>
        </xdr:from>
        <xdr:to>
          <xdr:col>1</xdr:col>
          <xdr:colOff>1230371</xdr:colOff>
          <xdr:row>33</xdr:row>
          <xdr:rowOff>220222</xdr:rowOff>
        </xdr:to>
        <xdr:sp macro="" textlink="">
          <xdr:nvSpPr>
            <xdr:cNvPr id="198798" name="Check Box 142" hidden="1">
              <a:extLst>
                <a:ext uri="{63B3BB69-23CF-44E3-9099-C40C66FF867C}">
                  <a14:compatExt spid="_x0000_s1987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32</xdr:row>
          <xdr:rowOff>19150</xdr:rowOff>
        </xdr:from>
        <xdr:to>
          <xdr:col>1</xdr:col>
          <xdr:colOff>1230371</xdr:colOff>
          <xdr:row>32</xdr:row>
          <xdr:rowOff>220222</xdr:rowOff>
        </xdr:to>
        <xdr:sp macro="" textlink="">
          <xdr:nvSpPr>
            <xdr:cNvPr id="198799" name="Check Box 143" hidden="1">
              <a:extLst>
                <a:ext uri="{63B3BB69-23CF-44E3-9099-C40C66FF867C}">
                  <a14:compatExt spid="_x0000_s1987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31</xdr:row>
          <xdr:rowOff>19150</xdr:rowOff>
        </xdr:from>
        <xdr:to>
          <xdr:col>3</xdr:col>
          <xdr:colOff>143623</xdr:colOff>
          <xdr:row>31</xdr:row>
          <xdr:rowOff>220222</xdr:rowOff>
        </xdr:to>
        <xdr:sp macro="" textlink="">
          <xdr:nvSpPr>
            <xdr:cNvPr id="198800" name="Check Box 144" hidden="1">
              <a:extLst>
                <a:ext uri="{63B3BB69-23CF-44E3-9099-C40C66FF867C}">
                  <a14:compatExt spid="_x0000_s1988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32</xdr:row>
          <xdr:rowOff>19150</xdr:rowOff>
        </xdr:from>
        <xdr:to>
          <xdr:col>3</xdr:col>
          <xdr:colOff>143623</xdr:colOff>
          <xdr:row>32</xdr:row>
          <xdr:rowOff>220222</xdr:rowOff>
        </xdr:to>
        <xdr:sp macro="" textlink="">
          <xdr:nvSpPr>
            <xdr:cNvPr id="198801" name="Check Box 145" hidden="1">
              <a:extLst>
                <a:ext uri="{63B3BB69-23CF-44E3-9099-C40C66FF867C}">
                  <a14:compatExt spid="_x0000_s198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33</xdr:row>
          <xdr:rowOff>19150</xdr:rowOff>
        </xdr:from>
        <xdr:to>
          <xdr:col>3</xdr:col>
          <xdr:colOff>143623</xdr:colOff>
          <xdr:row>33</xdr:row>
          <xdr:rowOff>220222</xdr:rowOff>
        </xdr:to>
        <xdr:sp macro="" textlink="">
          <xdr:nvSpPr>
            <xdr:cNvPr id="198802" name="Check Box 146" hidden="1">
              <a:extLst>
                <a:ext uri="{63B3BB69-23CF-44E3-9099-C40C66FF867C}">
                  <a14:compatExt spid="_x0000_s198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34</xdr:row>
          <xdr:rowOff>9575</xdr:rowOff>
        </xdr:from>
        <xdr:to>
          <xdr:col>2</xdr:col>
          <xdr:colOff>923975</xdr:colOff>
          <xdr:row>34</xdr:row>
          <xdr:rowOff>220222</xdr:rowOff>
        </xdr:to>
        <xdr:sp macro="" textlink="">
          <xdr:nvSpPr>
            <xdr:cNvPr id="198803" name="Drop Down 147" hidden="1">
              <a:extLst>
                <a:ext uri="{63B3BB69-23CF-44E3-9099-C40C66FF867C}">
                  <a14:compatExt spid="_x0000_s198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531405</xdr:colOff>
          <xdr:row>34</xdr:row>
          <xdr:rowOff>28725</xdr:rowOff>
        </xdr:from>
        <xdr:to>
          <xdr:col>3</xdr:col>
          <xdr:colOff>713328</xdr:colOff>
          <xdr:row>34</xdr:row>
          <xdr:rowOff>210647</xdr:rowOff>
        </xdr:to>
        <xdr:sp macro="" textlink="">
          <xdr:nvSpPr>
            <xdr:cNvPr id="198804" name="Spinner 148" hidden="1">
              <a:extLst>
                <a:ext uri="{63B3BB69-23CF-44E3-9099-C40C66FF867C}">
                  <a14:compatExt spid="_x0000_s198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34</xdr:row>
          <xdr:rowOff>19150</xdr:rowOff>
        </xdr:from>
        <xdr:to>
          <xdr:col>1</xdr:col>
          <xdr:colOff>1230371</xdr:colOff>
          <xdr:row>34</xdr:row>
          <xdr:rowOff>220222</xdr:rowOff>
        </xdr:to>
        <xdr:sp macro="" textlink="">
          <xdr:nvSpPr>
            <xdr:cNvPr id="198805" name="Check Box 149" hidden="1">
              <a:extLst>
                <a:ext uri="{63B3BB69-23CF-44E3-9099-C40C66FF867C}">
                  <a14:compatExt spid="_x0000_s1988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10</xdr:row>
          <xdr:rowOff>19150</xdr:rowOff>
        </xdr:from>
        <xdr:to>
          <xdr:col>5</xdr:col>
          <xdr:colOff>1230371</xdr:colOff>
          <xdr:row>10</xdr:row>
          <xdr:rowOff>220222</xdr:rowOff>
        </xdr:to>
        <xdr:sp macro="" textlink="">
          <xdr:nvSpPr>
            <xdr:cNvPr id="198807" name="Check Box 151" hidden="1">
              <a:extLst>
                <a:ext uri="{63B3BB69-23CF-44E3-9099-C40C66FF867C}">
                  <a14:compatExt spid="_x0000_s198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11</xdr:row>
          <xdr:rowOff>19150</xdr:rowOff>
        </xdr:from>
        <xdr:to>
          <xdr:col>5</xdr:col>
          <xdr:colOff>1230371</xdr:colOff>
          <xdr:row>11</xdr:row>
          <xdr:rowOff>220222</xdr:rowOff>
        </xdr:to>
        <xdr:sp macro="" textlink="">
          <xdr:nvSpPr>
            <xdr:cNvPr id="198808" name="Check Box 152" hidden="1">
              <a:extLst>
                <a:ext uri="{63B3BB69-23CF-44E3-9099-C40C66FF867C}">
                  <a14:compatExt spid="_x0000_s198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Duodenumsonde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12</xdr:row>
          <xdr:rowOff>19150</xdr:rowOff>
        </xdr:from>
        <xdr:to>
          <xdr:col>5</xdr:col>
          <xdr:colOff>1230371</xdr:colOff>
          <xdr:row>12</xdr:row>
          <xdr:rowOff>220222</xdr:rowOff>
        </xdr:to>
        <xdr:sp macro="" textlink="">
          <xdr:nvSpPr>
            <xdr:cNvPr id="198810" name="Check Box 154" hidden="1">
              <a:extLst>
                <a:ext uri="{63B3BB69-23CF-44E3-9099-C40C66FF867C}">
                  <a14:compatExt spid="_x0000_s198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13</xdr:row>
          <xdr:rowOff>19150</xdr:rowOff>
        </xdr:from>
        <xdr:to>
          <xdr:col>5</xdr:col>
          <xdr:colOff>1230371</xdr:colOff>
          <xdr:row>13</xdr:row>
          <xdr:rowOff>220222</xdr:rowOff>
        </xdr:to>
        <xdr:sp macro="" textlink="">
          <xdr:nvSpPr>
            <xdr:cNvPr id="198813" name="Check Box 157" hidden="1">
              <a:extLst>
                <a:ext uri="{63B3BB69-23CF-44E3-9099-C40C66FF867C}">
                  <a14:compatExt spid="_x0000_s198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Headblocks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14</xdr:row>
          <xdr:rowOff>19150</xdr:rowOff>
        </xdr:from>
        <xdr:to>
          <xdr:col>5</xdr:col>
          <xdr:colOff>1230371</xdr:colOff>
          <xdr:row>14</xdr:row>
          <xdr:rowOff>220222</xdr:rowOff>
        </xdr:to>
        <xdr:sp macro="" textlink="">
          <xdr:nvSpPr>
            <xdr:cNvPr id="198814" name="Check Box 158" hidden="1">
              <a:extLst>
                <a:ext uri="{63B3BB69-23CF-44E3-9099-C40C66FF867C}">
                  <a14:compatExt spid="_x0000_s198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Zachte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15</xdr:row>
          <xdr:rowOff>19150</xdr:rowOff>
        </xdr:from>
        <xdr:to>
          <xdr:col>5</xdr:col>
          <xdr:colOff>1230371</xdr:colOff>
          <xdr:row>15</xdr:row>
          <xdr:rowOff>220222</xdr:rowOff>
        </xdr:to>
        <xdr:sp macro="" textlink="">
          <xdr:nvSpPr>
            <xdr:cNvPr id="198815" name="Check Box 159" hidden="1">
              <a:extLst>
                <a:ext uri="{63B3BB69-23CF-44E3-9099-C40C66FF867C}">
                  <a14:compatExt spid="_x0000_s198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Harde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22</xdr:row>
          <xdr:rowOff>19150</xdr:rowOff>
        </xdr:from>
        <xdr:to>
          <xdr:col>3</xdr:col>
          <xdr:colOff>143623</xdr:colOff>
          <xdr:row>22</xdr:row>
          <xdr:rowOff>220222</xdr:rowOff>
        </xdr:to>
        <xdr:sp macro="" textlink="">
          <xdr:nvSpPr>
            <xdr:cNvPr id="198818" name="Check Box 162" hidden="1">
              <a:extLst>
                <a:ext uri="{63B3BB69-23CF-44E3-9099-C40C66FF867C}">
                  <a14:compatExt spid="_x0000_s198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ICP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23</xdr:row>
          <xdr:rowOff>19150</xdr:rowOff>
        </xdr:from>
        <xdr:to>
          <xdr:col>3</xdr:col>
          <xdr:colOff>143623</xdr:colOff>
          <xdr:row>23</xdr:row>
          <xdr:rowOff>220222</xdr:rowOff>
        </xdr:to>
        <xdr:sp macro="" textlink="">
          <xdr:nvSpPr>
            <xdr:cNvPr id="198819" name="Check Box 163" hidden="1">
              <a:extLst>
                <a:ext uri="{63B3BB69-23CF-44E3-9099-C40C66FF867C}">
                  <a14:compatExt spid="_x0000_s198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TOSCA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98820" name="Spinner 164" hidden="1">
              <a:extLst>
                <a:ext uri="{63B3BB69-23CF-44E3-9099-C40C66FF867C}">
                  <a14:compatExt spid="_x0000_s198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98821" name="Spinner 165" hidden="1">
              <a:extLst>
                <a:ext uri="{63B3BB69-23CF-44E3-9099-C40C66FF867C}">
                  <a14:compatExt spid="_x0000_s198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8</xdr:row>
          <xdr:rowOff>19150</xdr:rowOff>
        </xdr:from>
        <xdr:to>
          <xdr:col>5</xdr:col>
          <xdr:colOff>1230371</xdr:colOff>
          <xdr:row>8</xdr:row>
          <xdr:rowOff>220222</xdr:rowOff>
        </xdr:to>
        <xdr:sp macro="" textlink="">
          <xdr:nvSpPr>
            <xdr:cNvPr id="198823" name="Check Box 167" hidden="1">
              <a:extLst>
                <a:ext uri="{63B3BB69-23CF-44E3-9099-C40C66FF867C}">
                  <a14:compatExt spid="_x0000_s198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Maagretentie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627154</xdr:colOff>
          <xdr:row>8</xdr:row>
          <xdr:rowOff>28725</xdr:rowOff>
        </xdr:from>
        <xdr:to>
          <xdr:col>6</xdr:col>
          <xdr:colOff>809076</xdr:colOff>
          <xdr:row>8</xdr:row>
          <xdr:rowOff>210647</xdr:rowOff>
        </xdr:to>
        <xdr:sp macro="" textlink="">
          <xdr:nvSpPr>
            <xdr:cNvPr id="198824" name="Spinner 168" hidden="1">
              <a:extLst>
                <a:ext uri="{63B3BB69-23CF-44E3-9099-C40C66FF867C}">
                  <a14:compatExt spid="_x0000_s198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627154</xdr:colOff>
          <xdr:row>9</xdr:row>
          <xdr:rowOff>28725</xdr:rowOff>
        </xdr:from>
        <xdr:to>
          <xdr:col>6</xdr:col>
          <xdr:colOff>809076</xdr:colOff>
          <xdr:row>9</xdr:row>
          <xdr:rowOff>210647</xdr:rowOff>
        </xdr:to>
        <xdr:sp macro="" textlink="">
          <xdr:nvSpPr>
            <xdr:cNvPr id="198825" name="Spinner 169" hidden="1">
              <a:extLst>
                <a:ext uri="{63B3BB69-23CF-44E3-9099-C40C66FF867C}">
                  <a14:compatExt spid="_x0000_s198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9</xdr:row>
          <xdr:rowOff>19150</xdr:rowOff>
        </xdr:from>
        <xdr:to>
          <xdr:col>5</xdr:col>
          <xdr:colOff>1230371</xdr:colOff>
          <xdr:row>9</xdr:row>
          <xdr:rowOff>220222</xdr:rowOff>
        </xdr:to>
        <xdr:sp macro="" textlink="">
          <xdr:nvSpPr>
            <xdr:cNvPr id="198826" name="Check Box 170" hidden="1">
              <a:extLst>
                <a:ext uri="{63B3BB69-23CF-44E3-9099-C40C66FF867C}">
                  <a14:compatExt spid="_x0000_s1988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xdr:twoCellAnchor>
    <xdr:from>
      <xdr:col>8</xdr:col>
      <xdr:colOff>9524</xdr:colOff>
      <xdr:row>9</xdr:row>
      <xdr:rowOff>9524</xdr:rowOff>
    </xdr:from>
    <xdr:to>
      <xdr:col>9</xdr:col>
      <xdr:colOff>19050</xdr:colOff>
      <xdr:row>10</xdr:row>
      <xdr:rowOff>9525</xdr:rowOff>
    </xdr:to>
    <xdr:sp macro="[0]!MedTekstAanvullendeAfsprakenVerliezenPed" textlink="">
      <xdr:nvSpPr>
        <xdr:cNvPr id="75" name="Rectangle 165"/>
        <xdr:cNvSpPr>
          <a:spLocks noChangeArrowheads="1"/>
        </xdr:cNvSpPr>
      </xdr:nvSpPr>
      <xdr:spPr bwMode="auto">
        <a:xfrm>
          <a:off x="9201149" y="1838324"/>
          <a:ext cx="1809751" cy="228601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17</xdr:row>
          <xdr:rowOff>19150</xdr:rowOff>
        </xdr:from>
        <xdr:to>
          <xdr:col>1</xdr:col>
          <xdr:colOff>1493680</xdr:colOff>
          <xdr:row>17</xdr:row>
          <xdr:rowOff>220222</xdr:rowOff>
        </xdr:to>
        <xdr:sp macro="" textlink="">
          <xdr:nvSpPr>
            <xdr:cNvPr id="198827" name="Check Box 171" hidden="1">
              <a:extLst>
                <a:ext uri="{63B3BB69-23CF-44E3-9099-C40C66FF867C}">
                  <a14:compatExt spid="_x0000_s1988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GCS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18</xdr:row>
          <xdr:rowOff>19150</xdr:rowOff>
        </xdr:from>
        <xdr:to>
          <xdr:col>1</xdr:col>
          <xdr:colOff>1493680</xdr:colOff>
          <xdr:row>18</xdr:row>
          <xdr:rowOff>220222</xdr:rowOff>
        </xdr:to>
        <xdr:sp macro="" textlink="">
          <xdr:nvSpPr>
            <xdr:cNvPr id="198828" name="Check Box 172" hidden="1">
              <a:extLst>
                <a:ext uri="{63B3BB69-23CF-44E3-9099-C40C66FF867C}">
                  <a14:compatExt spid="_x0000_s1988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Pupil controles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19</xdr:row>
          <xdr:rowOff>19150</xdr:rowOff>
        </xdr:from>
        <xdr:to>
          <xdr:col>1</xdr:col>
          <xdr:colOff>1493680</xdr:colOff>
          <xdr:row>19</xdr:row>
          <xdr:rowOff>220222</xdr:rowOff>
        </xdr:to>
        <xdr:sp macro="" textlink="">
          <xdr:nvSpPr>
            <xdr:cNvPr id="198829" name="Check Box 173" hidden="1">
              <a:extLst>
                <a:ext uri="{63B3BB69-23CF-44E3-9099-C40C66FF867C}">
                  <a14:compatExt spid="_x0000_s198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Sedatie vlg Comfort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17</xdr:row>
          <xdr:rowOff>28725</xdr:rowOff>
        </xdr:from>
        <xdr:to>
          <xdr:col>2</xdr:col>
          <xdr:colOff>713328</xdr:colOff>
          <xdr:row>17</xdr:row>
          <xdr:rowOff>210647</xdr:rowOff>
        </xdr:to>
        <xdr:sp macro="" textlink="">
          <xdr:nvSpPr>
            <xdr:cNvPr id="198830" name="Spinner 174" hidden="1">
              <a:extLst>
                <a:ext uri="{63B3BB69-23CF-44E3-9099-C40C66FF867C}">
                  <a14:compatExt spid="_x0000_s198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18</xdr:row>
          <xdr:rowOff>28725</xdr:rowOff>
        </xdr:from>
        <xdr:to>
          <xdr:col>2</xdr:col>
          <xdr:colOff>713328</xdr:colOff>
          <xdr:row>18</xdr:row>
          <xdr:rowOff>210647</xdr:rowOff>
        </xdr:to>
        <xdr:sp macro="" textlink="">
          <xdr:nvSpPr>
            <xdr:cNvPr id="198831" name="Spinner 175" hidden="1">
              <a:extLst>
                <a:ext uri="{63B3BB69-23CF-44E3-9099-C40C66FF867C}">
                  <a14:compatExt spid="_x0000_s198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91</xdr:row>
      <xdr:rowOff>9525</xdr:rowOff>
    </xdr:from>
    <xdr:to>
      <xdr:col>2</xdr:col>
      <xdr:colOff>666750</xdr:colOff>
      <xdr:row>92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90</xdr:row>
      <xdr:rowOff>104775</xdr:rowOff>
    </xdr:from>
    <xdr:to>
      <xdr:col>10</xdr:col>
      <xdr:colOff>0</xdr:colOff>
      <xdr:row>91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133350</xdr:rowOff>
    </xdr:from>
    <xdr:to>
      <xdr:col>10</xdr:col>
      <xdr:colOff>9525</xdr:colOff>
      <xdr:row>12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76200</xdr:rowOff>
    </xdr:from>
    <xdr:to>
      <xdr:col>9</xdr:col>
      <xdr:colOff>742950</xdr:colOff>
      <xdr:row>45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83</xdr:row>
      <xdr:rowOff>9525</xdr:rowOff>
    </xdr:from>
    <xdr:to>
      <xdr:col>10</xdr:col>
      <xdr:colOff>28575</xdr:colOff>
      <xdr:row>84</xdr:row>
      <xdr:rowOff>19050</xdr:rowOff>
    </xdr:to>
    <xdr:sp macro="[0]!opmAfsprMedIV_1" textlink="">
      <xdr:nvSpPr>
        <xdr:cNvPr id="21628" name="Rectangle 124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19</xdr:row>
      <xdr:rowOff>9525</xdr:rowOff>
    </xdr:from>
    <xdr:to>
      <xdr:col>9</xdr:col>
      <xdr:colOff>742950</xdr:colOff>
      <xdr:row>21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47</xdr:row>
      <xdr:rowOff>114300</xdr:rowOff>
    </xdr:from>
    <xdr:to>
      <xdr:col>4</xdr:col>
      <xdr:colOff>161925</xdr:colOff>
      <xdr:row>48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36</xdr:row>
      <xdr:rowOff>114300</xdr:rowOff>
    </xdr:from>
    <xdr:to>
      <xdr:col>2</xdr:col>
      <xdr:colOff>676275</xdr:colOff>
      <xdr:row>38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21</xdr:row>
      <xdr:rowOff>142875</xdr:rowOff>
    </xdr:from>
    <xdr:to>
      <xdr:col>2</xdr:col>
      <xdr:colOff>723900</xdr:colOff>
      <xdr:row>22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0</xdr:rowOff>
    </xdr:from>
    <xdr:to>
      <xdr:col>2</xdr:col>
      <xdr:colOff>495300</xdr:colOff>
      <xdr:row>4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68</xdr:row>
      <xdr:rowOff>0</xdr:rowOff>
    </xdr:from>
    <xdr:to>
      <xdr:col>2</xdr:col>
      <xdr:colOff>485775</xdr:colOff>
      <xdr:row>68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13</xdr:row>
      <xdr:rowOff>0</xdr:rowOff>
    </xdr:from>
    <xdr:to>
      <xdr:col>2</xdr:col>
      <xdr:colOff>295275</xdr:colOff>
      <xdr:row>13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65</xdr:row>
      <xdr:rowOff>123825</xdr:rowOff>
    </xdr:from>
    <xdr:to>
      <xdr:col>9</xdr:col>
      <xdr:colOff>742950</xdr:colOff>
      <xdr:row>67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123825</xdr:rowOff>
    </xdr:from>
    <xdr:to>
      <xdr:col>10</xdr:col>
      <xdr:colOff>9525</xdr:colOff>
      <xdr:row>12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83</xdr:row>
      <xdr:rowOff>9525</xdr:rowOff>
    </xdr:from>
    <xdr:to>
      <xdr:col>10</xdr:col>
      <xdr:colOff>28575</xdr:colOff>
      <xdr:row>84</xdr:row>
      <xdr:rowOff>19050</xdr:rowOff>
    </xdr:to>
    <xdr:sp macro="[0]!opmAfsprMedIV_1" textlink="">
      <xdr:nvSpPr>
        <xdr:cNvPr id="21644" name="Rectangle 140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191497</xdr:colOff>
          <xdr:row>32</xdr:row>
          <xdr:rowOff>0</xdr:rowOff>
        </xdr:to>
        <xdr:sp macro="" textlink="">
          <xdr:nvSpPr>
            <xdr:cNvPr id="22529" name="Drop Dow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191497</xdr:colOff>
          <xdr:row>33</xdr:row>
          <xdr:rowOff>0</xdr:rowOff>
        </xdr:to>
        <xdr:sp macro="" textlink="">
          <xdr:nvSpPr>
            <xdr:cNvPr id="22530" name="Drop Down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191497</xdr:colOff>
          <xdr:row>34</xdr:row>
          <xdr:rowOff>0</xdr:rowOff>
        </xdr:to>
        <xdr:sp macro="" textlink="">
          <xdr:nvSpPr>
            <xdr:cNvPr id="22531" name="Drop Down 3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191497</xdr:colOff>
          <xdr:row>35</xdr:row>
          <xdr:rowOff>0</xdr:rowOff>
        </xdr:to>
        <xdr:sp macro="" textlink="">
          <xdr:nvSpPr>
            <xdr:cNvPr id="22532" name="Drop Down 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191497</xdr:colOff>
          <xdr:row>36</xdr:row>
          <xdr:rowOff>0</xdr:rowOff>
        </xdr:to>
        <xdr:sp macro="" textlink="">
          <xdr:nvSpPr>
            <xdr:cNvPr id="22533" name="Drop Down 5" hidden="1">
              <a:extLst>
                <a:ext uri="{63B3BB69-23CF-44E3-9099-C40C66FF867C}">
                  <a14:compatExt spid="_x0000_s22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191497</xdr:colOff>
          <xdr:row>37</xdr:row>
          <xdr:rowOff>0</xdr:rowOff>
        </xdr:to>
        <xdr:sp macro="" textlink="">
          <xdr:nvSpPr>
            <xdr:cNvPr id="22534" name="Drop Down 6" hidden="1">
              <a:extLst>
                <a:ext uri="{63B3BB69-23CF-44E3-9099-C40C66FF867C}">
                  <a14:compatExt spid="_x0000_s22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37</xdr:row>
          <xdr:rowOff>0</xdr:rowOff>
        </xdr:from>
        <xdr:to>
          <xdr:col>2</xdr:col>
          <xdr:colOff>191497</xdr:colOff>
          <xdr:row>38</xdr:row>
          <xdr:rowOff>0</xdr:rowOff>
        </xdr:to>
        <xdr:sp macro="" textlink="">
          <xdr:nvSpPr>
            <xdr:cNvPr id="22535" name="Drop Down 7" hidden="1">
              <a:extLst>
                <a:ext uri="{63B3BB69-23CF-44E3-9099-C40C66FF867C}">
                  <a14:compatExt spid="_x0000_s22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29</xdr:row>
          <xdr:rowOff>9575</xdr:rowOff>
        </xdr:from>
        <xdr:to>
          <xdr:col>7</xdr:col>
          <xdr:colOff>143623</xdr:colOff>
          <xdr:row>30</xdr:row>
          <xdr:rowOff>0</xdr:rowOff>
        </xdr:to>
        <xdr:sp macro="" textlink="">
          <xdr:nvSpPr>
            <xdr:cNvPr id="22536" name="Spinner 8" hidden="1">
              <a:extLst>
                <a:ext uri="{63B3BB69-23CF-44E3-9099-C40C66FF867C}">
                  <a14:compatExt spid="_x0000_s22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31</xdr:row>
          <xdr:rowOff>9575</xdr:rowOff>
        </xdr:from>
        <xdr:to>
          <xdr:col>7</xdr:col>
          <xdr:colOff>143623</xdr:colOff>
          <xdr:row>32</xdr:row>
          <xdr:rowOff>0</xdr:rowOff>
        </xdr:to>
        <xdr:sp macro="" textlink="">
          <xdr:nvSpPr>
            <xdr:cNvPr id="22537" name="Spinner 9" hidden="1">
              <a:extLst>
                <a:ext uri="{63B3BB69-23CF-44E3-9099-C40C66FF867C}">
                  <a14:compatExt spid="_x0000_s22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32</xdr:row>
          <xdr:rowOff>9575</xdr:rowOff>
        </xdr:from>
        <xdr:to>
          <xdr:col>7</xdr:col>
          <xdr:colOff>143623</xdr:colOff>
          <xdr:row>33</xdr:row>
          <xdr:rowOff>0</xdr:rowOff>
        </xdr:to>
        <xdr:sp macro="" textlink="">
          <xdr:nvSpPr>
            <xdr:cNvPr id="22538" name="Spinner 10" hidden="1">
              <a:extLst>
                <a:ext uri="{63B3BB69-23CF-44E3-9099-C40C66FF867C}">
                  <a14:compatExt spid="_x0000_s22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2539" name="Spinner 11" hidden="1">
              <a:extLst>
                <a:ext uri="{63B3BB69-23CF-44E3-9099-C40C66FF867C}">
                  <a14:compatExt spid="_x0000_s22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2540" name="Spinner 12" hidden="1">
              <a:extLst>
                <a:ext uri="{63B3BB69-23CF-44E3-9099-C40C66FF867C}">
                  <a14:compatExt spid="_x0000_s22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2541" name="Spinner 13" hidden="1">
              <a:extLst>
                <a:ext uri="{63B3BB69-23CF-44E3-9099-C40C66FF867C}">
                  <a14:compatExt spid="_x0000_s22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2542" name="Spinner 14" hidden="1">
              <a:extLst>
                <a:ext uri="{63B3BB69-23CF-44E3-9099-C40C66FF867C}">
                  <a14:compatExt spid="_x0000_s22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2543" name="Spinner 15" hidden="1">
              <a:extLst>
                <a:ext uri="{63B3BB69-23CF-44E3-9099-C40C66FF867C}">
                  <a14:compatExt spid="_x0000_s22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210647</xdr:colOff>
          <xdr:row>20</xdr:row>
          <xdr:rowOff>28725</xdr:rowOff>
        </xdr:from>
        <xdr:to>
          <xdr:col>2</xdr:col>
          <xdr:colOff>392570</xdr:colOff>
          <xdr:row>21</xdr:row>
          <xdr:rowOff>47874</xdr:rowOff>
        </xdr:to>
        <xdr:sp macro="" textlink="">
          <xdr:nvSpPr>
            <xdr:cNvPr id="22544" name="Option Button 16" hidden="1">
              <a:extLst>
                <a:ext uri="{63B3BB69-23CF-44E3-9099-C40C66FF867C}">
                  <a14:compatExt spid="_x0000_s225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210647</xdr:colOff>
          <xdr:row>21</xdr:row>
          <xdr:rowOff>38299</xdr:rowOff>
        </xdr:from>
        <xdr:to>
          <xdr:col>2</xdr:col>
          <xdr:colOff>392570</xdr:colOff>
          <xdr:row>22</xdr:row>
          <xdr:rowOff>57449</xdr:rowOff>
        </xdr:to>
        <xdr:sp macro="" textlink="">
          <xdr:nvSpPr>
            <xdr:cNvPr id="22545" name="Option Button 17" hidden="1">
              <a:extLst>
                <a:ext uri="{63B3BB69-23CF-44E3-9099-C40C66FF867C}">
                  <a14:compatExt spid="_x0000_s225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20</xdr:row>
          <xdr:rowOff>9575</xdr:rowOff>
        </xdr:from>
        <xdr:to>
          <xdr:col>4</xdr:col>
          <xdr:colOff>809076</xdr:colOff>
          <xdr:row>21</xdr:row>
          <xdr:rowOff>0</xdr:rowOff>
        </xdr:to>
        <xdr:sp macro="" textlink="">
          <xdr:nvSpPr>
            <xdr:cNvPr id="22546" name="Spinner 18" hidden="1">
              <a:extLst>
                <a:ext uri="{63B3BB69-23CF-44E3-9099-C40C66FF867C}">
                  <a14:compatExt spid="_x0000_s22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684603</xdr:colOff>
          <xdr:row>20</xdr:row>
          <xdr:rowOff>9575</xdr:rowOff>
        </xdr:from>
        <xdr:to>
          <xdr:col>6</xdr:col>
          <xdr:colOff>809076</xdr:colOff>
          <xdr:row>21</xdr:row>
          <xdr:rowOff>0</xdr:rowOff>
        </xdr:to>
        <xdr:sp macro="" textlink="">
          <xdr:nvSpPr>
            <xdr:cNvPr id="22547" name="Spinner 19" hidden="1">
              <a:extLst>
                <a:ext uri="{63B3BB69-23CF-44E3-9099-C40C66FF867C}">
                  <a14:compatExt spid="_x0000_s22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713328</xdr:colOff>
          <xdr:row>17</xdr:row>
          <xdr:rowOff>9575</xdr:rowOff>
        </xdr:from>
        <xdr:to>
          <xdr:col>5</xdr:col>
          <xdr:colOff>9575</xdr:colOff>
          <xdr:row>18</xdr:row>
          <xdr:rowOff>0</xdr:rowOff>
        </xdr:to>
        <xdr:sp macro="" textlink="">
          <xdr:nvSpPr>
            <xdr:cNvPr id="22548" name="Spinner 20" hidden="1">
              <a:extLst>
                <a:ext uri="{63B3BB69-23CF-44E3-9099-C40C66FF867C}">
                  <a14:compatExt spid="_x0000_s22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655879</xdr:colOff>
          <xdr:row>49</xdr:row>
          <xdr:rowOff>181923</xdr:rowOff>
        </xdr:from>
        <xdr:to>
          <xdr:col>4</xdr:col>
          <xdr:colOff>646304</xdr:colOff>
          <xdr:row>51</xdr:row>
          <xdr:rowOff>0</xdr:rowOff>
        </xdr:to>
        <xdr:sp macro="" textlink="">
          <xdr:nvSpPr>
            <xdr:cNvPr id="22550" name="Option Button 22" hidden="1">
              <a:extLst>
                <a:ext uri="{63B3BB69-23CF-44E3-9099-C40C66FF867C}">
                  <a14:compatExt spid="_x0000_s225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Dag1 t/m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49</xdr:row>
          <xdr:rowOff>172348</xdr:rowOff>
        </xdr:from>
        <xdr:to>
          <xdr:col>7</xdr:col>
          <xdr:colOff>210647</xdr:colOff>
          <xdr:row>50</xdr:row>
          <xdr:rowOff>191497</xdr:rowOff>
        </xdr:to>
        <xdr:sp macro="" textlink="">
          <xdr:nvSpPr>
            <xdr:cNvPr id="22551" name="Option Button 23" hidden="1">
              <a:extLst>
                <a:ext uri="{63B3BB69-23CF-44E3-9099-C40C66FF867C}">
                  <a14:compatExt spid="_x0000_s225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49</xdr:row>
          <xdr:rowOff>181923</xdr:rowOff>
        </xdr:from>
        <xdr:to>
          <xdr:col>9</xdr:col>
          <xdr:colOff>315971</xdr:colOff>
          <xdr:row>51</xdr:row>
          <xdr:rowOff>0</xdr:rowOff>
        </xdr:to>
        <xdr:sp macro="" textlink="">
          <xdr:nvSpPr>
            <xdr:cNvPr id="22552" name="Option Button 24" hidden="1">
              <a:extLst>
                <a:ext uri="{63B3BB69-23CF-44E3-9099-C40C66FF867C}">
                  <a14:compatExt spid="_x0000_s22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51</xdr:row>
          <xdr:rowOff>0</xdr:rowOff>
        </xdr:from>
        <xdr:to>
          <xdr:col>4</xdr:col>
          <xdr:colOff>809076</xdr:colOff>
          <xdr:row>51</xdr:row>
          <xdr:rowOff>191497</xdr:rowOff>
        </xdr:to>
        <xdr:sp macro="" textlink="">
          <xdr:nvSpPr>
            <xdr:cNvPr id="22553" name="Spinner 25" hidden="1">
              <a:extLst>
                <a:ext uri="{63B3BB69-23CF-44E3-9099-C40C66FF867C}">
                  <a14:compatExt spid="_x0000_s22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52</xdr:row>
          <xdr:rowOff>0</xdr:rowOff>
        </xdr:from>
        <xdr:to>
          <xdr:col>4</xdr:col>
          <xdr:colOff>809076</xdr:colOff>
          <xdr:row>52</xdr:row>
          <xdr:rowOff>191497</xdr:rowOff>
        </xdr:to>
        <xdr:sp macro="" textlink="">
          <xdr:nvSpPr>
            <xdr:cNvPr id="22554" name="Spinner 26" hidden="1">
              <a:extLst>
                <a:ext uri="{63B3BB69-23CF-44E3-9099-C40C66FF867C}">
                  <a14:compatExt spid="_x0000_s22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53</xdr:row>
          <xdr:rowOff>0</xdr:rowOff>
        </xdr:from>
        <xdr:to>
          <xdr:col>4</xdr:col>
          <xdr:colOff>809076</xdr:colOff>
          <xdr:row>53</xdr:row>
          <xdr:rowOff>191497</xdr:rowOff>
        </xdr:to>
        <xdr:sp macro="" textlink="">
          <xdr:nvSpPr>
            <xdr:cNvPr id="22555" name="Spinner 27" hidden="1">
              <a:extLst>
                <a:ext uri="{63B3BB69-23CF-44E3-9099-C40C66FF867C}">
                  <a14:compatExt spid="_x0000_s225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54</xdr:row>
          <xdr:rowOff>0</xdr:rowOff>
        </xdr:from>
        <xdr:to>
          <xdr:col>4</xdr:col>
          <xdr:colOff>809076</xdr:colOff>
          <xdr:row>54</xdr:row>
          <xdr:rowOff>191497</xdr:rowOff>
        </xdr:to>
        <xdr:sp macro="" textlink="">
          <xdr:nvSpPr>
            <xdr:cNvPr id="22556" name="Spinner 28" hidden="1">
              <a:extLst>
                <a:ext uri="{63B3BB69-23CF-44E3-9099-C40C66FF867C}">
                  <a14:compatExt spid="_x0000_s22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55</xdr:row>
          <xdr:rowOff>0</xdr:rowOff>
        </xdr:from>
        <xdr:to>
          <xdr:col>4</xdr:col>
          <xdr:colOff>809076</xdr:colOff>
          <xdr:row>55</xdr:row>
          <xdr:rowOff>191497</xdr:rowOff>
        </xdr:to>
        <xdr:sp macro="" textlink="">
          <xdr:nvSpPr>
            <xdr:cNvPr id="22557" name="Spinner 29" hidden="1">
              <a:extLst>
                <a:ext uri="{63B3BB69-23CF-44E3-9099-C40C66FF867C}">
                  <a14:compatExt spid="_x0000_s22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56</xdr:row>
          <xdr:rowOff>0</xdr:rowOff>
        </xdr:from>
        <xdr:to>
          <xdr:col>4</xdr:col>
          <xdr:colOff>809076</xdr:colOff>
          <xdr:row>56</xdr:row>
          <xdr:rowOff>191497</xdr:rowOff>
        </xdr:to>
        <xdr:sp macro="" textlink="">
          <xdr:nvSpPr>
            <xdr:cNvPr id="22558" name="Spinner 30" hidden="1">
              <a:extLst>
                <a:ext uri="{63B3BB69-23CF-44E3-9099-C40C66FF867C}">
                  <a14:compatExt spid="_x0000_s22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703753</xdr:colOff>
          <xdr:row>57</xdr:row>
          <xdr:rowOff>0</xdr:rowOff>
        </xdr:from>
        <xdr:to>
          <xdr:col>7</xdr:col>
          <xdr:colOff>0</xdr:colOff>
          <xdr:row>57</xdr:row>
          <xdr:rowOff>191497</xdr:rowOff>
        </xdr:to>
        <xdr:sp macro="" textlink="">
          <xdr:nvSpPr>
            <xdr:cNvPr id="22559" name="Spinner 31" hidden="1">
              <a:extLst>
                <a:ext uri="{63B3BB69-23CF-44E3-9099-C40C66FF867C}">
                  <a14:compatExt spid="_x0000_s22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51</xdr:row>
          <xdr:rowOff>0</xdr:rowOff>
        </xdr:from>
        <xdr:to>
          <xdr:col>8</xdr:col>
          <xdr:colOff>818651</xdr:colOff>
          <xdr:row>51</xdr:row>
          <xdr:rowOff>191497</xdr:rowOff>
        </xdr:to>
        <xdr:sp macro="" textlink="">
          <xdr:nvSpPr>
            <xdr:cNvPr id="22560" name="Spinner 32" hidden="1">
              <a:extLst>
                <a:ext uri="{63B3BB69-23CF-44E3-9099-C40C66FF867C}">
                  <a14:compatExt spid="_x0000_s22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52</xdr:row>
          <xdr:rowOff>0</xdr:rowOff>
        </xdr:from>
        <xdr:to>
          <xdr:col>8</xdr:col>
          <xdr:colOff>818651</xdr:colOff>
          <xdr:row>52</xdr:row>
          <xdr:rowOff>191497</xdr:rowOff>
        </xdr:to>
        <xdr:sp macro="" textlink="">
          <xdr:nvSpPr>
            <xdr:cNvPr id="22561" name="Spinner 33" hidden="1">
              <a:extLst>
                <a:ext uri="{63B3BB69-23CF-44E3-9099-C40C66FF867C}">
                  <a14:compatExt spid="_x0000_s225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58</xdr:row>
          <xdr:rowOff>0</xdr:rowOff>
        </xdr:from>
        <xdr:to>
          <xdr:col>8</xdr:col>
          <xdr:colOff>818651</xdr:colOff>
          <xdr:row>58</xdr:row>
          <xdr:rowOff>191497</xdr:rowOff>
        </xdr:to>
        <xdr:sp macro="" textlink="">
          <xdr:nvSpPr>
            <xdr:cNvPr id="22562" name="Spinner 34" hidden="1">
              <a:extLst>
                <a:ext uri="{63B3BB69-23CF-44E3-9099-C40C66FF867C}">
                  <a14:compatExt spid="_x0000_s22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172348</xdr:colOff>
          <xdr:row>17</xdr:row>
          <xdr:rowOff>181923</xdr:rowOff>
        </xdr:from>
        <xdr:to>
          <xdr:col>2</xdr:col>
          <xdr:colOff>780352</xdr:colOff>
          <xdr:row>19</xdr:row>
          <xdr:rowOff>0</xdr:rowOff>
        </xdr:to>
        <xdr:sp macro="" textlink="">
          <xdr:nvSpPr>
            <xdr:cNvPr id="22563" name="Option Button 35" hidden="1">
              <a:extLst>
                <a:ext uri="{63B3BB69-23CF-44E3-9099-C40C66FF867C}">
                  <a14:compatExt spid="_x0000_s225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550555</xdr:colOff>
          <xdr:row>17</xdr:row>
          <xdr:rowOff>181923</xdr:rowOff>
        </xdr:from>
        <xdr:to>
          <xdr:col>3</xdr:col>
          <xdr:colOff>335120</xdr:colOff>
          <xdr:row>19</xdr:row>
          <xdr:rowOff>0</xdr:rowOff>
        </xdr:to>
        <xdr:sp macro="" textlink="">
          <xdr:nvSpPr>
            <xdr:cNvPr id="22564" name="Option Button 36" hidden="1">
              <a:extLst>
                <a:ext uri="{63B3BB69-23CF-44E3-9099-C40C66FF867C}">
                  <a14:compatExt spid="_x0000_s22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31</xdr:row>
          <xdr:rowOff>0</xdr:rowOff>
        </xdr:from>
        <xdr:to>
          <xdr:col>5</xdr:col>
          <xdr:colOff>608004</xdr:colOff>
          <xdr:row>32</xdr:row>
          <xdr:rowOff>0</xdr:rowOff>
        </xdr:to>
        <xdr:sp macro="" textlink="">
          <xdr:nvSpPr>
            <xdr:cNvPr id="22565" name="Drop Down 37" hidden="1">
              <a:extLst>
                <a:ext uri="{63B3BB69-23CF-44E3-9099-C40C66FF867C}">
                  <a14:compatExt spid="_x0000_s22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32</xdr:row>
          <xdr:rowOff>0</xdr:rowOff>
        </xdr:from>
        <xdr:to>
          <xdr:col>5</xdr:col>
          <xdr:colOff>608004</xdr:colOff>
          <xdr:row>33</xdr:row>
          <xdr:rowOff>0</xdr:rowOff>
        </xdr:to>
        <xdr:sp macro="" textlink="">
          <xdr:nvSpPr>
            <xdr:cNvPr id="22566" name="Drop Down 38" hidden="1">
              <a:extLst>
                <a:ext uri="{63B3BB69-23CF-44E3-9099-C40C66FF867C}">
                  <a14:compatExt spid="_x0000_s22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33</xdr:row>
          <xdr:rowOff>0</xdr:rowOff>
        </xdr:from>
        <xdr:to>
          <xdr:col>5</xdr:col>
          <xdr:colOff>608004</xdr:colOff>
          <xdr:row>34</xdr:row>
          <xdr:rowOff>0</xdr:rowOff>
        </xdr:to>
        <xdr:sp macro="" textlink="">
          <xdr:nvSpPr>
            <xdr:cNvPr id="22567" name="Drop Down 39" hidden="1">
              <a:extLst>
                <a:ext uri="{63B3BB69-23CF-44E3-9099-C40C66FF867C}">
                  <a14:compatExt spid="_x0000_s22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34</xdr:row>
          <xdr:rowOff>0</xdr:rowOff>
        </xdr:from>
        <xdr:to>
          <xdr:col>5</xdr:col>
          <xdr:colOff>608004</xdr:colOff>
          <xdr:row>35</xdr:row>
          <xdr:rowOff>0</xdr:rowOff>
        </xdr:to>
        <xdr:sp macro="" textlink="">
          <xdr:nvSpPr>
            <xdr:cNvPr id="22568" name="Drop Down 40" hidden="1">
              <a:extLst>
                <a:ext uri="{63B3BB69-23CF-44E3-9099-C40C66FF867C}">
                  <a14:compatExt spid="_x0000_s225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35</xdr:row>
          <xdr:rowOff>0</xdr:rowOff>
        </xdr:from>
        <xdr:to>
          <xdr:col>5</xdr:col>
          <xdr:colOff>608004</xdr:colOff>
          <xdr:row>36</xdr:row>
          <xdr:rowOff>0</xdr:rowOff>
        </xdr:to>
        <xdr:sp macro="" textlink="">
          <xdr:nvSpPr>
            <xdr:cNvPr id="22569" name="Drop Down 41" hidden="1">
              <a:extLst>
                <a:ext uri="{63B3BB69-23CF-44E3-9099-C40C66FF867C}">
                  <a14:compatExt spid="_x0000_s22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36</xdr:row>
          <xdr:rowOff>0</xdr:rowOff>
        </xdr:from>
        <xdr:to>
          <xdr:col>5</xdr:col>
          <xdr:colOff>608004</xdr:colOff>
          <xdr:row>37</xdr:row>
          <xdr:rowOff>0</xdr:rowOff>
        </xdr:to>
        <xdr:sp macro="" textlink="">
          <xdr:nvSpPr>
            <xdr:cNvPr id="22570" name="Drop Down 42" hidden="1">
              <a:extLst>
                <a:ext uri="{63B3BB69-23CF-44E3-9099-C40C66FF867C}">
                  <a14:compatExt spid="_x0000_s22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31</xdr:row>
          <xdr:rowOff>0</xdr:rowOff>
        </xdr:from>
        <xdr:to>
          <xdr:col>4</xdr:col>
          <xdr:colOff>277671</xdr:colOff>
          <xdr:row>31</xdr:row>
          <xdr:rowOff>191497</xdr:rowOff>
        </xdr:to>
        <xdr:sp macro="" textlink="">
          <xdr:nvSpPr>
            <xdr:cNvPr id="22571" name="Spinner 43" hidden="1">
              <a:extLst>
                <a:ext uri="{63B3BB69-23CF-44E3-9099-C40C66FF867C}">
                  <a14:compatExt spid="_x0000_s22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32</xdr:row>
          <xdr:rowOff>0</xdr:rowOff>
        </xdr:from>
        <xdr:to>
          <xdr:col>4</xdr:col>
          <xdr:colOff>277671</xdr:colOff>
          <xdr:row>32</xdr:row>
          <xdr:rowOff>191497</xdr:rowOff>
        </xdr:to>
        <xdr:sp macro="" textlink="">
          <xdr:nvSpPr>
            <xdr:cNvPr id="22572" name="Spinner 44" hidden="1">
              <a:extLst>
                <a:ext uri="{63B3BB69-23CF-44E3-9099-C40C66FF867C}">
                  <a14:compatExt spid="_x0000_s225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33</xdr:row>
          <xdr:rowOff>0</xdr:rowOff>
        </xdr:from>
        <xdr:to>
          <xdr:col>4</xdr:col>
          <xdr:colOff>277671</xdr:colOff>
          <xdr:row>33</xdr:row>
          <xdr:rowOff>191497</xdr:rowOff>
        </xdr:to>
        <xdr:sp macro="" textlink="">
          <xdr:nvSpPr>
            <xdr:cNvPr id="22573" name="Spinner 45" hidden="1">
              <a:extLst>
                <a:ext uri="{63B3BB69-23CF-44E3-9099-C40C66FF867C}">
                  <a14:compatExt spid="_x0000_s22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34</xdr:row>
          <xdr:rowOff>0</xdr:rowOff>
        </xdr:from>
        <xdr:to>
          <xdr:col>4</xdr:col>
          <xdr:colOff>277671</xdr:colOff>
          <xdr:row>34</xdr:row>
          <xdr:rowOff>191497</xdr:rowOff>
        </xdr:to>
        <xdr:sp macro="" textlink="">
          <xdr:nvSpPr>
            <xdr:cNvPr id="22574" name="Spinner 46" hidden="1">
              <a:extLst>
                <a:ext uri="{63B3BB69-23CF-44E3-9099-C40C66FF867C}">
                  <a14:compatExt spid="_x0000_s22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35</xdr:row>
          <xdr:rowOff>0</xdr:rowOff>
        </xdr:from>
        <xdr:to>
          <xdr:col>4</xdr:col>
          <xdr:colOff>277671</xdr:colOff>
          <xdr:row>35</xdr:row>
          <xdr:rowOff>191497</xdr:rowOff>
        </xdr:to>
        <xdr:sp macro="" textlink="">
          <xdr:nvSpPr>
            <xdr:cNvPr id="22575" name="Spinner 47" hidden="1">
              <a:extLst>
                <a:ext uri="{63B3BB69-23CF-44E3-9099-C40C66FF867C}">
                  <a14:compatExt spid="_x0000_s225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36</xdr:row>
          <xdr:rowOff>0</xdr:rowOff>
        </xdr:from>
        <xdr:to>
          <xdr:col>4</xdr:col>
          <xdr:colOff>277671</xdr:colOff>
          <xdr:row>36</xdr:row>
          <xdr:rowOff>191497</xdr:rowOff>
        </xdr:to>
        <xdr:sp macro="" textlink="">
          <xdr:nvSpPr>
            <xdr:cNvPr id="22576" name="Spinner 48" hidden="1">
              <a:extLst>
                <a:ext uri="{63B3BB69-23CF-44E3-9099-C40C66FF867C}">
                  <a14:compatExt spid="_x0000_s22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37</xdr:row>
          <xdr:rowOff>0</xdr:rowOff>
        </xdr:from>
        <xdr:to>
          <xdr:col>4</xdr:col>
          <xdr:colOff>277671</xdr:colOff>
          <xdr:row>37</xdr:row>
          <xdr:rowOff>191497</xdr:rowOff>
        </xdr:to>
        <xdr:sp macro="" textlink="">
          <xdr:nvSpPr>
            <xdr:cNvPr id="22577" name="Spinner 49" hidden="1">
              <a:extLst>
                <a:ext uri="{63B3BB69-23CF-44E3-9099-C40C66FF867C}">
                  <a14:compatExt spid="_x0000_s22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30</xdr:row>
          <xdr:rowOff>86174</xdr:rowOff>
        </xdr:from>
        <xdr:to>
          <xdr:col>3</xdr:col>
          <xdr:colOff>134048</xdr:colOff>
          <xdr:row>31</xdr:row>
          <xdr:rowOff>181923</xdr:rowOff>
        </xdr:to>
        <xdr:sp macro="" textlink="">
          <xdr:nvSpPr>
            <xdr:cNvPr id="22578" name="Spinner 50" hidden="1">
              <a:extLst>
                <a:ext uri="{63B3BB69-23CF-44E3-9099-C40C66FF867C}">
                  <a14:compatExt spid="_x0000_s22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31</xdr:row>
          <xdr:rowOff>191497</xdr:rowOff>
        </xdr:from>
        <xdr:to>
          <xdr:col>3</xdr:col>
          <xdr:colOff>134048</xdr:colOff>
          <xdr:row>32</xdr:row>
          <xdr:rowOff>181923</xdr:rowOff>
        </xdr:to>
        <xdr:sp macro="" textlink="">
          <xdr:nvSpPr>
            <xdr:cNvPr id="22579" name="Spinner 51" hidden="1">
              <a:extLst>
                <a:ext uri="{63B3BB69-23CF-44E3-9099-C40C66FF867C}">
                  <a14:compatExt spid="_x0000_s22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32</xdr:row>
          <xdr:rowOff>191497</xdr:rowOff>
        </xdr:from>
        <xdr:to>
          <xdr:col>3</xdr:col>
          <xdr:colOff>134048</xdr:colOff>
          <xdr:row>33</xdr:row>
          <xdr:rowOff>181923</xdr:rowOff>
        </xdr:to>
        <xdr:sp macro="" textlink="">
          <xdr:nvSpPr>
            <xdr:cNvPr id="22580" name="Spinner 52" hidden="1">
              <a:extLst>
                <a:ext uri="{63B3BB69-23CF-44E3-9099-C40C66FF867C}">
                  <a14:compatExt spid="_x0000_s22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33</xdr:row>
          <xdr:rowOff>191497</xdr:rowOff>
        </xdr:from>
        <xdr:to>
          <xdr:col>3</xdr:col>
          <xdr:colOff>134048</xdr:colOff>
          <xdr:row>34</xdr:row>
          <xdr:rowOff>181923</xdr:rowOff>
        </xdr:to>
        <xdr:sp macro="" textlink="">
          <xdr:nvSpPr>
            <xdr:cNvPr id="22581" name="Spinner 53" hidden="1">
              <a:extLst>
                <a:ext uri="{63B3BB69-23CF-44E3-9099-C40C66FF867C}">
                  <a14:compatExt spid="_x0000_s22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34</xdr:row>
          <xdr:rowOff>191497</xdr:rowOff>
        </xdr:from>
        <xdr:to>
          <xdr:col>3</xdr:col>
          <xdr:colOff>134048</xdr:colOff>
          <xdr:row>35</xdr:row>
          <xdr:rowOff>181923</xdr:rowOff>
        </xdr:to>
        <xdr:sp macro="" textlink="">
          <xdr:nvSpPr>
            <xdr:cNvPr id="22582" name="Spinner 54" hidden="1">
              <a:extLst>
                <a:ext uri="{63B3BB69-23CF-44E3-9099-C40C66FF867C}">
                  <a14:compatExt spid="_x0000_s225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35</xdr:row>
          <xdr:rowOff>191497</xdr:rowOff>
        </xdr:from>
        <xdr:to>
          <xdr:col>3</xdr:col>
          <xdr:colOff>134048</xdr:colOff>
          <xdr:row>36</xdr:row>
          <xdr:rowOff>181923</xdr:rowOff>
        </xdr:to>
        <xdr:sp macro="" textlink="">
          <xdr:nvSpPr>
            <xdr:cNvPr id="22583" name="Spinner 55" hidden="1">
              <a:extLst>
                <a:ext uri="{63B3BB69-23CF-44E3-9099-C40C66FF867C}">
                  <a14:compatExt spid="_x0000_s22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36</xdr:row>
          <xdr:rowOff>191497</xdr:rowOff>
        </xdr:from>
        <xdr:to>
          <xdr:col>3</xdr:col>
          <xdr:colOff>134048</xdr:colOff>
          <xdr:row>37</xdr:row>
          <xdr:rowOff>181923</xdr:rowOff>
        </xdr:to>
        <xdr:sp macro="" textlink="">
          <xdr:nvSpPr>
            <xdr:cNvPr id="22584" name="Spinner 56" hidden="1">
              <a:extLst>
                <a:ext uri="{63B3BB69-23CF-44E3-9099-C40C66FF867C}">
                  <a14:compatExt spid="_x0000_s22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153198</xdr:colOff>
          <xdr:row>19</xdr:row>
          <xdr:rowOff>153198</xdr:rowOff>
        </xdr:from>
        <xdr:to>
          <xdr:col>2</xdr:col>
          <xdr:colOff>722903</xdr:colOff>
          <xdr:row>22</xdr:row>
          <xdr:rowOff>114898</xdr:rowOff>
        </xdr:to>
        <xdr:sp macro="" textlink="">
          <xdr:nvSpPr>
            <xdr:cNvPr id="22585" name="Group Box 57" hidden="1">
              <a:extLst>
                <a:ext uri="{63B3BB69-23CF-44E3-9099-C40C66FF867C}">
                  <a14:compatExt spid="_x0000_s22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27432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Voeding per os extra?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49</xdr:row>
          <xdr:rowOff>76599</xdr:rowOff>
        </xdr:from>
        <xdr:to>
          <xdr:col>9</xdr:col>
          <xdr:colOff>450019</xdr:colOff>
          <xdr:row>51</xdr:row>
          <xdr:rowOff>0</xdr:rowOff>
        </xdr:to>
        <xdr:sp macro="" textlink="">
          <xdr:nvSpPr>
            <xdr:cNvPr id="22586" name="Group Box 58" hidden="1">
              <a:extLst>
                <a:ext uri="{63B3BB69-23CF-44E3-9099-C40C66FF867C}">
                  <a14:compatExt spid="_x0000_s22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27432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29</xdr:row>
          <xdr:rowOff>0</xdr:rowOff>
        </xdr:from>
        <xdr:to>
          <xdr:col>9</xdr:col>
          <xdr:colOff>598429</xdr:colOff>
          <xdr:row>30</xdr:row>
          <xdr:rowOff>19150</xdr:rowOff>
        </xdr:to>
        <xdr:sp macro="" textlink="">
          <xdr:nvSpPr>
            <xdr:cNvPr id="22587" name="Check Box 59" hidden="1">
              <a:extLst>
                <a:ext uri="{63B3BB69-23CF-44E3-9099-C40C66FF867C}">
                  <a14:compatExt spid="_x0000_s22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31</xdr:row>
          <xdr:rowOff>0</xdr:rowOff>
        </xdr:from>
        <xdr:to>
          <xdr:col>9</xdr:col>
          <xdr:colOff>598429</xdr:colOff>
          <xdr:row>32</xdr:row>
          <xdr:rowOff>19150</xdr:rowOff>
        </xdr:to>
        <xdr:sp macro="" textlink="">
          <xdr:nvSpPr>
            <xdr:cNvPr id="22588" name="Check Box 60" hidden="1">
              <a:extLst>
                <a:ext uri="{63B3BB69-23CF-44E3-9099-C40C66FF867C}">
                  <a14:compatExt spid="_x0000_s22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32</xdr:row>
          <xdr:rowOff>0</xdr:rowOff>
        </xdr:from>
        <xdr:to>
          <xdr:col>9</xdr:col>
          <xdr:colOff>598429</xdr:colOff>
          <xdr:row>33</xdr:row>
          <xdr:rowOff>19150</xdr:rowOff>
        </xdr:to>
        <xdr:sp macro="" textlink="">
          <xdr:nvSpPr>
            <xdr:cNvPr id="22589" name="Check Box 61" hidden="1">
              <a:extLst>
                <a:ext uri="{63B3BB69-23CF-44E3-9099-C40C66FF867C}">
                  <a14:compatExt spid="_x0000_s22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33</xdr:row>
          <xdr:rowOff>0</xdr:rowOff>
        </xdr:from>
        <xdr:to>
          <xdr:col>9</xdr:col>
          <xdr:colOff>598429</xdr:colOff>
          <xdr:row>34</xdr:row>
          <xdr:rowOff>19150</xdr:rowOff>
        </xdr:to>
        <xdr:sp macro="" textlink="">
          <xdr:nvSpPr>
            <xdr:cNvPr id="22590" name="Check Box 62" hidden="1">
              <a:extLst>
                <a:ext uri="{63B3BB69-23CF-44E3-9099-C40C66FF867C}">
                  <a14:compatExt spid="_x0000_s22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34</xdr:row>
          <xdr:rowOff>0</xdr:rowOff>
        </xdr:from>
        <xdr:to>
          <xdr:col>9</xdr:col>
          <xdr:colOff>598429</xdr:colOff>
          <xdr:row>35</xdr:row>
          <xdr:rowOff>19150</xdr:rowOff>
        </xdr:to>
        <xdr:sp macro="" textlink="">
          <xdr:nvSpPr>
            <xdr:cNvPr id="22591" name="Check Box 63" hidden="1">
              <a:extLst>
                <a:ext uri="{63B3BB69-23CF-44E3-9099-C40C66FF867C}">
                  <a14:compatExt spid="_x0000_s22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35</xdr:row>
          <xdr:rowOff>0</xdr:rowOff>
        </xdr:from>
        <xdr:to>
          <xdr:col>9</xdr:col>
          <xdr:colOff>598429</xdr:colOff>
          <xdr:row>36</xdr:row>
          <xdr:rowOff>19150</xdr:rowOff>
        </xdr:to>
        <xdr:sp macro="" textlink="">
          <xdr:nvSpPr>
            <xdr:cNvPr id="22592" name="Check Box 64" hidden="1">
              <a:extLst>
                <a:ext uri="{63B3BB69-23CF-44E3-9099-C40C66FF867C}">
                  <a14:compatExt spid="_x0000_s22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36</xdr:row>
          <xdr:rowOff>0</xdr:rowOff>
        </xdr:from>
        <xdr:to>
          <xdr:col>9</xdr:col>
          <xdr:colOff>598429</xdr:colOff>
          <xdr:row>37</xdr:row>
          <xdr:rowOff>19150</xdr:rowOff>
        </xdr:to>
        <xdr:sp macro="" textlink="">
          <xdr:nvSpPr>
            <xdr:cNvPr id="22593" name="Check Box 65" hidden="1">
              <a:extLst>
                <a:ext uri="{63B3BB69-23CF-44E3-9099-C40C66FF867C}">
                  <a14:compatExt spid="_x0000_s225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37</xdr:row>
          <xdr:rowOff>0</xdr:rowOff>
        </xdr:from>
        <xdr:to>
          <xdr:col>9</xdr:col>
          <xdr:colOff>598429</xdr:colOff>
          <xdr:row>38</xdr:row>
          <xdr:rowOff>19150</xdr:rowOff>
        </xdr:to>
        <xdr:sp macro="" textlink="">
          <xdr:nvSpPr>
            <xdr:cNvPr id="22594" name="Check Box 66" hidden="1">
              <a:extLst>
                <a:ext uri="{63B3BB69-23CF-44E3-9099-C40C66FF867C}">
                  <a14:compatExt spid="_x0000_s22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191497</xdr:colOff>
          <xdr:row>39</xdr:row>
          <xdr:rowOff>0</xdr:rowOff>
        </xdr:to>
        <xdr:sp macro="" textlink="">
          <xdr:nvSpPr>
            <xdr:cNvPr id="22595" name="Drop Down 67" hidden="1">
              <a:extLst>
                <a:ext uri="{63B3BB69-23CF-44E3-9099-C40C66FF867C}">
                  <a14:compatExt spid="_x0000_s22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2596" name="Spinner 68" hidden="1">
              <a:extLst>
                <a:ext uri="{63B3BB69-23CF-44E3-9099-C40C66FF867C}">
                  <a14:compatExt spid="_x0000_s225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37</xdr:row>
          <xdr:rowOff>0</xdr:rowOff>
        </xdr:from>
        <xdr:to>
          <xdr:col>5</xdr:col>
          <xdr:colOff>608004</xdr:colOff>
          <xdr:row>38</xdr:row>
          <xdr:rowOff>0</xdr:rowOff>
        </xdr:to>
        <xdr:sp macro="" textlink="">
          <xdr:nvSpPr>
            <xdr:cNvPr id="22597" name="Drop Down 69" hidden="1">
              <a:extLst>
                <a:ext uri="{63B3BB69-23CF-44E3-9099-C40C66FF867C}">
                  <a14:compatExt spid="_x0000_s22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38</xdr:row>
          <xdr:rowOff>0</xdr:rowOff>
        </xdr:from>
        <xdr:to>
          <xdr:col>4</xdr:col>
          <xdr:colOff>277671</xdr:colOff>
          <xdr:row>38</xdr:row>
          <xdr:rowOff>191497</xdr:rowOff>
        </xdr:to>
        <xdr:sp macro="" textlink="">
          <xdr:nvSpPr>
            <xdr:cNvPr id="22598" name="Spinner 70" hidden="1">
              <a:extLst>
                <a:ext uri="{63B3BB69-23CF-44E3-9099-C40C66FF867C}">
                  <a14:compatExt spid="_x0000_s22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37</xdr:row>
          <xdr:rowOff>191497</xdr:rowOff>
        </xdr:from>
        <xdr:to>
          <xdr:col>3</xdr:col>
          <xdr:colOff>134048</xdr:colOff>
          <xdr:row>38</xdr:row>
          <xdr:rowOff>181923</xdr:rowOff>
        </xdr:to>
        <xdr:sp macro="" textlink="">
          <xdr:nvSpPr>
            <xdr:cNvPr id="22599" name="Spinner 71" hidden="1">
              <a:extLst>
                <a:ext uri="{63B3BB69-23CF-44E3-9099-C40C66FF867C}">
                  <a14:compatExt spid="_x0000_s22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37</xdr:row>
          <xdr:rowOff>0</xdr:rowOff>
        </xdr:from>
        <xdr:to>
          <xdr:col>9</xdr:col>
          <xdr:colOff>598429</xdr:colOff>
          <xdr:row>38</xdr:row>
          <xdr:rowOff>19150</xdr:rowOff>
        </xdr:to>
        <xdr:sp macro="" textlink="">
          <xdr:nvSpPr>
            <xdr:cNvPr id="22600" name="Check Box 72" hidden="1">
              <a:extLst>
                <a:ext uri="{63B3BB69-23CF-44E3-9099-C40C66FF867C}">
                  <a14:compatExt spid="_x0000_s22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38</xdr:row>
          <xdr:rowOff>0</xdr:rowOff>
        </xdr:from>
        <xdr:to>
          <xdr:col>9</xdr:col>
          <xdr:colOff>598429</xdr:colOff>
          <xdr:row>39</xdr:row>
          <xdr:rowOff>19150</xdr:rowOff>
        </xdr:to>
        <xdr:sp macro="" textlink="">
          <xdr:nvSpPr>
            <xdr:cNvPr id="22601" name="Check Box 73" hidden="1">
              <a:extLst>
                <a:ext uri="{63B3BB69-23CF-44E3-9099-C40C66FF867C}">
                  <a14:compatExt spid="_x0000_s22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2602" name="Spinner 74" hidden="1">
              <a:extLst>
                <a:ext uri="{63B3BB69-23CF-44E3-9099-C40C66FF867C}">
                  <a14:compatExt spid="_x0000_s22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38</xdr:row>
          <xdr:rowOff>0</xdr:rowOff>
        </xdr:from>
        <xdr:to>
          <xdr:col>5</xdr:col>
          <xdr:colOff>608004</xdr:colOff>
          <xdr:row>39</xdr:row>
          <xdr:rowOff>0</xdr:rowOff>
        </xdr:to>
        <xdr:sp macro="" textlink="">
          <xdr:nvSpPr>
            <xdr:cNvPr id="22603" name="Drop Down 75" hidden="1">
              <a:extLst>
                <a:ext uri="{63B3BB69-23CF-44E3-9099-C40C66FF867C}">
                  <a14:compatExt spid="_x0000_s22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39</xdr:row>
          <xdr:rowOff>0</xdr:rowOff>
        </xdr:from>
        <xdr:to>
          <xdr:col>5</xdr:col>
          <xdr:colOff>608004</xdr:colOff>
          <xdr:row>40</xdr:row>
          <xdr:rowOff>0</xdr:rowOff>
        </xdr:to>
        <xdr:sp macro="" textlink="">
          <xdr:nvSpPr>
            <xdr:cNvPr id="22604" name="Drop Down 76" hidden="1">
              <a:extLst>
                <a:ext uri="{63B3BB69-23CF-44E3-9099-C40C66FF867C}">
                  <a14:compatExt spid="_x0000_s22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38</xdr:row>
          <xdr:rowOff>0</xdr:rowOff>
        </xdr:from>
        <xdr:to>
          <xdr:col>9</xdr:col>
          <xdr:colOff>598429</xdr:colOff>
          <xdr:row>39</xdr:row>
          <xdr:rowOff>19150</xdr:rowOff>
        </xdr:to>
        <xdr:sp macro="" textlink="">
          <xdr:nvSpPr>
            <xdr:cNvPr id="22605" name="Check Box 77" hidden="1">
              <a:extLst>
                <a:ext uri="{63B3BB69-23CF-44E3-9099-C40C66FF867C}">
                  <a14:compatExt spid="_x0000_s22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39</xdr:row>
          <xdr:rowOff>0</xdr:rowOff>
        </xdr:from>
        <xdr:to>
          <xdr:col>9</xdr:col>
          <xdr:colOff>598429</xdr:colOff>
          <xdr:row>40</xdr:row>
          <xdr:rowOff>19150</xdr:rowOff>
        </xdr:to>
        <xdr:sp macro="" textlink="">
          <xdr:nvSpPr>
            <xdr:cNvPr id="22606" name="Check Box 78" hidden="1">
              <a:extLst>
                <a:ext uri="{63B3BB69-23CF-44E3-9099-C40C66FF867C}">
                  <a14:compatExt spid="_x0000_s22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694178</xdr:colOff>
          <xdr:row>47</xdr:row>
          <xdr:rowOff>0</xdr:rowOff>
        </xdr:from>
        <xdr:to>
          <xdr:col>4</xdr:col>
          <xdr:colOff>818651</xdr:colOff>
          <xdr:row>47</xdr:row>
          <xdr:rowOff>191497</xdr:rowOff>
        </xdr:to>
        <xdr:sp macro="" textlink="">
          <xdr:nvSpPr>
            <xdr:cNvPr id="22607" name="Spinner 79" hidden="1">
              <a:extLst>
                <a:ext uri="{63B3BB69-23CF-44E3-9099-C40C66FF867C}">
                  <a14:compatExt spid="_x0000_s226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19150</xdr:colOff>
          <xdr:row>59</xdr:row>
          <xdr:rowOff>38299</xdr:rowOff>
        </xdr:from>
        <xdr:to>
          <xdr:col>2</xdr:col>
          <xdr:colOff>191497</xdr:colOff>
          <xdr:row>59</xdr:row>
          <xdr:rowOff>239372</xdr:rowOff>
        </xdr:to>
        <xdr:sp macro="" textlink="">
          <xdr:nvSpPr>
            <xdr:cNvPr id="22608" name="Drop Down 80" hidden="1">
              <a:extLst>
                <a:ext uri="{63B3BB69-23CF-44E3-9099-C40C66FF867C}">
                  <a14:compatExt spid="_x0000_s22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684603</xdr:colOff>
          <xdr:row>12</xdr:row>
          <xdr:rowOff>9575</xdr:rowOff>
        </xdr:from>
        <xdr:to>
          <xdr:col>7</xdr:col>
          <xdr:colOff>809076</xdr:colOff>
          <xdr:row>13</xdr:row>
          <xdr:rowOff>0</xdr:rowOff>
        </xdr:to>
        <xdr:sp macro="" textlink="">
          <xdr:nvSpPr>
            <xdr:cNvPr id="22609" name="Spinner 81" hidden="1">
              <a:extLst>
                <a:ext uri="{63B3BB69-23CF-44E3-9099-C40C66FF867C}">
                  <a14:compatExt spid="_x0000_s22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684603</xdr:colOff>
          <xdr:row>12</xdr:row>
          <xdr:rowOff>9575</xdr:rowOff>
        </xdr:from>
        <xdr:to>
          <xdr:col>9</xdr:col>
          <xdr:colOff>809076</xdr:colOff>
          <xdr:row>13</xdr:row>
          <xdr:rowOff>0</xdr:rowOff>
        </xdr:to>
        <xdr:sp macro="" textlink="">
          <xdr:nvSpPr>
            <xdr:cNvPr id="22610" name="Spinner 82" hidden="1">
              <a:extLst>
                <a:ext uri="{63B3BB69-23CF-44E3-9099-C40C66FF867C}">
                  <a14:compatExt spid="_x0000_s226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23</xdr:row>
          <xdr:rowOff>181923</xdr:rowOff>
        </xdr:from>
        <xdr:to>
          <xdr:col>9</xdr:col>
          <xdr:colOff>588854</xdr:colOff>
          <xdr:row>24</xdr:row>
          <xdr:rowOff>181923</xdr:rowOff>
        </xdr:to>
        <xdr:sp macro="" textlink="">
          <xdr:nvSpPr>
            <xdr:cNvPr id="22612" name="Drop Down 84" hidden="1">
              <a:extLst>
                <a:ext uri="{63B3BB69-23CF-44E3-9099-C40C66FF867C}">
                  <a14:compatExt spid="_x0000_s22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57449</xdr:colOff>
          <xdr:row>25</xdr:row>
          <xdr:rowOff>9575</xdr:rowOff>
        </xdr:from>
        <xdr:to>
          <xdr:col>9</xdr:col>
          <xdr:colOff>598429</xdr:colOff>
          <xdr:row>26</xdr:row>
          <xdr:rowOff>9575</xdr:rowOff>
        </xdr:to>
        <xdr:sp macro="" textlink="">
          <xdr:nvSpPr>
            <xdr:cNvPr id="22613" name="Drop Down 85" hidden="1">
              <a:extLst>
                <a:ext uri="{63B3BB69-23CF-44E3-9099-C40C66FF867C}">
                  <a14:compatExt spid="_x0000_s22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67024</xdr:colOff>
          <xdr:row>20</xdr:row>
          <xdr:rowOff>9575</xdr:rowOff>
        </xdr:from>
        <xdr:to>
          <xdr:col>10</xdr:col>
          <xdr:colOff>684603</xdr:colOff>
          <xdr:row>21</xdr:row>
          <xdr:rowOff>9575</xdr:rowOff>
        </xdr:to>
        <xdr:sp macro="" textlink="">
          <xdr:nvSpPr>
            <xdr:cNvPr id="22614" name="Pos" hidden="1">
              <a:extLst>
                <a:ext uri="{63B3BB69-23CF-44E3-9099-C40C66FF867C}">
                  <a14:compatExt spid="_x0000_s226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209550</xdr:colOff>
      <xdr:row>31</xdr:row>
      <xdr:rowOff>9525</xdr:rowOff>
    </xdr:from>
    <xdr:to>
      <xdr:col>2</xdr:col>
      <xdr:colOff>819150</xdr:colOff>
      <xdr:row>31</xdr:row>
      <xdr:rowOff>190500</xdr:rowOff>
    </xdr:to>
    <xdr:sp macro="[0]!Med1Sterkte" textlink="">
      <xdr:nvSpPr>
        <xdr:cNvPr id="91" name="Rectangle 142"/>
        <xdr:cNvSpPr>
          <a:spLocks noChangeArrowheads="1"/>
        </xdr:cNvSpPr>
      </xdr:nvSpPr>
      <xdr:spPr bwMode="auto">
        <a:xfrm>
          <a:off x="1285875" y="57340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92" name="Rectangle 143"/>
        <xdr:cNvSpPr>
          <a:spLocks noChangeArrowheads="1"/>
        </xdr:cNvSpPr>
      </xdr:nvSpPr>
      <xdr:spPr bwMode="auto">
        <a:xfrm>
          <a:off x="5934075" y="18288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819150</xdr:colOff>
      <xdr:row>14</xdr:row>
      <xdr:rowOff>190500</xdr:rowOff>
    </xdr:from>
    <xdr:to>
      <xdr:col>7</xdr:col>
      <xdr:colOff>790575</xdr:colOff>
      <xdr:row>16</xdr:row>
      <xdr:rowOff>0</xdr:rowOff>
    </xdr:to>
    <xdr:sp macro="" textlink="">
      <xdr:nvSpPr>
        <xdr:cNvPr id="93" name="Rectangle 144"/>
        <xdr:cNvSpPr>
          <a:spLocks noChangeArrowheads="1"/>
        </xdr:cNvSpPr>
      </xdr:nvSpPr>
      <xdr:spPr bwMode="auto">
        <a:xfrm>
          <a:off x="5095875" y="2819400"/>
          <a:ext cx="8001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32</xdr:row>
      <xdr:rowOff>9525</xdr:rowOff>
    </xdr:from>
    <xdr:to>
      <xdr:col>2</xdr:col>
      <xdr:colOff>819150</xdr:colOff>
      <xdr:row>32</xdr:row>
      <xdr:rowOff>190500</xdr:rowOff>
    </xdr:to>
    <xdr:sp macro="[0]!Med2Sterkte" textlink="">
      <xdr:nvSpPr>
        <xdr:cNvPr id="94" name="Rectangle 145"/>
        <xdr:cNvSpPr>
          <a:spLocks noChangeArrowheads="1"/>
        </xdr:cNvSpPr>
      </xdr:nvSpPr>
      <xdr:spPr bwMode="auto">
        <a:xfrm>
          <a:off x="1285875" y="59340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33</xdr:row>
      <xdr:rowOff>9525</xdr:rowOff>
    </xdr:from>
    <xdr:to>
      <xdr:col>2</xdr:col>
      <xdr:colOff>819150</xdr:colOff>
      <xdr:row>33</xdr:row>
      <xdr:rowOff>190500</xdr:rowOff>
    </xdr:to>
    <xdr:sp macro="[0]!Med3Sterkte" textlink="">
      <xdr:nvSpPr>
        <xdr:cNvPr id="95" name="Rectangle 146"/>
        <xdr:cNvSpPr>
          <a:spLocks noChangeArrowheads="1"/>
        </xdr:cNvSpPr>
      </xdr:nvSpPr>
      <xdr:spPr bwMode="auto">
        <a:xfrm>
          <a:off x="1285875" y="61341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34</xdr:row>
      <xdr:rowOff>9525</xdr:rowOff>
    </xdr:from>
    <xdr:to>
      <xdr:col>2</xdr:col>
      <xdr:colOff>819150</xdr:colOff>
      <xdr:row>34</xdr:row>
      <xdr:rowOff>190500</xdr:rowOff>
    </xdr:to>
    <xdr:sp macro="[0]!Med4Sterkte" textlink="">
      <xdr:nvSpPr>
        <xdr:cNvPr id="96" name="Rectangle 147"/>
        <xdr:cNvSpPr>
          <a:spLocks noChangeArrowheads="1"/>
        </xdr:cNvSpPr>
      </xdr:nvSpPr>
      <xdr:spPr bwMode="auto">
        <a:xfrm>
          <a:off x="1285875" y="63341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35</xdr:row>
      <xdr:rowOff>9525</xdr:rowOff>
    </xdr:from>
    <xdr:to>
      <xdr:col>2</xdr:col>
      <xdr:colOff>819150</xdr:colOff>
      <xdr:row>35</xdr:row>
      <xdr:rowOff>190500</xdr:rowOff>
    </xdr:to>
    <xdr:sp macro="[0]!Med5Sterkte" textlink="">
      <xdr:nvSpPr>
        <xdr:cNvPr id="97" name="Rectangle 148"/>
        <xdr:cNvSpPr>
          <a:spLocks noChangeArrowheads="1"/>
        </xdr:cNvSpPr>
      </xdr:nvSpPr>
      <xdr:spPr bwMode="auto">
        <a:xfrm>
          <a:off x="1285875" y="65341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36</xdr:row>
      <xdr:rowOff>9525</xdr:rowOff>
    </xdr:from>
    <xdr:to>
      <xdr:col>2</xdr:col>
      <xdr:colOff>819150</xdr:colOff>
      <xdr:row>36</xdr:row>
      <xdr:rowOff>190500</xdr:rowOff>
    </xdr:to>
    <xdr:sp macro="[0]!Med6Sterkte" textlink="">
      <xdr:nvSpPr>
        <xdr:cNvPr id="98" name="Rectangle 149"/>
        <xdr:cNvSpPr>
          <a:spLocks noChangeArrowheads="1"/>
        </xdr:cNvSpPr>
      </xdr:nvSpPr>
      <xdr:spPr bwMode="auto">
        <a:xfrm>
          <a:off x="1285875" y="67341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37</xdr:row>
      <xdr:rowOff>9525</xdr:rowOff>
    </xdr:from>
    <xdr:to>
      <xdr:col>2</xdr:col>
      <xdr:colOff>819150</xdr:colOff>
      <xdr:row>37</xdr:row>
      <xdr:rowOff>190500</xdr:rowOff>
    </xdr:to>
    <xdr:sp macro="[0]!Med7Sterkte" textlink="">
      <xdr:nvSpPr>
        <xdr:cNvPr id="99" name="Rectangle 150"/>
        <xdr:cNvSpPr>
          <a:spLocks noChangeArrowheads="1"/>
        </xdr:cNvSpPr>
      </xdr:nvSpPr>
      <xdr:spPr bwMode="auto">
        <a:xfrm>
          <a:off x="1285875" y="69342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38</xdr:row>
      <xdr:rowOff>9525</xdr:rowOff>
    </xdr:from>
    <xdr:to>
      <xdr:col>2</xdr:col>
      <xdr:colOff>819150</xdr:colOff>
      <xdr:row>38</xdr:row>
      <xdr:rowOff>190500</xdr:rowOff>
    </xdr:to>
    <xdr:sp macro="[0]!Med8Sterkte" textlink="">
      <xdr:nvSpPr>
        <xdr:cNvPr id="100" name="Rectangle 151"/>
        <xdr:cNvSpPr>
          <a:spLocks noChangeArrowheads="1"/>
        </xdr:cNvSpPr>
      </xdr:nvSpPr>
      <xdr:spPr bwMode="auto">
        <a:xfrm>
          <a:off x="1285875" y="71342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21</xdr:row>
          <xdr:rowOff>9575</xdr:rowOff>
        </xdr:from>
        <xdr:to>
          <xdr:col>4</xdr:col>
          <xdr:colOff>809076</xdr:colOff>
          <xdr:row>22</xdr:row>
          <xdr:rowOff>0</xdr:rowOff>
        </xdr:to>
        <xdr:sp macro="" textlink="">
          <xdr:nvSpPr>
            <xdr:cNvPr id="22619" name="Spinner 91" hidden="1">
              <a:extLst>
                <a:ext uri="{63B3BB69-23CF-44E3-9099-C40C66FF867C}">
                  <a14:compatExt spid="_x0000_s226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684603</xdr:colOff>
          <xdr:row>21</xdr:row>
          <xdr:rowOff>9575</xdr:rowOff>
        </xdr:from>
        <xdr:to>
          <xdr:col>6</xdr:col>
          <xdr:colOff>809076</xdr:colOff>
          <xdr:row>22</xdr:row>
          <xdr:rowOff>0</xdr:rowOff>
        </xdr:to>
        <xdr:sp macro="" textlink="">
          <xdr:nvSpPr>
            <xdr:cNvPr id="22620" name="Spinner 92" hidden="1">
              <a:extLst>
                <a:ext uri="{63B3BB69-23CF-44E3-9099-C40C66FF867C}">
                  <a14:compatExt spid="_x0000_s226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24</xdr:row>
          <xdr:rowOff>181923</xdr:rowOff>
        </xdr:from>
        <xdr:to>
          <xdr:col>9</xdr:col>
          <xdr:colOff>588854</xdr:colOff>
          <xdr:row>25</xdr:row>
          <xdr:rowOff>181923</xdr:rowOff>
        </xdr:to>
        <xdr:sp macro="" textlink="">
          <xdr:nvSpPr>
            <xdr:cNvPr id="22621" name="Drop Down 93" hidden="1">
              <a:extLst>
                <a:ext uri="{63B3BB69-23CF-44E3-9099-C40C66FF867C}">
                  <a14:compatExt spid="_x0000_s226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25</xdr:row>
          <xdr:rowOff>181923</xdr:rowOff>
        </xdr:from>
        <xdr:to>
          <xdr:col>9</xdr:col>
          <xdr:colOff>588854</xdr:colOff>
          <xdr:row>26</xdr:row>
          <xdr:rowOff>181923</xdr:rowOff>
        </xdr:to>
        <xdr:sp macro="" textlink="">
          <xdr:nvSpPr>
            <xdr:cNvPr id="22622" name="Drop Down 94" hidden="1">
              <a:extLst>
                <a:ext uri="{63B3BB69-23CF-44E3-9099-C40C66FF867C}">
                  <a14:compatExt spid="_x0000_s226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0</xdr:colOff>
      <xdr:row>45</xdr:row>
      <xdr:rowOff>9525</xdr:rowOff>
    </xdr:from>
    <xdr:to>
      <xdr:col>8</xdr:col>
      <xdr:colOff>819150</xdr:colOff>
      <xdr:row>45</xdr:row>
      <xdr:rowOff>180975</xdr:rowOff>
    </xdr:to>
    <xdr:sp macro="[0]!Med12Tekst" textlink="">
      <xdr:nvSpPr>
        <xdr:cNvPr id="107" name="Rectangle 164"/>
        <xdr:cNvSpPr>
          <a:spLocks noChangeArrowheads="1"/>
        </xdr:cNvSpPr>
      </xdr:nvSpPr>
      <xdr:spPr bwMode="auto">
        <a:xfrm>
          <a:off x="247650" y="8458200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19050</xdr:rowOff>
    </xdr:from>
    <xdr:to>
      <xdr:col>8</xdr:col>
      <xdr:colOff>809625</xdr:colOff>
      <xdr:row>45</xdr:row>
      <xdr:rowOff>0</xdr:rowOff>
    </xdr:to>
    <xdr:sp macro="[0]!Med11Tekst" textlink="">
      <xdr:nvSpPr>
        <xdr:cNvPr id="108" name="Rectangle 165"/>
        <xdr:cNvSpPr>
          <a:spLocks noChangeArrowheads="1"/>
        </xdr:cNvSpPr>
      </xdr:nvSpPr>
      <xdr:spPr bwMode="auto">
        <a:xfrm>
          <a:off x="257175" y="8267700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4</xdr:col>
      <xdr:colOff>0</xdr:colOff>
      <xdr:row>15</xdr:row>
      <xdr:rowOff>0</xdr:rowOff>
    </xdr:to>
    <xdr:sp macro="" textlink="">
      <xdr:nvSpPr>
        <xdr:cNvPr id="110" name="Rectangle 168"/>
        <xdr:cNvSpPr>
          <a:spLocks noChangeArrowheads="1"/>
        </xdr:cNvSpPr>
      </xdr:nvSpPr>
      <xdr:spPr bwMode="auto">
        <a:xfrm>
          <a:off x="1076325" y="26289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191497</xdr:colOff>
          <xdr:row>40</xdr:row>
          <xdr:rowOff>0</xdr:rowOff>
        </xdr:to>
        <xdr:sp macro="" textlink="">
          <xdr:nvSpPr>
            <xdr:cNvPr id="22625" name="Drop Down 97" hidden="1">
              <a:extLst>
                <a:ext uri="{63B3BB69-23CF-44E3-9099-C40C66FF867C}">
                  <a14:compatExt spid="_x0000_s22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39</xdr:row>
          <xdr:rowOff>0</xdr:rowOff>
        </xdr:from>
        <xdr:to>
          <xdr:col>4</xdr:col>
          <xdr:colOff>277671</xdr:colOff>
          <xdr:row>39</xdr:row>
          <xdr:rowOff>191497</xdr:rowOff>
        </xdr:to>
        <xdr:sp macro="" textlink="">
          <xdr:nvSpPr>
            <xdr:cNvPr id="22626" name="Spinner 98" hidden="1">
              <a:extLst>
                <a:ext uri="{63B3BB69-23CF-44E3-9099-C40C66FF867C}">
                  <a14:compatExt spid="_x0000_s226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38</xdr:row>
          <xdr:rowOff>191497</xdr:rowOff>
        </xdr:from>
        <xdr:to>
          <xdr:col>3</xdr:col>
          <xdr:colOff>134048</xdr:colOff>
          <xdr:row>39</xdr:row>
          <xdr:rowOff>181923</xdr:rowOff>
        </xdr:to>
        <xdr:sp macro="" textlink="">
          <xdr:nvSpPr>
            <xdr:cNvPr id="22627" name="Spinner 99" hidden="1">
              <a:extLst>
                <a:ext uri="{63B3BB69-23CF-44E3-9099-C40C66FF867C}">
                  <a14:compatExt spid="_x0000_s226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39</xdr:row>
          <xdr:rowOff>0</xdr:rowOff>
        </xdr:from>
        <xdr:to>
          <xdr:col>5</xdr:col>
          <xdr:colOff>608004</xdr:colOff>
          <xdr:row>40</xdr:row>
          <xdr:rowOff>0</xdr:rowOff>
        </xdr:to>
        <xdr:sp macro="" textlink="">
          <xdr:nvSpPr>
            <xdr:cNvPr id="22628" name="Drop Down 100" hidden="1">
              <a:extLst>
                <a:ext uri="{63B3BB69-23CF-44E3-9099-C40C66FF867C}">
                  <a14:compatExt spid="_x0000_s226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209550</xdr:colOff>
      <xdr:row>39</xdr:row>
      <xdr:rowOff>9525</xdr:rowOff>
    </xdr:from>
    <xdr:to>
      <xdr:col>2</xdr:col>
      <xdr:colOff>819150</xdr:colOff>
      <xdr:row>39</xdr:row>
      <xdr:rowOff>190500</xdr:rowOff>
    </xdr:to>
    <xdr:sp macro="[0]!Med9Sterkte" textlink="">
      <xdr:nvSpPr>
        <xdr:cNvPr id="115" name="Rectangle 189"/>
        <xdr:cNvSpPr>
          <a:spLocks noChangeArrowheads="1"/>
        </xdr:cNvSpPr>
      </xdr:nvSpPr>
      <xdr:spPr bwMode="auto">
        <a:xfrm>
          <a:off x="1285875" y="73342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41</xdr:row>
          <xdr:rowOff>0</xdr:rowOff>
        </xdr:from>
        <xdr:to>
          <xdr:col>5</xdr:col>
          <xdr:colOff>608004</xdr:colOff>
          <xdr:row>42</xdr:row>
          <xdr:rowOff>0</xdr:rowOff>
        </xdr:to>
        <xdr:sp macro="" textlink="">
          <xdr:nvSpPr>
            <xdr:cNvPr id="22629" name="Drop Down 101" hidden="1">
              <a:extLst>
                <a:ext uri="{63B3BB69-23CF-44E3-9099-C40C66FF867C}">
                  <a14:compatExt spid="_x0000_s226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41</xdr:row>
          <xdr:rowOff>9575</xdr:rowOff>
        </xdr:from>
        <xdr:to>
          <xdr:col>7</xdr:col>
          <xdr:colOff>143623</xdr:colOff>
          <xdr:row>42</xdr:row>
          <xdr:rowOff>0</xdr:rowOff>
        </xdr:to>
        <xdr:sp macro="" textlink="">
          <xdr:nvSpPr>
            <xdr:cNvPr id="22630" name="Spinner 102" hidden="1">
              <a:extLst>
                <a:ext uri="{63B3BB69-23CF-44E3-9099-C40C66FF867C}">
                  <a14:compatExt spid="_x0000_s226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41</xdr:row>
          <xdr:rowOff>0</xdr:rowOff>
        </xdr:from>
        <xdr:to>
          <xdr:col>9</xdr:col>
          <xdr:colOff>598429</xdr:colOff>
          <xdr:row>42</xdr:row>
          <xdr:rowOff>19150</xdr:rowOff>
        </xdr:to>
        <xdr:sp macro="" textlink="">
          <xdr:nvSpPr>
            <xdr:cNvPr id="22631" name="Check Box 103" hidden="1">
              <a:extLst>
                <a:ext uri="{63B3BB69-23CF-44E3-9099-C40C66FF867C}">
                  <a14:compatExt spid="_x0000_s226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42</xdr:row>
          <xdr:rowOff>0</xdr:rowOff>
        </xdr:from>
        <xdr:to>
          <xdr:col>5</xdr:col>
          <xdr:colOff>608004</xdr:colOff>
          <xdr:row>43</xdr:row>
          <xdr:rowOff>0</xdr:rowOff>
        </xdr:to>
        <xdr:sp macro="" textlink="">
          <xdr:nvSpPr>
            <xdr:cNvPr id="22632" name="Drop Down 104" hidden="1">
              <a:extLst>
                <a:ext uri="{63B3BB69-23CF-44E3-9099-C40C66FF867C}">
                  <a14:compatExt spid="_x0000_s226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42</xdr:row>
          <xdr:rowOff>9575</xdr:rowOff>
        </xdr:from>
        <xdr:to>
          <xdr:col>7</xdr:col>
          <xdr:colOff>143623</xdr:colOff>
          <xdr:row>43</xdr:row>
          <xdr:rowOff>0</xdr:rowOff>
        </xdr:to>
        <xdr:sp macro="" textlink="">
          <xdr:nvSpPr>
            <xdr:cNvPr id="22633" name="Spinner 105" hidden="1">
              <a:extLst>
                <a:ext uri="{63B3BB69-23CF-44E3-9099-C40C66FF867C}">
                  <a14:compatExt spid="_x0000_s226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42</xdr:row>
          <xdr:rowOff>0</xdr:rowOff>
        </xdr:from>
        <xdr:to>
          <xdr:col>9</xdr:col>
          <xdr:colOff>598429</xdr:colOff>
          <xdr:row>43</xdr:row>
          <xdr:rowOff>19150</xdr:rowOff>
        </xdr:to>
        <xdr:sp macro="" textlink="">
          <xdr:nvSpPr>
            <xdr:cNvPr id="22634" name="Check Box 106" hidden="1">
              <a:extLst>
                <a:ext uri="{63B3BB69-23CF-44E3-9099-C40C66FF867C}">
                  <a14:compatExt spid="_x0000_s226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42</xdr:row>
          <xdr:rowOff>0</xdr:rowOff>
        </xdr:from>
        <xdr:to>
          <xdr:col>9</xdr:col>
          <xdr:colOff>598429</xdr:colOff>
          <xdr:row>43</xdr:row>
          <xdr:rowOff>19150</xdr:rowOff>
        </xdr:to>
        <xdr:sp macro="" textlink="">
          <xdr:nvSpPr>
            <xdr:cNvPr id="22635" name="Check Box 107" hidden="1">
              <a:extLst>
                <a:ext uri="{63B3BB69-23CF-44E3-9099-C40C66FF867C}">
                  <a14:compatExt spid="_x0000_s226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43</xdr:row>
          <xdr:rowOff>0</xdr:rowOff>
        </xdr:from>
        <xdr:to>
          <xdr:col>5</xdr:col>
          <xdr:colOff>608004</xdr:colOff>
          <xdr:row>44</xdr:row>
          <xdr:rowOff>0</xdr:rowOff>
        </xdr:to>
        <xdr:sp macro="" textlink="">
          <xdr:nvSpPr>
            <xdr:cNvPr id="22636" name="Drop Down 108" hidden="1">
              <a:extLst>
                <a:ext uri="{63B3BB69-23CF-44E3-9099-C40C66FF867C}">
                  <a14:compatExt spid="_x0000_s226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43</xdr:row>
          <xdr:rowOff>9575</xdr:rowOff>
        </xdr:from>
        <xdr:to>
          <xdr:col>7</xdr:col>
          <xdr:colOff>143623</xdr:colOff>
          <xdr:row>44</xdr:row>
          <xdr:rowOff>0</xdr:rowOff>
        </xdr:to>
        <xdr:sp macro="" textlink="">
          <xdr:nvSpPr>
            <xdr:cNvPr id="22637" name="Spinner 109" hidden="1">
              <a:extLst>
                <a:ext uri="{63B3BB69-23CF-44E3-9099-C40C66FF867C}">
                  <a14:compatExt spid="_x0000_s22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43</xdr:row>
          <xdr:rowOff>0</xdr:rowOff>
        </xdr:from>
        <xdr:to>
          <xdr:col>9</xdr:col>
          <xdr:colOff>598429</xdr:colOff>
          <xdr:row>44</xdr:row>
          <xdr:rowOff>19150</xdr:rowOff>
        </xdr:to>
        <xdr:sp macro="" textlink="">
          <xdr:nvSpPr>
            <xdr:cNvPr id="22638" name="Check Box 110" hidden="1">
              <a:extLst>
                <a:ext uri="{63B3BB69-23CF-44E3-9099-C40C66FF867C}">
                  <a14:compatExt spid="_x0000_s22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133350</xdr:colOff>
      <xdr:row>73</xdr:row>
      <xdr:rowOff>9525</xdr:rowOff>
    </xdr:from>
    <xdr:to>
      <xdr:col>9</xdr:col>
      <xdr:colOff>742950</xdr:colOff>
      <xdr:row>75</xdr:row>
      <xdr:rowOff>0</xdr:rowOff>
    </xdr:to>
    <xdr:sp macro="[0]!opmLabNeo" textlink="">
      <xdr:nvSpPr>
        <xdr:cNvPr id="124" name="Rectangle 125"/>
        <xdr:cNvSpPr>
          <a:spLocks noChangeArrowheads="1"/>
        </xdr:cNvSpPr>
      </xdr:nvSpPr>
      <xdr:spPr bwMode="auto">
        <a:xfrm>
          <a:off x="381000" y="13392150"/>
          <a:ext cx="7124700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63</xdr:row>
      <xdr:rowOff>0</xdr:rowOff>
    </xdr:from>
    <xdr:to>
      <xdr:col>2</xdr:col>
      <xdr:colOff>295275</xdr:colOff>
      <xdr:row>63</xdr:row>
      <xdr:rowOff>142875</xdr:rowOff>
    </xdr:to>
    <xdr:sp macro="[0]!gaNaarLab" textlink="">
      <xdr:nvSpPr>
        <xdr:cNvPr id="125" name="Rectangle 137"/>
        <xdr:cNvSpPr>
          <a:spLocks noChangeArrowheads="1"/>
        </xdr:cNvSpPr>
      </xdr:nvSpPr>
      <xdr:spPr bwMode="auto">
        <a:xfrm>
          <a:off x="133350" y="18859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23</xdr:row>
          <xdr:rowOff>181923</xdr:rowOff>
        </xdr:from>
        <xdr:to>
          <xdr:col>13</xdr:col>
          <xdr:colOff>895250</xdr:colOff>
          <xdr:row>24</xdr:row>
          <xdr:rowOff>181923</xdr:rowOff>
        </xdr:to>
        <xdr:sp macro="" textlink="">
          <xdr:nvSpPr>
            <xdr:cNvPr id="22640" name="Drop Down 112" hidden="1">
              <a:extLst>
                <a:ext uri="{63B3BB69-23CF-44E3-9099-C40C66FF867C}">
                  <a14:compatExt spid="_x0000_s226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57449</xdr:colOff>
          <xdr:row>25</xdr:row>
          <xdr:rowOff>9575</xdr:rowOff>
        </xdr:from>
        <xdr:to>
          <xdr:col>13</xdr:col>
          <xdr:colOff>904825</xdr:colOff>
          <xdr:row>26</xdr:row>
          <xdr:rowOff>9575</xdr:rowOff>
        </xdr:to>
        <xdr:sp macro="" textlink="">
          <xdr:nvSpPr>
            <xdr:cNvPr id="22641" name="Drop Down 113" hidden="1">
              <a:extLst>
                <a:ext uri="{63B3BB69-23CF-44E3-9099-C40C66FF867C}">
                  <a14:compatExt spid="_x0000_s226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24</xdr:row>
          <xdr:rowOff>181923</xdr:rowOff>
        </xdr:from>
        <xdr:to>
          <xdr:col>13</xdr:col>
          <xdr:colOff>895250</xdr:colOff>
          <xdr:row>25</xdr:row>
          <xdr:rowOff>181923</xdr:rowOff>
        </xdr:to>
        <xdr:sp macro="" textlink="">
          <xdr:nvSpPr>
            <xdr:cNvPr id="22646" name="Drop Down 118" hidden="1">
              <a:extLst>
                <a:ext uri="{63B3BB69-23CF-44E3-9099-C40C66FF867C}">
                  <a14:compatExt spid="_x0000_s226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25</xdr:row>
          <xdr:rowOff>181923</xdr:rowOff>
        </xdr:from>
        <xdr:to>
          <xdr:col>13</xdr:col>
          <xdr:colOff>895250</xdr:colOff>
          <xdr:row>26</xdr:row>
          <xdr:rowOff>181923</xdr:rowOff>
        </xdr:to>
        <xdr:sp macro="" textlink="">
          <xdr:nvSpPr>
            <xdr:cNvPr id="22647" name="Drop Down 119" hidden="1">
              <a:extLst>
                <a:ext uri="{63B3BB69-23CF-44E3-9099-C40C66FF867C}">
                  <a14:compatExt spid="_x0000_s226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23</xdr:row>
          <xdr:rowOff>0</xdr:rowOff>
        </xdr:from>
        <xdr:to>
          <xdr:col>14</xdr:col>
          <xdr:colOff>531405</xdr:colOff>
          <xdr:row>23</xdr:row>
          <xdr:rowOff>191497</xdr:rowOff>
        </xdr:to>
        <xdr:sp macro="" textlink="">
          <xdr:nvSpPr>
            <xdr:cNvPr id="22650" name="Pos" hidden="1">
              <a:extLst>
                <a:ext uri="{63B3BB69-23CF-44E3-9099-C40C66FF867C}">
                  <a14:compatExt spid="_x0000_s226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23</xdr:row>
          <xdr:rowOff>191497</xdr:rowOff>
        </xdr:from>
        <xdr:to>
          <xdr:col>15</xdr:col>
          <xdr:colOff>38299</xdr:colOff>
          <xdr:row>24</xdr:row>
          <xdr:rowOff>191497</xdr:rowOff>
        </xdr:to>
        <xdr:sp macro="" textlink="">
          <xdr:nvSpPr>
            <xdr:cNvPr id="22653" name="Pos" hidden="1">
              <a:extLst>
                <a:ext uri="{63B3BB69-23CF-44E3-9099-C40C66FF867C}">
                  <a14:compatExt spid="_x0000_s226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24</xdr:row>
          <xdr:rowOff>191497</xdr:rowOff>
        </xdr:from>
        <xdr:to>
          <xdr:col>15</xdr:col>
          <xdr:colOff>38299</xdr:colOff>
          <xdr:row>25</xdr:row>
          <xdr:rowOff>191497</xdr:rowOff>
        </xdr:to>
        <xdr:sp macro="" textlink="">
          <xdr:nvSpPr>
            <xdr:cNvPr id="22654" name="Pos" hidden="1">
              <a:extLst>
                <a:ext uri="{63B3BB69-23CF-44E3-9099-C40C66FF867C}">
                  <a14:compatExt spid="_x0000_s226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25</xdr:row>
          <xdr:rowOff>191497</xdr:rowOff>
        </xdr:from>
        <xdr:to>
          <xdr:col>15</xdr:col>
          <xdr:colOff>38299</xdr:colOff>
          <xdr:row>26</xdr:row>
          <xdr:rowOff>191497</xdr:rowOff>
        </xdr:to>
        <xdr:sp macro="" textlink="">
          <xdr:nvSpPr>
            <xdr:cNvPr id="22656" name="Pos" hidden="1">
              <a:extLst>
                <a:ext uri="{63B3BB69-23CF-44E3-9099-C40C66FF867C}">
                  <a14:compatExt spid="_x0000_s226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22</xdr:row>
          <xdr:rowOff>181923</xdr:rowOff>
        </xdr:from>
        <xdr:to>
          <xdr:col>9</xdr:col>
          <xdr:colOff>588854</xdr:colOff>
          <xdr:row>23</xdr:row>
          <xdr:rowOff>181923</xdr:rowOff>
        </xdr:to>
        <xdr:sp macro="" textlink="">
          <xdr:nvSpPr>
            <xdr:cNvPr id="22657" name="Drop Down 129" hidden="1">
              <a:extLst>
                <a:ext uri="{63B3BB69-23CF-44E3-9099-C40C66FF867C}">
                  <a14:compatExt spid="_x0000_s22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22</xdr:row>
          <xdr:rowOff>181923</xdr:rowOff>
        </xdr:from>
        <xdr:to>
          <xdr:col>13</xdr:col>
          <xdr:colOff>895250</xdr:colOff>
          <xdr:row>23</xdr:row>
          <xdr:rowOff>181923</xdr:rowOff>
        </xdr:to>
        <xdr:sp macro="" textlink="">
          <xdr:nvSpPr>
            <xdr:cNvPr id="22659" name="Drop Down 131" hidden="1">
              <a:extLst>
                <a:ext uri="{63B3BB69-23CF-44E3-9099-C40C66FF867C}">
                  <a14:compatExt spid="_x0000_s226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22</xdr:row>
          <xdr:rowOff>191497</xdr:rowOff>
        </xdr:from>
        <xdr:to>
          <xdr:col>15</xdr:col>
          <xdr:colOff>38299</xdr:colOff>
          <xdr:row>23</xdr:row>
          <xdr:rowOff>191497</xdr:rowOff>
        </xdr:to>
        <xdr:sp macro="" textlink="">
          <xdr:nvSpPr>
            <xdr:cNvPr id="22661" name="Drop Down 133" hidden="1">
              <a:extLst>
                <a:ext uri="{63B3BB69-23CF-44E3-9099-C40C66FF867C}">
                  <a14:compatExt spid="_x0000_s226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0</xdr:rowOff>
        </xdr:from>
        <xdr:to>
          <xdr:col>11</xdr:col>
          <xdr:colOff>67024</xdr:colOff>
          <xdr:row>23</xdr:row>
          <xdr:rowOff>0</xdr:rowOff>
        </xdr:to>
        <xdr:sp macro="" textlink="">
          <xdr:nvSpPr>
            <xdr:cNvPr id="22662" name="Drop Down 134" hidden="1">
              <a:extLst>
                <a:ext uri="{63B3BB69-23CF-44E3-9099-C40C66FF867C}">
                  <a14:compatExt spid="_x0000_s226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23</xdr:row>
          <xdr:rowOff>181923</xdr:rowOff>
        </xdr:from>
        <xdr:to>
          <xdr:col>11</xdr:col>
          <xdr:colOff>67024</xdr:colOff>
          <xdr:row>24</xdr:row>
          <xdr:rowOff>181923</xdr:rowOff>
        </xdr:to>
        <xdr:sp macro="" textlink="">
          <xdr:nvSpPr>
            <xdr:cNvPr id="22663" name="Drop Down 135" hidden="1">
              <a:extLst>
                <a:ext uri="{63B3BB69-23CF-44E3-9099-C40C66FF867C}">
                  <a14:compatExt spid="_x0000_s226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24</xdr:row>
          <xdr:rowOff>181923</xdr:rowOff>
        </xdr:from>
        <xdr:to>
          <xdr:col>11</xdr:col>
          <xdr:colOff>67024</xdr:colOff>
          <xdr:row>25</xdr:row>
          <xdr:rowOff>181923</xdr:rowOff>
        </xdr:to>
        <xdr:sp macro="" textlink="">
          <xdr:nvSpPr>
            <xdr:cNvPr id="22664" name="Drop Down 136" hidden="1">
              <a:extLst>
                <a:ext uri="{63B3BB69-23CF-44E3-9099-C40C66FF867C}">
                  <a14:compatExt spid="_x0000_s226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25</xdr:row>
          <xdr:rowOff>181923</xdr:rowOff>
        </xdr:from>
        <xdr:to>
          <xdr:col>11</xdr:col>
          <xdr:colOff>67024</xdr:colOff>
          <xdr:row>26</xdr:row>
          <xdr:rowOff>181923</xdr:rowOff>
        </xdr:to>
        <xdr:sp macro="" textlink="">
          <xdr:nvSpPr>
            <xdr:cNvPr id="22665" name="Drop Down 137" hidden="1">
              <a:extLst>
                <a:ext uri="{63B3BB69-23CF-44E3-9099-C40C66FF867C}">
                  <a14:compatExt spid="_x0000_s226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181923</xdr:rowOff>
        </xdr:from>
        <xdr:to>
          <xdr:col>11</xdr:col>
          <xdr:colOff>67024</xdr:colOff>
          <xdr:row>23</xdr:row>
          <xdr:rowOff>181923</xdr:rowOff>
        </xdr:to>
        <xdr:sp macro="" textlink="">
          <xdr:nvSpPr>
            <xdr:cNvPr id="22666" name="Drop Down 138" hidden="1">
              <a:extLst>
                <a:ext uri="{63B3BB69-23CF-44E3-9099-C40C66FF867C}">
                  <a14:compatExt spid="_x0000_s226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162773</xdr:colOff>
          <xdr:row>25</xdr:row>
          <xdr:rowOff>143623</xdr:rowOff>
        </xdr:from>
        <xdr:to>
          <xdr:col>2</xdr:col>
          <xdr:colOff>799502</xdr:colOff>
          <xdr:row>26</xdr:row>
          <xdr:rowOff>162773</xdr:rowOff>
        </xdr:to>
        <xdr:sp macro="" textlink="">
          <xdr:nvSpPr>
            <xdr:cNvPr id="22668" name="Check Box 140" hidden="1">
              <a:extLst>
                <a:ext uri="{63B3BB69-23CF-44E3-9099-C40C66FF867C}">
                  <a14:compatExt spid="_x0000_s226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32</xdr:row>
          <xdr:rowOff>9575</xdr:rowOff>
        </xdr:from>
        <xdr:to>
          <xdr:col>7</xdr:col>
          <xdr:colOff>143623</xdr:colOff>
          <xdr:row>33</xdr:row>
          <xdr:rowOff>0</xdr:rowOff>
        </xdr:to>
        <xdr:sp macro="" textlink="">
          <xdr:nvSpPr>
            <xdr:cNvPr id="22669" name="Spinner 141" hidden="1">
              <a:extLst>
                <a:ext uri="{63B3BB69-23CF-44E3-9099-C40C66FF867C}">
                  <a14:compatExt spid="_x0000_s226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2670" name="Spinner 142" hidden="1">
              <a:extLst>
                <a:ext uri="{63B3BB69-23CF-44E3-9099-C40C66FF867C}">
                  <a14:compatExt spid="_x0000_s226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2671" name="Spinner 143" hidden="1">
              <a:extLst>
                <a:ext uri="{63B3BB69-23CF-44E3-9099-C40C66FF867C}">
                  <a14:compatExt spid="_x0000_s226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2672" name="Spinner 144" hidden="1">
              <a:extLst>
                <a:ext uri="{63B3BB69-23CF-44E3-9099-C40C66FF867C}">
                  <a14:compatExt spid="_x0000_s226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2673" name="Spinner 145" hidden="1">
              <a:extLst>
                <a:ext uri="{63B3BB69-23CF-44E3-9099-C40C66FF867C}">
                  <a14:compatExt spid="_x0000_s22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2674" name="Spinner 146" hidden="1">
              <a:extLst>
                <a:ext uri="{63B3BB69-23CF-44E3-9099-C40C66FF867C}">
                  <a14:compatExt spid="_x0000_s22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2675" name="Spinner 147" hidden="1">
              <a:extLst>
                <a:ext uri="{63B3BB69-23CF-44E3-9099-C40C66FF867C}">
                  <a14:compatExt spid="_x0000_s226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2676" name="Spinner 148" hidden="1">
              <a:extLst>
                <a:ext uri="{63B3BB69-23CF-44E3-9099-C40C66FF867C}">
                  <a14:compatExt spid="_x0000_s226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3</xdr:col>
          <xdr:colOff>28725</xdr:colOff>
          <xdr:row>47</xdr:row>
          <xdr:rowOff>191497</xdr:rowOff>
        </xdr:to>
        <xdr:sp macro="" textlink="">
          <xdr:nvSpPr>
            <xdr:cNvPr id="22677" name="Drop Down 149" hidden="1">
              <a:extLst>
                <a:ext uri="{63B3BB69-23CF-44E3-9099-C40C66FF867C}">
                  <a14:compatExt spid="_x0000_s226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191497</xdr:colOff>
          <xdr:row>32</xdr:row>
          <xdr:rowOff>0</xdr:rowOff>
        </xdr:to>
        <xdr:sp macro="" textlink="">
          <xdr:nvSpPr>
            <xdr:cNvPr id="206849" name="Drop Down 1" hidden="1">
              <a:extLst>
                <a:ext uri="{63B3BB69-23CF-44E3-9099-C40C66FF867C}">
                  <a14:compatExt spid="_x0000_s206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191497</xdr:colOff>
          <xdr:row>33</xdr:row>
          <xdr:rowOff>0</xdr:rowOff>
        </xdr:to>
        <xdr:sp macro="" textlink="">
          <xdr:nvSpPr>
            <xdr:cNvPr id="206850" name="Drop Down 2" hidden="1">
              <a:extLst>
                <a:ext uri="{63B3BB69-23CF-44E3-9099-C40C66FF867C}">
                  <a14:compatExt spid="_x0000_s206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191497</xdr:colOff>
          <xdr:row>34</xdr:row>
          <xdr:rowOff>0</xdr:rowOff>
        </xdr:to>
        <xdr:sp macro="" textlink="">
          <xdr:nvSpPr>
            <xdr:cNvPr id="206851" name="Drop Down 3" hidden="1">
              <a:extLst>
                <a:ext uri="{63B3BB69-23CF-44E3-9099-C40C66FF867C}">
                  <a14:compatExt spid="_x0000_s206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191497</xdr:colOff>
          <xdr:row>35</xdr:row>
          <xdr:rowOff>0</xdr:rowOff>
        </xdr:to>
        <xdr:sp macro="" textlink="">
          <xdr:nvSpPr>
            <xdr:cNvPr id="206852" name="Drop Down 4" hidden="1">
              <a:extLst>
                <a:ext uri="{63B3BB69-23CF-44E3-9099-C40C66FF867C}">
                  <a14:compatExt spid="_x0000_s206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191497</xdr:colOff>
          <xdr:row>36</xdr:row>
          <xdr:rowOff>0</xdr:rowOff>
        </xdr:to>
        <xdr:sp macro="" textlink="">
          <xdr:nvSpPr>
            <xdr:cNvPr id="206853" name="Drop Down 5" hidden="1">
              <a:extLst>
                <a:ext uri="{63B3BB69-23CF-44E3-9099-C40C66FF867C}">
                  <a14:compatExt spid="_x0000_s2068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191497</xdr:colOff>
          <xdr:row>37</xdr:row>
          <xdr:rowOff>0</xdr:rowOff>
        </xdr:to>
        <xdr:sp macro="" textlink="">
          <xdr:nvSpPr>
            <xdr:cNvPr id="206854" name="Drop Down 6" hidden="1">
              <a:extLst>
                <a:ext uri="{63B3BB69-23CF-44E3-9099-C40C66FF867C}">
                  <a14:compatExt spid="_x0000_s2068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37</xdr:row>
          <xdr:rowOff>0</xdr:rowOff>
        </xdr:from>
        <xdr:to>
          <xdr:col>2</xdr:col>
          <xdr:colOff>191497</xdr:colOff>
          <xdr:row>38</xdr:row>
          <xdr:rowOff>0</xdr:rowOff>
        </xdr:to>
        <xdr:sp macro="" textlink="">
          <xdr:nvSpPr>
            <xdr:cNvPr id="206855" name="Drop Down 7" hidden="1">
              <a:extLst>
                <a:ext uri="{63B3BB69-23CF-44E3-9099-C40C66FF867C}">
                  <a14:compatExt spid="_x0000_s2068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29</xdr:row>
          <xdr:rowOff>9575</xdr:rowOff>
        </xdr:from>
        <xdr:to>
          <xdr:col>7</xdr:col>
          <xdr:colOff>143623</xdr:colOff>
          <xdr:row>30</xdr:row>
          <xdr:rowOff>0</xdr:rowOff>
        </xdr:to>
        <xdr:sp macro="" textlink="">
          <xdr:nvSpPr>
            <xdr:cNvPr id="206856" name="Spinner 8" hidden="1">
              <a:extLst>
                <a:ext uri="{63B3BB69-23CF-44E3-9099-C40C66FF867C}">
                  <a14:compatExt spid="_x0000_s2068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31</xdr:row>
          <xdr:rowOff>9575</xdr:rowOff>
        </xdr:from>
        <xdr:to>
          <xdr:col>7</xdr:col>
          <xdr:colOff>143623</xdr:colOff>
          <xdr:row>32</xdr:row>
          <xdr:rowOff>0</xdr:rowOff>
        </xdr:to>
        <xdr:sp macro="" textlink="">
          <xdr:nvSpPr>
            <xdr:cNvPr id="206857" name="Spinner 9" hidden="1">
              <a:extLst>
                <a:ext uri="{63B3BB69-23CF-44E3-9099-C40C66FF867C}">
                  <a14:compatExt spid="_x0000_s206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32</xdr:row>
          <xdr:rowOff>9575</xdr:rowOff>
        </xdr:from>
        <xdr:to>
          <xdr:col>7</xdr:col>
          <xdr:colOff>143623</xdr:colOff>
          <xdr:row>33</xdr:row>
          <xdr:rowOff>0</xdr:rowOff>
        </xdr:to>
        <xdr:sp macro="" textlink="">
          <xdr:nvSpPr>
            <xdr:cNvPr id="206858" name="Spinner 10" hidden="1">
              <a:extLst>
                <a:ext uri="{63B3BB69-23CF-44E3-9099-C40C66FF867C}">
                  <a14:compatExt spid="_x0000_s2068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06859" name="Spinner 11" hidden="1">
              <a:extLst>
                <a:ext uri="{63B3BB69-23CF-44E3-9099-C40C66FF867C}">
                  <a14:compatExt spid="_x0000_s206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06860" name="Spinner 12" hidden="1">
              <a:extLst>
                <a:ext uri="{63B3BB69-23CF-44E3-9099-C40C66FF867C}">
                  <a14:compatExt spid="_x0000_s2068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06861" name="Spinner 13" hidden="1">
              <a:extLst>
                <a:ext uri="{63B3BB69-23CF-44E3-9099-C40C66FF867C}">
                  <a14:compatExt spid="_x0000_s2068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06862" name="Spinner 14" hidden="1">
              <a:extLst>
                <a:ext uri="{63B3BB69-23CF-44E3-9099-C40C66FF867C}">
                  <a14:compatExt spid="_x0000_s2068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06863" name="Spinner 15" hidden="1">
              <a:extLst>
                <a:ext uri="{63B3BB69-23CF-44E3-9099-C40C66FF867C}">
                  <a14:compatExt spid="_x0000_s206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210647</xdr:colOff>
          <xdr:row>20</xdr:row>
          <xdr:rowOff>28725</xdr:rowOff>
        </xdr:from>
        <xdr:to>
          <xdr:col>2</xdr:col>
          <xdr:colOff>392570</xdr:colOff>
          <xdr:row>21</xdr:row>
          <xdr:rowOff>47874</xdr:rowOff>
        </xdr:to>
        <xdr:sp macro="" textlink="">
          <xdr:nvSpPr>
            <xdr:cNvPr id="206864" name="Option Button 16" hidden="1">
              <a:extLst>
                <a:ext uri="{63B3BB69-23CF-44E3-9099-C40C66FF867C}">
                  <a14:compatExt spid="_x0000_s2068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210647</xdr:colOff>
          <xdr:row>21</xdr:row>
          <xdr:rowOff>38299</xdr:rowOff>
        </xdr:from>
        <xdr:to>
          <xdr:col>2</xdr:col>
          <xdr:colOff>392570</xdr:colOff>
          <xdr:row>22</xdr:row>
          <xdr:rowOff>57449</xdr:rowOff>
        </xdr:to>
        <xdr:sp macro="" textlink="">
          <xdr:nvSpPr>
            <xdr:cNvPr id="206865" name="Option Button 17" hidden="1">
              <a:extLst>
                <a:ext uri="{63B3BB69-23CF-44E3-9099-C40C66FF867C}">
                  <a14:compatExt spid="_x0000_s206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20</xdr:row>
          <xdr:rowOff>9575</xdr:rowOff>
        </xdr:from>
        <xdr:to>
          <xdr:col>4</xdr:col>
          <xdr:colOff>809076</xdr:colOff>
          <xdr:row>21</xdr:row>
          <xdr:rowOff>0</xdr:rowOff>
        </xdr:to>
        <xdr:sp macro="" textlink="">
          <xdr:nvSpPr>
            <xdr:cNvPr id="206866" name="Spinner 18" hidden="1">
              <a:extLst>
                <a:ext uri="{63B3BB69-23CF-44E3-9099-C40C66FF867C}">
                  <a14:compatExt spid="_x0000_s206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684603</xdr:colOff>
          <xdr:row>20</xdr:row>
          <xdr:rowOff>9575</xdr:rowOff>
        </xdr:from>
        <xdr:to>
          <xdr:col>6</xdr:col>
          <xdr:colOff>809076</xdr:colOff>
          <xdr:row>21</xdr:row>
          <xdr:rowOff>0</xdr:rowOff>
        </xdr:to>
        <xdr:sp macro="" textlink="">
          <xdr:nvSpPr>
            <xdr:cNvPr id="206867" name="Spinner 19" hidden="1">
              <a:extLst>
                <a:ext uri="{63B3BB69-23CF-44E3-9099-C40C66FF867C}">
                  <a14:compatExt spid="_x0000_s2068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713328</xdr:colOff>
          <xdr:row>17</xdr:row>
          <xdr:rowOff>9575</xdr:rowOff>
        </xdr:from>
        <xdr:to>
          <xdr:col>5</xdr:col>
          <xdr:colOff>9575</xdr:colOff>
          <xdr:row>18</xdr:row>
          <xdr:rowOff>0</xdr:rowOff>
        </xdr:to>
        <xdr:sp macro="" textlink="">
          <xdr:nvSpPr>
            <xdr:cNvPr id="206868" name="Spinner 20" hidden="1">
              <a:extLst>
                <a:ext uri="{63B3BB69-23CF-44E3-9099-C40C66FF867C}">
                  <a14:compatExt spid="_x0000_s2068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655879</xdr:colOff>
          <xdr:row>49</xdr:row>
          <xdr:rowOff>181923</xdr:rowOff>
        </xdr:from>
        <xdr:to>
          <xdr:col>4</xdr:col>
          <xdr:colOff>646304</xdr:colOff>
          <xdr:row>51</xdr:row>
          <xdr:rowOff>0</xdr:rowOff>
        </xdr:to>
        <xdr:sp macro="" textlink="">
          <xdr:nvSpPr>
            <xdr:cNvPr id="206869" name="Option Button 21" hidden="1">
              <a:extLst>
                <a:ext uri="{63B3BB69-23CF-44E3-9099-C40C66FF867C}">
                  <a14:compatExt spid="_x0000_s2068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Dag1 t/m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49</xdr:row>
          <xdr:rowOff>172348</xdr:rowOff>
        </xdr:from>
        <xdr:to>
          <xdr:col>7</xdr:col>
          <xdr:colOff>210647</xdr:colOff>
          <xdr:row>50</xdr:row>
          <xdr:rowOff>191497</xdr:rowOff>
        </xdr:to>
        <xdr:sp macro="" textlink="">
          <xdr:nvSpPr>
            <xdr:cNvPr id="206870" name="Option Button 22" hidden="1">
              <a:extLst>
                <a:ext uri="{63B3BB69-23CF-44E3-9099-C40C66FF867C}">
                  <a14:compatExt spid="_x0000_s2068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49</xdr:row>
          <xdr:rowOff>181923</xdr:rowOff>
        </xdr:from>
        <xdr:to>
          <xdr:col>9</xdr:col>
          <xdr:colOff>315971</xdr:colOff>
          <xdr:row>51</xdr:row>
          <xdr:rowOff>0</xdr:rowOff>
        </xdr:to>
        <xdr:sp macro="" textlink="">
          <xdr:nvSpPr>
            <xdr:cNvPr id="206871" name="Option Button 23" hidden="1">
              <a:extLst>
                <a:ext uri="{63B3BB69-23CF-44E3-9099-C40C66FF867C}">
                  <a14:compatExt spid="_x0000_s2068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51</xdr:row>
          <xdr:rowOff>0</xdr:rowOff>
        </xdr:from>
        <xdr:to>
          <xdr:col>4</xdr:col>
          <xdr:colOff>809076</xdr:colOff>
          <xdr:row>51</xdr:row>
          <xdr:rowOff>191497</xdr:rowOff>
        </xdr:to>
        <xdr:sp macro="" textlink="">
          <xdr:nvSpPr>
            <xdr:cNvPr id="206872" name="Spinner 24" hidden="1">
              <a:extLst>
                <a:ext uri="{63B3BB69-23CF-44E3-9099-C40C66FF867C}">
                  <a14:compatExt spid="_x0000_s2068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52</xdr:row>
          <xdr:rowOff>0</xdr:rowOff>
        </xdr:from>
        <xdr:to>
          <xdr:col>4</xdr:col>
          <xdr:colOff>809076</xdr:colOff>
          <xdr:row>52</xdr:row>
          <xdr:rowOff>191497</xdr:rowOff>
        </xdr:to>
        <xdr:sp macro="" textlink="">
          <xdr:nvSpPr>
            <xdr:cNvPr id="206873" name="Spinner 25" hidden="1">
              <a:extLst>
                <a:ext uri="{63B3BB69-23CF-44E3-9099-C40C66FF867C}">
                  <a14:compatExt spid="_x0000_s206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53</xdr:row>
          <xdr:rowOff>0</xdr:rowOff>
        </xdr:from>
        <xdr:to>
          <xdr:col>4</xdr:col>
          <xdr:colOff>809076</xdr:colOff>
          <xdr:row>53</xdr:row>
          <xdr:rowOff>191497</xdr:rowOff>
        </xdr:to>
        <xdr:sp macro="" textlink="">
          <xdr:nvSpPr>
            <xdr:cNvPr id="206874" name="Spinner 26" hidden="1">
              <a:extLst>
                <a:ext uri="{63B3BB69-23CF-44E3-9099-C40C66FF867C}">
                  <a14:compatExt spid="_x0000_s206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54</xdr:row>
          <xdr:rowOff>0</xdr:rowOff>
        </xdr:from>
        <xdr:to>
          <xdr:col>4</xdr:col>
          <xdr:colOff>809076</xdr:colOff>
          <xdr:row>54</xdr:row>
          <xdr:rowOff>191497</xdr:rowOff>
        </xdr:to>
        <xdr:sp macro="" textlink="">
          <xdr:nvSpPr>
            <xdr:cNvPr id="206875" name="Spinner 27" hidden="1">
              <a:extLst>
                <a:ext uri="{63B3BB69-23CF-44E3-9099-C40C66FF867C}">
                  <a14:compatExt spid="_x0000_s2068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55</xdr:row>
          <xdr:rowOff>0</xdr:rowOff>
        </xdr:from>
        <xdr:to>
          <xdr:col>4</xdr:col>
          <xdr:colOff>809076</xdr:colOff>
          <xdr:row>55</xdr:row>
          <xdr:rowOff>191497</xdr:rowOff>
        </xdr:to>
        <xdr:sp macro="" textlink="">
          <xdr:nvSpPr>
            <xdr:cNvPr id="206876" name="Spinner 28" hidden="1">
              <a:extLst>
                <a:ext uri="{63B3BB69-23CF-44E3-9099-C40C66FF867C}">
                  <a14:compatExt spid="_x0000_s2068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56</xdr:row>
          <xdr:rowOff>0</xdr:rowOff>
        </xdr:from>
        <xdr:to>
          <xdr:col>4</xdr:col>
          <xdr:colOff>809076</xdr:colOff>
          <xdr:row>56</xdr:row>
          <xdr:rowOff>191497</xdr:rowOff>
        </xdr:to>
        <xdr:sp macro="" textlink="">
          <xdr:nvSpPr>
            <xdr:cNvPr id="206877" name="Spinner 29" hidden="1">
              <a:extLst>
                <a:ext uri="{63B3BB69-23CF-44E3-9099-C40C66FF867C}">
                  <a14:compatExt spid="_x0000_s2068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703753</xdr:colOff>
          <xdr:row>57</xdr:row>
          <xdr:rowOff>0</xdr:rowOff>
        </xdr:from>
        <xdr:to>
          <xdr:col>7</xdr:col>
          <xdr:colOff>0</xdr:colOff>
          <xdr:row>57</xdr:row>
          <xdr:rowOff>191497</xdr:rowOff>
        </xdr:to>
        <xdr:sp macro="" textlink="">
          <xdr:nvSpPr>
            <xdr:cNvPr id="206878" name="Spinner 30" hidden="1">
              <a:extLst>
                <a:ext uri="{63B3BB69-23CF-44E3-9099-C40C66FF867C}">
                  <a14:compatExt spid="_x0000_s2068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51</xdr:row>
          <xdr:rowOff>0</xdr:rowOff>
        </xdr:from>
        <xdr:to>
          <xdr:col>8</xdr:col>
          <xdr:colOff>818651</xdr:colOff>
          <xdr:row>51</xdr:row>
          <xdr:rowOff>191497</xdr:rowOff>
        </xdr:to>
        <xdr:sp macro="" textlink="">
          <xdr:nvSpPr>
            <xdr:cNvPr id="206879" name="Spinner 31" hidden="1">
              <a:extLst>
                <a:ext uri="{63B3BB69-23CF-44E3-9099-C40C66FF867C}">
                  <a14:compatExt spid="_x0000_s2068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52</xdr:row>
          <xdr:rowOff>0</xdr:rowOff>
        </xdr:from>
        <xdr:to>
          <xdr:col>8</xdr:col>
          <xdr:colOff>818651</xdr:colOff>
          <xdr:row>52</xdr:row>
          <xdr:rowOff>191497</xdr:rowOff>
        </xdr:to>
        <xdr:sp macro="" textlink="">
          <xdr:nvSpPr>
            <xdr:cNvPr id="206880" name="Spinner 32" hidden="1">
              <a:extLst>
                <a:ext uri="{63B3BB69-23CF-44E3-9099-C40C66FF867C}">
                  <a14:compatExt spid="_x0000_s2068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58</xdr:row>
          <xdr:rowOff>0</xdr:rowOff>
        </xdr:from>
        <xdr:to>
          <xdr:col>8</xdr:col>
          <xdr:colOff>818651</xdr:colOff>
          <xdr:row>58</xdr:row>
          <xdr:rowOff>191497</xdr:rowOff>
        </xdr:to>
        <xdr:sp macro="" textlink="">
          <xdr:nvSpPr>
            <xdr:cNvPr id="206881" name="Spinner 33" hidden="1">
              <a:extLst>
                <a:ext uri="{63B3BB69-23CF-44E3-9099-C40C66FF867C}">
                  <a14:compatExt spid="_x0000_s206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172348</xdr:colOff>
          <xdr:row>17</xdr:row>
          <xdr:rowOff>181923</xdr:rowOff>
        </xdr:from>
        <xdr:to>
          <xdr:col>2</xdr:col>
          <xdr:colOff>780352</xdr:colOff>
          <xdr:row>19</xdr:row>
          <xdr:rowOff>0</xdr:rowOff>
        </xdr:to>
        <xdr:sp macro="" textlink="">
          <xdr:nvSpPr>
            <xdr:cNvPr id="206882" name="Option Button 34" hidden="1">
              <a:extLst>
                <a:ext uri="{63B3BB69-23CF-44E3-9099-C40C66FF867C}">
                  <a14:compatExt spid="_x0000_s2068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550555</xdr:colOff>
          <xdr:row>17</xdr:row>
          <xdr:rowOff>181923</xdr:rowOff>
        </xdr:from>
        <xdr:to>
          <xdr:col>3</xdr:col>
          <xdr:colOff>335120</xdr:colOff>
          <xdr:row>19</xdr:row>
          <xdr:rowOff>0</xdr:rowOff>
        </xdr:to>
        <xdr:sp macro="" textlink="">
          <xdr:nvSpPr>
            <xdr:cNvPr id="206883" name="Option Button 35" hidden="1">
              <a:extLst>
                <a:ext uri="{63B3BB69-23CF-44E3-9099-C40C66FF867C}">
                  <a14:compatExt spid="_x0000_s2068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31</xdr:row>
          <xdr:rowOff>0</xdr:rowOff>
        </xdr:from>
        <xdr:to>
          <xdr:col>5</xdr:col>
          <xdr:colOff>608004</xdr:colOff>
          <xdr:row>32</xdr:row>
          <xdr:rowOff>0</xdr:rowOff>
        </xdr:to>
        <xdr:sp macro="" textlink="">
          <xdr:nvSpPr>
            <xdr:cNvPr id="206884" name="Drop Down 36" hidden="1">
              <a:extLst>
                <a:ext uri="{63B3BB69-23CF-44E3-9099-C40C66FF867C}">
                  <a14:compatExt spid="_x0000_s2068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32</xdr:row>
          <xdr:rowOff>0</xdr:rowOff>
        </xdr:from>
        <xdr:to>
          <xdr:col>5</xdr:col>
          <xdr:colOff>608004</xdr:colOff>
          <xdr:row>33</xdr:row>
          <xdr:rowOff>0</xdr:rowOff>
        </xdr:to>
        <xdr:sp macro="" textlink="">
          <xdr:nvSpPr>
            <xdr:cNvPr id="206885" name="Drop Down 37" hidden="1">
              <a:extLst>
                <a:ext uri="{63B3BB69-23CF-44E3-9099-C40C66FF867C}">
                  <a14:compatExt spid="_x0000_s2068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33</xdr:row>
          <xdr:rowOff>0</xdr:rowOff>
        </xdr:from>
        <xdr:to>
          <xdr:col>5</xdr:col>
          <xdr:colOff>608004</xdr:colOff>
          <xdr:row>34</xdr:row>
          <xdr:rowOff>0</xdr:rowOff>
        </xdr:to>
        <xdr:sp macro="" textlink="">
          <xdr:nvSpPr>
            <xdr:cNvPr id="206886" name="Drop Down 38" hidden="1">
              <a:extLst>
                <a:ext uri="{63B3BB69-23CF-44E3-9099-C40C66FF867C}">
                  <a14:compatExt spid="_x0000_s2068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34</xdr:row>
          <xdr:rowOff>0</xdr:rowOff>
        </xdr:from>
        <xdr:to>
          <xdr:col>5</xdr:col>
          <xdr:colOff>608004</xdr:colOff>
          <xdr:row>35</xdr:row>
          <xdr:rowOff>0</xdr:rowOff>
        </xdr:to>
        <xdr:sp macro="" textlink="">
          <xdr:nvSpPr>
            <xdr:cNvPr id="206887" name="Drop Down 39" hidden="1">
              <a:extLst>
                <a:ext uri="{63B3BB69-23CF-44E3-9099-C40C66FF867C}">
                  <a14:compatExt spid="_x0000_s206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35</xdr:row>
          <xdr:rowOff>0</xdr:rowOff>
        </xdr:from>
        <xdr:to>
          <xdr:col>5</xdr:col>
          <xdr:colOff>608004</xdr:colOff>
          <xdr:row>36</xdr:row>
          <xdr:rowOff>0</xdr:rowOff>
        </xdr:to>
        <xdr:sp macro="" textlink="">
          <xdr:nvSpPr>
            <xdr:cNvPr id="206888" name="Drop Down 40" hidden="1">
              <a:extLst>
                <a:ext uri="{63B3BB69-23CF-44E3-9099-C40C66FF867C}">
                  <a14:compatExt spid="_x0000_s2068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36</xdr:row>
          <xdr:rowOff>0</xdr:rowOff>
        </xdr:from>
        <xdr:to>
          <xdr:col>5</xdr:col>
          <xdr:colOff>608004</xdr:colOff>
          <xdr:row>37</xdr:row>
          <xdr:rowOff>0</xdr:rowOff>
        </xdr:to>
        <xdr:sp macro="" textlink="">
          <xdr:nvSpPr>
            <xdr:cNvPr id="206889" name="Drop Down 41" hidden="1">
              <a:extLst>
                <a:ext uri="{63B3BB69-23CF-44E3-9099-C40C66FF867C}">
                  <a14:compatExt spid="_x0000_s206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31</xdr:row>
          <xdr:rowOff>0</xdr:rowOff>
        </xdr:from>
        <xdr:to>
          <xdr:col>4</xdr:col>
          <xdr:colOff>277671</xdr:colOff>
          <xdr:row>31</xdr:row>
          <xdr:rowOff>191497</xdr:rowOff>
        </xdr:to>
        <xdr:sp macro="" textlink="">
          <xdr:nvSpPr>
            <xdr:cNvPr id="206890" name="Spinner 42" hidden="1">
              <a:extLst>
                <a:ext uri="{63B3BB69-23CF-44E3-9099-C40C66FF867C}">
                  <a14:compatExt spid="_x0000_s2068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32</xdr:row>
          <xdr:rowOff>0</xdr:rowOff>
        </xdr:from>
        <xdr:to>
          <xdr:col>4</xdr:col>
          <xdr:colOff>277671</xdr:colOff>
          <xdr:row>32</xdr:row>
          <xdr:rowOff>191497</xdr:rowOff>
        </xdr:to>
        <xdr:sp macro="" textlink="">
          <xdr:nvSpPr>
            <xdr:cNvPr id="206891" name="Spinner 43" hidden="1">
              <a:extLst>
                <a:ext uri="{63B3BB69-23CF-44E3-9099-C40C66FF867C}">
                  <a14:compatExt spid="_x0000_s2068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33</xdr:row>
          <xdr:rowOff>0</xdr:rowOff>
        </xdr:from>
        <xdr:to>
          <xdr:col>4</xdr:col>
          <xdr:colOff>277671</xdr:colOff>
          <xdr:row>33</xdr:row>
          <xdr:rowOff>191497</xdr:rowOff>
        </xdr:to>
        <xdr:sp macro="" textlink="">
          <xdr:nvSpPr>
            <xdr:cNvPr id="206892" name="Spinner 44" hidden="1">
              <a:extLst>
                <a:ext uri="{63B3BB69-23CF-44E3-9099-C40C66FF867C}">
                  <a14:compatExt spid="_x0000_s2068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34</xdr:row>
          <xdr:rowOff>0</xdr:rowOff>
        </xdr:from>
        <xdr:to>
          <xdr:col>4</xdr:col>
          <xdr:colOff>277671</xdr:colOff>
          <xdr:row>34</xdr:row>
          <xdr:rowOff>191497</xdr:rowOff>
        </xdr:to>
        <xdr:sp macro="" textlink="">
          <xdr:nvSpPr>
            <xdr:cNvPr id="206893" name="Spinner 45" hidden="1">
              <a:extLst>
                <a:ext uri="{63B3BB69-23CF-44E3-9099-C40C66FF867C}">
                  <a14:compatExt spid="_x0000_s2068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35</xdr:row>
          <xdr:rowOff>0</xdr:rowOff>
        </xdr:from>
        <xdr:to>
          <xdr:col>4</xdr:col>
          <xdr:colOff>277671</xdr:colOff>
          <xdr:row>35</xdr:row>
          <xdr:rowOff>191497</xdr:rowOff>
        </xdr:to>
        <xdr:sp macro="" textlink="">
          <xdr:nvSpPr>
            <xdr:cNvPr id="206894" name="Spinner 46" hidden="1">
              <a:extLst>
                <a:ext uri="{63B3BB69-23CF-44E3-9099-C40C66FF867C}">
                  <a14:compatExt spid="_x0000_s2068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36</xdr:row>
          <xdr:rowOff>0</xdr:rowOff>
        </xdr:from>
        <xdr:to>
          <xdr:col>4</xdr:col>
          <xdr:colOff>277671</xdr:colOff>
          <xdr:row>36</xdr:row>
          <xdr:rowOff>191497</xdr:rowOff>
        </xdr:to>
        <xdr:sp macro="" textlink="">
          <xdr:nvSpPr>
            <xdr:cNvPr id="206895" name="Spinner 47" hidden="1">
              <a:extLst>
                <a:ext uri="{63B3BB69-23CF-44E3-9099-C40C66FF867C}">
                  <a14:compatExt spid="_x0000_s2068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37</xdr:row>
          <xdr:rowOff>0</xdr:rowOff>
        </xdr:from>
        <xdr:to>
          <xdr:col>4</xdr:col>
          <xdr:colOff>277671</xdr:colOff>
          <xdr:row>37</xdr:row>
          <xdr:rowOff>191497</xdr:rowOff>
        </xdr:to>
        <xdr:sp macro="" textlink="">
          <xdr:nvSpPr>
            <xdr:cNvPr id="206896" name="Spinner 48" hidden="1">
              <a:extLst>
                <a:ext uri="{63B3BB69-23CF-44E3-9099-C40C66FF867C}">
                  <a14:compatExt spid="_x0000_s2068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30</xdr:row>
          <xdr:rowOff>86174</xdr:rowOff>
        </xdr:from>
        <xdr:to>
          <xdr:col>3</xdr:col>
          <xdr:colOff>134048</xdr:colOff>
          <xdr:row>31</xdr:row>
          <xdr:rowOff>181923</xdr:rowOff>
        </xdr:to>
        <xdr:sp macro="" textlink="">
          <xdr:nvSpPr>
            <xdr:cNvPr id="206897" name="Spinner 49" hidden="1">
              <a:extLst>
                <a:ext uri="{63B3BB69-23CF-44E3-9099-C40C66FF867C}">
                  <a14:compatExt spid="_x0000_s206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31</xdr:row>
          <xdr:rowOff>191497</xdr:rowOff>
        </xdr:from>
        <xdr:to>
          <xdr:col>3</xdr:col>
          <xdr:colOff>134048</xdr:colOff>
          <xdr:row>32</xdr:row>
          <xdr:rowOff>181923</xdr:rowOff>
        </xdr:to>
        <xdr:sp macro="" textlink="">
          <xdr:nvSpPr>
            <xdr:cNvPr id="206898" name="Spinner 50" hidden="1">
              <a:extLst>
                <a:ext uri="{63B3BB69-23CF-44E3-9099-C40C66FF867C}">
                  <a14:compatExt spid="_x0000_s2068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32</xdr:row>
          <xdr:rowOff>191497</xdr:rowOff>
        </xdr:from>
        <xdr:to>
          <xdr:col>3</xdr:col>
          <xdr:colOff>134048</xdr:colOff>
          <xdr:row>33</xdr:row>
          <xdr:rowOff>181923</xdr:rowOff>
        </xdr:to>
        <xdr:sp macro="" textlink="">
          <xdr:nvSpPr>
            <xdr:cNvPr id="206899" name="Spinner 51" hidden="1">
              <a:extLst>
                <a:ext uri="{63B3BB69-23CF-44E3-9099-C40C66FF867C}">
                  <a14:compatExt spid="_x0000_s2068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33</xdr:row>
          <xdr:rowOff>191497</xdr:rowOff>
        </xdr:from>
        <xdr:to>
          <xdr:col>3</xdr:col>
          <xdr:colOff>134048</xdr:colOff>
          <xdr:row>34</xdr:row>
          <xdr:rowOff>181923</xdr:rowOff>
        </xdr:to>
        <xdr:sp macro="" textlink="">
          <xdr:nvSpPr>
            <xdr:cNvPr id="206900" name="Spinner 52" hidden="1">
              <a:extLst>
                <a:ext uri="{63B3BB69-23CF-44E3-9099-C40C66FF867C}">
                  <a14:compatExt spid="_x0000_s2069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34</xdr:row>
          <xdr:rowOff>191497</xdr:rowOff>
        </xdr:from>
        <xdr:to>
          <xdr:col>3</xdr:col>
          <xdr:colOff>134048</xdr:colOff>
          <xdr:row>35</xdr:row>
          <xdr:rowOff>181923</xdr:rowOff>
        </xdr:to>
        <xdr:sp macro="" textlink="">
          <xdr:nvSpPr>
            <xdr:cNvPr id="206901" name="Spinner 53" hidden="1">
              <a:extLst>
                <a:ext uri="{63B3BB69-23CF-44E3-9099-C40C66FF867C}">
                  <a14:compatExt spid="_x0000_s2069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35</xdr:row>
          <xdr:rowOff>191497</xdr:rowOff>
        </xdr:from>
        <xdr:to>
          <xdr:col>3</xdr:col>
          <xdr:colOff>134048</xdr:colOff>
          <xdr:row>36</xdr:row>
          <xdr:rowOff>181923</xdr:rowOff>
        </xdr:to>
        <xdr:sp macro="" textlink="">
          <xdr:nvSpPr>
            <xdr:cNvPr id="206902" name="Spinner 54" hidden="1">
              <a:extLst>
                <a:ext uri="{63B3BB69-23CF-44E3-9099-C40C66FF867C}">
                  <a14:compatExt spid="_x0000_s2069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36</xdr:row>
          <xdr:rowOff>191497</xdr:rowOff>
        </xdr:from>
        <xdr:to>
          <xdr:col>3</xdr:col>
          <xdr:colOff>134048</xdr:colOff>
          <xdr:row>37</xdr:row>
          <xdr:rowOff>181923</xdr:rowOff>
        </xdr:to>
        <xdr:sp macro="" textlink="">
          <xdr:nvSpPr>
            <xdr:cNvPr id="206903" name="Spinner 55" hidden="1">
              <a:extLst>
                <a:ext uri="{63B3BB69-23CF-44E3-9099-C40C66FF867C}">
                  <a14:compatExt spid="_x0000_s2069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153198</xdr:colOff>
          <xdr:row>19</xdr:row>
          <xdr:rowOff>153198</xdr:rowOff>
        </xdr:from>
        <xdr:to>
          <xdr:col>2</xdr:col>
          <xdr:colOff>722903</xdr:colOff>
          <xdr:row>22</xdr:row>
          <xdr:rowOff>114898</xdr:rowOff>
        </xdr:to>
        <xdr:sp macro="" textlink="">
          <xdr:nvSpPr>
            <xdr:cNvPr id="206904" name="Group Box 56" hidden="1">
              <a:extLst>
                <a:ext uri="{63B3BB69-23CF-44E3-9099-C40C66FF867C}">
                  <a14:compatExt spid="_x0000_s2069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27432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Voeding per os extra?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49</xdr:row>
          <xdr:rowOff>76599</xdr:rowOff>
        </xdr:from>
        <xdr:to>
          <xdr:col>9</xdr:col>
          <xdr:colOff>450019</xdr:colOff>
          <xdr:row>51</xdr:row>
          <xdr:rowOff>0</xdr:rowOff>
        </xdr:to>
        <xdr:sp macro="" textlink="">
          <xdr:nvSpPr>
            <xdr:cNvPr id="206905" name="Group Box 57" hidden="1">
              <a:extLst>
                <a:ext uri="{63B3BB69-23CF-44E3-9099-C40C66FF867C}">
                  <a14:compatExt spid="_x0000_s206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27432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29</xdr:row>
          <xdr:rowOff>0</xdr:rowOff>
        </xdr:from>
        <xdr:to>
          <xdr:col>9</xdr:col>
          <xdr:colOff>598429</xdr:colOff>
          <xdr:row>30</xdr:row>
          <xdr:rowOff>19150</xdr:rowOff>
        </xdr:to>
        <xdr:sp macro="" textlink="">
          <xdr:nvSpPr>
            <xdr:cNvPr id="206906" name="Check Box 58" hidden="1">
              <a:extLst>
                <a:ext uri="{63B3BB69-23CF-44E3-9099-C40C66FF867C}">
                  <a14:compatExt spid="_x0000_s2069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31</xdr:row>
          <xdr:rowOff>0</xdr:rowOff>
        </xdr:from>
        <xdr:to>
          <xdr:col>9</xdr:col>
          <xdr:colOff>598429</xdr:colOff>
          <xdr:row>32</xdr:row>
          <xdr:rowOff>19150</xdr:rowOff>
        </xdr:to>
        <xdr:sp macro="" textlink="">
          <xdr:nvSpPr>
            <xdr:cNvPr id="206907" name="Check Box 59" hidden="1">
              <a:extLst>
                <a:ext uri="{63B3BB69-23CF-44E3-9099-C40C66FF867C}">
                  <a14:compatExt spid="_x0000_s2069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32</xdr:row>
          <xdr:rowOff>0</xdr:rowOff>
        </xdr:from>
        <xdr:to>
          <xdr:col>9</xdr:col>
          <xdr:colOff>598429</xdr:colOff>
          <xdr:row>33</xdr:row>
          <xdr:rowOff>19150</xdr:rowOff>
        </xdr:to>
        <xdr:sp macro="" textlink="">
          <xdr:nvSpPr>
            <xdr:cNvPr id="206908" name="Check Box 60" hidden="1">
              <a:extLst>
                <a:ext uri="{63B3BB69-23CF-44E3-9099-C40C66FF867C}">
                  <a14:compatExt spid="_x0000_s2069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33</xdr:row>
          <xdr:rowOff>0</xdr:rowOff>
        </xdr:from>
        <xdr:to>
          <xdr:col>9</xdr:col>
          <xdr:colOff>598429</xdr:colOff>
          <xdr:row>34</xdr:row>
          <xdr:rowOff>19150</xdr:rowOff>
        </xdr:to>
        <xdr:sp macro="" textlink="">
          <xdr:nvSpPr>
            <xdr:cNvPr id="206909" name="Check Box 61" hidden="1">
              <a:extLst>
                <a:ext uri="{63B3BB69-23CF-44E3-9099-C40C66FF867C}">
                  <a14:compatExt spid="_x0000_s2069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34</xdr:row>
          <xdr:rowOff>0</xdr:rowOff>
        </xdr:from>
        <xdr:to>
          <xdr:col>9</xdr:col>
          <xdr:colOff>598429</xdr:colOff>
          <xdr:row>35</xdr:row>
          <xdr:rowOff>19150</xdr:rowOff>
        </xdr:to>
        <xdr:sp macro="" textlink="">
          <xdr:nvSpPr>
            <xdr:cNvPr id="206910" name="Check Box 62" hidden="1">
              <a:extLst>
                <a:ext uri="{63B3BB69-23CF-44E3-9099-C40C66FF867C}">
                  <a14:compatExt spid="_x0000_s2069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35</xdr:row>
          <xdr:rowOff>0</xdr:rowOff>
        </xdr:from>
        <xdr:to>
          <xdr:col>9</xdr:col>
          <xdr:colOff>598429</xdr:colOff>
          <xdr:row>36</xdr:row>
          <xdr:rowOff>19150</xdr:rowOff>
        </xdr:to>
        <xdr:sp macro="" textlink="">
          <xdr:nvSpPr>
            <xdr:cNvPr id="206911" name="Check Box 63" hidden="1">
              <a:extLst>
                <a:ext uri="{63B3BB69-23CF-44E3-9099-C40C66FF867C}">
                  <a14:compatExt spid="_x0000_s2069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36</xdr:row>
          <xdr:rowOff>0</xdr:rowOff>
        </xdr:from>
        <xdr:to>
          <xdr:col>9</xdr:col>
          <xdr:colOff>598429</xdr:colOff>
          <xdr:row>37</xdr:row>
          <xdr:rowOff>19150</xdr:rowOff>
        </xdr:to>
        <xdr:sp macro="" textlink="">
          <xdr:nvSpPr>
            <xdr:cNvPr id="206912" name="Check Box 64" hidden="1">
              <a:extLst>
                <a:ext uri="{63B3BB69-23CF-44E3-9099-C40C66FF867C}">
                  <a14:compatExt spid="_x0000_s2069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37</xdr:row>
          <xdr:rowOff>0</xdr:rowOff>
        </xdr:from>
        <xdr:to>
          <xdr:col>9</xdr:col>
          <xdr:colOff>598429</xdr:colOff>
          <xdr:row>38</xdr:row>
          <xdr:rowOff>19150</xdr:rowOff>
        </xdr:to>
        <xdr:sp macro="" textlink="">
          <xdr:nvSpPr>
            <xdr:cNvPr id="206913" name="Check Box 65" hidden="1">
              <a:extLst>
                <a:ext uri="{63B3BB69-23CF-44E3-9099-C40C66FF867C}">
                  <a14:compatExt spid="_x0000_s206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191497</xdr:colOff>
          <xdr:row>39</xdr:row>
          <xdr:rowOff>0</xdr:rowOff>
        </xdr:to>
        <xdr:sp macro="" textlink="">
          <xdr:nvSpPr>
            <xdr:cNvPr id="206914" name="Drop Down 66" hidden="1">
              <a:extLst>
                <a:ext uri="{63B3BB69-23CF-44E3-9099-C40C66FF867C}">
                  <a14:compatExt spid="_x0000_s2069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06915" name="Spinner 67" hidden="1">
              <a:extLst>
                <a:ext uri="{63B3BB69-23CF-44E3-9099-C40C66FF867C}">
                  <a14:compatExt spid="_x0000_s2069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37</xdr:row>
          <xdr:rowOff>0</xdr:rowOff>
        </xdr:from>
        <xdr:to>
          <xdr:col>5</xdr:col>
          <xdr:colOff>608004</xdr:colOff>
          <xdr:row>38</xdr:row>
          <xdr:rowOff>0</xdr:rowOff>
        </xdr:to>
        <xdr:sp macro="" textlink="">
          <xdr:nvSpPr>
            <xdr:cNvPr id="206916" name="Drop Down 68" hidden="1">
              <a:extLst>
                <a:ext uri="{63B3BB69-23CF-44E3-9099-C40C66FF867C}">
                  <a14:compatExt spid="_x0000_s2069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38</xdr:row>
          <xdr:rowOff>0</xdr:rowOff>
        </xdr:from>
        <xdr:to>
          <xdr:col>4</xdr:col>
          <xdr:colOff>277671</xdr:colOff>
          <xdr:row>38</xdr:row>
          <xdr:rowOff>191497</xdr:rowOff>
        </xdr:to>
        <xdr:sp macro="" textlink="">
          <xdr:nvSpPr>
            <xdr:cNvPr id="206917" name="Spinner 69" hidden="1">
              <a:extLst>
                <a:ext uri="{63B3BB69-23CF-44E3-9099-C40C66FF867C}">
                  <a14:compatExt spid="_x0000_s2069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37</xdr:row>
          <xdr:rowOff>191497</xdr:rowOff>
        </xdr:from>
        <xdr:to>
          <xdr:col>3</xdr:col>
          <xdr:colOff>134048</xdr:colOff>
          <xdr:row>38</xdr:row>
          <xdr:rowOff>181923</xdr:rowOff>
        </xdr:to>
        <xdr:sp macro="" textlink="">
          <xdr:nvSpPr>
            <xdr:cNvPr id="206918" name="Spinner 70" hidden="1">
              <a:extLst>
                <a:ext uri="{63B3BB69-23CF-44E3-9099-C40C66FF867C}">
                  <a14:compatExt spid="_x0000_s2069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37</xdr:row>
          <xdr:rowOff>0</xdr:rowOff>
        </xdr:from>
        <xdr:to>
          <xdr:col>9</xdr:col>
          <xdr:colOff>598429</xdr:colOff>
          <xdr:row>38</xdr:row>
          <xdr:rowOff>19150</xdr:rowOff>
        </xdr:to>
        <xdr:sp macro="" textlink="">
          <xdr:nvSpPr>
            <xdr:cNvPr id="206919" name="Check Box 71" hidden="1">
              <a:extLst>
                <a:ext uri="{63B3BB69-23CF-44E3-9099-C40C66FF867C}">
                  <a14:compatExt spid="_x0000_s2069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38</xdr:row>
          <xdr:rowOff>0</xdr:rowOff>
        </xdr:from>
        <xdr:to>
          <xdr:col>9</xdr:col>
          <xdr:colOff>598429</xdr:colOff>
          <xdr:row>39</xdr:row>
          <xdr:rowOff>19150</xdr:rowOff>
        </xdr:to>
        <xdr:sp macro="" textlink="">
          <xdr:nvSpPr>
            <xdr:cNvPr id="206920" name="Check Box 72" hidden="1">
              <a:extLst>
                <a:ext uri="{63B3BB69-23CF-44E3-9099-C40C66FF867C}">
                  <a14:compatExt spid="_x0000_s2069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06921" name="Spinner 73" hidden="1">
              <a:extLst>
                <a:ext uri="{63B3BB69-23CF-44E3-9099-C40C66FF867C}">
                  <a14:compatExt spid="_x0000_s2069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38</xdr:row>
          <xdr:rowOff>0</xdr:rowOff>
        </xdr:from>
        <xdr:to>
          <xdr:col>5</xdr:col>
          <xdr:colOff>608004</xdr:colOff>
          <xdr:row>39</xdr:row>
          <xdr:rowOff>0</xdr:rowOff>
        </xdr:to>
        <xdr:sp macro="" textlink="">
          <xdr:nvSpPr>
            <xdr:cNvPr id="206922" name="Drop Down 74" hidden="1">
              <a:extLst>
                <a:ext uri="{63B3BB69-23CF-44E3-9099-C40C66FF867C}">
                  <a14:compatExt spid="_x0000_s206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39</xdr:row>
          <xdr:rowOff>0</xdr:rowOff>
        </xdr:from>
        <xdr:to>
          <xdr:col>5</xdr:col>
          <xdr:colOff>608004</xdr:colOff>
          <xdr:row>40</xdr:row>
          <xdr:rowOff>0</xdr:rowOff>
        </xdr:to>
        <xdr:sp macro="" textlink="">
          <xdr:nvSpPr>
            <xdr:cNvPr id="206923" name="Drop Down 75" hidden="1">
              <a:extLst>
                <a:ext uri="{63B3BB69-23CF-44E3-9099-C40C66FF867C}">
                  <a14:compatExt spid="_x0000_s2069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38</xdr:row>
          <xdr:rowOff>0</xdr:rowOff>
        </xdr:from>
        <xdr:to>
          <xdr:col>9</xdr:col>
          <xdr:colOff>598429</xdr:colOff>
          <xdr:row>39</xdr:row>
          <xdr:rowOff>19150</xdr:rowOff>
        </xdr:to>
        <xdr:sp macro="" textlink="">
          <xdr:nvSpPr>
            <xdr:cNvPr id="206924" name="Check Box 76" hidden="1">
              <a:extLst>
                <a:ext uri="{63B3BB69-23CF-44E3-9099-C40C66FF867C}">
                  <a14:compatExt spid="_x0000_s2069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39</xdr:row>
          <xdr:rowOff>0</xdr:rowOff>
        </xdr:from>
        <xdr:to>
          <xdr:col>9</xdr:col>
          <xdr:colOff>598429</xdr:colOff>
          <xdr:row>40</xdr:row>
          <xdr:rowOff>19150</xdr:rowOff>
        </xdr:to>
        <xdr:sp macro="" textlink="">
          <xdr:nvSpPr>
            <xdr:cNvPr id="206925" name="Check Box 77" hidden="1">
              <a:extLst>
                <a:ext uri="{63B3BB69-23CF-44E3-9099-C40C66FF867C}">
                  <a14:compatExt spid="_x0000_s2069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694178</xdr:colOff>
          <xdr:row>47</xdr:row>
          <xdr:rowOff>0</xdr:rowOff>
        </xdr:from>
        <xdr:to>
          <xdr:col>4</xdr:col>
          <xdr:colOff>818651</xdr:colOff>
          <xdr:row>47</xdr:row>
          <xdr:rowOff>191497</xdr:rowOff>
        </xdr:to>
        <xdr:sp macro="" textlink="">
          <xdr:nvSpPr>
            <xdr:cNvPr id="206926" name="Spinner 78" hidden="1">
              <a:extLst>
                <a:ext uri="{63B3BB69-23CF-44E3-9099-C40C66FF867C}">
                  <a14:compatExt spid="_x0000_s2069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19150</xdr:colOff>
          <xdr:row>59</xdr:row>
          <xdr:rowOff>38299</xdr:rowOff>
        </xdr:from>
        <xdr:to>
          <xdr:col>2</xdr:col>
          <xdr:colOff>191497</xdr:colOff>
          <xdr:row>59</xdr:row>
          <xdr:rowOff>239372</xdr:rowOff>
        </xdr:to>
        <xdr:sp macro="" textlink="">
          <xdr:nvSpPr>
            <xdr:cNvPr id="206927" name="Drop Down 79" hidden="1">
              <a:extLst>
                <a:ext uri="{63B3BB69-23CF-44E3-9099-C40C66FF867C}">
                  <a14:compatExt spid="_x0000_s2069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684603</xdr:colOff>
          <xdr:row>12</xdr:row>
          <xdr:rowOff>9575</xdr:rowOff>
        </xdr:from>
        <xdr:to>
          <xdr:col>7</xdr:col>
          <xdr:colOff>809076</xdr:colOff>
          <xdr:row>13</xdr:row>
          <xdr:rowOff>0</xdr:rowOff>
        </xdr:to>
        <xdr:sp macro="" textlink="">
          <xdr:nvSpPr>
            <xdr:cNvPr id="206928" name="Spinner 80" hidden="1">
              <a:extLst>
                <a:ext uri="{63B3BB69-23CF-44E3-9099-C40C66FF867C}">
                  <a14:compatExt spid="_x0000_s2069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684603</xdr:colOff>
          <xdr:row>12</xdr:row>
          <xdr:rowOff>9575</xdr:rowOff>
        </xdr:from>
        <xdr:to>
          <xdr:col>9</xdr:col>
          <xdr:colOff>809076</xdr:colOff>
          <xdr:row>13</xdr:row>
          <xdr:rowOff>0</xdr:rowOff>
        </xdr:to>
        <xdr:sp macro="" textlink="">
          <xdr:nvSpPr>
            <xdr:cNvPr id="206929" name="Spinner 81" hidden="1">
              <a:extLst>
                <a:ext uri="{63B3BB69-23CF-44E3-9099-C40C66FF867C}">
                  <a14:compatExt spid="_x0000_s2069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23</xdr:row>
          <xdr:rowOff>181923</xdr:rowOff>
        </xdr:from>
        <xdr:to>
          <xdr:col>9</xdr:col>
          <xdr:colOff>588854</xdr:colOff>
          <xdr:row>24</xdr:row>
          <xdr:rowOff>181923</xdr:rowOff>
        </xdr:to>
        <xdr:sp macro="" textlink="">
          <xdr:nvSpPr>
            <xdr:cNvPr id="206930" name="Drop Down 82" hidden="1">
              <a:extLst>
                <a:ext uri="{63B3BB69-23CF-44E3-9099-C40C66FF867C}">
                  <a14:compatExt spid="_x0000_s2069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57449</xdr:colOff>
          <xdr:row>25</xdr:row>
          <xdr:rowOff>9575</xdr:rowOff>
        </xdr:from>
        <xdr:to>
          <xdr:col>9</xdr:col>
          <xdr:colOff>598429</xdr:colOff>
          <xdr:row>26</xdr:row>
          <xdr:rowOff>9575</xdr:rowOff>
        </xdr:to>
        <xdr:sp macro="" textlink="">
          <xdr:nvSpPr>
            <xdr:cNvPr id="206931" name="Drop Down 83" hidden="1">
              <a:extLst>
                <a:ext uri="{63B3BB69-23CF-44E3-9099-C40C66FF867C}">
                  <a14:compatExt spid="_x0000_s2069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67024</xdr:colOff>
          <xdr:row>20</xdr:row>
          <xdr:rowOff>9575</xdr:rowOff>
        </xdr:from>
        <xdr:to>
          <xdr:col>10</xdr:col>
          <xdr:colOff>684603</xdr:colOff>
          <xdr:row>21</xdr:row>
          <xdr:rowOff>9575</xdr:rowOff>
        </xdr:to>
        <xdr:sp macro="" textlink="">
          <xdr:nvSpPr>
            <xdr:cNvPr id="206932" name="Pos" hidden="1">
              <a:extLst>
                <a:ext uri="{63B3BB69-23CF-44E3-9099-C40C66FF867C}">
                  <a14:compatExt spid="_x0000_s2069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209550</xdr:colOff>
      <xdr:row>31</xdr:row>
      <xdr:rowOff>9525</xdr:rowOff>
    </xdr:from>
    <xdr:to>
      <xdr:col>2</xdr:col>
      <xdr:colOff>819150</xdr:colOff>
      <xdr:row>31</xdr:row>
      <xdr:rowOff>190500</xdr:rowOff>
    </xdr:to>
    <xdr:sp macro="[0]!MedSterkte1700_1" textlink="">
      <xdr:nvSpPr>
        <xdr:cNvPr id="86" name="Rectangle 142"/>
        <xdr:cNvSpPr>
          <a:spLocks noChangeArrowheads="1"/>
        </xdr:cNvSpPr>
      </xdr:nvSpPr>
      <xdr:spPr bwMode="auto">
        <a:xfrm>
          <a:off x="1285875" y="59340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87" name="Rectangle 143"/>
        <xdr:cNvSpPr>
          <a:spLocks noChangeArrowheads="1"/>
        </xdr:cNvSpPr>
      </xdr:nvSpPr>
      <xdr:spPr bwMode="auto">
        <a:xfrm>
          <a:off x="5934075" y="18288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819150</xdr:colOff>
      <xdr:row>14</xdr:row>
      <xdr:rowOff>190500</xdr:rowOff>
    </xdr:from>
    <xdr:to>
      <xdr:col>7</xdr:col>
      <xdr:colOff>790575</xdr:colOff>
      <xdr:row>16</xdr:row>
      <xdr:rowOff>0</xdr:rowOff>
    </xdr:to>
    <xdr:sp macro="" textlink="">
      <xdr:nvSpPr>
        <xdr:cNvPr id="88" name="Rectangle 144"/>
        <xdr:cNvSpPr>
          <a:spLocks noChangeArrowheads="1"/>
        </xdr:cNvSpPr>
      </xdr:nvSpPr>
      <xdr:spPr bwMode="auto">
        <a:xfrm>
          <a:off x="5095875" y="2819400"/>
          <a:ext cx="8001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32</xdr:row>
      <xdr:rowOff>9525</xdr:rowOff>
    </xdr:from>
    <xdr:to>
      <xdr:col>2</xdr:col>
      <xdr:colOff>819150</xdr:colOff>
      <xdr:row>32</xdr:row>
      <xdr:rowOff>190500</xdr:rowOff>
    </xdr:to>
    <xdr:sp macro="[0]!MedSterkte1700_2" textlink="">
      <xdr:nvSpPr>
        <xdr:cNvPr id="89" name="Rectangle 145"/>
        <xdr:cNvSpPr>
          <a:spLocks noChangeArrowheads="1"/>
        </xdr:cNvSpPr>
      </xdr:nvSpPr>
      <xdr:spPr bwMode="auto">
        <a:xfrm>
          <a:off x="1285875" y="61341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33</xdr:row>
      <xdr:rowOff>9525</xdr:rowOff>
    </xdr:from>
    <xdr:to>
      <xdr:col>2</xdr:col>
      <xdr:colOff>819150</xdr:colOff>
      <xdr:row>33</xdr:row>
      <xdr:rowOff>190500</xdr:rowOff>
    </xdr:to>
    <xdr:sp macro="[0]!MedSterkte1700_3" textlink="">
      <xdr:nvSpPr>
        <xdr:cNvPr id="90" name="Rectangle 146"/>
        <xdr:cNvSpPr>
          <a:spLocks noChangeArrowheads="1"/>
        </xdr:cNvSpPr>
      </xdr:nvSpPr>
      <xdr:spPr bwMode="auto">
        <a:xfrm>
          <a:off x="1285875" y="63341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34</xdr:row>
      <xdr:rowOff>9525</xdr:rowOff>
    </xdr:from>
    <xdr:to>
      <xdr:col>2</xdr:col>
      <xdr:colOff>819150</xdr:colOff>
      <xdr:row>34</xdr:row>
      <xdr:rowOff>190500</xdr:rowOff>
    </xdr:to>
    <xdr:sp macro="[0]!MedSterkte1700_4" textlink="">
      <xdr:nvSpPr>
        <xdr:cNvPr id="91" name="Rectangle 147"/>
        <xdr:cNvSpPr>
          <a:spLocks noChangeArrowheads="1"/>
        </xdr:cNvSpPr>
      </xdr:nvSpPr>
      <xdr:spPr bwMode="auto">
        <a:xfrm>
          <a:off x="1285875" y="65341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35</xdr:row>
      <xdr:rowOff>9525</xdr:rowOff>
    </xdr:from>
    <xdr:to>
      <xdr:col>2</xdr:col>
      <xdr:colOff>819150</xdr:colOff>
      <xdr:row>35</xdr:row>
      <xdr:rowOff>190500</xdr:rowOff>
    </xdr:to>
    <xdr:sp macro="[0]!MedSterkte1700_5" textlink="">
      <xdr:nvSpPr>
        <xdr:cNvPr id="92" name="Rectangle 148"/>
        <xdr:cNvSpPr>
          <a:spLocks noChangeArrowheads="1"/>
        </xdr:cNvSpPr>
      </xdr:nvSpPr>
      <xdr:spPr bwMode="auto">
        <a:xfrm>
          <a:off x="1285875" y="67341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36</xdr:row>
      <xdr:rowOff>9525</xdr:rowOff>
    </xdr:from>
    <xdr:to>
      <xdr:col>2</xdr:col>
      <xdr:colOff>819150</xdr:colOff>
      <xdr:row>36</xdr:row>
      <xdr:rowOff>190500</xdr:rowOff>
    </xdr:to>
    <xdr:sp macro="[0]!MedSterkte1700_6" textlink="">
      <xdr:nvSpPr>
        <xdr:cNvPr id="93" name="Rectangle 149"/>
        <xdr:cNvSpPr>
          <a:spLocks noChangeArrowheads="1"/>
        </xdr:cNvSpPr>
      </xdr:nvSpPr>
      <xdr:spPr bwMode="auto">
        <a:xfrm>
          <a:off x="1285875" y="69342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37</xdr:row>
      <xdr:rowOff>9525</xdr:rowOff>
    </xdr:from>
    <xdr:to>
      <xdr:col>2</xdr:col>
      <xdr:colOff>819150</xdr:colOff>
      <xdr:row>37</xdr:row>
      <xdr:rowOff>190500</xdr:rowOff>
    </xdr:to>
    <xdr:sp macro="[0]!MedSterkte1700_7" textlink="">
      <xdr:nvSpPr>
        <xdr:cNvPr id="94" name="Rectangle 150"/>
        <xdr:cNvSpPr>
          <a:spLocks noChangeArrowheads="1"/>
        </xdr:cNvSpPr>
      </xdr:nvSpPr>
      <xdr:spPr bwMode="auto">
        <a:xfrm>
          <a:off x="1285875" y="71342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38</xdr:row>
      <xdr:rowOff>9525</xdr:rowOff>
    </xdr:from>
    <xdr:to>
      <xdr:col>2</xdr:col>
      <xdr:colOff>819150</xdr:colOff>
      <xdr:row>38</xdr:row>
      <xdr:rowOff>190500</xdr:rowOff>
    </xdr:to>
    <xdr:sp macro="[0]!MedSterkte1700_8" textlink="">
      <xdr:nvSpPr>
        <xdr:cNvPr id="95" name="Rectangle 151"/>
        <xdr:cNvSpPr>
          <a:spLocks noChangeArrowheads="1"/>
        </xdr:cNvSpPr>
      </xdr:nvSpPr>
      <xdr:spPr bwMode="auto">
        <a:xfrm>
          <a:off x="1285875" y="73342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21</xdr:row>
          <xdr:rowOff>9575</xdr:rowOff>
        </xdr:from>
        <xdr:to>
          <xdr:col>4</xdr:col>
          <xdr:colOff>809076</xdr:colOff>
          <xdr:row>22</xdr:row>
          <xdr:rowOff>0</xdr:rowOff>
        </xdr:to>
        <xdr:sp macro="" textlink="">
          <xdr:nvSpPr>
            <xdr:cNvPr id="206933" name="Spinner 85" hidden="1">
              <a:extLst>
                <a:ext uri="{63B3BB69-23CF-44E3-9099-C40C66FF867C}">
                  <a14:compatExt spid="_x0000_s2069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684603</xdr:colOff>
          <xdr:row>21</xdr:row>
          <xdr:rowOff>9575</xdr:rowOff>
        </xdr:from>
        <xdr:to>
          <xdr:col>6</xdr:col>
          <xdr:colOff>809076</xdr:colOff>
          <xdr:row>22</xdr:row>
          <xdr:rowOff>0</xdr:rowOff>
        </xdr:to>
        <xdr:sp macro="" textlink="">
          <xdr:nvSpPr>
            <xdr:cNvPr id="206934" name="Spinner 86" hidden="1">
              <a:extLst>
                <a:ext uri="{63B3BB69-23CF-44E3-9099-C40C66FF867C}">
                  <a14:compatExt spid="_x0000_s2069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24</xdr:row>
          <xdr:rowOff>181923</xdr:rowOff>
        </xdr:from>
        <xdr:to>
          <xdr:col>9</xdr:col>
          <xdr:colOff>588854</xdr:colOff>
          <xdr:row>25</xdr:row>
          <xdr:rowOff>181923</xdr:rowOff>
        </xdr:to>
        <xdr:sp macro="" textlink="">
          <xdr:nvSpPr>
            <xdr:cNvPr id="206935" name="Drop Down 87" hidden="1">
              <a:extLst>
                <a:ext uri="{63B3BB69-23CF-44E3-9099-C40C66FF867C}">
                  <a14:compatExt spid="_x0000_s206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25</xdr:row>
          <xdr:rowOff>181923</xdr:rowOff>
        </xdr:from>
        <xdr:to>
          <xdr:col>9</xdr:col>
          <xdr:colOff>588854</xdr:colOff>
          <xdr:row>26</xdr:row>
          <xdr:rowOff>181923</xdr:rowOff>
        </xdr:to>
        <xdr:sp macro="" textlink="">
          <xdr:nvSpPr>
            <xdr:cNvPr id="206936" name="Drop Down 88" hidden="1">
              <a:extLst>
                <a:ext uri="{63B3BB69-23CF-44E3-9099-C40C66FF867C}">
                  <a14:compatExt spid="_x0000_s2069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0</xdr:colOff>
      <xdr:row>45</xdr:row>
      <xdr:rowOff>9525</xdr:rowOff>
    </xdr:from>
    <xdr:to>
      <xdr:col>8</xdr:col>
      <xdr:colOff>819150</xdr:colOff>
      <xdr:row>45</xdr:row>
      <xdr:rowOff>180975</xdr:rowOff>
    </xdr:to>
    <xdr:sp macro="[0]!Med12Tekst1700" textlink="">
      <xdr:nvSpPr>
        <xdr:cNvPr id="100" name="Rectangle 164"/>
        <xdr:cNvSpPr>
          <a:spLocks noChangeArrowheads="1"/>
        </xdr:cNvSpPr>
      </xdr:nvSpPr>
      <xdr:spPr bwMode="auto">
        <a:xfrm>
          <a:off x="247650" y="8658225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19050</xdr:rowOff>
    </xdr:from>
    <xdr:to>
      <xdr:col>8</xdr:col>
      <xdr:colOff>809625</xdr:colOff>
      <xdr:row>45</xdr:row>
      <xdr:rowOff>0</xdr:rowOff>
    </xdr:to>
    <xdr:sp macro="[0]!Med11Tekst1700" textlink="">
      <xdr:nvSpPr>
        <xdr:cNvPr id="101" name="Rectangle 165"/>
        <xdr:cNvSpPr>
          <a:spLocks noChangeArrowheads="1"/>
        </xdr:cNvSpPr>
      </xdr:nvSpPr>
      <xdr:spPr bwMode="auto">
        <a:xfrm>
          <a:off x="257175" y="8467725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4</xdr:col>
      <xdr:colOff>0</xdr:colOff>
      <xdr:row>15</xdr:row>
      <xdr:rowOff>0</xdr:rowOff>
    </xdr:to>
    <xdr:sp macro="" textlink="">
      <xdr:nvSpPr>
        <xdr:cNvPr id="102" name="Rectangle 168"/>
        <xdr:cNvSpPr>
          <a:spLocks noChangeArrowheads="1"/>
        </xdr:cNvSpPr>
      </xdr:nvSpPr>
      <xdr:spPr bwMode="auto">
        <a:xfrm>
          <a:off x="1076325" y="26289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191497</xdr:colOff>
          <xdr:row>40</xdr:row>
          <xdr:rowOff>0</xdr:rowOff>
        </xdr:to>
        <xdr:sp macro="" textlink="">
          <xdr:nvSpPr>
            <xdr:cNvPr id="206937" name="Drop Down 89" hidden="1">
              <a:extLst>
                <a:ext uri="{63B3BB69-23CF-44E3-9099-C40C66FF867C}">
                  <a14:compatExt spid="_x0000_s206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39</xdr:row>
          <xdr:rowOff>0</xdr:rowOff>
        </xdr:from>
        <xdr:to>
          <xdr:col>4</xdr:col>
          <xdr:colOff>277671</xdr:colOff>
          <xdr:row>39</xdr:row>
          <xdr:rowOff>191497</xdr:rowOff>
        </xdr:to>
        <xdr:sp macro="" textlink="">
          <xdr:nvSpPr>
            <xdr:cNvPr id="206938" name="Spinner 90" hidden="1">
              <a:extLst>
                <a:ext uri="{63B3BB69-23CF-44E3-9099-C40C66FF867C}">
                  <a14:compatExt spid="_x0000_s2069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38</xdr:row>
          <xdr:rowOff>191497</xdr:rowOff>
        </xdr:from>
        <xdr:to>
          <xdr:col>3</xdr:col>
          <xdr:colOff>134048</xdr:colOff>
          <xdr:row>39</xdr:row>
          <xdr:rowOff>181923</xdr:rowOff>
        </xdr:to>
        <xdr:sp macro="" textlink="">
          <xdr:nvSpPr>
            <xdr:cNvPr id="206939" name="Spinner 91" hidden="1">
              <a:extLst>
                <a:ext uri="{63B3BB69-23CF-44E3-9099-C40C66FF867C}">
                  <a14:compatExt spid="_x0000_s2069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39</xdr:row>
          <xdr:rowOff>0</xdr:rowOff>
        </xdr:from>
        <xdr:to>
          <xdr:col>5</xdr:col>
          <xdr:colOff>608004</xdr:colOff>
          <xdr:row>40</xdr:row>
          <xdr:rowOff>0</xdr:rowOff>
        </xdr:to>
        <xdr:sp macro="" textlink="">
          <xdr:nvSpPr>
            <xdr:cNvPr id="206940" name="Drop Down 92" hidden="1">
              <a:extLst>
                <a:ext uri="{63B3BB69-23CF-44E3-9099-C40C66FF867C}">
                  <a14:compatExt spid="_x0000_s2069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209550</xdr:colOff>
      <xdr:row>39</xdr:row>
      <xdr:rowOff>9525</xdr:rowOff>
    </xdr:from>
    <xdr:to>
      <xdr:col>2</xdr:col>
      <xdr:colOff>819150</xdr:colOff>
      <xdr:row>39</xdr:row>
      <xdr:rowOff>190500</xdr:rowOff>
    </xdr:to>
    <xdr:sp macro="[0]!MedSterkte1700_9" textlink="">
      <xdr:nvSpPr>
        <xdr:cNvPr id="107" name="Rectangle 189"/>
        <xdr:cNvSpPr>
          <a:spLocks noChangeArrowheads="1"/>
        </xdr:cNvSpPr>
      </xdr:nvSpPr>
      <xdr:spPr bwMode="auto">
        <a:xfrm>
          <a:off x="1285875" y="75342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41</xdr:row>
          <xdr:rowOff>0</xdr:rowOff>
        </xdr:from>
        <xdr:to>
          <xdr:col>5</xdr:col>
          <xdr:colOff>608004</xdr:colOff>
          <xdr:row>42</xdr:row>
          <xdr:rowOff>0</xdr:rowOff>
        </xdr:to>
        <xdr:sp macro="" textlink="">
          <xdr:nvSpPr>
            <xdr:cNvPr id="206941" name="Drop Down 93" hidden="1">
              <a:extLst>
                <a:ext uri="{63B3BB69-23CF-44E3-9099-C40C66FF867C}">
                  <a14:compatExt spid="_x0000_s2069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41</xdr:row>
          <xdr:rowOff>9575</xdr:rowOff>
        </xdr:from>
        <xdr:to>
          <xdr:col>7</xdr:col>
          <xdr:colOff>143623</xdr:colOff>
          <xdr:row>42</xdr:row>
          <xdr:rowOff>0</xdr:rowOff>
        </xdr:to>
        <xdr:sp macro="" textlink="">
          <xdr:nvSpPr>
            <xdr:cNvPr id="206942" name="Spinner 94" hidden="1">
              <a:extLst>
                <a:ext uri="{63B3BB69-23CF-44E3-9099-C40C66FF867C}">
                  <a14:compatExt spid="_x0000_s2069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41</xdr:row>
          <xdr:rowOff>0</xdr:rowOff>
        </xdr:from>
        <xdr:to>
          <xdr:col>9</xdr:col>
          <xdr:colOff>598429</xdr:colOff>
          <xdr:row>42</xdr:row>
          <xdr:rowOff>19150</xdr:rowOff>
        </xdr:to>
        <xdr:sp macro="" textlink="">
          <xdr:nvSpPr>
            <xdr:cNvPr id="206943" name="Check Box 95" hidden="1">
              <a:extLst>
                <a:ext uri="{63B3BB69-23CF-44E3-9099-C40C66FF867C}">
                  <a14:compatExt spid="_x0000_s2069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42</xdr:row>
          <xdr:rowOff>0</xdr:rowOff>
        </xdr:from>
        <xdr:to>
          <xdr:col>5</xdr:col>
          <xdr:colOff>608004</xdr:colOff>
          <xdr:row>43</xdr:row>
          <xdr:rowOff>0</xdr:rowOff>
        </xdr:to>
        <xdr:sp macro="" textlink="">
          <xdr:nvSpPr>
            <xdr:cNvPr id="206944" name="Drop Down 96" hidden="1">
              <a:extLst>
                <a:ext uri="{63B3BB69-23CF-44E3-9099-C40C66FF867C}">
                  <a14:compatExt spid="_x0000_s2069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42</xdr:row>
          <xdr:rowOff>9575</xdr:rowOff>
        </xdr:from>
        <xdr:to>
          <xdr:col>7</xdr:col>
          <xdr:colOff>143623</xdr:colOff>
          <xdr:row>43</xdr:row>
          <xdr:rowOff>0</xdr:rowOff>
        </xdr:to>
        <xdr:sp macro="" textlink="">
          <xdr:nvSpPr>
            <xdr:cNvPr id="206945" name="Spinner 97" hidden="1">
              <a:extLst>
                <a:ext uri="{63B3BB69-23CF-44E3-9099-C40C66FF867C}">
                  <a14:compatExt spid="_x0000_s2069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42</xdr:row>
          <xdr:rowOff>0</xdr:rowOff>
        </xdr:from>
        <xdr:to>
          <xdr:col>9</xdr:col>
          <xdr:colOff>598429</xdr:colOff>
          <xdr:row>43</xdr:row>
          <xdr:rowOff>19150</xdr:rowOff>
        </xdr:to>
        <xdr:sp macro="" textlink="">
          <xdr:nvSpPr>
            <xdr:cNvPr id="206946" name="Check Box 98" hidden="1">
              <a:extLst>
                <a:ext uri="{63B3BB69-23CF-44E3-9099-C40C66FF867C}">
                  <a14:compatExt spid="_x0000_s2069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42</xdr:row>
          <xdr:rowOff>0</xdr:rowOff>
        </xdr:from>
        <xdr:to>
          <xdr:col>9</xdr:col>
          <xdr:colOff>598429</xdr:colOff>
          <xdr:row>43</xdr:row>
          <xdr:rowOff>19150</xdr:rowOff>
        </xdr:to>
        <xdr:sp macro="" textlink="">
          <xdr:nvSpPr>
            <xdr:cNvPr id="206947" name="Check Box 99" hidden="1">
              <a:extLst>
                <a:ext uri="{63B3BB69-23CF-44E3-9099-C40C66FF867C}">
                  <a14:compatExt spid="_x0000_s2069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43</xdr:row>
          <xdr:rowOff>0</xdr:rowOff>
        </xdr:from>
        <xdr:to>
          <xdr:col>5</xdr:col>
          <xdr:colOff>608004</xdr:colOff>
          <xdr:row>44</xdr:row>
          <xdr:rowOff>0</xdr:rowOff>
        </xdr:to>
        <xdr:sp macro="" textlink="">
          <xdr:nvSpPr>
            <xdr:cNvPr id="206948" name="Drop Down 100" hidden="1">
              <a:extLst>
                <a:ext uri="{63B3BB69-23CF-44E3-9099-C40C66FF867C}">
                  <a14:compatExt spid="_x0000_s2069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43</xdr:row>
          <xdr:rowOff>9575</xdr:rowOff>
        </xdr:from>
        <xdr:to>
          <xdr:col>7</xdr:col>
          <xdr:colOff>143623</xdr:colOff>
          <xdr:row>44</xdr:row>
          <xdr:rowOff>0</xdr:rowOff>
        </xdr:to>
        <xdr:sp macro="" textlink="">
          <xdr:nvSpPr>
            <xdr:cNvPr id="206949" name="Spinner 101" hidden="1">
              <a:extLst>
                <a:ext uri="{63B3BB69-23CF-44E3-9099-C40C66FF867C}">
                  <a14:compatExt spid="_x0000_s2069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43</xdr:row>
          <xdr:rowOff>0</xdr:rowOff>
        </xdr:from>
        <xdr:to>
          <xdr:col>9</xdr:col>
          <xdr:colOff>598429</xdr:colOff>
          <xdr:row>44</xdr:row>
          <xdr:rowOff>19150</xdr:rowOff>
        </xdr:to>
        <xdr:sp macro="" textlink="">
          <xdr:nvSpPr>
            <xdr:cNvPr id="206950" name="Check Box 102" hidden="1">
              <a:extLst>
                <a:ext uri="{63B3BB69-23CF-44E3-9099-C40C66FF867C}">
                  <a14:compatExt spid="_x0000_s2069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23</xdr:row>
          <xdr:rowOff>181923</xdr:rowOff>
        </xdr:from>
        <xdr:to>
          <xdr:col>13</xdr:col>
          <xdr:colOff>895250</xdr:colOff>
          <xdr:row>24</xdr:row>
          <xdr:rowOff>181923</xdr:rowOff>
        </xdr:to>
        <xdr:sp macro="" textlink="">
          <xdr:nvSpPr>
            <xdr:cNvPr id="206951" name="Drop Down 103" hidden="1">
              <a:extLst>
                <a:ext uri="{63B3BB69-23CF-44E3-9099-C40C66FF867C}">
                  <a14:compatExt spid="_x0000_s2069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57449</xdr:colOff>
          <xdr:row>25</xdr:row>
          <xdr:rowOff>9575</xdr:rowOff>
        </xdr:from>
        <xdr:to>
          <xdr:col>13</xdr:col>
          <xdr:colOff>904825</xdr:colOff>
          <xdr:row>26</xdr:row>
          <xdr:rowOff>9575</xdr:rowOff>
        </xdr:to>
        <xdr:sp macro="" textlink="">
          <xdr:nvSpPr>
            <xdr:cNvPr id="206952" name="Drop Down 104" hidden="1">
              <a:extLst>
                <a:ext uri="{63B3BB69-23CF-44E3-9099-C40C66FF867C}">
                  <a14:compatExt spid="_x0000_s2069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24</xdr:row>
          <xdr:rowOff>181923</xdr:rowOff>
        </xdr:from>
        <xdr:to>
          <xdr:col>13</xdr:col>
          <xdr:colOff>895250</xdr:colOff>
          <xdr:row>25</xdr:row>
          <xdr:rowOff>181923</xdr:rowOff>
        </xdr:to>
        <xdr:sp macro="" textlink="">
          <xdr:nvSpPr>
            <xdr:cNvPr id="206953" name="Drop Down 105" hidden="1">
              <a:extLst>
                <a:ext uri="{63B3BB69-23CF-44E3-9099-C40C66FF867C}">
                  <a14:compatExt spid="_x0000_s2069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25</xdr:row>
          <xdr:rowOff>181923</xdr:rowOff>
        </xdr:from>
        <xdr:to>
          <xdr:col>13</xdr:col>
          <xdr:colOff>895250</xdr:colOff>
          <xdr:row>26</xdr:row>
          <xdr:rowOff>181923</xdr:rowOff>
        </xdr:to>
        <xdr:sp macro="" textlink="">
          <xdr:nvSpPr>
            <xdr:cNvPr id="206954" name="Drop Down 106" hidden="1">
              <a:extLst>
                <a:ext uri="{63B3BB69-23CF-44E3-9099-C40C66FF867C}">
                  <a14:compatExt spid="_x0000_s2069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23</xdr:row>
          <xdr:rowOff>0</xdr:rowOff>
        </xdr:from>
        <xdr:to>
          <xdr:col>14</xdr:col>
          <xdr:colOff>531405</xdr:colOff>
          <xdr:row>23</xdr:row>
          <xdr:rowOff>191497</xdr:rowOff>
        </xdr:to>
        <xdr:sp macro="" textlink="">
          <xdr:nvSpPr>
            <xdr:cNvPr id="206955" name="Pos" hidden="1">
              <a:extLst>
                <a:ext uri="{63B3BB69-23CF-44E3-9099-C40C66FF867C}">
                  <a14:compatExt spid="_x0000_s2069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23</xdr:row>
          <xdr:rowOff>191497</xdr:rowOff>
        </xdr:from>
        <xdr:to>
          <xdr:col>15</xdr:col>
          <xdr:colOff>38299</xdr:colOff>
          <xdr:row>24</xdr:row>
          <xdr:rowOff>191497</xdr:rowOff>
        </xdr:to>
        <xdr:sp macro="" textlink="">
          <xdr:nvSpPr>
            <xdr:cNvPr id="206956" name="Pos" hidden="1">
              <a:extLst>
                <a:ext uri="{63B3BB69-23CF-44E3-9099-C40C66FF867C}">
                  <a14:compatExt spid="_x0000_s2069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24</xdr:row>
          <xdr:rowOff>191497</xdr:rowOff>
        </xdr:from>
        <xdr:to>
          <xdr:col>15</xdr:col>
          <xdr:colOff>38299</xdr:colOff>
          <xdr:row>25</xdr:row>
          <xdr:rowOff>191497</xdr:rowOff>
        </xdr:to>
        <xdr:sp macro="" textlink="">
          <xdr:nvSpPr>
            <xdr:cNvPr id="206957" name="Pos" hidden="1">
              <a:extLst>
                <a:ext uri="{63B3BB69-23CF-44E3-9099-C40C66FF867C}">
                  <a14:compatExt spid="_x0000_s2069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25</xdr:row>
          <xdr:rowOff>191497</xdr:rowOff>
        </xdr:from>
        <xdr:to>
          <xdr:col>15</xdr:col>
          <xdr:colOff>38299</xdr:colOff>
          <xdr:row>26</xdr:row>
          <xdr:rowOff>191497</xdr:rowOff>
        </xdr:to>
        <xdr:sp macro="" textlink="">
          <xdr:nvSpPr>
            <xdr:cNvPr id="206958" name="Pos" hidden="1">
              <a:extLst>
                <a:ext uri="{63B3BB69-23CF-44E3-9099-C40C66FF867C}">
                  <a14:compatExt spid="_x0000_s2069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22</xdr:row>
          <xdr:rowOff>181923</xdr:rowOff>
        </xdr:from>
        <xdr:to>
          <xdr:col>9</xdr:col>
          <xdr:colOff>588854</xdr:colOff>
          <xdr:row>23</xdr:row>
          <xdr:rowOff>181923</xdr:rowOff>
        </xdr:to>
        <xdr:sp macro="" textlink="">
          <xdr:nvSpPr>
            <xdr:cNvPr id="206959" name="Drop Down 111" hidden="1">
              <a:extLst>
                <a:ext uri="{63B3BB69-23CF-44E3-9099-C40C66FF867C}">
                  <a14:compatExt spid="_x0000_s2069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22</xdr:row>
          <xdr:rowOff>181923</xdr:rowOff>
        </xdr:from>
        <xdr:to>
          <xdr:col>13</xdr:col>
          <xdr:colOff>895250</xdr:colOff>
          <xdr:row>23</xdr:row>
          <xdr:rowOff>181923</xdr:rowOff>
        </xdr:to>
        <xdr:sp macro="" textlink="">
          <xdr:nvSpPr>
            <xdr:cNvPr id="206960" name="Drop Down 112" hidden="1">
              <a:extLst>
                <a:ext uri="{63B3BB69-23CF-44E3-9099-C40C66FF867C}">
                  <a14:compatExt spid="_x0000_s2069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22</xdr:row>
          <xdr:rowOff>191497</xdr:rowOff>
        </xdr:from>
        <xdr:to>
          <xdr:col>15</xdr:col>
          <xdr:colOff>38299</xdr:colOff>
          <xdr:row>23</xdr:row>
          <xdr:rowOff>191497</xdr:rowOff>
        </xdr:to>
        <xdr:sp macro="" textlink="">
          <xdr:nvSpPr>
            <xdr:cNvPr id="206961" name="Drop Down 113" hidden="1">
              <a:extLst>
                <a:ext uri="{63B3BB69-23CF-44E3-9099-C40C66FF867C}">
                  <a14:compatExt spid="_x0000_s206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0</xdr:rowOff>
        </xdr:from>
        <xdr:to>
          <xdr:col>11</xdr:col>
          <xdr:colOff>67024</xdr:colOff>
          <xdr:row>23</xdr:row>
          <xdr:rowOff>0</xdr:rowOff>
        </xdr:to>
        <xdr:sp macro="" textlink="">
          <xdr:nvSpPr>
            <xdr:cNvPr id="206962" name="Drop Down 114" hidden="1">
              <a:extLst>
                <a:ext uri="{63B3BB69-23CF-44E3-9099-C40C66FF867C}">
                  <a14:compatExt spid="_x0000_s206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23</xdr:row>
          <xdr:rowOff>181923</xdr:rowOff>
        </xdr:from>
        <xdr:to>
          <xdr:col>11</xdr:col>
          <xdr:colOff>67024</xdr:colOff>
          <xdr:row>24</xdr:row>
          <xdr:rowOff>181923</xdr:rowOff>
        </xdr:to>
        <xdr:sp macro="" textlink="">
          <xdr:nvSpPr>
            <xdr:cNvPr id="206963" name="Drop Down 115" hidden="1">
              <a:extLst>
                <a:ext uri="{63B3BB69-23CF-44E3-9099-C40C66FF867C}">
                  <a14:compatExt spid="_x0000_s206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24</xdr:row>
          <xdr:rowOff>181923</xdr:rowOff>
        </xdr:from>
        <xdr:to>
          <xdr:col>11</xdr:col>
          <xdr:colOff>67024</xdr:colOff>
          <xdr:row>25</xdr:row>
          <xdr:rowOff>181923</xdr:rowOff>
        </xdr:to>
        <xdr:sp macro="" textlink="">
          <xdr:nvSpPr>
            <xdr:cNvPr id="206964" name="Drop Down 116" hidden="1">
              <a:extLst>
                <a:ext uri="{63B3BB69-23CF-44E3-9099-C40C66FF867C}">
                  <a14:compatExt spid="_x0000_s2069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25</xdr:row>
          <xdr:rowOff>181923</xdr:rowOff>
        </xdr:from>
        <xdr:to>
          <xdr:col>11</xdr:col>
          <xdr:colOff>67024</xdr:colOff>
          <xdr:row>26</xdr:row>
          <xdr:rowOff>181923</xdr:rowOff>
        </xdr:to>
        <xdr:sp macro="" textlink="">
          <xdr:nvSpPr>
            <xdr:cNvPr id="206965" name="Drop Down 117" hidden="1">
              <a:extLst>
                <a:ext uri="{63B3BB69-23CF-44E3-9099-C40C66FF867C}">
                  <a14:compatExt spid="_x0000_s2069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181923</xdr:rowOff>
        </xdr:from>
        <xdr:to>
          <xdr:col>11</xdr:col>
          <xdr:colOff>67024</xdr:colOff>
          <xdr:row>23</xdr:row>
          <xdr:rowOff>181923</xdr:rowOff>
        </xdr:to>
        <xdr:sp macro="" textlink="">
          <xdr:nvSpPr>
            <xdr:cNvPr id="206966" name="Drop Down 118" hidden="1">
              <a:extLst>
                <a:ext uri="{63B3BB69-23CF-44E3-9099-C40C66FF867C}">
                  <a14:compatExt spid="_x0000_s2069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162773</xdr:colOff>
          <xdr:row>25</xdr:row>
          <xdr:rowOff>143623</xdr:rowOff>
        </xdr:from>
        <xdr:to>
          <xdr:col>2</xdr:col>
          <xdr:colOff>799502</xdr:colOff>
          <xdr:row>26</xdr:row>
          <xdr:rowOff>162773</xdr:rowOff>
        </xdr:to>
        <xdr:sp macro="" textlink="">
          <xdr:nvSpPr>
            <xdr:cNvPr id="206967" name="Check Box 119" hidden="1">
              <a:extLst>
                <a:ext uri="{63B3BB69-23CF-44E3-9099-C40C66FF867C}">
                  <a14:compatExt spid="_x0000_s2069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32</xdr:row>
          <xdr:rowOff>9575</xdr:rowOff>
        </xdr:from>
        <xdr:to>
          <xdr:col>7</xdr:col>
          <xdr:colOff>143623</xdr:colOff>
          <xdr:row>33</xdr:row>
          <xdr:rowOff>0</xdr:rowOff>
        </xdr:to>
        <xdr:sp macro="" textlink="">
          <xdr:nvSpPr>
            <xdr:cNvPr id="206969" name="Spinner 121" hidden="1">
              <a:extLst>
                <a:ext uri="{63B3BB69-23CF-44E3-9099-C40C66FF867C}">
                  <a14:compatExt spid="_x0000_s206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06970" name="Spinner 122" hidden="1">
              <a:extLst>
                <a:ext uri="{63B3BB69-23CF-44E3-9099-C40C66FF867C}">
                  <a14:compatExt spid="_x0000_s206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06971" name="Spinner 123" hidden="1">
              <a:extLst>
                <a:ext uri="{63B3BB69-23CF-44E3-9099-C40C66FF867C}">
                  <a14:compatExt spid="_x0000_s206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06972" name="Spinner 124" hidden="1">
              <a:extLst>
                <a:ext uri="{63B3BB69-23CF-44E3-9099-C40C66FF867C}">
                  <a14:compatExt spid="_x0000_s2069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06973" name="Spinner 125" hidden="1">
              <a:extLst>
                <a:ext uri="{63B3BB69-23CF-44E3-9099-C40C66FF867C}">
                  <a14:compatExt spid="_x0000_s2069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06974" name="Spinner 126" hidden="1">
              <a:extLst>
                <a:ext uri="{63B3BB69-23CF-44E3-9099-C40C66FF867C}">
                  <a14:compatExt spid="_x0000_s2069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06975" name="Spinner 127" hidden="1">
              <a:extLst>
                <a:ext uri="{63B3BB69-23CF-44E3-9099-C40C66FF867C}">
                  <a14:compatExt spid="_x0000_s2069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06976" name="Spinner 128" hidden="1">
              <a:extLst>
                <a:ext uri="{63B3BB69-23CF-44E3-9099-C40C66FF867C}">
                  <a14:compatExt spid="_x0000_s2069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06977" name="Spinner 129" hidden="1">
              <a:extLst>
                <a:ext uri="{63B3BB69-23CF-44E3-9099-C40C66FF867C}">
                  <a14:compatExt spid="_x0000_s2069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06978" name="Spinner 130" hidden="1">
              <a:extLst>
                <a:ext uri="{63B3BB69-23CF-44E3-9099-C40C66FF867C}">
                  <a14:compatExt spid="_x0000_s2069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06979" name="Spinner 131" hidden="1">
              <a:extLst>
                <a:ext uri="{63B3BB69-23CF-44E3-9099-C40C66FF867C}">
                  <a14:compatExt spid="_x0000_s2069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06980" name="Spinner 132" hidden="1">
              <a:extLst>
                <a:ext uri="{63B3BB69-23CF-44E3-9099-C40C66FF867C}">
                  <a14:compatExt spid="_x0000_s2069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06981" name="Spinner 133" hidden="1">
              <a:extLst>
                <a:ext uri="{63B3BB69-23CF-44E3-9099-C40C66FF867C}">
                  <a14:compatExt spid="_x0000_s2069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06982" name="Spinner 134" hidden="1">
              <a:extLst>
                <a:ext uri="{63B3BB69-23CF-44E3-9099-C40C66FF867C}">
                  <a14:compatExt spid="_x0000_s2069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06983" name="Spinner 135" hidden="1">
              <a:extLst>
                <a:ext uri="{63B3BB69-23CF-44E3-9099-C40C66FF867C}">
                  <a14:compatExt spid="_x0000_s2069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32</xdr:row>
          <xdr:rowOff>9575</xdr:rowOff>
        </xdr:from>
        <xdr:to>
          <xdr:col>7</xdr:col>
          <xdr:colOff>143623</xdr:colOff>
          <xdr:row>33</xdr:row>
          <xdr:rowOff>0</xdr:rowOff>
        </xdr:to>
        <xdr:sp macro="" textlink="">
          <xdr:nvSpPr>
            <xdr:cNvPr id="206984" name="Spinner 136" hidden="1">
              <a:extLst>
                <a:ext uri="{63B3BB69-23CF-44E3-9099-C40C66FF867C}">
                  <a14:compatExt spid="_x0000_s2069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06985" name="Spinner 137" hidden="1">
              <a:extLst>
                <a:ext uri="{63B3BB69-23CF-44E3-9099-C40C66FF867C}">
                  <a14:compatExt spid="_x0000_s206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06986" name="Spinner 138" hidden="1">
              <a:extLst>
                <a:ext uri="{63B3BB69-23CF-44E3-9099-C40C66FF867C}">
                  <a14:compatExt spid="_x0000_s2069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06987" name="Spinner 139" hidden="1">
              <a:extLst>
                <a:ext uri="{63B3BB69-23CF-44E3-9099-C40C66FF867C}">
                  <a14:compatExt spid="_x0000_s2069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06988" name="Spinner 140" hidden="1">
              <a:extLst>
                <a:ext uri="{63B3BB69-23CF-44E3-9099-C40C66FF867C}">
                  <a14:compatExt spid="_x0000_s2069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06989" name="Spinner 141" hidden="1">
              <a:extLst>
                <a:ext uri="{63B3BB69-23CF-44E3-9099-C40C66FF867C}">
                  <a14:compatExt spid="_x0000_s2069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06990" name="Spinner 142" hidden="1">
              <a:extLst>
                <a:ext uri="{63B3BB69-23CF-44E3-9099-C40C66FF867C}">
                  <a14:compatExt spid="_x0000_s2069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06991" name="Spinner 143" hidden="1">
              <a:extLst>
                <a:ext uri="{63B3BB69-23CF-44E3-9099-C40C66FF867C}">
                  <a14:compatExt spid="_x0000_s2069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3</xdr:col>
          <xdr:colOff>28725</xdr:colOff>
          <xdr:row>47</xdr:row>
          <xdr:rowOff>191497</xdr:rowOff>
        </xdr:to>
        <xdr:sp macro="" textlink="">
          <xdr:nvSpPr>
            <xdr:cNvPr id="206992" name="Drop Down 144" hidden="1">
              <a:extLst>
                <a:ext uri="{63B3BB69-23CF-44E3-9099-C40C66FF867C}">
                  <a14:compatExt spid="_x0000_s2069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6</xdr:col>
      <xdr:colOff>561975</xdr:colOff>
      <xdr:row>1</xdr:row>
      <xdr:rowOff>57150</xdr:rowOff>
    </xdr:to>
    <xdr:sp macro="" textlink="">
      <xdr:nvSpPr>
        <xdr:cNvPr id="2" name="AutoShape 1" descr="horistrp.gif (882 bytes)"/>
        <xdr:cNvSpPr>
          <a:spLocks noChangeAspect="1" noChangeArrowheads="1"/>
        </xdr:cNvSpPr>
      </xdr:nvSpPr>
      <xdr:spPr bwMode="auto">
        <a:xfrm>
          <a:off x="0" y="161925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6</xdr:row>
      <xdr:rowOff>0</xdr:rowOff>
    </xdr:from>
    <xdr:to>
      <xdr:col>6</xdr:col>
      <xdr:colOff>561975</xdr:colOff>
      <xdr:row>6</xdr:row>
      <xdr:rowOff>57150</xdr:rowOff>
    </xdr:to>
    <xdr:sp macro="" textlink="">
      <xdr:nvSpPr>
        <xdr:cNvPr id="3" name="AutoShape 2" descr="horistrp.gif (882 bytes)"/>
        <xdr:cNvSpPr>
          <a:spLocks noChangeAspect="1" noChangeArrowheads="1"/>
        </xdr:cNvSpPr>
      </xdr:nvSpPr>
      <xdr:spPr bwMode="auto">
        <a:xfrm>
          <a:off x="0" y="971550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411719</xdr:colOff>
          <xdr:row>2</xdr:row>
          <xdr:rowOff>0</xdr:rowOff>
        </xdr:from>
        <xdr:to>
          <xdr:col>9</xdr:col>
          <xdr:colOff>588854</xdr:colOff>
          <xdr:row>2</xdr:row>
          <xdr:rowOff>181923</xdr:rowOff>
        </xdr:to>
        <xdr:sp macro="" textlink="">
          <xdr:nvSpPr>
            <xdr:cNvPr id="65537" name="Spinner 1" hidden="1">
              <a:extLst>
                <a:ext uri="{63B3BB69-23CF-44E3-9099-C40C66FF867C}">
                  <a14:compatExt spid="_x0000_s65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19050</xdr:colOff>
      <xdr:row>2</xdr:row>
      <xdr:rowOff>38100</xdr:rowOff>
    </xdr:from>
    <xdr:to>
      <xdr:col>6</xdr:col>
      <xdr:colOff>990600</xdr:colOff>
      <xdr:row>3</xdr:row>
      <xdr:rowOff>0</xdr:rowOff>
    </xdr:to>
    <xdr:sp macro="[0]!InGewicht" textlink="">
      <xdr:nvSpPr>
        <xdr:cNvPr id="3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19050</xdr:rowOff>
    </xdr:from>
    <xdr:to>
      <xdr:col>8</xdr:col>
      <xdr:colOff>628650</xdr:colOff>
      <xdr:row>2</xdr:row>
      <xdr:rowOff>171450</xdr:rowOff>
    </xdr:to>
    <xdr:sp macro="[0]!InLengte" textlink="">
      <xdr:nvSpPr>
        <xdr:cNvPr id="4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2</xdr:row>
      <xdr:rowOff>0</xdr:rowOff>
    </xdr:from>
    <xdr:to>
      <xdr:col>3</xdr:col>
      <xdr:colOff>1047750</xdr:colOff>
      <xdr:row>3</xdr:row>
      <xdr:rowOff>0</xdr:rowOff>
    </xdr:to>
    <xdr:sp macro="[0]!NieuwePatient" textlink="">
      <xdr:nvSpPr>
        <xdr:cNvPr id="5" name="Rectangle 49"/>
        <xdr:cNvSpPr>
          <a:spLocks noChangeArrowheads="1"/>
        </xdr:cNvSpPr>
      </xdr:nvSpPr>
      <xdr:spPr bwMode="auto">
        <a:xfrm flipV="1">
          <a:off x="1866900" y="381000"/>
          <a:ext cx="259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6</xdr:row>
          <xdr:rowOff>19150</xdr:rowOff>
        </xdr:from>
        <xdr:to>
          <xdr:col>5</xdr:col>
          <xdr:colOff>1230371</xdr:colOff>
          <xdr:row>6</xdr:row>
          <xdr:rowOff>220222</xdr:rowOff>
        </xdr:to>
        <xdr:sp macro="" textlink="">
          <xdr:nvSpPr>
            <xdr:cNvPr id="65541" name="Check Box 5" hidden="1">
              <a:extLst>
                <a:ext uri="{63B3BB69-23CF-44E3-9099-C40C66FF867C}">
                  <a14:compatExt spid="_x0000_s65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</xdr:row>
          <xdr:rowOff>19150</xdr:rowOff>
        </xdr:from>
        <xdr:to>
          <xdr:col>5</xdr:col>
          <xdr:colOff>1220796</xdr:colOff>
          <xdr:row>7</xdr:row>
          <xdr:rowOff>220222</xdr:rowOff>
        </xdr:to>
        <xdr:sp macro="" textlink="">
          <xdr:nvSpPr>
            <xdr:cNvPr id="65560" name="Check Box 24" hidden="1">
              <a:extLst>
                <a:ext uri="{63B3BB69-23CF-44E3-9099-C40C66FF867C}">
                  <a14:compatExt spid="_x0000_s65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Faeces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12</xdr:row>
          <xdr:rowOff>19150</xdr:rowOff>
        </xdr:from>
        <xdr:to>
          <xdr:col>5</xdr:col>
          <xdr:colOff>1230371</xdr:colOff>
          <xdr:row>12</xdr:row>
          <xdr:rowOff>220222</xdr:rowOff>
        </xdr:to>
        <xdr:sp macro="" textlink="">
          <xdr:nvSpPr>
            <xdr:cNvPr id="65565" name="Check Box 29" hidden="1">
              <a:extLst>
                <a:ext uri="{63B3BB69-23CF-44E3-9099-C40C66FF867C}">
                  <a14:compatExt spid="_x0000_s65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Neusspoelsel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13</xdr:row>
          <xdr:rowOff>19150</xdr:rowOff>
        </xdr:from>
        <xdr:to>
          <xdr:col>5</xdr:col>
          <xdr:colOff>1230371</xdr:colOff>
          <xdr:row>13</xdr:row>
          <xdr:rowOff>220222</xdr:rowOff>
        </xdr:to>
        <xdr:sp macro="" textlink="">
          <xdr:nvSpPr>
            <xdr:cNvPr id="65566" name="Check Box 30" hidden="1">
              <a:extLst>
                <a:ext uri="{63B3BB69-23CF-44E3-9099-C40C66FF867C}">
                  <a14:compatExt spid="_x0000_s65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14</xdr:row>
          <xdr:rowOff>19150</xdr:rowOff>
        </xdr:from>
        <xdr:to>
          <xdr:col>5</xdr:col>
          <xdr:colOff>1230371</xdr:colOff>
          <xdr:row>14</xdr:row>
          <xdr:rowOff>220222</xdr:rowOff>
        </xdr:to>
        <xdr:sp macro="" textlink="">
          <xdr:nvSpPr>
            <xdr:cNvPr id="65567" name="Check Box 31" hidden="1">
              <a:extLst>
                <a:ext uri="{63B3BB69-23CF-44E3-9099-C40C66FF867C}">
                  <a14:compatExt spid="_x0000_s65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Oppervlakte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16</xdr:row>
          <xdr:rowOff>19150</xdr:rowOff>
        </xdr:from>
        <xdr:to>
          <xdr:col>5</xdr:col>
          <xdr:colOff>1230371</xdr:colOff>
          <xdr:row>16</xdr:row>
          <xdr:rowOff>220222</xdr:rowOff>
        </xdr:to>
        <xdr:sp macro="" textlink="">
          <xdr:nvSpPr>
            <xdr:cNvPr id="65569" name="Check Box 33" hidden="1">
              <a:extLst>
                <a:ext uri="{63B3BB69-23CF-44E3-9099-C40C66FF867C}">
                  <a14:compatExt spid="_x0000_s65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RS-diagnostiek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17</xdr:row>
          <xdr:rowOff>19150</xdr:rowOff>
        </xdr:from>
        <xdr:to>
          <xdr:col>5</xdr:col>
          <xdr:colOff>1230371</xdr:colOff>
          <xdr:row>17</xdr:row>
          <xdr:rowOff>220222</xdr:rowOff>
        </xdr:to>
        <xdr:sp macro="" textlink="">
          <xdr:nvSpPr>
            <xdr:cNvPr id="65570" name="Check Box 34" hidden="1">
              <a:extLst>
                <a:ext uri="{63B3BB69-23CF-44E3-9099-C40C66FF867C}">
                  <a14:compatExt spid="_x0000_s65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Sputum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20</xdr:row>
          <xdr:rowOff>19150</xdr:rowOff>
        </xdr:from>
        <xdr:to>
          <xdr:col>5</xdr:col>
          <xdr:colOff>1230371</xdr:colOff>
          <xdr:row>20</xdr:row>
          <xdr:rowOff>220222</xdr:rowOff>
        </xdr:to>
        <xdr:sp macro="" textlink="">
          <xdr:nvSpPr>
            <xdr:cNvPr id="65573" name="Check Box 37" hidden="1">
              <a:extLst>
                <a:ext uri="{63B3BB69-23CF-44E3-9099-C40C66FF867C}">
                  <a14:compatExt spid="_x0000_s65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Uitzuig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21</xdr:row>
          <xdr:rowOff>19150</xdr:rowOff>
        </xdr:from>
        <xdr:to>
          <xdr:col>5</xdr:col>
          <xdr:colOff>1230371</xdr:colOff>
          <xdr:row>21</xdr:row>
          <xdr:rowOff>220222</xdr:rowOff>
        </xdr:to>
        <xdr:sp macro="" textlink="">
          <xdr:nvSpPr>
            <xdr:cNvPr id="65574" name="Check Box 38" hidden="1">
              <a:extLst>
                <a:ext uri="{63B3BB69-23CF-44E3-9099-C40C66FF867C}">
                  <a14:compatExt spid="_x0000_s65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8</xdr:row>
          <xdr:rowOff>19150</xdr:rowOff>
        </xdr:from>
        <xdr:to>
          <xdr:col>6</xdr:col>
          <xdr:colOff>1230371</xdr:colOff>
          <xdr:row>8</xdr:row>
          <xdr:rowOff>220222</xdr:rowOff>
        </xdr:to>
        <xdr:sp macro="" textlink="">
          <xdr:nvSpPr>
            <xdr:cNvPr id="65577" name="Check Box 41" hidden="1">
              <a:extLst>
                <a:ext uri="{63B3BB69-23CF-44E3-9099-C40C66FF867C}">
                  <a14:compatExt spid="_x0000_s65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Rota / Adeno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9</xdr:row>
          <xdr:rowOff>19150</xdr:rowOff>
        </xdr:from>
        <xdr:to>
          <xdr:col>6</xdr:col>
          <xdr:colOff>1230371</xdr:colOff>
          <xdr:row>9</xdr:row>
          <xdr:rowOff>220222</xdr:rowOff>
        </xdr:to>
        <xdr:sp macro="" textlink="">
          <xdr:nvSpPr>
            <xdr:cNvPr id="65579" name="Check Box 43" hidden="1">
              <a:extLst>
                <a:ext uri="{63B3BB69-23CF-44E3-9099-C40C66FF867C}">
                  <a14:compatExt spid="_x0000_s65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Schimmel / Gist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10</xdr:row>
          <xdr:rowOff>19150</xdr:rowOff>
        </xdr:from>
        <xdr:to>
          <xdr:col>6</xdr:col>
          <xdr:colOff>1230371</xdr:colOff>
          <xdr:row>10</xdr:row>
          <xdr:rowOff>220222</xdr:rowOff>
        </xdr:to>
        <xdr:sp macro="" textlink="">
          <xdr:nvSpPr>
            <xdr:cNvPr id="65580" name="Check Box 44" hidden="1">
              <a:extLst>
                <a:ext uri="{63B3BB69-23CF-44E3-9099-C40C66FF867C}">
                  <a14:compatExt spid="_x0000_s65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7</xdr:row>
          <xdr:rowOff>19150</xdr:rowOff>
        </xdr:from>
        <xdr:to>
          <xdr:col>6</xdr:col>
          <xdr:colOff>1230371</xdr:colOff>
          <xdr:row>7</xdr:row>
          <xdr:rowOff>220222</xdr:rowOff>
        </xdr:to>
        <xdr:sp macro="" textlink="">
          <xdr:nvSpPr>
            <xdr:cNvPr id="65583" name="Check Box 47" hidden="1">
              <a:extLst>
                <a:ext uri="{63B3BB69-23CF-44E3-9099-C40C66FF867C}">
                  <a14:compatExt spid="_x0000_s65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11</xdr:row>
          <xdr:rowOff>19150</xdr:rowOff>
        </xdr:from>
        <xdr:to>
          <xdr:col>5</xdr:col>
          <xdr:colOff>1230371</xdr:colOff>
          <xdr:row>11</xdr:row>
          <xdr:rowOff>220222</xdr:rowOff>
        </xdr:to>
        <xdr:sp macro="" textlink="">
          <xdr:nvSpPr>
            <xdr:cNvPr id="65584" name="Check Box 48" hidden="1">
              <a:extLst>
                <a:ext uri="{63B3BB69-23CF-44E3-9099-C40C66FF867C}">
                  <a14:compatExt spid="_x0000_s65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Keel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12</xdr:row>
          <xdr:rowOff>19150</xdr:rowOff>
        </xdr:from>
        <xdr:to>
          <xdr:col>6</xdr:col>
          <xdr:colOff>1230371</xdr:colOff>
          <xdr:row>12</xdr:row>
          <xdr:rowOff>220222</xdr:rowOff>
        </xdr:to>
        <xdr:sp macro="" textlink="">
          <xdr:nvSpPr>
            <xdr:cNvPr id="65585" name="Check Box 49" hidden="1">
              <a:extLst>
                <a:ext uri="{63B3BB69-23CF-44E3-9099-C40C66FF867C}">
                  <a14:compatExt spid="_x0000_s65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14</xdr:row>
          <xdr:rowOff>19150</xdr:rowOff>
        </xdr:from>
        <xdr:to>
          <xdr:col>6</xdr:col>
          <xdr:colOff>1230371</xdr:colOff>
          <xdr:row>14</xdr:row>
          <xdr:rowOff>220222</xdr:rowOff>
        </xdr:to>
        <xdr:sp macro="" textlink="">
          <xdr:nvSpPr>
            <xdr:cNvPr id="65586" name="Check Box 50" hidden="1">
              <a:extLst>
                <a:ext uri="{63B3BB69-23CF-44E3-9099-C40C66FF867C}">
                  <a14:compatExt spid="_x0000_s65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15</xdr:row>
          <xdr:rowOff>19150</xdr:rowOff>
        </xdr:from>
        <xdr:to>
          <xdr:col>6</xdr:col>
          <xdr:colOff>1230371</xdr:colOff>
          <xdr:row>15</xdr:row>
          <xdr:rowOff>220222</xdr:rowOff>
        </xdr:to>
        <xdr:sp macro="" textlink="">
          <xdr:nvSpPr>
            <xdr:cNvPr id="65588" name="Check Box 52" hidden="1">
              <a:extLst>
                <a:ext uri="{63B3BB69-23CF-44E3-9099-C40C66FF867C}">
                  <a14:compatExt spid="_x0000_s65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Gist / Schimmel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17</xdr:row>
          <xdr:rowOff>19150</xdr:rowOff>
        </xdr:from>
        <xdr:to>
          <xdr:col>6</xdr:col>
          <xdr:colOff>1230371</xdr:colOff>
          <xdr:row>17</xdr:row>
          <xdr:rowOff>220222</xdr:rowOff>
        </xdr:to>
        <xdr:sp macro="" textlink="">
          <xdr:nvSpPr>
            <xdr:cNvPr id="65589" name="Check Box 53" hidden="1">
              <a:extLst>
                <a:ext uri="{63B3BB69-23CF-44E3-9099-C40C66FF867C}">
                  <a14:compatExt spid="_x0000_s65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19</xdr:row>
          <xdr:rowOff>19150</xdr:rowOff>
        </xdr:from>
        <xdr:to>
          <xdr:col>6</xdr:col>
          <xdr:colOff>1230371</xdr:colOff>
          <xdr:row>19</xdr:row>
          <xdr:rowOff>220222</xdr:rowOff>
        </xdr:to>
        <xdr:sp macro="" textlink="">
          <xdr:nvSpPr>
            <xdr:cNvPr id="65590" name="Check Box 54" hidden="1">
              <a:extLst>
                <a:ext uri="{63B3BB69-23CF-44E3-9099-C40C66FF867C}">
                  <a14:compatExt spid="_x0000_s65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18</xdr:row>
          <xdr:rowOff>19150</xdr:rowOff>
        </xdr:from>
        <xdr:to>
          <xdr:col>6</xdr:col>
          <xdr:colOff>1230371</xdr:colOff>
          <xdr:row>18</xdr:row>
          <xdr:rowOff>220222</xdr:rowOff>
        </xdr:to>
        <xdr:sp macro="" textlink="">
          <xdr:nvSpPr>
            <xdr:cNvPr id="65591" name="Check Box 55" hidden="1">
              <a:extLst>
                <a:ext uri="{63B3BB69-23CF-44E3-9099-C40C66FF867C}">
                  <a14:compatExt spid="_x0000_s65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Ureaplasma / Mycoplasma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21</xdr:row>
          <xdr:rowOff>19150</xdr:rowOff>
        </xdr:from>
        <xdr:to>
          <xdr:col>6</xdr:col>
          <xdr:colOff>1230371</xdr:colOff>
          <xdr:row>21</xdr:row>
          <xdr:rowOff>220222</xdr:rowOff>
        </xdr:to>
        <xdr:sp macro="" textlink="">
          <xdr:nvSpPr>
            <xdr:cNvPr id="65594" name="Check Box 58" hidden="1">
              <a:extLst>
                <a:ext uri="{63B3BB69-23CF-44E3-9099-C40C66FF867C}">
                  <a14:compatExt spid="_x0000_s65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22</xdr:row>
          <xdr:rowOff>19150</xdr:rowOff>
        </xdr:from>
        <xdr:to>
          <xdr:col>5</xdr:col>
          <xdr:colOff>1230371</xdr:colOff>
          <xdr:row>22</xdr:row>
          <xdr:rowOff>220222</xdr:rowOff>
        </xdr:to>
        <xdr:sp macro="" textlink="">
          <xdr:nvSpPr>
            <xdr:cNvPr id="65597" name="Check Box 61" hidden="1">
              <a:extLst>
                <a:ext uri="{63B3BB69-23CF-44E3-9099-C40C66FF867C}">
                  <a14:compatExt spid="_x0000_s65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22</xdr:row>
          <xdr:rowOff>19150</xdr:rowOff>
        </xdr:from>
        <xdr:to>
          <xdr:col>6</xdr:col>
          <xdr:colOff>1230371</xdr:colOff>
          <xdr:row>22</xdr:row>
          <xdr:rowOff>220222</xdr:rowOff>
        </xdr:to>
        <xdr:sp macro="" textlink="">
          <xdr:nvSpPr>
            <xdr:cNvPr id="65598" name="Check Box 62" hidden="1">
              <a:extLst>
                <a:ext uri="{63B3BB69-23CF-44E3-9099-C40C66FF867C}">
                  <a14:compatExt spid="_x0000_s65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Natrium / Kalium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23</xdr:row>
          <xdr:rowOff>19150</xdr:rowOff>
        </xdr:from>
        <xdr:to>
          <xdr:col>6</xdr:col>
          <xdr:colOff>1230371</xdr:colOff>
          <xdr:row>23</xdr:row>
          <xdr:rowOff>220222</xdr:rowOff>
        </xdr:to>
        <xdr:sp macro="" textlink="">
          <xdr:nvSpPr>
            <xdr:cNvPr id="65599" name="Check Box 63" hidden="1">
              <a:extLst>
                <a:ext uri="{63B3BB69-23CF-44E3-9099-C40C66FF867C}">
                  <a14:compatExt spid="_x0000_s65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24</xdr:row>
          <xdr:rowOff>19150</xdr:rowOff>
        </xdr:from>
        <xdr:to>
          <xdr:col>6</xdr:col>
          <xdr:colOff>1230371</xdr:colOff>
          <xdr:row>24</xdr:row>
          <xdr:rowOff>220222</xdr:rowOff>
        </xdr:to>
        <xdr:sp macro="" textlink="">
          <xdr:nvSpPr>
            <xdr:cNvPr id="65600" name="Check Box 64" hidden="1">
              <a:extLst>
                <a:ext uri="{63B3BB69-23CF-44E3-9099-C40C66FF867C}">
                  <a14:compatExt spid="_x0000_s65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en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25</xdr:row>
          <xdr:rowOff>19150</xdr:rowOff>
        </xdr:from>
        <xdr:to>
          <xdr:col>6</xdr:col>
          <xdr:colOff>1230371</xdr:colOff>
          <xdr:row>25</xdr:row>
          <xdr:rowOff>220222</xdr:rowOff>
        </xdr:to>
        <xdr:sp macro="" textlink="">
          <xdr:nvSpPr>
            <xdr:cNvPr id="65601" name="Check Box 65" hidden="1">
              <a:extLst>
                <a:ext uri="{63B3BB69-23CF-44E3-9099-C40C66FF867C}">
                  <a14:compatExt spid="_x0000_s6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ma-wo-vr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26</xdr:row>
          <xdr:rowOff>19150</xdr:rowOff>
        </xdr:from>
        <xdr:to>
          <xdr:col>6</xdr:col>
          <xdr:colOff>1230371</xdr:colOff>
          <xdr:row>26</xdr:row>
          <xdr:rowOff>220222</xdr:rowOff>
        </xdr:to>
        <xdr:sp macro="" textlink="">
          <xdr:nvSpPr>
            <xdr:cNvPr id="65602" name="Check Box 66" hidden="1">
              <a:extLst>
                <a:ext uri="{63B3BB69-23CF-44E3-9099-C40C66FF867C}">
                  <a14:compatExt spid="_x0000_s6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24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27</xdr:row>
          <xdr:rowOff>19150</xdr:rowOff>
        </xdr:from>
        <xdr:to>
          <xdr:col>6</xdr:col>
          <xdr:colOff>1230371</xdr:colOff>
          <xdr:row>27</xdr:row>
          <xdr:rowOff>220222</xdr:rowOff>
        </xdr:to>
        <xdr:sp macro="" textlink="">
          <xdr:nvSpPr>
            <xdr:cNvPr id="65603" name="Check Box 67" hidden="1">
              <a:extLst>
                <a:ext uri="{63B3BB69-23CF-44E3-9099-C40C66FF867C}">
                  <a14:compatExt spid="_x0000_s65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CMV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28</xdr:row>
          <xdr:rowOff>19150</xdr:rowOff>
        </xdr:from>
        <xdr:to>
          <xdr:col>6</xdr:col>
          <xdr:colOff>1230371</xdr:colOff>
          <xdr:row>28</xdr:row>
          <xdr:rowOff>220222</xdr:rowOff>
        </xdr:to>
        <xdr:sp macro="" textlink="">
          <xdr:nvSpPr>
            <xdr:cNvPr id="65604" name="Check Box 68" hidden="1">
              <a:extLst>
                <a:ext uri="{63B3BB69-23CF-44E3-9099-C40C66FF867C}">
                  <a14:compatExt spid="_x0000_s65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Metabool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29</xdr:row>
          <xdr:rowOff>19150</xdr:rowOff>
        </xdr:from>
        <xdr:to>
          <xdr:col>6</xdr:col>
          <xdr:colOff>1230371</xdr:colOff>
          <xdr:row>29</xdr:row>
          <xdr:rowOff>220222</xdr:rowOff>
        </xdr:to>
        <xdr:sp macro="" textlink="">
          <xdr:nvSpPr>
            <xdr:cNvPr id="65605" name="Check Box 69" hidden="1">
              <a:extLst>
                <a:ext uri="{63B3BB69-23CF-44E3-9099-C40C66FF867C}">
                  <a14:compatExt spid="_x0000_s65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Rachitis screen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30</xdr:row>
          <xdr:rowOff>19150</xdr:rowOff>
        </xdr:from>
        <xdr:to>
          <xdr:col>5</xdr:col>
          <xdr:colOff>1230371</xdr:colOff>
          <xdr:row>30</xdr:row>
          <xdr:rowOff>220222</xdr:rowOff>
        </xdr:to>
        <xdr:sp macro="" textlink="">
          <xdr:nvSpPr>
            <xdr:cNvPr id="65648" name="Check Box 112" hidden="1">
              <a:extLst>
                <a:ext uri="{63B3BB69-23CF-44E3-9099-C40C66FF867C}">
                  <a14:compatExt spid="_x0000_s656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Wond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6</xdr:row>
          <xdr:rowOff>19150</xdr:rowOff>
        </xdr:from>
        <xdr:to>
          <xdr:col>8</xdr:col>
          <xdr:colOff>1230371</xdr:colOff>
          <xdr:row>6</xdr:row>
          <xdr:rowOff>220222</xdr:rowOff>
        </xdr:to>
        <xdr:sp macro="" textlink="">
          <xdr:nvSpPr>
            <xdr:cNvPr id="157813" name="Check Box 1141" hidden="1">
              <a:extLst>
                <a:ext uri="{63B3BB69-23CF-44E3-9099-C40C66FF867C}">
                  <a14:compatExt spid="_x0000_s157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8</xdr:row>
          <xdr:rowOff>47874</xdr:rowOff>
        </xdr:from>
        <xdr:to>
          <xdr:col>8</xdr:col>
          <xdr:colOff>1752201</xdr:colOff>
          <xdr:row>8</xdr:row>
          <xdr:rowOff>220222</xdr:rowOff>
        </xdr:to>
        <xdr:sp macro="" textlink="">
          <xdr:nvSpPr>
            <xdr:cNvPr id="157814" name="Check Box 1142" hidden="1">
              <a:extLst>
                <a:ext uri="{63B3BB69-23CF-44E3-9099-C40C66FF867C}">
                  <a14:compatExt spid="_x0000_s157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Fototherapie, stop per 17:00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9</xdr:row>
          <xdr:rowOff>19150</xdr:rowOff>
        </xdr:from>
        <xdr:to>
          <xdr:col>8</xdr:col>
          <xdr:colOff>1230371</xdr:colOff>
          <xdr:row>9</xdr:row>
          <xdr:rowOff>220222</xdr:rowOff>
        </xdr:to>
        <xdr:sp macro="" textlink="">
          <xdr:nvSpPr>
            <xdr:cNvPr id="157815" name="Check Box 1143" hidden="1">
              <a:extLst>
                <a:ext uri="{63B3BB69-23CF-44E3-9099-C40C66FF867C}">
                  <a14:compatExt spid="_x0000_s157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10</xdr:row>
          <xdr:rowOff>19150</xdr:rowOff>
        </xdr:from>
        <xdr:to>
          <xdr:col>8</xdr:col>
          <xdr:colOff>1230371</xdr:colOff>
          <xdr:row>10</xdr:row>
          <xdr:rowOff>220222</xdr:rowOff>
        </xdr:to>
        <xdr:sp macro="" textlink="">
          <xdr:nvSpPr>
            <xdr:cNvPr id="157816" name="Check Box 1144" hidden="1">
              <a:extLst>
                <a:ext uri="{63B3BB69-23CF-44E3-9099-C40C66FF867C}">
                  <a14:compatExt spid="_x0000_s157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Infuus, op 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11</xdr:row>
          <xdr:rowOff>19150</xdr:rowOff>
        </xdr:from>
        <xdr:to>
          <xdr:col>8</xdr:col>
          <xdr:colOff>1407506</xdr:colOff>
          <xdr:row>11</xdr:row>
          <xdr:rowOff>220222</xdr:rowOff>
        </xdr:to>
        <xdr:sp macro="" textlink="">
          <xdr:nvSpPr>
            <xdr:cNvPr id="157818" name="Check Box 1146" hidden="1">
              <a:extLst>
                <a:ext uri="{63B3BB69-23CF-44E3-9099-C40C66FF867C}">
                  <a14:compatExt spid="_x0000_s157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open en hoog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12</xdr:row>
          <xdr:rowOff>19150</xdr:rowOff>
        </xdr:from>
        <xdr:to>
          <xdr:col>8</xdr:col>
          <xdr:colOff>1230371</xdr:colOff>
          <xdr:row>12</xdr:row>
          <xdr:rowOff>220222</xdr:rowOff>
        </xdr:to>
        <xdr:sp macro="" textlink="">
          <xdr:nvSpPr>
            <xdr:cNvPr id="157819" name="Check Box 1147" hidden="1">
              <a:extLst>
                <a:ext uri="{63B3BB69-23CF-44E3-9099-C40C66FF867C}">
                  <a14:compatExt spid="_x0000_s157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in overleg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13</xdr:row>
          <xdr:rowOff>19150</xdr:rowOff>
        </xdr:from>
        <xdr:to>
          <xdr:col>8</xdr:col>
          <xdr:colOff>1230371</xdr:colOff>
          <xdr:row>13</xdr:row>
          <xdr:rowOff>220222</xdr:rowOff>
        </xdr:to>
        <xdr:sp macro="" textlink="">
          <xdr:nvSpPr>
            <xdr:cNvPr id="157820" name="Check Box 1148" hidden="1">
              <a:extLst>
                <a:ext uri="{63B3BB69-23CF-44E3-9099-C40C66FF867C}">
                  <a14:compatExt spid="_x0000_s157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na visite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14</xdr:row>
          <xdr:rowOff>19150</xdr:rowOff>
        </xdr:from>
        <xdr:to>
          <xdr:col>8</xdr:col>
          <xdr:colOff>1666027</xdr:colOff>
          <xdr:row>14</xdr:row>
          <xdr:rowOff>220222</xdr:rowOff>
        </xdr:to>
        <xdr:sp macro="" textlink="">
          <xdr:nvSpPr>
            <xdr:cNvPr id="157821" name="Check Box 1149" hidden="1">
              <a:extLst>
                <a:ext uri="{63B3BB69-23CF-44E3-9099-C40C66FF867C}">
                  <a14:compatExt spid="_x0000_s157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voor 10 uur akkoord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15</xdr:row>
          <xdr:rowOff>19150</xdr:rowOff>
        </xdr:from>
        <xdr:to>
          <xdr:col>8</xdr:col>
          <xdr:colOff>1230371</xdr:colOff>
          <xdr:row>15</xdr:row>
          <xdr:rowOff>220222</xdr:rowOff>
        </xdr:to>
        <xdr:sp macro="" textlink="">
          <xdr:nvSpPr>
            <xdr:cNvPr id="157822" name="Check Box 1150" hidden="1">
              <a:extLst>
                <a:ext uri="{63B3BB69-23CF-44E3-9099-C40C66FF867C}">
                  <a14:compatExt spid="_x0000_s157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Pacemakerdraden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17</xdr:row>
          <xdr:rowOff>19150</xdr:rowOff>
        </xdr:from>
        <xdr:to>
          <xdr:col>8</xdr:col>
          <xdr:colOff>1230371</xdr:colOff>
          <xdr:row>17</xdr:row>
          <xdr:rowOff>220222</xdr:rowOff>
        </xdr:to>
        <xdr:sp macro="" textlink="">
          <xdr:nvSpPr>
            <xdr:cNvPr id="157825" name="Check Box 1153" hidden="1">
              <a:extLst>
                <a:ext uri="{63B3BB69-23CF-44E3-9099-C40C66FF867C}">
                  <a14:compatExt spid="_x0000_s157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16</xdr:row>
          <xdr:rowOff>19150</xdr:rowOff>
        </xdr:from>
        <xdr:to>
          <xdr:col>8</xdr:col>
          <xdr:colOff>1230371</xdr:colOff>
          <xdr:row>16</xdr:row>
          <xdr:rowOff>220222</xdr:rowOff>
        </xdr:to>
        <xdr:sp macro="" textlink="">
          <xdr:nvSpPr>
            <xdr:cNvPr id="157827" name="Check Box 1155" hidden="1">
              <a:extLst>
                <a:ext uri="{63B3BB69-23CF-44E3-9099-C40C66FF867C}">
                  <a14:compatExt spid="_x0000_s1578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Rickham punctie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22</xdr:row>
          <xdr:rowOff>19150</xdr:rowOff>
        </xdr:from>
        <xdr:to>
          <xdr:col>8</xdr:col>
          <xdr:colOff>1230371</xdr:colOff>
          <xdr:row>22</xdr:row>
          <xdr:rowOff>220222</xdr:rowOff>
        </xdr:to>
        <xdr:sp macro="" textlink="">
          <xdr:nvSpPr>
            <xdr:cNvPr id="157828" name="Check Box 1156" hidden="1">
              <a:extLst>
                <a:ext uri="{63B3BB69-23CF-44E3-9099-C40C66FF867C}">
                  <a14:compatExt spid="_x0000_s1578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Verwijderen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22</xdr:row>
          <xdr:rowOff>19150</xdr:rowOff>
        </xdr:from>
        <xdr:to>
          <xdr:col>9</xdr:col>
          <xdr:colOff>923975</xdr:colOff>
          <xdr:row>22</xdr:row>
          <xdr:rowOff>220222</xdr:rowOff>
        </xdr:to>
        <xdr:sp macro="" textlink="">
          <xdr:nvSpPr>
            <xdr:cNvPr id="157829" name="Check Box 1157" hidden="1">
              <a:extLst>
                <a:ext uri="{63B3BB69-23CF-44E3-9099-C40C66FF867C}">
                  <a14:compatExt spid="_x0000_s157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23</xdr:row>
          <xdr:rowOff>19150</xdr:rowOff>
        </xdr:from>
        <xdr:to>
          <xdr:col>9</xdr:col>
          <xdr:colOff>923975</xdr:colOff>
          <xdr:row>23</xdr:row>
          <xdr:rowOff>220222</xdr:rowOff>
        </xdr:to>
        <xdr:sp macro="" textlink="">
          <xdr:nvSpPr>
            <xdr:cNvPr id="157830" name="Check Box 1158" hidden="1">
              <a:extLst>
                <a:ext uri="{63B3BB69-23CF-44E3-9099-C40C66FF867C}">
                  <a14:compatExt spid="_x0000_s157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NVL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24</xdr:row>
          <xdr:rowOff>19150</xdr:rowOff>
        </xdr:from>
        <xdr:to>
          <xdr:col>9</xdr:col>
          <xdr:colOff>923975</xdr:colOff>
          <xdr:row>24</xdr:row>
          <xdr:rowOff>220222</xdr:rowOff>
        </xdr:to>
        <xdr:sp macro="" textlink="">
          <xdr:nvSpPr>
            <xdr:cNvPr id="157831" name="Check Box 1159" hidden="1">
              <a:extLst>
                <a:ext uri="{63B3BB69-23CF-44E3-9099-C40C66FF867C}">
                  <a14:compatExt spid="_x0000_s157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25</xdr:row>
          <xdr:rowOff>19150</xdr:rowOff>
        </xdr:from>
        <xdr:to>
          <xdr:col>9</xdr:col>
          <xdr:colOff>923975</xdr:colOff>
          <xdr:row>25</xdr:row>
          <xdr:rowOff>220222</xdr:rowOff>
        </xdr:to>
        <xdr:sp macro="" textlink="">
          <xdr:nvSpPr>
            <xdr:cNvPr id="157832" name="Check Box 1160" hidden="1">
              <a:extLst>
                <a:ext uri="{63B3BB69-23CF-44E3-9099-C40C66FF867C}">
                  <a14:compatExt spid="_x0000_s157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Silastic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18</xdr:row>
          <xdr:rowOff>19150</xdr:rowOff>
        </xdr:from>
        <xdr:to>
          <xdr:col>8</xdr:col>
          <xdr:colOff>1230371</xdr:colOff>
          <xdr:row>18</xdr:row>
          <xdr:rowOff>220222</xdr:rowOff>
        </xdr:to>
        <xdr:sp macro="" textlink="">
          <xdr:nvSpPr>
            <xdr:cNvPr id="157833" name="Check Box 1161" hidden="1">
              <a:extLst>
                <a:ext uri="{63B3BB69-23CF-44E3-9099-C40C66FF867C}">
                  <a14:compatExt spid="_x0000_s1578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19</xdr:row>
          <xdr:rowOff>19150</xdr:rowOff>
        </xdr:from>
        <xdr:to>
          <xdr:col>9</xdr:col>
          <xdr:colOff>923975</xdr:colOff>
          <xdr:row>19</xdr:row>
          <xdr:rowOff>220222</xdr:rowOff>
        </xdr:to>
        <xdr:sp macro="" textlink="">
          <xdr:nvSpPr>
            <xdr:cNvPr id="157835" name="Check Box 1163" hidden="1">
              <a:extLst>
                <a:ext uri="{63B3BB69-23CF-44E3-9099-C40C66FF867C}">
                  <a14:compatExt spid="_x0000_s1578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Ringerslactaat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20</xdr:row>
          <xdr:rowOff>19150</xdr:rowOff>
        </xdr:from>
        <xdr:to>
          <xdr:col>9</xdr:col>
          <xdr:colOff>923975</xdr:colOff>
          <xdr:row>20</xdr:row>
          <xdr:rowOff>220222</xdr:rowOff>
        </xdr:to>
        <xdr:sp macro="" textlink="">
          <xdr:nvSpPr>
            <xdr:cNvPr id="157836" name="Check Box 1164" hidden="1">
              <a:extLst>
                <a:ext uri="{63B3BB69-23CF-44E3-9099-C40C66FF867C}">
                  <a14:compatExt spid="_x0000_s1578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NaCl 0,9%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21</xdr:row>
          <xdr:rowOff>19150</xdr:rowOff>
        </xdr:from>
        <xdr:to>
          <xdr:col>9</xdr:col>
          <xdr:colOff>923975</xdr:colOff>
          <xdr:row>21</xdr:row>
          <xdr:rowOff>220222</xdr:rowOff>
        </xdr:to>
        <xdr:sp macro="" textlink="">
          <xdr:nvSpPr>
            <xdr:cNvPr id="157837" name="Check Box 1165" hidden="1">
              <a:extLst>
                <a:ext uri="{63B3BB69-23CF-44E3-9099-C40C66FF867C}">
                  <a14:compatExt spid="_x0000_s1578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FFP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11</xdr:row>
          <xdr:rowOff>28725</xdr:rowOff>
        </xdr:from>
        <xdr:to>
          <xdr:col>2</xdr:col>
          <xdr:colOff>713328</xdr:colOff>
          <xdr:row>11</xdr:row>
          <xdr:rowOff>210647</xdr:rowOff>
        </xdr:to>
        <xdr:sp macro="" textlink="">
          <xdr:nvSpPr>
            <xdr:cNvPr id="157838" name="Spinner 1166" hidden="1">
              <a:extLst>
                <a:ext uri="{63B3BB69-23CF-44E3-9099-C40C66FF867C}">
                  <a14:compatExt spid="_x0000_s1578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751627</xdr:colOff>
          <xdr:row>16</xdr:row>
          <xdr:rowOff>38299</xdr:rowOff>
        </xdr:from>
        <xdr:to>
          <xdr:col>9</xdr:col>
          <xdr:colOff>933550</xdr:colOff>
          <xdr:row>16</xdr:row>
          <xdr:rowOff>220222</xdr:rowOff>
        </xdr:to>
        <xdr:sp macro="" textlink="">
          <xdr:nvSpPr>
            <xdr:cNvPr id="157840" name="Spinner 1168" hidden="1">
              <a:extLst>
                <a:ext uri="{63B3BB69-23CF-44E3-9099-C40C66FF867C}">
                  <a14:compatExt spid="_x0000_s1578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627154</xdr:colOff>
          <xdr:row>16</xdr:row>
          <xdr:rowOff>19150</xdr:rowOff>
        </xdr:from>
        <xdr:to>
          <xdr:col>10</xdr:col>
          <xdr:colOff>809076</xdr:colOff>
          <xdr:row>16</xdr:row>
          <xdr:rowOff>201072</xdr:rowOff>
        </xdr:to>
        <xdr:sp macro="" textlink="">
          <xdr:nvSpPr>
            <xdr:cNvPr id="157841" name="Spinner 1169" hidden="1">
              <a:extLst>
                <a:ext uri="{63B3BB69-23CF-44E3-9099-C40C66FF867C}">
                  <a14:compatExt spid="_x0000_s157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26</xdr:row>
          <xdr:rowOff>19150</xdr:rowOff>
        </xdr:from>
        <xdr:to>
          <xdr:col>1</xdr:col>
          <xdr:colOff>1230371</xdr:colOff>
          <xdr:row>26</xdr:row>
          <xdr:rowOff>220222</xdr:rowOff>
        </xdr:to>
        <xdr:sp macro="" textlink="">
          <xdr:nvSpPr>
            <xdr:cNvPr id="157842" name="Check Box 1170" hidden="1">
              <a:extLst>
                <a:ext uri="{63B3BB69-23CF-44E3-9099-C40C66FF867C}">
                  <a14:compatExt spid="_x0000_s1578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27</xdr:row>
          <xdr:rowOff>19150</xdr:rowOff>
        </xdr:from>
        <xdr:to>
          <xdr:col>1</xdr:col>
          <xdr:colOff>1230371</xdr:colOff>
          <xdr:row>27</xdr:row>
          <xdr:rowOff>220222</xdr:rowOff>
        </xdr:to>
        <xdr:sp macro="" textlink="">
          <xdr:nvSpPr>
            <xdr:cNvPr id="157843" name="Check Box 1171" hidden="1">
              <a:extLst>
                <a:ext uri="{63B3BB69-23CF-44E3-9099-C40C66FF867C}">
                  <a14:compatExt spid="_x0000_s157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28</xdr:row>
          <xdr:rowOff>28725</xdr:rowOff>
        </xdr:from>
        <xdr:to>
          <xdr:col>1</xdr:col>
          <xdr:colOff>1560704</xdr:colOff>
          <xdr:row>28</xdr:row>
          <xdr:rowOff>220222</xdr:rowOff>
        </xdr:to>
        <xdr:sp macro="" textlink="">
          <xdr:nvSpPr>
            <xdr:cNvPr id="157844" name="Check Box 1172" hidden="1">
              <a:extLst>
                <a:ext uri="{63B3BB69-23CF-44E3-9099-C40C66FF867C}">
                  <a14:compatExt spid="_x0000_s157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29</xdr:row>
          <xdr:rowOff>19150</xdr:rowOff>
        </xdr:from>
        <xdr:to>
          <xdr:col>1</xdr:col>
          <xdr:colOff>1230371</xdr:colOff>
          <xdr:row>29</xdr:row>
          <xdr:rowOff>220222</xdr:rowOff>
        </xdr:to>
        <xdr:sp macro="" textlink="">
          <xdr:nvSpPr>
            <xdr:cNvPr id="157845" name="Check Box 1173" hidden="1">
              <a:extLst>
                <a:ext uri="{63B3BB69-23CF-44E3-9099-C40C66FF867C}">
                  <a14:compatExt spid="_x0000_s157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nier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34</xdr:row>
          <xdr:rowOff>19150</xdr:rowOff>
        </xdr:from>
        <xdr:to>
          <xdr:col>1</xdr:col>
          <xdr:colOff>1230371</xdr:colOff>
          <xdr:row>34</xdr:row>
          <xdr:rowOff>220222</xdr:rowOff>
        </xdr:to>
        <xdr:sp macro="" textlink="">
          <xdr:nvSpPr>
            <xdr:cNvPr id="157848" name="Check Box 1176" hidden="1">
              <a:extLst>
                <a:ext uri="{63B3BB69-23CF-44E3-9099-C40C66FF867C}">
                  <a14:compatExt spid="_x0000_s1578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35</xdr:row>
          <xdr:rowOff>0</xdr:rowOff>
        </xdr:from>
        <xdr:to>
          <xdr:col>2</xdr:col>
          <xdr:colOff>1019724</xdr:colOff>
          <xdr:row>35</xdr:row>
          <xdr:rowOff>201072</xdr:rowOff>
        </xdr:to>
        <xdr:sp macro="" textlink="">
          <xdr:nvSpPr>
            <xdr:cNvPr id="157849" name="Check Box 1177" hidden="1">
              <a:extLst>
                <a:ext uri="{63B3BB69-23CF-44E3-9099-C40C66FF867C}">
                  <a14:compatExt spid="_x0000_s157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35</xdr:row>
          <xdr:rowOff>0</xdr:rowOff>
        </xdr:from>
        <xdr:to>
          <xdr:col>2</xdr:col>
          <xdr:colOff>1019724</xdr:colOff>
          <xdr:row>35</xdr:row>
          <xdr:rowOff>201072</xdr:rowOff>
        </xdr:to>
        <xdr:sp macro="" textlink="">
          <xdr:nvSpPr>
            <xdr:cNvPr id="157850" name="Check Box 1178" hidden="1">
              <a:extLst>
                <a:ext uri="{63B3BB69-23CF-44E3-9099-C40C66FF867C}">
                  <a14:compatExt spid="_x0000_s157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34</xdr:row>
          <xdr:rowOff>9575</xdr:rowOff>
        </xdr:from>
        <xdr:to>
          <xdr:col>2</xdr:col>
          <xdr:colOff>923975</xdr:colOff>
          <xdr:row>34</xdr:row>
          <xdr:rowOff>220222</xdr:rowOff>
        </xdr:to>
        <xdr:sp macro="" textlink="">
          <xdr:nvSpPr>
            <xdr:cNvPr id="157851" name="Drop Down 1179" hidden="1">
              <a:extLst>
                <a:ext uri="{63B3BB69-23CF-44E3-9099-C40C66FF867C}">
                  <a14:compatExt spid="_x0000_s157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35</xdr:row>
          <xdr:rowOff>19150</xdr:rowOff>
        </xdr:from>
        <xdr:to>
          <xdr:col>1</xdr:col>
          <xdr:colOff>1230371</xdr:colOff>
          <xdr:row>35</xdr:row>
          <xdr:rowOff>220222</xdr:rowOff>
        </xdr:to>
        <xdr:sp macro="" textlink="">
          <xdr:nvSpPr>
            <xdr:cNvPr id="157859" name="Check Box 1187" hidden="1">
              <a:extLst>
                <a:ext uri="{63B3BB69-23CF-44E3-9099-C40C66FF867C}">
                  <a14:compatExt spid="_x0000_s157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35</xdr:row>
          <xdr:rowOff>9575</xdr:rowOff>
        </xdr:from>
        <xdr:to>
          <xdr:col>2</xdr:col>
          <xdr:colOff>923975</xdr:colOff>
          <xdr:row>35</xdr:row>
          <xdr:rowOff>220222</xdr:rowOff>
        </xdr:to>
        <xdr:sp macro="" textlink="">
          <xdr:nvSpPr>
            <xdr:cNvPr id="157862" name="Drop Down 1190" hidden="1">
              <a:extLst>
                <a:ext uri="{63B3BB69-23CF-44E3-9099-C40C66FF867C}">
                  <a14:compatExt spid="_x0000_s1578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6</xdr:row>
          <xdr:rowOff>19150</xdr:rowOff>
        </xdr:from>
        <xdr:to>
          <xdr:col>1</xdr:col>
          <xdr:colOff>1230371</xdr:colOff>
          <xdr:row>6</xdr:row>
          <xdr:rowOff>220222</xdr:rowOff>
        </xdr:to>
        <xdr:sp macro="" textlink="">
          <xdr:nvSpPr>
            <xdr:cNvPr id="157865" name="Check Box 1193" hidden="1">
              <a:extLst>
                <a:ext uri="{63B3BB69-23CF-44E3-9099-C40C66FF867C}">
                  <a14:compatExt spid="_x0000_s157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Finnigan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7</xdr:row>
          <xdr:rowOff>19150</xdr:rowOff>
        </xdr:from>
        <xdr:to>
          <xdr:col>1</xdr:col>
          <xdr:colOff>1230371</xdr:colOff>
          <xdr:row>7</xdr:row>
          <xdr:rowOff>220222</xdr:rowOff>
        </xdr:to>
        <xdr:sp macro="" textlink="">
          <xdr:nvSpPr>
            <xdr:cNvPr id="157869" name="Check Box 1197" hidden="1">
              <a:extLst>
                <a:ext uri="{63B3BB69-23CF-44E3-9099-C40C66FF867C}">
                  <a14:compatExt spid="_x0000_s1578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8</xdr:row>
          <xdr:rowOff>19150</xdr:rowOff>
        </xdr:from>
        <xdr:to>
          <xdr:col>1</xdr:col>
          <xdr:colOff>1230371</xdr:colOff>
          <xdr:row>8</xdr:row>
          <xdr:rowOff>220222</xdr:rowOff>
        </xdr:to>
        <xdr:sp macro="" textlink="">
          <xdr:nvSpPr>
            <xdr:cNvPr id="157870" name="Check Box 1198" hidden="1">
              <a:extLst>
                <a:ext uri="{63B3BB69-23CF-44E3-9099-C40C66FF867C}">
                  <a14:compatExt spid="_x0000_s1578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10</xdr:row>
          <xdr:rowOff>19150</xdr:rowOff>
        </xdr:from>
        <xdr:to>
          <xdr:col>1</xdr:col>
          <xdr:colOff>1230371</xdr:colOff>
          <xdr:row>10</xdr:row>
          <xdr:rowOff>220222</xdr:rowOff>
        </xdr:to>
        <xdr:sp macro="" textlink="">
          <xdr:nvSpPr>
            <xdr:cNvPr id="157873" name="Check Box 1201" hidden="1">
              <a:extLst>
                <a:ext uri="{63B3BB69-23CF-44E3-9099-C40C66FF867C}">
                  <a14:compatExt spid="_x0000_s157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Monitor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21</xdr:row>
          <xdr:rowOff>19150</xdr:rowOff>
        </xdr:from>
        <xdr:to>
          <xdr:col>1</xdr:col>
          <xdr:colOff>1230371</xdr:colOff>
          <xdr:row>21</xdr:row>
          <xdr:rowOff>220222</xdr:rowOff>
        </xdr:to>
        <xdr:sp macro="" textlink="">
          <xdr:nvSpPr>
            <xdr:cNvPr id="157877" name="Check Box 1205" hidden="1">
              <a:extLst>
                <a:ext uri="{63B3BB69-23CF-44E3-9099-C40C66FF867C}">
                  <a14:compatExt spid="_x0000_s1578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aEEG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21</xdr:row>
          <xdr:rowOff>9575</xdr:rowOff>
        </xdr:from>
        <xdr:to>
          <xdr:col>2</xdr:col>
          <xdr:colOff>923975</xdr:colOff>
          <xdr:row>21</xdr:row>
          <xdr:rowOff>220222</xdr:rowOff>
        </xdr:to>
        <xdr:sp macro="" textlink="">
          <xdr:nvSpPr>
            <xdr:cNvPr id="157878" name="Drop Down 1206" hidden="1">
              <a:extLst>
                <a:ext uri="{63B3BB69-23CF-44E3-9099-C40C66FF867C}">
                  <a14:compatExt spid="_x0000_s1578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22</xdr:row>
          <xdr:rowOff>19150</xdr:rowOff>
        </xdr:from>
        <xdr:to>
          <xdr:col>1</xdr:col>
          <xdr:colOff>1230371</xdr:colOff>
          <xdr:row>22</xdr:row>
          <xdr:rowOff>220222</xdr:rowOff>
        </xdr:to>
        <xdr:sp macro="" textlink="">
          <xdr:nvSpPr>
            <xdr:cNvPr id="157879" name="Check Box 1207" hidden="1">
              <a:extLst>
                <a:ext uri="{63B3BB69-23CF-44E3-9099-C40C66FF867C}">
                  <a14:compatExt spid="_x0000_s1578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CT scan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24</xdr:row>
          <xdr:rowOff>19150</xdr:rowOff>
        </xdr:from>
        <xdr:to>
          <xdr:col>1</xdr:col>
          <xdr:colOff>1230371</xdr:colOff>
          <xdr:row>24</xdr:row>
          <xdr:rowOff>220222</xdr:rowOff>
        </xdr:to>
        <xdr:sp macro="" textlink="">
          <xdr:nvSpPr>
            <xdr:cNvPr id="157881" name="Check Box 1209" hidden="1">
              <a:extLst>
                <a:ext uri="{63B3BB69-23CF-44E3-9099-C40C66FF867C}">
                  <a14:compatExt spid="_x0000_s157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buik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25</xdr:row>
          <xdr:rowOff>19150</xdr:rowOff>
        </xdr:from>
        <xdr:to>
          <xdr:col>1</xdr:col>
          <xdr:colOff>1230371</xdr:colOff>
          <xdr:row>25</xdr:row>
          <xdr:rowOff>220222</xdr:rowOff>
        </xdr:to>
        <xdr:sp macro="" textlink="">
          <xdr:nvSpPr>
            <xdr:cNvPr id="157882" name="Check Box 1210" hidden="1">
              <a:extLst>
                <a:ext uri="{63B3BB69-23CF-44E3-9099-C40C66FF867C}">
                  <a14:compatExt spid="_x0000_s1578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hart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23</xdr:row>
          <xdr:rowOff>19150</xdr:rowOff>
        </xdr:from>
        <xdr:to>
          <xdr:col>1</xdr:col>
          <xdr:colOff>1230371</xdr:colOff>
          <xdr:row>23</xdr:row>
          <xdr:rowOff>220222</xdr:rowOff>
        </xdr:to>
        <xdr:sp macro="" textlink="">
          <xdr:nvSpPr>
            <xdr:cNvPr id="157883" name="Check Box 1211" hidden="1">
              <a:extLst>
                <a:ext uri="{63B3BB69-23CF-44E3-9099-C40C66FF867C}">
                  <a14:compatExt spid="_x0000_s1578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30</xdr:row>
          <xdr:rowOff>19150</xdr:rowOff>
        </xdr:from>
        <xdr:to>
          <xdr:col>1</xdr:col>
          <xdr:colOff>1230371</xdr:colOff>
          <xdr:row>30</xdr:row>
          <xdr:rowOff>220222</xdr:rowOff>
        </xdr:to>
        <xdr:sp macro="" textlink="">
          <xdr:nvSpPr>
            <xdr:cNvPr id="157886" name="Check Box 1214" hidden="1">
              <a:extLst>
                <a:ext uri="{63B3BB69-23CF-44E3-9099-C40C66FF867C}">
                  <a14:compatExt spid="_x0000_s1578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X-BOZ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31</xdr:row>
          <xdr:rowOff>19150</xdr:rowOff>
        </xdr:from>
        <xdr:to>
          <xdr:col>1</xdr:col>
          <xdr:colOff>1230371</xdr:colOff>
          <xdr:row>31</xdr:row>
          <xdr:rowOff>220222</xdr:rowOff>
        </xdr:to>
        <xdr:sp macro="" textlink="">
          <xdr:nvSpPr>
            <xdr:cNvPr id="157887" name="Check Box 1215" hidden="1">
              <a:extLst>
                <a:ext uri="{63B3BB69-23CF-44E3-9099-C40C66FF867C}">
                  <a14:compatExt spid="_x0000_s157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X-thorax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11</xdr:row>
          <xdr:rowOff>19150</xdr:rowOff>
        </xdr:from>
        <xdr:to>
          <xdr:col>1</xdr:col>
          <xdr:colOff>1230371</xdr:colOff>
          <xdr:row>11</xdr:row>
          <xdr:rowOff>220222</xdr:rowOff>
        </xdr:to>
        <xdr:sp macro="" textlink="">
          <xdr:nvSpPr>
            <xdr:cNvPr id="157891" name="Check Box 1219" hidden="1">
              <a:extLst>
                <a:ext uri="{63B3BB69-23CF-44E3-9099-C40C66FF867C}">
                  <a14:compatExt spid="_x0000_s1578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15</xdr:row>
          <xdr:rowOff>19150</xdr:rowOff>
        </xdr:from>
        <xdr:to>
          <xdr:col>1</xdr:col>
          <xdr:colOff>1493680</xdr:colOff>
          <xdr:row>15</xdr:row>
          <xdr:rowOff>220222</xdr:rowOff>
        </xdr:to>
        <xdr:sp macro="" textlink="">
          <xdr:nvSpPr>
            <xdr:cNvPr id="157897" name="Check Box 1225" hidden="1">
              <a:extLst>
                <a:ext uri="{63B3BB69-23CF-44E3-9099-C40C66FF867C}">
                  <a14:compatExt spid="_x0000_s157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16</xdr:row>
          <xdr:rowOff>19150</xdr:rowOff>
        </xdr:from>
        <xdr:to>
          <xdr:col>1</xdr:col>
          <xdr:colOff>1493680</xdr:colOff>
          <xdr:row>16</xdr:row>
          <xdr:rowOff>220222</xdr:rowOff>
        </xdr:to>
        <xdr:sp macro="" textlink="">
          <xdr:nvSpPr>
            <xdr:cNvPr id="157898" name="Check Box 1226" hidden="1">
              <a:extLst>
                <a:ext uri="{63B3BB69-23CF-44E3-9099-C40C66FF867C}">
                  <a14:compatExt spid="_x0000_s1578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17</xdr:row>
          <xdr:rowOff>19150</xdr:rowOff>
        </xdr:from>
        <xdr:to>
          <xdr:col>1</xdr:col>
          <xdr:colOff>1493680</xdr:colOff>
          <xdr:row>17</xdr:row>
          <xdr:rowOff>220222</xdr:rowOff>
        </xdr:to>
        <xdr:sp macro="" textlink="">
          <xdr:nvSpPr>
            <xdr:cNvPr id="157899" name="Check Box 1227" hidden="1">
              <a:extLst>
                <a:ext uri="{63B3BB69-23CF-44E3-9099-C40C66FF867C}">
                  <a14:compatExt spid="_x0000_s1578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18</xdr:row>
          <xdr:rowOff>19150</xdr:rowOff>
        </xdr:from>
        <xdr:to>
          <xdr:col>1</xdr:col>
          <xdr:colOff>1230371</xdr:colOff>
          <xdr:row>18</xdr:row>
          <xdr:rowOff>220222</xdr:rowOff>
        </xdr:to>
        <xdr:sp macro="" textlink="">
          <xdr:nvSpPr>
            <xdr:cNvPr id="157901" name="Check Box 1229" hidden="1">
              <a:extLst>
                <a:ext uri="{63B3BB69-23CF-44E3-9099-C40C66FF867C}">
                  <a14:compatExt spid="_x0000_s1579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Vochtbalans MC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11</xdr:row>
          <xdr:rowOff>19150</xdr:rowOff>
        </xdr:from>
        <xdr:to>
          <xdr:col>3</xdr:col>
          <xdr:colOff>923975</xdr:colOff>
          <xdr:row>11</xdr:row>
          <xdr:rowOff>220222</xdr:rowOff>
        </xdr:to>
        <xdr:sp macro="" textlink="">
          <xdr:nvSpPr>
            <xdr:cNvPr id="157903" name="Check Box 1231" hidden="1">
              <a:extLst>
                <a:ext uri="{63B3BB69-23CF-44E3-9099-C40C66FF867C}">
                  <a14:compatExt spid="_x0000_s1579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12</xdr:row>
          <xdr:rowOff>19150</xdr:rowOff>
        </xdr:from>
        <xdr:to>
          <xdr:col>3</xdr:col>
          <xdr:colOff>923975</xdr:colOff>
          <xdr:row>12</xdr:row>
          <xdr:rowOff>220222</xdr:rowOff>
        </xdr:to>
        <xdr:sp macro="" textlink="">
          <xdr:nvSpPr>
            <xdr:cNvPr id="157904" name="Check Box 1232" hidden="1">
              <a:extLst>
                <a:ext uri="{63B3BB69-23CF-44E3-9099-C40C66FF867C}">
                  <a14:compatExt spid="_x0000_s1579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13</xdr:row>
          <xdr:rowOff>19150</xdr:rowOff>
        </xdr:from>
        <xdr:to>
          <xdr:col>3</xdr:col>
          <xdr:colOff>923975</xdr:colOff>
          <xdr:row>13</xdr:row>
          <xdr:rowOff>220222</xdr:rowOff>
        </xdr:to>
        <xdr:sp macro="" textlink="">
          <xdr:nvSpPr>
            <xdr:cNvPr id="157905" name="Check Box 1233" hidden="1">
              <a:extLst>
                <a:ext uri="{63B3BB69-23CF-44E3-9099-C40C66FF867C}">
                  <a14:compatExt spid="_x0000_s157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14</xdr:row>
          <xdr:rowOff>19150</xdr:rowOff>
        </xdr:from>
        <xdr:to>
          <xdr:col>3</xdr:col>
          <xdr:colOff>923975</xdr:colOff>
          <xdr:row>14</xdr:row>
          <xdr:rowOff>220222</xdr:rowOff>
        </xdr:to>
        <xdr:sp macro="" textlink="">
          <xdr:nvSpPr>
            <xdr:cNvPr id="157906" name="Check Box 1234" hidden="1">
              <a:extLst>
                <a:ext uri="{63B3BB69-23CF-44E3-9099-C40C66FF867C}">
                  <a14:compatExt spid="_x0000_s1579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751627</xdr:colOff>
          <xdr:row>26</xdr:row>
          <xdr:rowOff>28725</xdr:rowOff>
        </xdr:from>
        <xdr:to>
          <xdr:col>3</xdr:col>
          <xdr:colOff>933550</xdr:colOff>
          <xdr:row>26</xdr:row>
          <xdr:rowOff>210647</xdr:rowOff>
        </xdr:to>
        <xdr:sp macro="" textlink="">
          <xdr:nvSpPr>
            <xdr:cNvPr id="157907" name="Spinner 1235" hidden="1">
              <a:extLst>
                <a:ext uri="{63B3BB69-23CF-44E3-9099-C40C66FF867C}">
                  <a14:compatExt spid="_x0000_s1579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0</xdr:colOff>
      <xdr:row>30</xdr:row>
      <xdr:rowOff>19050</xdr:rowOff>
    </xdr:from>
    <xdr:to>
      <xdr:col>7</xdr:col>
      <xdr:colOff>914400</xdr:colOff>
      <xdr:row>32</xdr:row>
      <xdr:rowOff>190500</xdr:rowOff>
    </xdr:to>
    <xdr:sp macro="[0]!MedTekstWondkweek" textlink="">
      <xdr:nvSpPr>
        <xdr:cNvPr id="192" name="Rectangle 165"/>
        <xdr:cNvSpPr>
          <a:spLocks noChangeArrowheads="1"/>
        </xdr:cNvSpPr>
      </xdr:nvSpPr>
      <xdr:spPr bwMode="auto">
        <a:xfrm>
          <a:off x="5848350" y="6648450"/>
          <a:ext cx="2371725" cy="62865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34</xdr:row>
          <xdr:rowOff>9575</xdr:rowOff>
        </xdr:from>
        <xdr:to>
          <xdr:col>4</xdr:col>
          <xdr:colOff>923975</xdr:colOff>
          <xdr:row>34</xdr:row>
          <xdr:rowOff>220222</xdr:rowOff>
        </xdr:to>
        <xdr:sp macro="" textlink="">
          <xdr:nvSpPr>
            <xdr:cNvPr id="157909" name="Drop Down 1237" hidden="1">
              <a:extLst>
                <a:ext uri="{63B3BB69-23CF-44E3-9099-C40C66FF867C}">
                  <a14:compatExt spid="_x0000_s1579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35</xdr:row>
          <xdr:rowOff>9575</xdr:rowOff>
        </xdr:from>
        <xdr:to>
          <xdr:col>4</xdr:col>
          <xdr:colOff>923975</xdr:colOff>
          <xdr:row>35</xdr:row>
          <xdr:rowOff>220222</xdr:rowOff>
        </xdr:to>
        <xdr:sp macro="" textlink="">
          <xdr:nvSpPr>
            <xdr:cNvPr id="157910" name="Drop Down 1238" hidden="1">
              <a:extLst>
                <a:ext uri="{63B3BB69-23CF-44E3-9099-C40C66FF867C}">
                  <a14:compatExt spid="_x0000_s1579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34</xdr:row>
          <xdr:rowOff>9575</xdr:rowOff>
        </xdr:from>
        <xdr:to>
          <xdr:col>3</xdr:col>
          <xdr:colOff>923975</xdr:colOff>
          <xdr:row>34</xdr:row>
          <xdr:rowOff>220222</xdr:rowOff>
        </xdr:to>
        <xdr:sp macro="" textlink="">
          <xdr:nvSpPr>
            <xdr:cNvPr id="157911" name="Drop Down 1239" hidden="1">
              <a:extLst>
                <a:ext uri="{63B3BB69-23CF-44E3-9099-C40C66FF867C}">
                  <a14:compatExt spid="_x0000_s1579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35</xdr:row>
          <xdr:rowOff>9575</xdr:rowOff>
        </xdr:from>
        <xdr:to>
          <xdr:col>3</xdr:col>
          <xdr:colOff>923975</xdr:colOff>
          <xdr:row>35</xdr:row>
          <xdr:rowOff>220222</xdr:rowOff>
        </xdr:to>
        <xdr:sp macro="" textlink="">
          <xdr:nvSpPr>
            <xdr:cNvPr id="157912" name="Drop Down 1240" hidden="1">
              <a:extLst>
                <a:ext uri="{63B3BB69-23CF-44E3-9099-C40C66FF867C}">
                  <a14:compatExt spid="_x0000_s1579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36</xdr:row>
          <xdr:rowOff>0</xdr:rowOff>
        </xdr:from>
        <xdr:to>
          <xdr:col>2</xdr:col>
          <xdr:colOff>1019724</xdr:colOff>
          <xdr:row>36</xdr:row>
          <xdr:rowOff>201072</xdr:rowOff>
        </xdr:to>
        <xdr:sp macro="" textlink="">
          <xdr:nvSpPr>
            <xdr:cNvPr id="157913" name="Check Box 1241" hidden="1">
              <a:extLst>
                <a:ext uri="{63B3BB69-23CF-44E3-9099-C40C66FF867C}">
                  <a14:compatExt spid="_x0000_s157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36</xdr:row>
          <xdr:rowOff>0</xdr:rowOff>
        </xdr:from>
        <xdr:to>
          <xdr:col>2</xdr:col>
          <xdr:colOff>1019724</xdr:colOff>
          <xdr:row>36</xdr:row>
          <xdr:rowOff>201072</xdr:rowOff>
        </xdr:to>
        <xdr:sp macro="" textlink="">
          <xdr:nvSpPr>
            <xdr:cNvPr id="157914" name="Check Box 1242" hidden="1">
              <a:extLst>
                <a:ext uri="{63B3BB69-23CF-44E3-9099-C40C66FF867C}">
                  <a14:compatExt spid="_x0000_s1579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36</xdr:row>
          <xdr:rowOff>19150</xdr:rowOff>
        </xdr:from>
        <xdr:to>
          <xdr:col>1</xdr:col>
          <xdr:colOff>1230371</xdr:colOff>
          <xdr:row>36</xdr:row>
          <xdr:rowOff>220222</xdr:rowOff>
        </xdr:to>
        <xdr:sp macro="" textlink="">
          <xdr:nvSpPr>
            <xdr:cNvPr id="157915" name="Check Box 1243" hidden="1">
              <a:extLst>
                <a:ext uri="{63B3BB69-23CF-44E3-9099-C40C66FF867C}">
                  <a14:compatExt spid="_x0000_s1579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36</xdr:row>
          <xdr:rowOff>9575</xdr:rowOff>
        </xdr:from>
        <xdr:to>
          <xdr:col>2</xdr:col>
          <xdr:colOff>923975</xdr:colOff>
          <xdr:row>36</xdr:row>
          <xdr:rowOff>220222</xdr:rowOff>
        </xdr:to>
        <xdr:sp macro="" textlink="">
          <xdr:nvSpPr>
            <xdr:cNvPr id="157916" name="Drop Down 1244" hidden="1">
              <a:extLst>
                <a:ext uri="{63B3BB69-23CF-44E3-9099-C40C66FF867C}">
                  <a14:compatExt spid="_x0000_s1579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36</xdr:row>
          <xdr:rowOff>9575</xdr:rowOff>
        </xdr:from>
        <xdr:to>
          <xdr:col>4</xdr:col>
          <xdr:colOff>923975</xdr:colOff>
          <xdr:row>36</xdr:row>
          <xdr:rowOff>220222</xdr:rowOff>
        </xdr:to>
        <xdr:sp macro="" textlink="">
          <xdr:nvSpPr>
            <xdr:cNvPr id="157917" name="Drop Down 1245" hidden="1">
              <a:extLst>
                <a:ext uri="{63B3BB69-23CF-44E3-9099-C40C66FF867C}">
                  <a14:compatExt spid="_x0000_s1579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36</xdr:row>
          <xdr:rowOff>9575</xdr:rowOff>
        </xdr:from>
        <xdr:to>
          <xdr:col>3</xdr:col>
          <xdr:colOff>923975</xdr:colOff>
          <xdr:row>36</xdr:row>
          <xdr:rowOff>220222</xdr:rowOff>
        </xdr:to>
        <xdr:sp macro="" textlink="">
          <xdr:nvSpPr>
            <xdr:cNvPr id="157918" name="Drop Down 1246" hidden="1">
              <a:extLst>
                <a:ext uri="{63B3BB69-23CF-44E3-9099-C40C66FF867C}">
                  <a14:compatExt spid="_x0000_s1579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37</xdr:row>
          <xdr:rowOff>19150</xdr:rowOff>
        </xdr:from>
        <xdr:to>
          <xdr:col>1</xdr:col>
          <xdr:colOff>1230371</xdr:colOff>
          <xdr:row>37</xdr:row>
          <xdr:rowOff>220222</xdr:rowOff>
        </xdr:to>
        <xdr:sp macro="" textlink="">
          <xdr:nvSpPr>
            <xdr:cNvPr id="157919" name="Check Box 1247" hidden="1">
              <a:extLst>
                <a:ext uri="{63B3BB69-23CF-44E3-9099-C40C66FF867C}">
                  <a14:compatExt spid="_x0000_s1579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39</xdr:row>
          <xdr:rowOff>19150</xdr:rowOff>
        </xdr:from>
        <xdr:to>
          <xdr:col>1</xdr:col>
          <xdr:colOff>1230371</xdr:colOff>
          <xdr:row>39</xdr:row>
          <xdr:rowOff>220222</xdr:rowOff>
        </xdr:to>
        <xdr:sp macro="" textlink="">
          <xdr:nvSpPr>
            <xdr:cNvPr id="157921" name="Check Box 1249" hidden="1">
              <a:extLst>
                <a:ext uri="{63B3BB69-23CF-44E3-9099-C40C66FF867C}">
                  <a14:compatExt spid="_x0000_s1579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38</xdr:row>
          <xdr:rowOff>19150</xdr:rowOff>
        </xdr:from>
        <xdr:to>
          <xdr:col>1</xdr:col>
          <xdr:colOff>1230371</xdr:colOff>
          <xdr:row>38</xdr:row>
          <xdr:rowOff>220222</xdr:rowOff>
        </xdr:to>
        <xdr:sp macro="" textlink="">
          <xdr:nvSpPr>
            <xdr:cNvPr id="157922" name="Check Box 1250" hidden="1">
              <a:extLst>
                <a:ext uri="{63B3BB69-23CF-44E3-9099-C40C66FF867C}">
                  <a14:compatExt spid="_x0000_s157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37</xdr:row>
          <xdr:rowOff>19150</xdr:rowOff>
        </xdr:from>
        <xdr:to>
          <xdr:col>3</xdr:col>
          <xdr:colOff>143623</xdr:colOff>
          <xdr:row>37</xdr:row>
          <xdr:rowOff>220222</xdr:rowOff>
        </xdr:to>
        <xdr:sp macro="" textlink="">
          <xdr:nvSpPr>
            <xdr:cNvPr id="157923" name="Check Box 1251" hidden="1">
              <a:extLst>
                <a:ext uri="{63B3BB69-23CF-44E3-9099-C40C66FF867C}">
                  <a14:compatExt spid="_x0000_s1579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38</xdr:row>
          <xdr:rowOff>19150</xdr:rowOff>
        </xdr:from>
        <xdr:to>
          <xdr:col>3</xdr:col>
          <xdr:colOff>143623</xdr:colOff>
          <xdr:row>38</xdr:row>
          <xdr:rowOff>220222</xdr:rowOff>
        </xdr:to>
        <xdr:sp macro="" textlink="">
          <xdr:nvSpPr>
            <xdr:cNvPr id="157924" name="Check Box 1252" hidden="1">
              <a:extLst>
                <a:ext uri="{63B3BB69-23CF-44E3-9099-C40C66FF867C}">
                  <a14:compatExt spid="_x0000_s1579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39</xdr:row>
          <xdr:rowOff>19150</xdr:rowOff>
        </xdr:from>
        <xdr:to>
          <xdr:col>3</xdr:col>
          <xdr:colOff>143623</xdr:colOff>
          <xdr:row>39</xdr:row>
          <xdr:rowOff>220222</xdr:rowOff>
        </xdr:to>
        <xdr:sp macro="" textlink="">
          <xdr:nvSpPr>
            <xdr:cNvPr id="157925" name="Check Box 1253" hidden="1">
              <a:extLst>
                <a:ext uri="{63B3BB69-23CF-44E3-9099-C40C66FF867C}">
                  <a14:compatExt spid="_x0000_s1579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40</xdr:row>
          <xdr:rowOff>9575</xdr:rowOff>
        </xdr:from>
        <xdr:to>
          <xdr:col>2</xdr:col>
          <xdr:colOff>923975</xdr:colOff>
          <xdr:row>40</xdr:row>
          <xdr:rowOff>220222</xdr:rowOff>
        </xdr:to>
        <xdr:sp macro="" textlink="">
          <xdr:nvSpPr>
            <xdr:cNvPr id="157927" name="Drop Down 1255" hidden="1">
              <a:extLst>
                <a:ext uri="{63B3BB69-23CF-44E3-9099-C40C66FF867C}">
                  <a14:compatExt spid="_x0000_s1579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531405</xdr:colOff>
          <xdr:row>40</xdr:row>
          <xdr:rowOff>28725</xdr:rowOff>
        </xdr:from>
        <xdr:to>
          <xdr:col>3</xdr:col>
          <xdr:colOff>713328</xdr:colOff>
          <xdr:row>40</xdr:row>
          <xdr:rowOff>210647</xdr:rowOff>
        </xdr:to>
        <xdr:sp macro="" textlink="">
          <xdr:nvSpPr>
            <xdr:cNvPr id="157928" name="Spinner 1256" hidden="1">
              <a:extLst>
                <a:ext uri="{63B3BB69-23CF-44E3-9099-C40C66FF867C}">
                  <a14:compatExt spid="_x0000_s1579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40</xdr:row>
          <xdr:rowOff>19150</xdr:rowOff>
        </xdr:from>
        <xdr:to>
          <xdr:col>1</xdr:col>
          <xdr:colOff>1230371</xdr:colOff>
          <xdr:row>40</xdr:row>
          <xdr:rowOff>220222</xdr:rowOff>
        </xdr:to>
        <xdr:sp macro="" textlink="">
          <xdr:nvSpPr>
            <xdr:cNvPr id="157929" name="Check Box 1257" hidden="1">
              <a:extLst>
                <a:ext uri="{63B3BB69-23CF-44E3-9099-C40C66FF867C}">
                  <a14:compatExt spid="_x0000_s1579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26</xdr:row>
          <xdr:rowOff>19150</xdr:rowOff>
        </xdr:from>
        <xdr:to>
          <xdr:col>10</xdr:col>
          <xdr:colOff>191497</xdr:colOff>
          <xdr:row>26</xdr:row>
          <xdr:rowOff>220222</xdr:rowOff>
        </xdr:to>
        <xdr:sp macro="" textlink="">
          <xdr:nvSpPr>
            <xdr:cNvPr id="157930" name="Check Box 1258" hidden="1">
              <a:extLst>
                <a:ext uri="{63B3BB69-23CF-44E3-9099-C40C66FF867C}">
                  <a14:compatExt spid="_x0000_s1579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7</xdr:row>
          <xdr:rowOff>28725</xdr:rowOff>
        </xdr:from>
        <xdr:to>
          <xdr:col>2</xdr:col>
          <xdr:colOff>713328</xdr:colOff>
          <xdr:row>7</xdr:row>
          <xdr:rowOff>210647</xdr:rowOff>
        </xdr:to>
        <xdr:sp macro="" textlink="">
          <xdr:nvSpPr>
            <xdr:cNvPr id="157931" name="Spinner 1259" hidden="1">
              <a:extLst>
                <a:ext uri="{63B3BB69-23CF-44E3-9099-C40C66FF867C}">
                  <a14:compatExt spid="_x0000_s1579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57932" name="Spinner 1260" hidden="1">
              <a:extLst>
                <a:ext uri="{63B3BB69-23CF-44E3-9099-C40C66FF867C}">
                  <a14:compatExt spid="_x0000_s1579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7</xdr:row>
          <xdr:rowOff>9575</xdr:rowOff>
        </xdr:from>
        <xdr:to>
          <xdr:col>3</xdr:col>
          <xdr:colOff>1029298</xdr:colOff>
          <xdr:row>7</xdr:row>
          <xdr:rowOff>220222</xdr:rowOff>
        </xdr:to>
        <xdr:sp macro="" textlink="">
          <xdr:nvSpPr>
            <xdr:cNvPr id="157933" name="Drop Down 1261" hidden="1">
              <a:extLst>
                <a:ext uri="{63B3BB69-23CF-44E3-9099-C40C66FF867C}">
                  <a14:compatExt spid="_x0000_s1579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8</xdr:row>
          <xdr:rowOff>9575</xdr:rowOff>
        </xdr:from>
        <xdr:to>
          <xdr:col>3</xdr:col>
          <xdr:colOff>1029298</xdr:colOff>
          <xdr:row>8</xdr:row>
          <xdr:rowOff>220222</xdr:rowOff>
        </xdr:to>
        <xdr:sp macro="" textlink="">
          <xdr:nvSpPr>
            <xdr:cNvPr id="157934" name="Drop Down 1262" hidden="1">
              <a:extLst>
                <a:ext uri="{63B3BB69-23CF-44E3-9099-C40C66FF867C}">
                  <a14:compatExt spid="_x0000_s1579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57935" name="Spinner 1263" hidden="1">
              <a:extLst>
                <a:ext uri="{63B3BB69-23CF-44E3-9099-C40C66FF867C}">
                  <a14:compatExt spid="_x0000_s157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57936" name="Spinner 1264" hidden="1">
              <a:extLst>
                <a:ext uri="{63B3BB69-23CF-44E3-9099-C40C66FF867C}">
                  <a14:compatExt spid="_x0000_s1579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627154</xdr:colOff>
          <xdr:row>18</xdr:row>
          <xdr:rowOff>28725</xdr:rowOff>
        </xdr:from>
        <xdr:to>
          <xdr:col>9</xdr:col>
          <xdr:colOff>809076</xdr:colOff>
          <xdr:row>18</xdr:row>
          <xdr:rowOff>210647</xdr:rowOff>
        </xdr:to>
        <xdr:sp macro="" textlink="">
          <xdr:nvSpPr>
            <xdr:cNvPr id="157937" name="Spinner 1265" hidden="1">
              <a:extLst>
                <a:ext uri="{63B3BB69-23CF-44E3-9099-C40C66FF867C}">
                  <a14:compatExt spid="_x0000_s157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7</xdr:row>
          <xdr:rowOff>19150</xdr:rowOff>
        </xdr:from>
        <xdr:to>
          <xdr:col>8</xdr:col>
          <xdr:colOff>1230371</xdr:colOff>
          <xdr:row>7</xdr:row>
          <xdr:rowOff>220222</xdr:rowOff>
        </xdr:to>
        <xdr:sp macro="" textlink="">
          <xdr:nvSpPr>
            <xdr:cNvPr id="157938" name="Check Box 1266" hidden="1">
              <a:extLst>
                <a:ext uri="{63B3BB69-23CF-44E3-9099-C40C66FF867C}">
                  <a14:compatExt spid="_x0000_s1579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675028</xdr:colOff>
          <xdr:row>7</xdr:row>
          <xdr:rowOff>28725</xdr:rowOff>
        </xdr:from>
        <xdr:to>
          <xdr:col>9</xdr:col>
          <xdr:colOff>856951</xdr:colOff>
          <xdr:row>7</xdr:row>
          <xdr:rowOff>210647</xdr:rowOff>
        </xdr:to>
        <xdr:sp macro="" textlink="">
          <xdr:nvSpPr>
            <xdr:cNvPr id="157939" name="Spinner 1267" hidden="1">
              <a:extLst>
                <a:ext uri="{63B3BB69-23CF-44E3-9099-C40C66FF867C}">
                  <a14:compatExt spid="_x0000_s1579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9</xdr:row>
          <xdr:rowOff>19150</xdr:rowOff>
        </xdr:from>
        <xdr:to>
          <xdr:col>1</xdr:col>
          <xdr:colOff>1230371</xdr:colOff>
          <xdr:row>9</xdr:row>
          <xdr:rowOff>220222</xdr:rowOff>
        </xdr:to>
        <xdr:sp macro="" textlink="">
          <xdr:nvSpPr>
            <xdr:cNvPr id="157940" name="Check Box 1268" hidden="1">
              <a:extLst>
                <a:ext uri="{63B3BB69-23CF-44E3-9099-C40C66FF867C}">
                  <a14:compatExt spid="_x0000_s1579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57941" name="Spinner 1269" hidden="1">
              <a:extLst>
                <a:ext uri="{63B3BB69-23CF-44E3-9099-C40C66FF867C}">
                  <a14:compatExt spid="_x0000_s1579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9</xdr:row>
          <xdr:rowOff>9575</xdr:rowOff>
        </xdr:from>
        <xdr:to>
          <xdr:col>3</xdr:col>
          <xdr:colOff>1029298</xdr:colOff>
          <xdr:row>9</xdr:row>
          <xdr:rowOff>220222</xdr:rowOff>
        </xdr:to>
        <xdr:sp macro="" textlink="">
          <xdr:nvSpPr>
            <xdr:cNvPr id="157942" name="Drop Down 1270" hidden="1">
              <a:extLst>
                <a:ext uri="{63B3BB69-23CF-44E3-9099-C40C66FF867C}">
                  <a14:compatExt spid="_x0000_s1579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57943" name="Spinner 1271" hidden="1">
              <a:extLst>
                <a:ext uri="{63B3BB69-23CF-44E3-9099-C40C66FF867C}">
                  <a14:compatExt spid="_x0000_s1579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57944" name="Spinner 1272" hidden="1">
              <a:extLst>
                <a:ext uri="{63B3BB69-23CF-44E3-9099-C40C66FF867C}">
                  <a14:compatExt spid="_x0000_s1579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10</xdr:row>
          <xdr:rowOff>0</xdr:rowOff>
        </xdr:from>
        <xdr:to>
          <xdr:col>2</xdr:col>
          <xdr:colOff>627154</xdr:colOff>
          <xdr:row>10</xdr:row>
          <xdr:rowOff>220222</xdr:rowOff>
        </xdr:to>
        <xdr:sp macro="" textlink="">
          <xdr:nvSpPr>
            <xdr:cNvPr id="71681" name="Check Box 1" hidden="1">
              <a:extLst>
                <a:ext uri="{63B3BB69-23CF-44E3-9099-C40C66FF867C}">
                  <a14:compatExt spid="_x0000_s71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11</xdr:row>
          <xdr:rowOff>0</xdr:rowOff>
        </xdr:from>
        <xdr:to>
          <xdr:col>2</xdr:col>
          <xdr:colOff>627154</xdr:colOff>
          <xdr:row>11</xdr:row>
          <xdr:rowOff>220222</xdr:rowOff>
        </xdr:to>
        <xdr:sp macro="" textlink="">
          <xdr:nvSpPr>
            <xdr:cNvPr id="71682" name="Check Box 2" hidden="1">
              <a:extLst>
                <a:ext uri="{63B3BB69-23CF-44E3-9099-C40C66FF867C}">
                  <a14:compatExt spid="_x0000_s716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13</xdr:row>
          <xdr:rowOff>0</xdr:rowOff>
        </xdr:from>
        <xdr:to>
          <xdr:col>2</xdr:col>
          <xdr:colOff>627154</xdr:colOff>
          <xdr:row>13</xdr:row>
          <xdr:rowOff>220222</xdr:rowOff>
        </xdr:to>
        <xdr:sp macro="" textlink="">
          <xdr:nvSpPr>
            <xdr:cNvPr id="71683" name="Check Box 3" hidden="1">
              <a:extLst>
                <a:ext uri="{63B3BB69-23CF-44E3-9099-C40C66FF867C}">
                  <a14:compatExt spid="_x0000_s716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14</xdr:row>
          <xdr:rowOff>0</xdr:rowOff>
        </xdr:from>
        <xdr:to>
          <xdr:col>2</xdr:col>
          <xdr:colOff>627154</xdr:colOff>
          <xdr:row>14</xdr:row>
          <xdr:rowOff>220222</xdr:rowOff>
        </xdr:to>
        <xdr:sp macro="" textlink="">
          <xdr:nvSpPr>
            <xdr:cNvPr id="71684" name="Check Box 4" hidden="1">
              <a:extLst>
                <a:ext uri="{63B3BB69-23CF-44E3-9099-C40C66FF867C}">
                  <a14:compatExt spid="_x0000_s716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20</xdr:row>
          <xdr:rowOff>0</xdr:rowOff>
        </xdr:from>
        <xdr:to>
          <xdr:col>2</xdr:col>
          <xdr:colOff>617579</xdr:colOff>
          <xdr:row>20</xdr:row>
          <xdr:rowOff>220222</xdr:rowOff>
        </xdr:to>
        <xdr:sp macro="" textlink="">
          <xdr:nvSpPr>
            <xdr:cNvPr id="71685" name="Check Box 5" hidden="1">
              <a:extLst>
                <a:ext uri="{63B3BB69-23CF-44E3-9099-C40C66FF867C}">
                  <a14:compatExt spid="_x0000_s716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19</xdr:row>
          <xdr:rowOff>0</xdr:rowOff>
        </xdr:from>
        <xdr:to>
          <xdr:col>2</xdr:col>
          <xdr:colOff>627154</xdr:colOff>
          <xdr:row>19</xdr:row>
          <xdr:rowOff>220222</xdr:rowOff>
        </xdr:to>
        <xdr:sp macro="" textlink="">
          <xdr:nvSpPr>
            <xdr:cNvPr id="71686" name="Check Box 6" hidden="1">
              <a:extLst>
                <a:ext uri="{63B3BB69-23CF-44E3-9099-C40C66FF867C}">
                  <a14:compatExt spid="_x0000_s716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36</xdr:row>
          <xdr:rowOff>0</xdr:rowOff>
        </xdr:from>
        <xdr:to>
          <xdr:col>2</xdr:col>
          <xdr:colOff>627154</xdr:colOff>
          <xdr:row>36</xdr:row>
          <xdr:rowOff>229797</xdr:rowOff>
        </xdr:to>
        <xdr:sp macro="" textlink="">
          <xdr:nvSpPr>
            <xdr:cNvPr id="71687" name="Check Box 7" hidden="1">
              <a:extLst>
                <a:ext uri="{63B3BB69-23CF-44E3-9099-C40C66FF867C}">
                  <a14:compatExt spid="_x0000_s716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22</xdr:row>
          <xdr:rowOff>0</xdr:rowOff>
        </xdr:from>
        <xdr:to>
          <xdr:col>2</xdr:col>
          <xdr:colOff>627154</xdr:colOff>
          <xdr:row>22</xdr:row>
          <xdr:rowOff>220222</xdr:rowOff>
        </xdr:to>
        <xdr:sp macro="" textlink="">
          <xdr:nvSpPr>
            <xdr:cNvPr id="71688" name="Check Box 8" hidden="1">
              <a:extLst>
                <a:ext uri="{63B3BB69-23CF-44E3-9099-C40C66FF867C}">
                  <a14:compatExt spid="_x0000_s716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25</xdr:row>
          <xdr:rowOff>0</xdr:rowOff>
        </xdr:from>
        <xdr:to>
          <xdr:col>2</xdr:col>
          <xdr:colOff>627154</xdr:colOff>
          <xdr:row>25</xdr:row>
          <xdr:rowOff>220222</xdr:rowOff>
        </xdr:to>
        <xdr:sp macro="" textlink="">
          <xdr:nvSpPr>
            <xdr:cNvPr id="71689" name="Check Box 9" hidden="1">
              <a:extLst>
                <a:ext uri="{63B3BB69-23CF-44E3-9099-C40C66FF867C}">
                  <a14:compatExt spid="_x0000_s71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26</xdr:row>
          <xdr:rowOff>0</xdr:rowOff>
        </xdr:from>
        <xdr:to>
          <xdr:col>2</xdr:col>
          <xdr:colOff>627154</xdr:colOff>
          <xdr:row>26</xdr:row>
          <xdr:rowOff>220222</xdr:rowOff>
        </xdr:to>
        <xdr:sp macro="" textlink="">
          <xdr:nvSpPr>
            <xdr:cNvPr id="71690" name="Check Box 10" hidden="1">
              <a:extLst>
                <a:ext uri="{63B3BB69-23CF-44E3-9099-C40C66FF867C}">
                  <a14:compatExt spid="_x0000_s71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27</xdr:row>
          <xdr:rowOff>0</xdr:rowOff>
        </xdr:from>
        <xdr:to>
          <xdr:col>2</xdr:col>
          <xdr:colOff>627154</xdr:colOff>
          <xdr:row>27</xdr:row>
          <xdr:rowOff>220222</xdr:rowOff>
        </xdr:to>
        <xdr:sp macro="" textlink="">
          <xdr:nvSpPr>
            <xdr:cNvPr id="71691" name="Check Box 11" hidden="1">
              <a:extLst>
                <a:ext uri="{63B3BB69-23CF-44E3-9099-C40C66FF867C}">
                  <a14:compatExt spid="_x0000_s716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18</xdr:row>
          <xdr:rowOff>0</xdr:rowOff>
        </xdr:from>
        <xdr:to>
          <xdr:col>2</xdr:col>
          <xdr:colOff>617579</xdr:colOff>
          <xdr:row>18</xdr:row>
          <xdr:rowOff>220222</xdr:rowOff>
        </xdr:to>
        <xdr:sp macro="" textlink="">
          <xdr:nvSpPr>
            <xdr:cNvPr id="71692" name="Check Box 12" hidden="1">
              <a:extLst>
                <a:ext uri="{63B3BB69-23CF-44E3-9099-C40C66FF867C}">
                  <a14:compatExt spid="_x0000_s716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34</xdr:row>
          <xdr:rowOff>19150</xdr:rowOff>
        </xdr:from>
        <xdr:to>
          <xdr:col>2</xdr:col>
          <xdr:colOff>627154</xdr:colOff>
          <xdr:row>34</xdr:row>
          <xdr:rowOff>239372</xdr:rowOff>
        </xdr:to>
        <xdr:sp macro="" textlink="">
          <xdr:nvSpPr>
            <xdr:cNvPr id="71693" name="Check Box 13" hidden="1">
              <a:extLst>
                <a:ext uri="{63B3BB69-23CF-44E3-9099-C40C66FF867C}">
                  <a14:compatExt spid="_x0000_s71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10</xdr:row>
          <xdr:rowOff>0</xdr:rowOff>
        </xdr:from>
        <xdr:to>
          <xdr:col>6</xdr:col>
          <xdr:colOff>627154</xdr:colOff>
          <xdr:row>10</xdr:row>
          <xdr:rowOff>220222</xdr:rowOff>
        </xdr:to>
        <xdr:sp macro="" textlink="">
          <xdr:nvSpPr>
            <xdr:cNvPr id="71694" name="Check Box 14" hidden="1">
              <a:extLst>
                <a:ext uri="{63B3BB69-23CF-44E3-9099-C40C66FF867C}">
                  <a14:compatExt spid="_x0000_s716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11</xdr:row>
          <xdr:rowOff>0</xdr:rowOff>
        </xdr:from>
        <xdr:to>
          <xdr:col>6</xdr:col>
          <xdr:colOff>627154</xdr:colOff>
          <xdr:row>11</xdr:row>
          <xdr:rowOff>220222</xdr:rowOff>
        </xdr:to>
        <xdr:sp macro="" textlink="">
          <xdr:nvSpPr>
            <xdr:cNvPr id="71695" name="Check Box 15" hidden="1">
              <a:extLst>
                <a:ext uri="{63B3BB69-23CF-44E3-9099-C40C66FF867C}">
                  <a14:compatExt spid="_x0000_s71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13</xdr:row>
          <xdr:rowOff>0</xdr:rowOff>
        </xdr:from>
        <xdr:to>
          <xdr:col>6</xdr:col>
          <xdr:colOff>627154</xdr:colOff>
          <xdr:row>13</xdr:row>
          <xdr:rowOff>220222</xdr:rowOff>
        </xdr:to>
        <xdr:sp macro="" textlink="">
          <xdr:nvSpPr>
            <xdr:cNvPr id="71696" name="Check Box 16" hidden="1">
              <a:extLst>
                <a:ext uri="{63B3BB69-23CF-44E3-9099-C40C66FF867C}">
                  <a14:compatExt spid="_x0000_s716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14</xdr:row>
          <xdr:rowOff>0</xdr:rowOff>
        </xdr:from>
        <xdr:to>
          <xdr:col>6</xdr:col>
          <xdr:colOff>627154</xdr:colOff>
          <xdr:row>14</xdr:row>
          <xdr:rowOff>220222</xdr:rowOff>
        </xdr:to>
        <xdr:sp macro="" textlink="">
          <xdr:nvSpPr>
            <xdr:cNvPr id="71697" name="Check Box 17" hidden="1">
              <a:extLst>
                <a:ext uri="{63B3BB69-23CF-44E3-9099-C40C66FF867C}">
                  <a14:compatExt spid="_x0000_s71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20</xdr:row>
          <xdr:rowOff>0</xdr:rowOff>
        </xdr:from>
        <xdr:to>
          <xdr:col>6</xdr:col>
          <xdr:colOff>617579</xdr:colOff>
          <xdr:row>20</xdr:row>
          <xdr:rowOff>220222</xdr:rowOff>
        </xdr:to>
        <xdr:sp macro="" textlink="">
          <xdr:nvSpPr>
            <xdr:cNvPr id="71698" name="Check Box 18" hidden="1">
              <a:extLst>
                <a:ext uri="{63B3BB69-23CF-44E3-9099-C40C66FF867C}">
                  <a14:compatExt spid="_x0000_s71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19</xdr:row>
          <xdr:rowOff>0</xdr:rowOff>
        </xdr:from>
        <xdr:to>
          <xdr:col>6</xdr:col>
          <xdr:colOff>627154</xdr:colOff>
          <xdr:row>19</xdr:row>
          <xdr:rowOff>220222</xdr:rowOff>
        </xdr:to>
        <xdr:sp macro="" textlink="">
          <xdr:nvSpPr>
            <xdr:cNvPr id="71699" name="Check Box 19" hidden="1">
              <a:extLst>
                <a:ext uri="{63B3BB69-23CF-44E3-9099-C40C66FF867C}">
                  <a14:compatExt spid="_x0000_s71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36</xdr:row>
          <xdr:rowOff>0</xdr:rowOff>
        </xdr:from>
        <xdr:to>
          <xdr:col>6</xdr:col>
          <xdr:colOff>627154</xdr:colOff>
          <xdr:row>36</xdr:row>
          <xdr:rowOff>229797</xdr:rowOff>
        </xdr:to>
        <xdr:sp macro="" textlink="">
          <xdr:nvSpPr>
            <xdr:cNvPr id="71700" name="Check Box 20" hidden="1">
              <a:extLst>
                <a:ext uri="{63B3BB69-23CF-44E3-9099-C40C66FF867C}">
                  <a14:compatExt spid="_x0000_s71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22</xdr:row>
          <xdr:rowOff>0</xdr:rowOff>
        </xdr:from>
        <xdr:to>
          <xdr:col>6</xdr:col>
          <xdr:colOff>627154</xdr:colOff>
          <xdr:row>22</xdr:row>
          <xdr:rowOff>220222</xdr:rowOff>
        </xdr:to>
        <xdr:sp macro="" textlink="">
          <xdr:nvSpPr>
            <xdr:cNvPr id="71701" name="Check Box 21" hidden="1">
              <a:extLst>
                <a:ext uri="{63B3BB69-23CF-44E3-9099-C40C66FF867C}">
                  <a14:compatExt spid="_x0000_s71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25</xdr:row>
          <xdr:rowOff>0</xdr:rowOff>
        </xdr:from>
        <xdr:to>
          <xdr:col>6</xdr:col>
          <xdr:colOff>627154</xdr:colOff>
          <xdr:row>25</xdr:row>
          <xdr:rowOff>220222</xdr:rowOff>
        </xdr:to>
        <xdr:sp macro="" textlink="">
          <xdr:nvSpPr>
            <xdr:cNvPr id="71702" name="Check Box 22" hidden="1">
              <a:extLst>
                <a:ext uri="{63B3BB69-23CF-44E3-9099-C40C66FF867C}">
                  <a14:compatExt spid="_x0000_s71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26</xdr:row>
          <xdr:rowOff>0</xdr:rowOff>
        </xdr:from>
        <xdr:to>
          <xdr:col>6</xdr:col>
          <xdr:colOff>627154</xdr:colOff>
          <xdr:row>26</xdr:row>
          <xdr:rowOff>220222</xdr:rowOff>
        </xdr:to>
        <xdr:sp macro="" textlink="">
          <xdr:nvSpPr>
            <xdr:cNvPr id="71703" name="Check Box 23" hidden="1">
              <a:extLst>
                <a:ext uri="{63B3BB69-23CF-44E3-9099-C40C66FF867C}">
                  <a14:compatExt spid="_x0000_s71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27</xdr:row>
          <xdr:rowOff>0</xdr:rowOff>
        </xdr:from>
        <xdr:to>
          <xdr:col>6</xdr:col>
          <xdr:colOff>627154</xdr:colOff>
          <xdr:row>27</xdr:row>
          <xdr:rowOff>220222</xdr:rowOff>
        </xdr:to>
        <xdr:sp macro="" textlink="">
          <xdr:nvSpPr>
            <xdr:cNvPr id="71704" name="Check Box 24" hidden="1">
              <a:extLst>
                <a:ext uri="{63B3BB69-23CF-44E3-9099-C40C66FF867C}">
                  <a14:compatExt spid="_x0000_s71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18</xdr:row>
          <xdr:rowOff>0</xdr:rowOff>
        </xdr:from>
        <xdr:to>
          <xdr:col>6</xdr:col>
          <xdr:colOff>617579</xdr:colOff>
          <xdr:row>18</xdr:row>
          <xdr:rowOff>220222</xdr:rowOff>
        </xdr:to>
        <xdr:sp macro="" textlink="">
          <xdr:nvSpPr>
            <xdr:cNvPr id="71705" name="Check Box 25" hidden="1">
              <a:extLst>
                <a:ext uri="{63B3BB69-23CF-44E3-9099-C40C66FF867C}">
                  <a14:compatExt spid="_x0000_s71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34</xdr:row>
          <xdr:rowOff>19150</xdr:rowOff>
        </xdr:from>
        <xdr:to>
          <xdr:col>6</xdr:col>
          <xdr:colOff>627154</xdr:colOff>
          <xdr:row>34</xdr:row>
          <xdr:rowOff>239372</xdr:rowOff>
        </xdr:to>
        <xdr:sp macro="" textlink="">
          <xdr:nvSpPr>
            <xdr:cNvPr id="71706" name="Check Box 26" hidden="1">
              <a:extLst>
                <a:ext uri="{63B3BB69-23CF-44E3-9099-C40C66FF867C}">
                  <a14:compatExt spid="_x0000_s71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10</xdr:row>
          <xdr:rowOff>0</xdr:rowOff>
        </xdr:from>
        <xdr:to>
          <xdr:col>8</xdr:col>
          <xdr:colOff>627154</xdr:colOff>
          <xdr:row>10</xdr:row>
          <xdr:rowOff>220222</xdr:rowOff>
        </xdr:to>
        <xdr:sp macro="" textlink="">
          <xdr:nvSpPr>
            <xdr:cNvPr id="71707" name="Check Box 27" hidden="1">
              <a:extLst>
                <a:ext uri="{63B3BB69-23CF-44E3-9099-C40C66FF867C}">
                  <a14:compatExt spid="_x0000_s71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11</xdr:row>
          <xdr:rowOff>0</xdr:rowOff>
        </xdr:from>
        <xdr:to>
          <xdr:col>8</xdr:col>
          <xdr:colOff>627154</xdr:colOff>
          <xdr:row>11</xdr:row>
          <xdr:rowOff>220222</xdr:rowOff>
        </xdr:to>
        <xdr:sp macro="" textlink="">
          <xdr:nvSpPr>
            <xdr:cNvPr id="71708" name="Check Box 28" hidden="1">
              <a:extLst>
                <a:ext uri="{63B3BB69-23CF-44E3-9099-C40C66FF867C}">
                  <a14:compatExt spid="_x0000_s717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13</xdr:row>
          <xdr:rowOff>0</xdr:rowOff>
        </xdr:from>
        <xdr:to>
          <xdr:col>8</xdr:col>
          <xdr:colOff>627154</xdr:colOff>
          <xdr:row>13</xdr:row>
          <xdr:rowOff>220222</xdr:rowOff>
        </xdr:to>
        <xdr:sp macro="" textlink="">
          <xdr:nvSpPr>
            <xdr:cNvPr id="71709" name="Check Box 29" hidden="1">
              <a:extLst>
                <a:ext uri="{63B3BB69-23CF-44E3-9099-C40C66FF867C}">
                  <a14:compatExt spid="_x0000_s71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14</xdr:row>
          <xdr:rowOff>0</xdr:rowOff>
        </xdr:from>
        <xdr:to>
          <xdr:col>8</xdr:col>
          <xdr:colOff>627154</xdr:colOff>
          <xdr:row>14</xdr:row>
          <xdr:rowOff>220222</xdr:rowOff>
        </xdr:to>
        <xdr:sp macro="" textlink="">
          <xdr:nvSpPr>
            <xdr:cNvPr id="71710" name="Check Box 30" hidden="1">
              <a:extLst>
                <a:ext uri="{63B3BB69-23CF-44E3-9099-C40C66FF867C}">
                  <a14:compatExt spid="_x0000_s71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20</xdr:row>
          <xdr:rowOff>0</xdr:rowOff>
        </xdr:from>
        <xdr:to>
          <xdr:col>8</xdr:col>
          <xdr:colOff>617579</xdr:colOff>
          <xdr:row>20</xdr:row>
          <xdr:rowOff>220222</xdr:rowOff>
        </xdr:to>
        <xdr:sp macro="" textlink="">
          <xdr:nvSpPr>
            <xdr:cNvPr id="71711" name="Check Box 31" hidden="1">
              <a:extLst>
                <a:ext uri="{63B3BB69-23CF-44E3-9099-C40C66FF867C}">
                  <a14:compatExt spid="_x0000_s71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19</xdr:row>
          <xdr:rowOff>0</xdr:rowOff>
        </xdr:from>
        <xdr:to>
          <xdr:col>8</xdr:col>
          <xdr:colOff>627154</xdr:colOff>
          <xdr:row>19</xdr:row>
          <xdr:rowOff>220222</xdr:rowOff>
        </xdr:to>
        <xdr:sp macro="" textlink="">
          <xdr:nvSpPr>
            <xdr:cNvPr id="71712" name="Check Box 32" hidden="1">
              <a:extLst>
                <a:ext uri="{63B3BB69-23CF-44E3-9099-C40C66FF867C}">
                  <a14:compatExt spid="_x0000_s71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36</xdr:row>
          <xdr:rowOff>0</xdr:rowOff>
        </xdr:from>
        <xdr:to>
          <xdr:col>8</xdr:col>
          <xdr:colOff>627154</xdr:colOff>
          <xdr:row>36</xdr:row>
          <xdr:rowOff>229797</xdr:rowOff>
        </xdr:to>
        <xdr:sp macro="" textlink="">
          <xdr:nvSpPr>
            <xdr:cNvPr id="71713" name="Check Box 33" hidden="1">
              <a:extLst>
                <a:ext uri="{63B3BB69-23CF-44E3-9099-C40C66FF867C}">
                  <a14:compatExt spid="_x0000_s71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22</xdr:row>
          <xdr:rowOff>0</xdr:rowOff>
        </xdr:from>
        <xdr:to>
          <xdr:col>8</xdr:col>
          <xdr:colOff>627154</xdr:colOff>
          <xdr:row>22</xdr:row>
          <xdr:rowOff>220222</xdr:rowOff>
        </xdr:to>
        <xdr:sp macro="" textlink="">
          <xdr:nvSpPr>
            <xdr:cNvPr id="71714" name="Check Box 34" hidden="1">
              <a:extLst>
                <a:ext uri="{63B3BB69-23CF-44E3-9099-C40C66FF867C}">
                  <a14:compatExt spid="_x0000_s71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25</xdr:row>
          <xdr:rowOff>0</xdr:rowOff>
        </xdr:from>
        <xdr:to>
          <xdr:col>8</xdr:col>
          <xdr:colOff>627154</xdr:colOff>
          <xdr:row>25</xdr:row>
          <xdr:rowOff>220222</xdr:rowOff>
        </xdr:to>
        <xdr:sp macro="" textlink="">
          <xdr:nvSpPr>
            <xdr:cNvPr id="71715" name="Check Box 35" hidden="1">
              <a:extLst>
                <a:ext uri="{63B3BB69-23CF-44E3-9099-C40C66FF867C}">
                  <a14:compatExt spid="_x0000_s71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26</xdr:row>
          <xdr:rowOff>0</xdr:rowOff>
        </xdr:from>
        <xdr:to>
          <xdr:col>8</xdr:col>
          <xdr:colOff>627154</xdr:colOff>
          <xdr:row>26</xdr:row>
          <xdr:rowOff>220222</xdr:rowOff>
        </xdr:to>
        <xdr:sp macro="" textlink="">
          <xdr:nvSpPr>
            <xdr:cNvPr id="71716" name="Check Box 36" hidden="1">
              <a:extLst>
                <a:ext uri="{63B3BB69-23CF-44E3-9099-C40C66FF867C}">
                  <a14:compatExt spid="_x0000_s71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27</xdr:row>
          <xdr:rowOff>0</xdr:rowOff>
        </xdr:from>
        <xdr:to>
          <xdr:col>8</xdr:col>
          <xdr:colOff>627154</xdr:colOff>
          <xdr:row>27</xdr:row>
          <xdr:rowOff>220222</xdr:rowOff>
        </xdr:to>
        <xdr:sp macro="" textlink="">
          <xdr:nvSpPr>
            <xdr:cNvPr id="71717" name="Check Box 37" hidden="1">
              <a:extLst>
                <a:ext uri="{63B3BB69-23CF-44E3-9099-C40C66FF867C}">
                  <a14:compatExt spid="_x0000_s71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18</xdr:row>
          <xdr:rowOff>0</xdr:rowOff>
        </xdr:from>
        <xdr:to>
          <xdr:col>8</xdr:col>
          <xdr:colOff>617579</xdr:colOff>
          <xdr:row>18</xdr:row>
          <xdr:rowOff>220222</xdr:rowOff>
        </xdr:to>
        <xdr:sp macro="" textlink="">
          <xdr:nvSpPr>
            <xdr:cNvPr id="71718" name="Check Box 38" hidden="1">
              <a:extLst>
                <a:ext uri="{63B3BB69-23CF-44E3-9099-C40C66FF867C}">
                  <a14:compatExt spid="_x0000_s71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34</xdr:row>
          <xdr:rowOff>19150</xdr:rowOff>
        </xdr:from>
        <xdr:to>
          <xdr:col>8</xdr:col>
          <xdr:colOff>627154</xdr:colOff>
          <xdr:row>34</xdr:row>
          <xdr:rowOff>239372</xdr:rowOff>
        </xdr:to>
        <xdr:sp macro="" textlink="">
          <xdr:nvSpPr>
            <xdr:cNvPr id="71719" name="Check Box 39" hidden="1">
              <a:extLst>
                <a:ext uri="{63B3BB69-23CF-44E3-9099-C40C66FF867C}">
                  <a14:compatExt spid="_x0000_s71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10</xdr:row>
          <xdr:rowOff>0</xdr:rowOff>
        </xdr:from>
        <xdr:to>
          <xdr:col>16</xdr:col>
          <xdr:colOff>627154</xdr:colOff>
          <xdr:row>10</xdr:row>
          <xdr:rowOff>220222</xdr:rowOff>
        </xdr:to>
        <xdr:sp macro="" textlink="">
          <xdr:nvSpPr>
            <xdr:cNvPr id="71720" name="Check Box 40" hidden="1">
              <a:extLst>
                <a:ext uri="{63B3BB69-23CF-44E3-9099-C40C66FF867C}">
                  <a14:compatExt spid="_x0000_s71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11</xdr:row>
          <xdr:rowOff>0</xdr:rowOff>
        </xdr:from>
        <xdr:to>
          <xdr:col>16</xdr:col>
          <xdr:colOff>627154</xdr:colOff>
          <xdr:row>11</xdr:row>
          <xdr:rowOff>220222</xdr:rowOff>
        </xdr:to>
        <xdr:sp macro="" textlink="">
          <xdr:nvSpPr>
            <xdr:cNvPr id="71721" name="Check Box 41" hidden="1">
              <a:extLst>
                <a:ext uri="{63B3BB69-23CF-44E3-9099-C40C66FF867C}">
                  <a14:compatExt spid="_x0000_s71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13</xdr:row>
          <xdr:rowOff>0</xdr:rowOff>
        </xdr:from>
        <xdr:to>
          <xdr:col>16</xdr:col>
          <xdr:colOff>627154</xdr:colOff>
          <xdr:row>13</xdr:row>
          <xdr:rowOff>220222</xdr:rowOff>
        </xdr:to>
        <xdr:sp macro="" textlink="">
          <xdr:nvSpPr>
            <xdr:cNvPr id="71722" name="Check Box 42" hidden="1">
              <a:extLst>
                <a:ext uri="{63B3BB69-23CF-44E3-9099-C40C66FF867C}">
                  <a14:compatExt spid="_x0000_s717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14</xdr:row>
          <xdr:rowOff>0</xdr:rowOff>
        </xdr:from>
        <xdr:to>
          <xdr:col>16</xdr:col>
          <xdr:colOff>627154</xdr:colOff>
          <xdr:row>14</xdr:row>
          <xdr:rowOff>220222</xdr:rowOff>
        </xdr:to>
        <xdr:sp macro="" textlink="">
          <xdr:nvSpPr>
            <xdr:cNvPr id="71723" name="Check Box 43" hidden="1">
              <a:extLst>
                <a:ext uri="{63B3BB69-23CF-44E3-9099-C40C66FF867C}">
                  <a14:compatExt spid="_x0000_s71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20</xdr:row>
          <xdr:rowOff>0</xdr:rowOff>
        </xdr:from>
        <xdr:to>
          <xdr:col>16</xdr:col>
          <xdr:colOff>617579</xdr:colOff>
          <xdr:row>20</xdr:row>
          <xdr:rowOff>220222</xdr:rowOff>
        </xdr:to>
        <xdr:sp macro="" textlink="">
          <xdr:nvSpPr>
            <xdr:cNvPr id="71724" name="Check Box 44" hidden="1">
              <a:extLst>
                <a:ext uri="{63B3BB69-23CF-44E3-9099-C40C66FF867C}">
                  <a14:compatExt spid="_x0000_s71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19</xdr:row>
          <xdr:rowOff>0</xdr:rowOff>
        </xdr:from>
        <xdr:to>
          <xdr:col>16</xdr:col>
          <xdr:colOff>627154</xdr:colOff>
          <xdr:row>19</xdr:row>
          <xdr:rowOff>220222</xdr:rowOff>
        </xdr:to>
        <xdr:sp macro="" textlink="">
          <xdr:nvSpPr>
            <xdr:cNvPr id="71725" name="Check Box 45" hidden="1">
              <a:extLst>
                <a:ext uri="{63B3BB69-23CF-44E3-9099-C40C66FF867C}">
                  <a14:compatExt spid="_x0000_s71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36</xdr:row>
          <xdr:rowOff>0</xdr:rowOff>
        </xdr:from>
        <xdr:to>
          <xdr:col>16</xdr:col>
          <xdr:colOff>627154</xdr:colOff>
          <xdr:row>36</xdr:row>
          <xdr:rowOff>229797</xdr:rowOff>
        </xdr:to>
        <xdr:sp macro="" textlink="">
          <xdr:nvSpPr>
            <xdr:cNvPr id="71726" name="Check Box 46" hidden="1">
              <a:extLst>
                <a:ext uri="{63B3BB69-23CF-44E3-9099-C40C66FF867C}">
                  <a14:compatExt spid="_x0000_s717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22</xdr:row>
          <xdr:rowOff>0</xdr:rowOff>
        </xdr:from>
        <xdr:to>
          <xdr:col>16</xdr:col>
          <xdr:colOff>627154</xdr:colOff>
          <xdr:row>22</xdr:row>
          <xdr:rowOff>220222</xdr:rowOff>
        </xdr:to>
        <xdr:sp macro="" textlink="">
          <xdr:nvSpPr>
            <xdr:cNvPr id="71727" name="Check Box 47" hidden="1">
              <a:extLst>
                <a:ext uri="{63B3BB69-23CF-44E3-9099-C40C66FF867C}">
                  <a14:compatExt spid="_x0000_s71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25</xdr:row>
          <xdr:rowOff>0</xdr:rowOff>
        </xdr:from>
        <xdr:to>
          <xdr:col>16</xdr:col>
          <xdr:colOff>627154</xdr:colOff>
          <xdr:row>25</xdr:row>
          <xdr:rowOff>220222</xdr:rowOff>
        </xdr:to>
        <xdr:sp macro="" textlink="">
          <xdr:nvSpPr>
            <xdr:cNvPr id="71728" name="Check Box 48" hidden="1">
              <a:extLst>
                <a:ext uri="{63B3BB69-23CF-44E3-9099-C40C66FF867C}">
                  <a14:compatExt spid="_x0000_s71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26</xdr:row>
          <xdr:rowOff>0</xdr:rowOff>
        </xdr:from>
        <xdr:to>
          <xdr:col>16</xdr:col>
          <xdr:colOff>627154</xdr:colOff>
          <xdr:row>26</xdr:row>
          <xdr:rowOff>220222</xdr:rowOff>
        </xdr:to>
        <xdr:sp macro="" textlink="">
          <xdr:nvSpPr>
            <xdr:cNvPr id="71729" name="Check Box 49" hidden="1">
              <a:extLst>
                <a:ext uri="{63B3BB69-23CF-44E3-9099-C40C66FF867C}">
                  <a14:compatExt spid="_x0000_s71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27</xdr:row>
          <xdr:rowOff>0</xdr:rowOff>
        </xdr:from>
        <xdr:to>
          <xdr:col>16</xdr:col>
          <xdr:colOff>627154</xdr:colOff>
          <xdr:row>27</xdr:row>
          <xdr:rowOff>220222</xdr:rowOff>
        </xdr:to>
        <xdr:sp macro="" textlink="">
          <xdr:nvSpPr>
            <xdr:cNvPr id="71730" name="Check Box 50" hidden="1">
              <a:extLst>
                <a:ext uri="{63B3BB69-23CF-44E3-9099-C40C66FF867C}">
                  <a14:compatExt spid="_x0000_s71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18</xdr:row>
          <xdr:rowOff>0</xdr:rowOff>
        </xdr:from>
        <xdr:to>
          <xdr:col>16</xdr:col>
          <xdr:colOff>617579</xdr:colOff>
          <xdr:row>18</xdr:row>
          <xdr:rowOff>220222</xdr:rowOff>
        </xdr:to>
        <xdr:sp macro="" textlink="">
          <xdr:nvSpPr>
            <xdr:cNvPr id="71731" name="Check Box 51" hidden="1">
              <a:extLst>
                <a:ext uri="{63B3BB69-23CF-44E3-9099-C40C66FF867C}">
                  <a14:compatExt spid="_x0000_s71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34</xdr:row>
          <xdr:rowOff>19150</xdr:rowOff>
        </xdr:from>
        <xdr:to>
          <xdr:col>16</xdr:col>
          <xdr:colOff>627154</xdr:colOff>
          <xdr:row>34</xdr:row>
          <xdr:rowOff>239372</xdr:rowOff>
        </xdr:to>
        <xdr:sp macro="" textlink="">
          <xdr:nvSpPr>
            <xdr:cNvPr id="71732" name="Check Box 52" hidden="1">
              <a:extLst>
                <a:ext uri="{63B3BB69-23CF-44E3-9099-C40C66FF867C}">
                  <a14:compatExt spid="_x0000_s71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38</xdr:row>
          <xdr:rowOff>19150</xdr:rowOff>
        </xdr:from>
        <xdr:to>
          <xdr:col>2</xdr:col>
          <xdr:colOff>627154</xdr:colOff>
          <xdr:row>38</xdr:row>
          <xdr:rowOff>239372</xdr:rowOff>
        </xdr:to>
        <xdr:sp macro="" textlink="">
          <xdr:nvSpPr>
            <xdr:cNvPr id="71733" name="Check Box 53" hidden="1">
              <a:extLst>
                <a:ext uri="{63B3BB69-23CF-44E3-9099-C40C66FF867C}">
                  <a14:compatExt spid="_x0000_s717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38</xdr:row>
          <xdr:rowOff>19150</xdr:rowOff>
        </xdr:from>
        <xdr:to>
          <xdr:col>6</xdr:col>
          <xdr:colOff>627154</xdr:colOff>
          <xdr:row>38</xdr:row>
          <xdr:rowOff>239372</xdr:rowOff>
        </xdr:to>
        <xdr:sp macro="" textlink="">
          <xdr:nvSpPr>
            <xdr:cNvPr id="71734" name="Check Box 54" hidden="1">
              <a:extLst>
                <a:ext uri="{63B3BB69-23CF-44E3-9099-C40C66FF867C}">
                  <a14:compatExt spid="_x0000_s71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38</xdr:row>
          <xdr:rowOff>19150</xdr:rowOff>
        </xdr:from>
        <xdr:to>
          <xdr:col>8</xdr:col>
          <xdr:colOff>627154</xdr:colOff>
          <xdr:row>38</xdr:row>
          <xdr:rowOff>239372</xdr:rowOff>
        </xdr:to>
        <xdr:sp macro="" textlink="">
          <xdr:nvSpPr>
            <xdr:cNvPr id="71735" name="Check Box 55" hidden="1">
              <a:extLst>
                <a:ext uri="{63B3BB69-23CF-44E3-9099-C40C66FF867C}">
                  <a14:compatExt spid="_x0000_s71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38</xdr:row>
          <xdr:rowOff>19150</xdr:rowOff>
        </xdr:from>
        <xdr:to>
          <xdr:col>16</xdr:col>
          <xdr:colOff>627154</xdr:colOff>
          <xdr:row>38</xdr:row>
          <xdr:rowOff>239372</xdr:rowOff>
        </xdr:to>
        <xdr:sp macro="" textlink="">
          <xdr:nvSpPr>
            <xdr:cNvPr id="71736" name="Check Box 56" hidden="1">
              <a:extLst>
                <a:ext uri="{63B3BB69-23CF-44E3-9099-C40C66FF867C}">
                  <a14:compatExt spid="_x0000_s717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12</xdr:row>
          <xdr:rowOff>0</xdr:rowOff>
        </xdr:from>
        <xdr:to>
          <xdr:col>2</xdr:col>
          <xdr:colOff>627154</xdr:colOff>
          <xdr:row>12</xdr:row>
          <xdr:rowOff>220222</xdr:rowOff>
        </xdr:to>
        <xdr:sp macro="" textlink="">
          <xdr:nvSpPr>
            <xdr:cNvPr id="71737" name="Check Box 57" hidden="1">
              <a:extLst>
                <a:ext uri="{63B3BB69-23CF-44E3-9099-C40C66FF867C}">
                  <a14:compatExt spid="_x0000_s71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12</xdr:row>
          <xdr:rowOff>0</xdr:rowOff>
        </xdr:from>
        <xdr:to>
          <xdr:col>6</xdr:col>
          <xdr:colOff>627154</xdr:colOff>
          <xdr:row>12</xdr:row>
          <xdr:rowOff>220222</xdr:rowOff>
        </xdr:to>
        <xdr:sp macro="" textlink="">
          <xdr:nvSpPr>
            <xdr:cNvPr id="71738" name="Check Box 58" hidden="1">
              <a:extLst>
                <a:ext uri="{63B3BB69-23CF-44E3-9099-C40C66FF867C}">
                  <a14:compatExt spid="_x0000_s71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12</xdr:row>
          <xdr:rowOff>0</xdr:rowOff>
        </xdr:from>
        <xdr:to>
          <xdr:col>8</xdr:col>
          <xdr:colOff>627154</xdr:colOff>
          <xdr:row>12</xdr:row>
          <xdr:rowOff>220222</xdr:rowOff>
        </xdr:to>
        <xdr:sp macro="" textlink="">
          <xdr:nvSpPr>
            <xdr:cNvPr id="71739" name="Check Box 59" hidden="1">
              <a:extLst>
                <a:ext uri="{63B3BB69-23CF-44E3-9099-C40C66FF867C}">
                  <a14:compatExt spid="_x0000_s71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12</xdr:row>
          <xdr:rowOff>0</xdr:rowOff>
        </xdr:from>
        <xdr:to>
          <xdr:col>16</xdr:col>
          <xdr:colOff>627154</xdr:colOff>
          <xdr:row>12</xdr:row>
          <xdr:rowOff>220222</xdr:rowOff>
        </xdr:to>
        <xdr:sp macro="" textlink="">
          <xdr:nvSpPr>
            <xdr:cNvPr id="71740" name="Check Box 60" hidden="1">
              <a:extLst>
                <a:ext uri="{63B3BB69-23CF-44E3-9099-C40C66FF867C}">
                  <a14:compatExt spid="_x0000_s717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23</xdr:row>
          <xdr:rowOff>0</xdr:rowOff>
        </xdr:from>
        <xdr:to>
          <xdr:col>2</xdr:col>
          <xdr:colOff>627154</xdr:colOff>
          <xdr:row>23</xdr:row>
          <xdr:rowOff>220222</xdr:rowOff>
        </xdr:to>
        <xdr:sp macro="" textlink="">
          <xdr:nvSpPr>
            <xdr:cNvPr id="71741" name="Check Box 61" hidden="1">
              <a:extLst>
                <a:ext uri="{63B3BB69-23CF-44E3-9099-C40C66FF867C}">
                  <a14:compatExt spid="_x0000_s71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23</xdr:row>
          <xdr:rowOff>0</xdr:rowOff>
        </xdr:from>
        <xdr:to>
          <xdr:col>6</xdr:col>
          <xdr:colOff>627154</xdr:colOff>
          <xdr:row>23</xdr:row>
          <xdr:rowOff>220222</xdr:rowOff>
        </xdr:to>
        <xdr:sp macro="" textlink="">
          <xdr:nvSpPr>
            <xdr:cNvPr id="71742" name="Check Box 62" hidden="1">
              <a:extLst>
                <a:ext uri="{63B3BB69-23CF-44E3-9099-C40C66FF867C}">
                  <a14:compatExt spid="_x0000_s71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23</xdr:row>
          <xdr:rowOff>0</xdr:rowOff>
        </xdr:from>
        <xdr:to>
          <xdr:col>8</xdr:col>
          <xdr:colOff>627154</xdr:colOff>
          <xdr:row>23</xdr:row>
          <xdr:rowOff>220222</xdr:rowOff>
        </xdr:to>
        <xdr:sp macro="" textlink="">
          <xdr:nvSpPr>
            <xdr:cNvPr id="71743" name="Check Box 63" hidden="1">
              <a:extLst>
                <a:ext uri="{63B3BB69-23CF-44E3-9099-C40C66FF867C}">
                  <a14:compatExt spid="_x0000_s71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23</xdr:row>
          <xdr:rowOff>0</xdr:rowOff>
        </xdr:from>
        <xdr:to>
          <xdr:col>16</xdr:col>
          <xdr:colOff>627154</xdr:colOff>
          <xdr:row>23</xdr:row>
          <xdr:rowOff>220222</xdr:rowOff>
        </xdr:to>
        <xdr:sp macro="" textlink="">
          <xdr:nvSpPr>
            <xdr:cNvPr id="71744" name="Check Box 64" hidden="1">
              <a:extLst>
                <a:ext uri="{63B3BB69-23CF-44E3-9099-C40C66FF867C}">
                  <a14:compatExt spid="_x0000_s71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10</xdr:row>
          <xdr:rowOff>0</xdr:rowOff>
        </xdr:from>
        <xdr:to>
          <xdr:col>4</xdr:col>
          <xdr:colOff>627154</xdr:colOff>
          <xdr:row>10</xdr:row>
          <xdr:rowOff>220222</xdr:rowOff>
        </xdr:to>
        <xdr:sp macro="" textlink="">
          <xdr:nvSpPr>
            <xdr:cNvPr id="71745" name="Check Box 65" hidden="1">
              <a:extLst>
                <a:ext uri="{63B3BB69-23CF-44E3-9099-C40C66FF867C}">
                  <a14:compatExt spid="_x0000_s71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11</xdr:row>
          <xdr:rowOff>0</xdr:rowOff>
        </xdr:from>
        <xdr:to>
          <xdr:col>4</xdr:col>
          <xdr:colOff>627154</xdr:colOff>
          <xdr:row>11</xdr:row>
          <xdr:rowOff>220222</xdr:rowOff>
        </xdr:to>
        <xdr:sp macro="" textlink="">
          <xdr:nvSpPr>
            <xdr:cNvPr id="71746" name="Check Box 66" hidden="1">
              <a:extLst>
                <a:ext uri="{63B3BB69-23CF-44E3-9099-C40C66FF867C}">
                  <a14:compatExt spid="_x0000_s71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13</xdr:row>
          <xdr:rowOff>0</xdr:rowOff>
        </xdr:from>
        <xdr:to>
          <xdr:col>4</xdr:col>
          <xdr:colOff>627154</xdr:colOff>
          <xdr:row>13</xdr:row>
          <xdr:rowOff>220222</xdr:rowOff>
        </xdr:to>
        <xdr:sp macro="" textlink="">
          <xdr:nvSpPr>
            <xdr:cNvPr id="71747" name="Check Box 67" hidden="1">
              <a:extLst>
                <a:ext uri="{63B3BB69-23CF-44E3-9099-C40C66FF867C}">
                  <a14:compatExt spid="_x0000_s717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14</xdr:row>
          <xdr:rowOff>0</xdr:rowOff>
        </xdr:from>
        <xdr:to>
          <xdr:col>4</xdr:col>
          <xdr:colOff>627154</xdr:colOff>
          <xdr:row>14</xdr:row>
          <xdr:rowOff>220222</xdr:rowOff>
        </xdr:to>
        <xdr:sp macro="" textlink="">
          <xdr:nvSpPr>
            <xdr:cNvPr id="71748" name="Check Box 68" hidden="1">
              <a:extLst>
                <a:ext uri="{63B3BB69-23CF-44E3-9099-C40C66FF867C}">
                  <a14:compatExt spid="_x0000_s71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20</xdr:row>
          <xdr:rowOff>0</xdr:rowOff>
        </xdr:from>
        <xdr:to>
          <xdr:col>4</xdr:col>
          <xdr:colOff>617579</xdr:colOff>
          <xdr:row>20</xdr:row>
          <xdr:rowOff>220222</xdr:rowOff>
        </xdr:to>
        <xdr:sp macro="" textlink="">
          <xdr:nvSpPr>
            <xdr:cNvPr id="71749" name="Check Box 69" hidden="1">
              <a:extLst>
                <a:ext uri="{63B3BB69-23CF-44E3-9099-C40C66FF867C}">
                  <a14:compatExt spid="_x0000_s71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19</xdr:row>
          <xdr:rowOff>0</xdr:rowOff>
        </xdr:from>
        <xdr:to>
          <xdr:col>4</xdr:col>
          <xdr:colOff>627154</xdr:colOff>
          <xdr:row>19</xdr:row>
          <xdr:rowOff>220222</xdr:rowOff>
        </xdr:to>
        <xdr:sp macro="" textlink="">
          <xdr:nvSpPr>
            <xdr:cNvPr id="71750" name="Check Box 70" hidden="1">
              <a:extLst>
                <a:ext uri="{63B3BB69-23CF-44E3-9099-C40C66FF867C}">
                  <a14:compatExt spid="_x0000_s71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36</xdr:row>
          <xdr:rowOff>0</xdr:rowOff>
        </xdr:from>
        <xdr:to>
          <xdr:col>4</xdr:col>
          <xdr:colOff>627154</xdr:colOff>
          <xdr:row>36</xdr:row>
          <xdr:rowOff>229797</xdr:rowOff>
        </xdr:to>
        <xdr:sp macro="" textlink="">
          <xdr:nvSpPr>
            <xdr:cNvPr id="71751" name="Check Box 71" hidden="1">
              <a:extLst>
                <a:ext uri="{63B3BB69-23CF-44E3-9099-C40C66FF867C}">
                  <a14:compatExt spid="_x0000_s71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22</xdr:row>
          <xdr:rowOff>0</xdr:rowOff>
        </xdr:from>
        <xdr:to>
          <xdr:col>4</xdr:col>
          <xdr:colOff>627154</xdr:colOff>
          <xdr:row>22</xdr:row>
          <xdr:rowOff>220222</xdr:rowOff>
        </xdr:to>
        <xdr:sp macro="" textlink="">
          <xdr:nvSpPr>
            <xdr:cNvPr id="71752" name="Check Box 72" hidden="1">
              <a:extLst>
                <a:ext uri="{63B3BB69-23CF-44E3-9099-C40C66FF867C}">
                  <a14:compatExt spid="_x0000_s717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25</xdr:row>
          <xdr:rowOff>0</xdr:rowOff>
        </xdr:from>
        <xdr:to>
          <xdr:col>4</xdr:col>
          <xdr:colOff>627154</xdr:colOff>
          <xdr:row>25</xdr:row>
          <xdr:rowOff>220222</xdr:rowOff>
        </xdr:to>
        <xdr:sp macro="" textlink="">
          <xdr:nvSpPr>
            <xdr:cNvPr id="71753" name="Check Box 73" hidden="1">
              <a:extLst>
                <a:ext uri="{63B3BB69-23CF-44E3-9099-C40C66FF867C}">
                  <a14:compatExt spid="_x0000_s71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26</xdr:row>
          <xdr:rowOff>0</xdr:rowOff>
        </xdr:from>
        <xdr:to>
          <xdr:col>4</xdr:col>
          <xdr:colOff>627154</xdr:colOff>
          <xdr:row>26</xdr:row>
          <xdr:rowOff>220222</xdr:rowOff>
        </xdr:to>
        <xdr:sp macro="" textlink="">
          <xdr:nvSpPr>
            <xdr:cNvPr id="71754" name="Check Box 74" hidden="1">
              <a:extLst>
                <a:ext uri="{63B3BB69-23CF-44E3-9099-C40C66FF867C}">
                  <a14:compatExt spid="_x0000_s71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27</xdr:row>
          <xdr:rowOff>0</xdr:rowOff>
        </xdr:from>
        <xdr:to>
          <xdr:col>4</xdr:col>
          <xdr:colOff>627154</xdr:colOff>
          <xdr:row>27</xdr:row>
          <xdr:rowOff>220222</xdr:rowOff>
        </xdr:to>
        <xdr:sp macro="" textlink="">
          <xdr:nvSpPr>
            <xdr:cNvPr id="71755" name="Check Box 75" hidden="1">
              <a:extLst>
                <a:ext uri="{63B3BB69-23CF-44E3-9099-C40C66FF867C}">
                  <a14:compatExt spid="_x0000_s71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18</xdr:row>
          <xdr:rowOff>0</xdr:rowOff>
        </xdr:from>
        <xdr:to>
          <xdr:col>4</xdr:col>
          <xdr:colOff>617579</xdr:colOff>
          <xdr:row>18</xdr:row>
          <xdr:rowOff>220222</xdr:rowOff>
        </xdr:to>
        <xdr:sp macro="" textlink="">
          <xdr:nvSpPr>
            <xdr:cNvPr id="71756" name="Check Box 76" hidden="1">
              <a:extLst>
                <a:ext uri="{63B3BB69-23CF-44E3-9099-C40C66FF867C}">
                  <a14:compatExt spid="_x0000_s71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34</xdr:row>
          <xdr:rowOff>19150</xdr:rowOff>
        </xdr:from>
        <xdr:to>
          <xdr:col>4</xdr:col>
          <xdr:colOff>627154</xdr:colOff>
          <xdr:row>34</xdr:row>
          <xdr:rowOff>239372</xdr:rowOff>
        </xdr:to>
        <xdr:sp macro="" textlink="">
          <xdr:nvSpPr>
            <xdr:cNvPr id="71757" name="Check Box 77" hidden="1">
              <a:extLst>
                <a:ext uri="{63B3BB69-23CF-44E3-9099-C40C66FF867C}">
                  <a14:compatExt spid="_x0000_s717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38</xdr:row>
          <xdr:rowOff>19150</xdr:rowOff>
        </xdr:from>
        <xdr:to>
          <xdr:col>4</xdr:col>
          <xdr:colOff>627154</xdr:colOff>
          <xdr:row>38</xdr:row>
          <xdr:rowOff>239372</xdr:rowOff>
        </xdr:to>
        <xdr:sp macro="" textlink="">
          <xdr:nvSpPr>
            <xdr:cNvPr id="71758" name="Check Box 78" hidden="1">
              <a:extLst>
                <a:ext uri="{63B3BB69-23CF-44E3-9099-C40C66FF867C}">
                  <a14:compatExt spid="_x0000_s71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12</xdr:row>
          <xdr:rowOff>0</xdr:rowOff>
        </xdr:from>
        <xdr:to>
          <xdr:col>4</xdr:col>
          <xdr:colOff>627154</xdr:colOff>
          <xdr:row>12</xdr:row>
          <xdr:rowOff>220222</xdr:rowOff>
        </xdr:to>
        <xdr:sp macro="" textlink="">
          <xdr:nvSpPr>
            <xdr:cNvPr id="71759" name="Check Box 79" hidden="1">
              <a:extLst>
                <a:ext uri="{63B3BB69-23CF-44E3-9099-C40C66FF867C}">
                  <a14:compatExt spid="_x0000_s717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23</xdr:row>
          <xdr:rowOff>0</xdr:rowOff>
        </xdr:from>
        <xdr:to>
          <xdr:col>4</xdr:col>
          <xdr:colOff>627154</xdr:colOff>
          <xdr:row>23</xdr:row>
          <xdr:rowOff>220222</xdr:rowOff>
        </xdr:to>
        <xdr:sp macro="" textlink="">
          <xdr:nvSpPr>
            <xdr:cNvPr id="71760" name="Check Box 80" hidden="1">
              <a:extLst>
                <a:ext uri="{63B3BB69-23CF-44E3-9099-C40C66FF867C}">
                  <a14:compatExt spid="_x0000_s71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16</xdr:col>
      <xdr:colOff>704850</xdr:colOff>
      <xdr:row>43</xdr:row>
      <xdr:rowOff>0</xdr:rowOff>
    </xdr:to>
    <xdr:sp macro="[0]!opmLabNeo" textlink="">
      <xdr:nvSpPr>
        <xdr:cNvPr id="82" name="Rectangle 123"/>
        <xdr:cNvSpPr>
          <a:spLocks noChangeArrowheads="1"/>
        </xdr:cNvSpPr>
      </xdr:nvSpPr>
      <xdr:spPr bwMode="auto">
        <a:xfrm>
          <a:off x="257175" y="11220450"/>
          <a:ext cx="10267950" cy="15240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7</xdr:row>
      <xdr:rowOff>0</xdr:rowOff>
    </xdr:from>
    <xdr:to>
      <xdr:col>2</xdr:col>
      <xdr:colOff>152400</xdr:colOff>
      <xdr:row>7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39</xdr:row>
          <xdr:rowOff>19150</xdr:rowOff>
        </xdr:from>
        <xdr:to>
          <xdr:col>2</xdr:col>
          <xdr:colOff>627154</xdr:colOff>
          <xdr:row>39</xdr:row>
          <xdr:rowOff>239372</xdr:rowOff>
        </xdr:to>
        <xdr:sp macro="" textlink="">
          <xdr:nvSpPr>
            <xdr:cNvPr id="71793" name="Check Box 113" hidden="1">
              <a:extLst>
                <a:ext uri="{63B3BB69-23CF-44E3-9099-C40C66FF867C}">
                  <a14:compatExt spid="_x0000_s717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39</xdr:row>
          <xdr:rowOff>19150</xdr:rowOff>
        </xdr:from>
        <xdr:to>
          <xdr:col>6</xdr:col>
          <xdr:colOff>627154</xdr:colOff>
          <xdr:row>39</xdr:row>
          <xdr:rowOff>239372</xdr:rowOff>
        </xdr:to>
        <xdr:sp macro="" textlink="">
          <xdr:nvSpPr>
            <xdr:cNvPr id="71794" name="Check Box 114" hidden="1">
              <a:extLst>
                <a:ext uri="{63B3BB69-23CF-44E3-9099-C40C66FF867C}">
                  <a14:compatExt spid="_x0000_s717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39</xdr:row>
          <xdr:rowOff>19150</xdr:rowOff>
        </xdr:from>
        <xdr:to>
          <xdr:col>8</xdr:col>
          <xdr:colOff>627154</xdr:colOff>
          <xdr:row>39</xdr:row>
          <xdr:rowOff>239372</xdr:rowOff>
        </xdr:to>
        <xdr:sp macro="" textlink="">
          <xdr:nvSpPr>
            <xdr:cNvPr id="71795" name="Check Box 115" hidden="1">
              <a:extLst>
                <a:ext uri="{63B3BB69-23CF-44E3-9099-C40C66FF867C}">
                  <a14:compatExt spid="_x0000_s717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39</xdr:row>
          <xdr:rowOff>19150</xdr:rowOff>
        </xdr:from>
        <xdr:to>
          <xdr:col>16</xdr:col>
          <xdr:colOff>627154</xdr:colOff>
          <xdr:row>39</xdr:row>
          <xdr:rowOff>239372</xdr:rowOff>
        </xdr:to>
        <xdr:sp macro="" textlink="">
          <xdr:nvSpPr>
            <xdr:cNvPr id="71796" name="Check Box 116" hidden="1">
              <a:extLst>
                <a:ext uri="{63B3BB69-23CF-44E3-9099-C40C66FF867C}">
                  <a14:compatExt spid="_x0000_s71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39</xdr:row>
          <xdr:rowOff>19150</xdr:rowOff>
        </xdr:from>
        <xdr:to>
          <xdr:col>4</xdr:col>
          <xdr:colOff>627154</xdr:colOff>
          <xdr:row>39</xdr:row>
          <xdr:rowOff>239372</xdr:rowOff>
        </xdr:to>
        <xdr:sp macro="" textlink="">
          <xdr:nvSpPr>
            <xdr:cNvPr id="71797" name="Check Box 117" hidden="1">
              <a:extLst>
                <a:ext uri="{63B3BB69-23CF-44E3-9099-C40C66FF867C}">
                  <a14:compatExt spid="_x0000_s71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40</xdr:row>
          <xdr:rowOff>19150</xdr:rowOff>
        </xdr:from>
        <xdr:to>
          <xdr:col>2</xdr:col>
          <xdr:colOff>627154</xdr:colOff>
          <xdr:row>40</xdr:row>
          <xdr:rowOff>239372</xdr:rowOff>
        </xdr:to>
        <xdr:sp macro="" textlink="">
          <xdr:nvSpPr>
            <xdr:cNvPr id="71800" name="Check Box 120" hidden="1">
              <a:extLst>
                <a:ext uri="{63B3BB69-23CF-44E3-9099-C40C66FF867C}">
                  <a14:compatExt spid="_x0000_s718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40</xdr:row>
          <xdr:rowOff>19150</xdr:rowOff>
        </xdr:from>
        <xdr:to>
          <xdr:col>6</xdr:col>
          <xdr:colOff>627154</xdr:colOff>
          <xdr:row>40</xdr:row>
          <xdr:rowOff>239372</xdr:rowOff>
        </xdr:to>
        <xdr:sp macro="" textlink="">
          <xdr:nvSpPr>
            <xdr:cNvPr id="71801" name="Check Box 121" hidden="1">
              <a:extLst>
                <a:ext uri="{63B3BB69-23CF-44E3-9099-C40C66FF867C}">
                  <a14:compatExt spid="_x0000_s71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40</xdr:row>
          <xdr:rowOff>19150</xdr:rowOff>
        </xdr:from>
        <xdr:to>
          <xdr:col>8</xdr:col>
          <xdr:colOff>627154</xdr:colOff>
          <xdr:row>40</xdr:row>
          <xdr:rowOff>239372</xdr:rowOff>
        </xdr:to>
        <xdr:sp macro="" textlink="">
          <xdr:nvSpPr>
            <xdr:cNvPr id="71802" name="Check Box 122" hidden="1">
              <a:extLst>
                <a:ext uri="{63B3BB69-23CF-44E3-9099-C40C66FF867C}">
                  <a14:compatExt spid="_x0000_s71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40</xdr:row>
          <xdr:rowOff>19150</xdr:rowOff>
        </xdr:from>
        <xdr:to>
          <xdr:col>16</xdr:col>
          <xdr:colOff>627154</xdr:colOff>
          <xdr:row>40</xdr:row>
          <xdr:rowOff>239372</xdr:rowOff>
        </xdr:to>
        <xdr:sp macro="" textlink="">
          <xdr:nvSpPr>
            <xdr:cNvPr id="71803" name="Check Box 123" hidden="1">
              <a:extLst>
                <a:ext uri="{63B3BB69-23CF-44E3-9099-C40C66FF867C}">
                  <a14:compatExt spid="_x0000_s71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40</xdr:row>
          <xdr:rowOff>19150</xdr:rowOff>
        </xdr:from>
        <xdr:to>
          <xdr:col>4</xdr:col>
          <xdr:colOff>627154</xdr:colOff>
          <xdr:row>40</xdr:row>
          <xdr:rowOff>239372</xdr:rowOff>
        </xdr:to>
        <xdr:sp macro="" textlink="">
          <xdr:nvSpPr>
            <xdr:cNvPr id="71804" name="Check Box 124" hidden="1">
              <a:extLst>
                <a:ext uri="{63B3BB69-23CF-44E3-9099-C40C66FF867C}">
                  <a14:compatExt spid="_x0000_s71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15</xdr:row>
          <xdr:rowOff>0</xdr:rowOff>
        </xdr:from>
        <xdr:to>
          <xdr:col>2</xdr:col>
          <xdr:colOff>627154</xdr:colOff>
          <xdr:row>15</xdr:row>
          <xdr:rowOff>220222</xdr:rowOff>
        </xdr:to>
        <xdr:sp macro="" textlink="">
          <xdr:nvSpPr>
            <xdr:cNvPr id="71807" name="Check Box 127" hidden="1">
              <a:extLst>
                <a:ext uri="{63B3BB69-23CF-44E3-9099-C40C66FF867C}">
                  <a14:compatExt spid="_x0000_s71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15</xdr:row>
          <xdr:rowOff>0</xdr:rowOff>
        </xdr:from>
        <xdr:to>
          <xdr:col>6</xdr:col>
          <xdr:colOff>627154</xdr:colOff>
          <xdr:row>15</xdr:row>
          <xdr:rowOff>220222</xdr:rowOff>
        </xdr:to>
        <xdr:sp macro="" textlink="">
          <xdr:nvSpPr>
            <xdr:cNvPr id="71808" name="Check Box 128" hidden="1">
              <a:extLst>
                <a:ext uri="{63B3BB69-23CF-44E3-9099-C40C66FF867C}">
                  <a14:compatExt spid="_x0000_s71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15</xdr:row>
          <xdr:rowOff>0</xdr:rowOff>
        </xdr:from>
        <xdr:to>
          <xdr:col>8</xdr:col>
          <xdr:colOff>627154</xdr:colOff>
          <xdr:row>15</xdr:row>
          <xdr:rowOff>220222</xdr:rowOff>
        </xdr:to>
        <xdr:sp macro="" textlink="">
          <xdr:nvSpPr>
            <xdr:cNvPr id="71809" name="Check Box 129" hidden="1">
              <a:extLst>
                <a:ext uri="{63B3BB69-23CF-44E3-9099-C40C66FF867C}">
                  <a14:compatExt spid="_x0000_s71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15</xdr:row>
          <xdr:rowOff>0</xdr:rowOff>
        </xdr:from>
        <xdr:to>
          <xdr:col>16</xdr:col>
          <xdr:colOff>627154</xdr:colOff>
          <xdr:row>15</xdr:row>
          <xdr:rowOff>220222</xdr:rowOff>
        </xdr:to>
        <xdr:sp macro="" textlink="">
          <xdr:nvSpPr>
            <xdr:cNvPr id="71810" name="Check Box 130" hidden="1">
              <a:extLst>
                <a:ext uri="{63B3BB69-23CF-44E3-9099-C40C66FF867C}">
                  <a14:compatExt spid="_x0000_s71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15</xdr:row>
          <xdr:rowOff>0</xdr:rowOff>
        </xdr:from>
        <xdr:to>
          <xdr:col>4</xdr:col>
          <xdr:colOff>627154</xdr:colOff>
          <xdr:row>15</xdr:row>
          <xdr:rowOff>220222</xdr:rowOff>
        </xdr:to>
        <xdr:sp macro="" textlink="">
          <xdr:nvSpPr>
            <xdr:cNvPr id="71811" name="Check Box 131" hidden="1">
              <a:extLst>
                <a:ext uri="{63B3BB69-23CF-44E3-9099-C40C66FF867C}">
                  <a14:compatExt spid="_x0000_s71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17</xdr:row>
          <xdr:rowOff>0</xdr:rowOff>
        </xdr:from>
        <xdr:to>
          <xdr:col>2</xdr:col>
          <xdr:colOff>627154</xdr:colOff>
          <xdr:row>17</xdr:row>
          <xdr:rowOff>220222</xdr:rowOff>
        </xdr:to>
        <xdr:sp macro="" textlink="">
          <xdr:nvSpPr>
            <xdr:cNvPr id="71814" name="Check Box 134" hidden="1">
              <a:extLst>
                <a:ext uri="{63B3BB69-23CF-44E3-9099-C40C66FF867C}">
                  <a14:compatExt spid="_x0000_s71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17</xdr:row>
          <xdr:rowOff>0</xdr:rowOff>
        </xdr:from>
        <xdr:to>
          <xdr:col>6</xdr:col>
          <xdr:colOff>627154</xdr:colOff>
          <xdr:row>17</xdr:row>
          <xdr:rowOff>220222</xdr:rowOff>
        </xdr:to>
        <xdr:sp macro="" textlink="">
          <xdr:nvSpPr>
            <xdr:cNvPr id="71815" name="Check Box 135" hidden="1">
              <a:extLst>
                <a:ext uri="{63B3BB69-23CF-44E3-9099-C40C66FF867C}">
                  <a14:compatExt spid="_x0000_s71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17</xdr:row>
          <xdr:rowOff>0</xdr:rowOff>
        </xdr:from>
        <xdr:to>
          <xdr:col>8</xdr:col>
          <xdr:colOff>627154</xdr:colOff>
          <xdr:row>17</xdr:row>
          <xdr:rowOff>220222</xdr:rowOff>
        </xdr:to>
        <xdr:sp macro="" textlink="">
          <xdr:nvSpPr>
            <xdr:cNvPr id="71816" name="Check Box 136" hidden="1">
              <a:extLst>
                <a:ext uri="{63B3BB69-23CF-44E3-9099-C40C66FF867C}">
                  <a14:compatExt spid="_x0000_s71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17</xdr:row>
          <xdr:rowOff>0</xdr:rowOff>
        </xdr:from>
        <xdr:to>
          <xdr:col>16</xdr:col>
          <xdr:colOff>627154</xdr:colOff>
          <xdr:row>17</xdr:row>
          <xdr:rowOff>220222</xdr:rowOff>
        </xdr:to>
        <xdr:sp macro="" textlink="">
          <xdr:nvSpPr>
            <xdr:cNvPr id="71817" name="Check Box 137" hidden="1">
              <a:extLst>
                <a:ext uri="{63B3BB69-23CF-44E3-9099-C40C66FF867C}">
                  <a14:compatExt spid="_x0000_s71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17</xdr:row>
          <xdr:rowOff>0</xdr:rowOff>
        </xdr:from>
        <xdr:to>
          <xdr:col>4</xdr:col>
          <xdr:colOff>627154</xdr:colOff>
          <xdr:row>17</xdr:row>
          <xdr:rowOff>220222</xdr:rowOff>
        </xdr:to>
        <xdr:sp macro="" textlink="">
          <xdr:nvSpPr>
            <xdr:cNvPr id="71818" name="Check Box 138" hidden="1">
              <a:extLst>
                <a:ext uri="{63B3BB69-23CF-44E3-9099-C40C66FF867C}">
                  <a14:compatExt spid="_x0000_s71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21</xdr:row>
          <xdr:rowOff>0</xdr:rowOff>
        </xdr:from>
        <xdr:to>
          <xdr:col>2</xdr:col>
          <xdr:colOff>617579</xdr:colOff>
          <xdr:row>21</xdr:row>
          <xdr:rowOff>220222</xdr:rowOff>
        </xdr:to>
        <xdr:sp macro="" textlink="">
          <xdr:nvSpPr>
            <xdr:cNvPr id="71821" name="Check Box 141" hidden="1">
              <a:extLst>
                <a:ext uri="{63B3BB69-23CF-44E3-9099-C40C66FF867C}">
                  <a14:compatExt spid="_x0000_s71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21</xdr:row>
          <xdr:rowOff>0</xdr:rowOff>
        </xdr:from>
        <xdr:to>
          <xdr:col>6</xdr:col>
          <xdr:colOff>617579</xdr:colOff>
          <xdr:row>21</xdr:row>
          <xdr:rowOff>220222</xdr:rowOff>
        </xdr:to>
        <xdr:sp macro="" textlink="">
          <xdr:nvSpPr>
            <xdr:cNvPr id="71822" name="Check Box 142" hidden="1">
              <a:extLst>
                <a:ext uri="{63B3BB69-23CF-44E3-9099-C40C66FF867C}">
                  <a14:compatExt spid="_x0000_s71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21</xdr:row>
          <xdr:rowOff>0</xdr:rowOff>
        </xdr:from>
        <xdr:to>
          <xdr:col>8</xdr:col>
          <xdr:colOff>617579</xdr:colOff>
          <xdr:row>21</xdr:row>
          <xdr:rowOff>220222</xdr:rowOff>
        </xdr:to>
        <xdr:sp macro="" textlink="">
          <xdr:nvSpPr>
            <xdr:cNvPr id="71823" name="Check Box 143" hidden="1">
              <a:extLst>
                <a:ext uri="{63B3BB69-23CF-44E3-9099-C40C66FF867C}">
                  <a14:compatExt spid="_x0000_s71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21</xdr:row>
          <xdr:rowOff>0</xdr:rowOff>
        </xdr:from>
        <xdr:to>
          <xdr:col>16</xdr:col>
          <xdr:colOff>617579</xdr:colOff>
          <xdr:row>21</xdr:row>
          <xdr:rowOff>220222</xdr:rowOff>
        </xdr:to>
        <xdr:sp macro="" textlink="">
          <xdr:nvSpPr>
            <xdr:cNvPr id="71824" name="Check Box 144" hidden="1">
              <a:extLst>
                <a:ext uri="{63B3BB69-23CF-44E3-9099-C40C66FF867C}">
                  <a14:compatExt spid="_x0000_s71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21</xdr:row>
          <xdr:rowOff>0</xdr:rowOff>
        </xdr:from>
        <xdr:to>
          <xdr:col>4</xdr:col>
          <xdr:colOff>617579</xdr:colOff>
          <xdr:row>21</xdr:row>
          <xdr:rowOff>220222</xdr:rowOff>
        </xdr:to>
        <xdr:sp macro="" textlink="">
          <xdr:nvSpPr>
            <xdr:cNvPr id="71825" name="Check Box 145" hidden="1">
              <a:extLst>
                <a:ext uri="{63B3BB69-23CF-44E3-9099-C40C66FF867C}">
                  <a14:compatExt spid="_x0000_s71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28</xdr:row>
          <xdr:rowOff>0</xdr:rowOff>
        </xdr:from>
        <xdr:to>
          <xdr:col>2</xdr:col>
          <xdr:colOff>627154</xdr:colOff>
          <xdr:row>28</xdr:row>
          <xdr:rowOff>220222</xdr:rowOff>
        </xdr:to>
        <xdr:sp macro="" textlink="">
          <xdr:nvSpPr>
            <xdr:cNvPr id="71828" name="Check Box 148" hidden="1">
              <a:extLst>
                <a:ext uri="{63B3BB69-23CF-44E3-9099-C40C66FF867C}">
                  <a14:compatExt spid="_x0000_s718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28</xdr:row>
          <xdr:rowOff>0</xdr:rowOff>
        </xdr:from>
        <xdr:to>
          <xdr:col>6</xdr:col>
          <xdr:colOff>627154</xdr:colOff>
          <xdr:row>28</xdr:row>
          <xdr:rowOff>220222</xdr:rowOff>
        </xdr:to>
        <xdr:sp macro="" textlink="">
          <xdr:nvSpPr>
            <xdr:cNvPr id="71829" name="Check Box 149" hidden="1">
              <a:extLst>
                <a:ext uri="{63B3BB69-23CF-44E3-9099-C40C66FF867C}">
                  <a14:compatExt spid="_x0000_s71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28</xdr:row>
          <xdr:rowOff>0</xdr:rowOff>
        </xdr:from>
        <xdr:to>
          <xdr:col>8</xdr:col>
          <xdr:colOff>627154</xdr:colOff>
          <xdr:row>28</xdr:row>
          <xdr:rowOff>220222</xdr:rowOff>
        </xdr:to>
        <xdr:sp macro="" textlink="">
          <xdr:nvSpPr>
            <xdr:cNvPr id="71830" name="Check Box 150" hidden="1">
              <a:extLst>
                <a:ext uri="{63B3BB69-23CF-44E3-9099-C40C66FF867C}">
                  <a14:compatExt spid="_x0000_s71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28</xdr:row>
          <xdr:rowOff>0</xdr:rowOff>
        </xdr:from>
        <xdr:to>
          <xdr:col>16</xdr:col>
          <xdr:colOff>627154</xdr:colOff>
          <xdr:row>28</xdr:row>
          <xdr:rowOff>220222</xdr:rowOff>
        </xdr:to>
        <xdr:sp macro="" textlink="">
          <xdr:nvSpPr>
            <xdr:cNvPr id="71831" name="Check Box 151" hidden="1">
              <a:extLst>
                <a:ext uri="{63B3BB69-23CF-44E3-9099-C40C66FF867C}">
                  <a14:compatExt spid="_x0000_s71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28</xdr:row>
          <xdr:rowOff>0</xdr:rowOff>
        </xdr:from>
        <xdr:to>
          <xdr:col>4</xdr:col>
          <xdr:colOff>627154</xdr:colOff>
          <xdr:row>28</xdr:row>
          <xdr:rowOff>220222</xdr:rowOff>
        </xdr:to>
        <xdr:sp macro="" textlink="">
          <xdr:nvSpPr>
            <xdr:cNvPr id="71832" name="Check Box 152" hidden="1">
              <a:extLst>
                <a:ext uri="{63B3BB69-23CF-44E3-9099-C40C66FF867C}">
                  <a14:compatExt spid="_x0000_s71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29</xdr:row>
          <xdr:rowOff>0</xdr:rowOff>
        </xdr:from>
        <xdr:to>
          <xdr:col>2</xdr:col>
          <xdr:colOff>627154</xdr:colOff>
          <xdr:row>29</xdr:row>
          <xdr:rowOff>220222</xdr:rowOff>
        </xdr:to>
        <xdr:sp macro="" textlink="">
          <xdr:nvSpPr>
            <xdr:cNvPr id="71835" name="Check Box 155" hidden="1">
              <a:extLst>
                <a:ext uri="{63B3BB69-23CF-44E3-9099-C40C66FF867C}">
                  <a14:compatExt spid="_x0000_s718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29</xdr:row>
          <xdr:rowOff>0</xdr:rowOff>
        </xdr:from>
        <xdr:to>
          <xdr:col>6</xdr:col>
          <xdr:colOff>627154</xdr:colOff>
          <xdr:row>29</xdr:row>
          <xdr:rowOff>220222</xdr:rowOff>
        </xdr:to>
        <xdr:sp macro="" textlink="">
          <xdr:nvSpPr>
            <xdr:cNvPr id="71836" name="Check Box 156" hidden="1">
              <a:extLst>
                <a:ext uri="{63B3BB69-23CF-44E3-9099-C40C66FF867C}">
                  <a14:compatExt spid="_x0000_s718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29</xdr:row>
          <xdr:rowOff>0</xdr:rowOff>
        </xdr:from>
        <xdr:to>
          <xdr:col>8</xdr:col>
          <xdr:colOff>627154</xdr:colOff>
          <xdr:row>29</xdr:row>
          <xdr:rowOff>220222</xdr:rowOff>
        </xdr:to>
        <xdr:sp macro="" textlink="">
          <xdr:nvSpPr>
            <xdr:cNvPr id="71837" name="Check Box 157" hidden="1">
              <a:extLst>
                <a:ext uri="{63B3BB69-23CF-44E3-9099-C40C66FF867C}">
                  <a14:compatExt spid="_x0000_s718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29</xdr:row>
          <xdr:rowOff>0</xdr:rowOff>
        </xdr:from>
        <xdr:to>
          <xdr:col>16</xdr:col>
          <xdr:colOff>627154</xdr:colOff>
          <xdr:row>29</xdr:row>
          <xdr:rowOff>220222</xdr:rowOff>
        </xdr:to>
        <xdr:sp macro="" textlink="">
          <xdr:nvSpPr>
            <xdr:cNvPr id="71838" name="Check Box 158" hidden="1">
              <a:extLst>
                <a:ext uri="{63B3BB69-23CF-44E3-9099-C40C66FF867C}">
                  <a14:compatExt spid="_x0000_s718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29</xdr:row>
          <xdr:rowOff>0</xdr:rowOff>
        </xdr:from>
        <xdr:to>
          <xdr:col>4</xdr:col>
          <xdr:colOff>627154</xdr:colOff>
          <xdr:row>29</xdr:row>
          <xdr:rowOff>220222</xdr:rowOff>
        </xdr:to>
        <xdr:sp macro="" textlink="">
          <xdr:nvSpPr>
            <xdr:cNvPr id="71839" name="Check Box 159" hidden="1">
              <a:extLst>
                <a:ext uri="{63B3BB69-23CF-44E3-9099-C40C66FF867C}">
                  <a14:compatExt spid="_x0000_s718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30</xdr:row>
          <xdr:rowOff>0</xdr:rowOff>
        </xdr:from>
        <xdr:to>
          <xdr:col>2</xdr:col>
          <xdr:colOff>627154</xdr:colOff>
          <xdr:row>30</xdr:row>
          <xdr:rowOff>220222</xdr:rowOff>
        </xdr:to>
        <xdr:sp macro="" textlink="">
          <xdr:nvSpPr>
            <xdr:cNvPr id="71842" name="Check Box 162" hidden="1">
              <a:extLst>
                <a:ext uri="{63B3BB69-23CF-44E3-9099-C40C66FF867C}">
                  <a14:compatExt spid="_x0000_s718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30</xdr:row>
          <xdr:rowOff>0</xdr:rowOff>
        </xdr:from>
        <xdr:to>
          <xdr:col>6</xdr:col>
          <xdr:colOff>627154</xdr:colOff>
          <xdr:row>30</xdr:row>
          <xdr:rowOff>220222</xdr:rowOff>
        </xdr:to>
        <xdr:sp macro="" textlink="">
          <xdr:nvSpPr>
            <xdr:cNvPr id="71843" name="Check Box 163" hidden="1">
              <a:extLst>
                <a:ext uri="{63B3BB69-23CF-44E3-9099-C40C66FF867C}">
                  <a14:compatExt spid="_x0000_s71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30</xdr:row>
          <xdr:rowOff>0</xdr:rowOff>
        </xdr:from>
        <xdr:to>
          <xdr:col>8</xdr:col>
          <xdr:colOff>627154</xdr:colOff>
          <xdr:row>30</xdr:row>
          <xdr:rowOff>220222</xdr:rowOff>
        </xdr:to>
        <xdr:sp macro="" textlink="">
          <xdr:nvSpPr>
            <xdr:cNvPr id="71844" name="Check Box 164" hidden="1">
              <a:extLst>
                <a:ext uri="{63B3BB69-23CF-44E3-9099-C40C66FF867C}">
                  <a14:compatExt spid="_x0000_s71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30</xdr:row>
          <xdr:rowOff>0</xdr:rowOff>
        </xdr:from>
        <xdr:to>
          <xdr:col>16</xdr:col>
          <xdr:colOff>627154</xdr:colOff>
          <xdr:row>30</xdr:row>
          <xdr:rowOff>220222</xdr:rowOff>
        </xdr:to>
        <xdr:sp macro="" textlink="">
          <xdr:nvSpPr>
            <xdr:cNvPr id="71845" name="Check Box 165" hidden="1">
              <a:extLst>
                <a:ext uri="{63B3BB69-23CF-44E3-9099-C40C66FF867C}">
                  <a14:compatExt spid="_x0000_s71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30</xdr:row>
          <xdr:rowOff>0</xdr:rowOff>
        </xdr:from>
        <xdr:to>
          <xdr:col>4</xdr:col>
          <xdr:colOff>627154</xdr:colOff>
          <xdr:row>30</xdr:row>
          <xdr:rowOff>220222</xdr:rowOff>
        </xdr:to>
        <xdr:sp macro="" textlink="">
          <xdr:nvSpPr>
            <xdr:cNvPr id="71846" name="Check Box 166" hidden="1">
              <a:extLst>
                <a:ext uri="{63B3BB69-23CF-44E3-9099-C40C66FF867C}">
                  <a14:compatExt spid="_x0000_s718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31</xdr:row>
          <xdr:rowOff>0</xdr:rowOff>
        </xdr:from>
        <xdr:to>
          <xdr:col>2</xdr:col>
          <xdr:colOff>627154</xdr:colOff>
          <xdr:row>31</xdr:row>
          <xdr:rowOff>220222</xdr:rowOff>
        </xdr:to>
        <xdr:sp macro="" textlink="">
          <xdr:nvSpPr>
            <xdr:cNvPr id="71849" name="Check Box 169" hidden="1">
              <a:extLst>
                <a:ext uri="{63B3BB69-23CF-44E3-9099-C40C66FF867C}">
                  <a14:compatExt spid="_x0000_s71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31</xdr:row>
          <xdr:rowOff>0</xdr:rowOff>
        </xdr:from>
        <xdr:to>
          <xdr:col>6</xdr:col>
          <xdr:colOff>627154</xdr:colOff>
          <xdr:row>31</xdr:row>
          <xdr:rowOff>220222</xdr:rowOff>
        </xdr:to>
        <xdr:sp macro="" textlink="">
          <xdr:nvSpPr>
            <xdr:cNvPr id="71850" name="Check Box 170" hidden="1">
              <a:extLst>
                <a:ext uri="{63B3BB69-23CF-44E3-9099-C40C66FF867C}">
                  <a14:compatExt spid="_x0000_s71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31</xdr:row>
          <xdr:rowOff>0</xdr:rowOff>
        </xdr:from>
        <xdr:to>
          <xdr:col>8</xdr:col>
          <xdr:colOff>627154</xdr:colOff>
          <xdr:row>31</xdr:row>
          <xdr:rowOff>220222</xdr:rowOff>
        </xdr:to>
        <xdr:sp macro="" textlink="">
          <xdr:nvSpPr>
            <xdr:cNvPr id="71851" name="Check Box 171" hidden="1">
              <a:extLst>
                <a:ext uri="{63B3BB69-23CF-44E3-9099-C40C66FF867C}">
                  <a14:compatExt spid="_x0000_s71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31</xdr:row>
          <xdr:rowOff>0</xdr:rowOff>
        </xdr:from>
        <xdr:to>
          <xdr:col>16</xdr:col>
          <xdr:colOff>627154</xdr:colOff>
          <xdr:row>31</xdr:row>
          <xdr:rowOff>220222</xdr:rowOff>
        </xdr:to>
        <xdr:sp macro="" textlink="">
          <xdr:nvSpPr>
            <xdr:cNvPr id="71852" name="Check Box 172" hidden="1">
              <a:extLst>
                <a:ext uri="{63B3BB69-23CF-44E3-9099-C40C66FF867C}">
                  <a14:compatExt spid="_x0000_s71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31</xdr:row>
          <xdr:rowOff>0</xdr:rowOff>
        </xdr:from>
        <xdr:to>
          <xdr:col>4</xdr:col>
          <xdr:colOff>627154</xdr:colOff>
          <xdr:row>31</xdr:row>
          <xdr:rowOff>220222</xdr:rowOff>
        </xdr:to>
        <xdr:sp macro="" textlink="">
          <xdr:nvSpPr>
            <xdr:cNvPr id="71853" name="Check Box 173" hidden="1">
              <a:extLst>
                <a:ext uri="{63B3BB69-23CF-44E3-9099-C40C66FF867C}">
                  <a14:compatExt spid="_x0000_s718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32</xdr:row>
          <xdr:rowOff>0</xdr:rowOff>
        </xdr:from>
        <xdr:to>
          <xdr:col>2</xdr:col>
          <xdr:colOff>627154</xdr:colOff>
          <xdr:row>32</xdr:row>
          <xdr:rowOff>220222</xdr:rowOff>
        </xdr:to>
        <xdr:sp macro="" textlink="">
          <xdr:nvSpPr>
            <xdr:cNvPr id="71856" name="Check Box 176" hidden="1">
              <a:extLst>
                <a:ext uri="{63B3BB69-23CF-44E3-9099-C40C66FF867C}">
                  <a14:compatExt spid="_x0000_s718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32</xdr:row>
          <xdr:rowOff>0</xdr:rowOff>
        </xdr:from>
        <xdr:to>
          <xdr:col>6</xdr:col>
          <xdr:colOff>627154</xdr:colOff>
          <xdr:row>32</xdr:row>
          <xdr:rowOff>220222</xdr:rowOff>
        </xdr:to>
        <xdr:sp macro="" textlink="">
          <xdr:nvSpPr>
            <xdr:cNvPr id="71857" name="Check Box 177" hidden="1">
              <a:extLst>
                <a:ext uri="{63B3BB69-23CF-44E3-9099-C40C66FF867C}">
                  <a14:compatExt spid="_x0000_s71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32</xdr:row>
          <xdr:rowOff>0</xdr:rowOff>
        </xdr:from>
        <xdr:to>
          <xdr:col>8</xdr:col>
          <xdr:colOff>627154</xdr:colOff>
          <xdr:row>32</xdr:row>
          <xdr:rowOff>220222</xdr:rowOff>
        </xdr:to>
        <xdr:sp macro="" textlink="">
          <xdr:nvSpPr>
            <xdr:cNvPr id="71858" name="Check Box 178" hidden="1">
              <a:extLst>
                <a:ext uri="{63B3BB69-23CF-44E3-9099-C40C66FF867C}">
                  <a14:compatExt spid="_x0000_s718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32</xdr:row>
          <xdr:rowOff>0</xdr:rowOff>
        </xdr:from>
        <xdr:to>
          <xdr:col>16</xdr:col>
          <xdr:colOff>627154</xdr:colOff>
          <xdr:row>32</xdr:row>
          <xdr:rowOff>220222</xdr:rowOff>
        </xdr:to>
        <xdr:sp macro="" textlink="">
          <xdr:nvSpPr>
            <xdr:cNvPr id="71859" name="Check Box 179" hidden="1">
              <a:extLst>
                <a:ext uri="{63B3BB69-23CF-44E3-9099-C40C66FF867C}">
                  <a14:compatExt spid="_x0000_s71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32</xdr:row>
          <xdr:rowOff>0</xdr:rowOff>
        </xdr:from>
        <xdr:to>
          <xdr:col>4</xdr:col>
          <xdr:colOff>627154</xdr:colOff>
          <xdr:row>32</xdr:row>
          <xdr:rowOff>220222</xdr:rowOff>
        </xdr:to>
        <xdr:sp macro="" textlink="">
          <xdr:nvSpPr>
            <xdr:cNvPr id="71860" name="Check Box 180" hidden="1">
              <a:extLst>
                <a:ext uri="{63B3BB69-23CF-44E3-9099-C40C66FF867C}">
                  <a14:compatExt spid="_x0000_s718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35</xdr:row>
          <xdr:rowOff>0</xdr:rowOff>
        </xdr:from>
        <xdr:to>
          <xdr:col>2</xdr:col>
          <xdr:colOff>627154</xdr:colOff>
          <xdr:row>35</xdr:row>
          <xdr:rowOff>229797</xdr:rowOff>
        </xdr:to>
        <xdr:sp macro="" textlink="">
          <xdr:nvSpPr>
            <xdr:cNvPr id="71863" name="Check Box 183" hidden="1">
              <a:extLst>
                <a:ext uri="{63B3BB69-23CF-44E3-9099-C40C66FF867C}">
                  <a14:compatExt spid="_x0000_s71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35</xdr:row>
          <xdr:rowOff>0</xdr:rowOff>
        </xdr:from>
        <xdr:to>
          <xdr:col>6</xdr:col>
          <xdr:colOff>627154</xdr:colOff>
          <xdr:row>35</xdr:row>
          <xdr:rowOff>229797</xdr:rowOff>
        </xdr:to>
        <xdr:sp macro="" textlink="">
          <xdr:nvSpPr>
            <xdr:cNvPr id="71864" name="Check Box 184" hidden="1">
              <a:extLst>
                <a:ext uri="{63B3BB69-23CF-44E3-9099-C40C66FF867C}">
                  <a14:compatExt spid="_x0000_s718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35</xdr:row>
          <xdr:rowOff>0</xdr:rowOff>
        </xdr:from>
        <xdr:to>
          <xdr:col>8</xdr:col>
          <xdr:colOff>627154</xdr:colOff>
          <xdr:row>35</xdr:row>
          <xdr:rowOff>229797</xdr:rowOff>
        </xdr:to>
        <xdr:sp macro="" textlink="">
          <xdr:nvSpPr>
            <xdr:cNvPr id="71865" name="Check Box 185" hidden="1">
              <a:extLst>
                <a:ext uri="{63B3BB69-23CF-44E3-9099-C40C66FF867C}">
                  <a14:compatExt spid="_x0000_s71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35</xdr:row>
          <xdr:rowOff>0</xdr:rowOff>
        </xdr:from>
        <xdr:to>
          <xdr:col>16</xdr:col>
          <xdr:colOff>627154</xdr:colOff>
          <xdr:row>35</xdr:row>
          <xdr:rowOff>229797</xdr:rowOff>
        </xdr:to>
        <xdr:sp macro="" textlink="">
          <xdr:nvSpPr>
            <xdr:cNvPr id="71866" name="Check Box 186" hidden="1">
              <a:extLst>
                <a:ext uri="{63B3BB69-23CF-44E3-9099-C40C66FF867C}">
                  <a14:compatExt spid="_x0000_s71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35</xdr:row>
          <xdr:rowOff>0</xdr:rowOff>
        </xdr:from>
        <xdr:to>
          <xdr:col>4</xdr:col>
          <xdr:colOff>627154</xdr:colOff>
          <xdr:row>35</xdr:row>
          <xdr:rowOff>229797</xdr:rowOff>
        </xdr:to>
        <xdr:sp macro="" textlink="">
          <xdr:nvSpPr>
            <xdr:cNvPr id="71867" name="Check Box 187" hidden="1">
              <a:extLst>
                <a:ext uri="{63B3BB69-23CF-44E3-9099-C40C66FF867C}">
                  <a14:compatExt spid="_x0000_s718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24</xdr:row>
          <xdr:rowOff>19150</xdr:rowOff>
        </xdr:from>
        <xdr:to>
          <xdr:col>2</xdr:col>
          <xdr:colOff>627154</xdr:colOff>
          <xdr:row>24</xdr:row>
          <xdr:rowOff>239372</xdr:rowOff>
        </xdr:to>
        <xdr:sp macro="" textlink="">
          <xdr:nvSpPr>
            <xdr:cNvPr id="71870" name="Check Box 190" descr="Fosfaat" hidden="1">
              <a:extLst>
                <a:ext uri="{63B3BB69-23CF-44E3-9099-C40C66FF867C}">
                  <a14:compatExt spid="_x0000_s718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24</xdr:row>
          <xdr:rowOff>19150</xdr:rowOff>
        </xdr:from>
        <xdr:to>
          <xdr:col>6</xdr:col>
          <xdr:colOff>627154</xdr:colOff>
          <xdr:row>24</xdr:row>
          <xdr:rowOff>239372</xdr:rowOff>
        </xdr:to>
        <xdr:sp macro="" textlink="">
          <xdr:nvSpPr>
            <xdr:cNvPr id="71871" name="Check Box 191" descr="Fosfaat" hidden="1">
              <a:extLst>
                <a:ext uri="{63B3BB69-23CF-44E3-9099-C40C66FF867C}">
                  <a14:compatExt spid="_x0000_s718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24</xdr:row>
          <xdr:rowOff>19150</xdr:rowOff>
        </xdr:from>
        <xdr:to>
          <xdr:col>8</xdr:col>
          <xdr:colOff>627154</xdr:colOff>
          <xdr:row>24</xdr:row>
          <xdr:rowOff>239372</xdr:rowOff>
        </xdr:to>
        <xdr:sp macro="" textlink="">
          <xdr:nvSpPr>
            <xdr:cNvPr id="71872" name="Check Box 192" descr="Fosfaat" hidden="1">
              <a:extLst>
                <a:ext uri="{63B3BB69-23CF-44E3-9099-C40C66FF867C}">
                  <a14:compatExt spid="_x0000_s718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24</xdr:row>
          <xdr:rowOff>19150</xdr:rowOff>
        </xdr:from>
        <xdr:to>
          <xdr:col>16</xdr:col>
          <xdr:colOff>627154</xdr:colOff>
          <xdr:row>24</xdr:row>
          <xdr:rowOff>239372</xdr:rowOff>
        </xdr:to>
        <xdr:sp macro="" textlink="">
          <xdr:nvSpPr>
            <xdr:cNvPr id="71873" name="Check Box 193" descr="Fosfaat" hidden="1">
              <a:extLst>
                <a:ext uri="{63B3BB69-23CF-44E3-9099-C40C66FF867C}">
                  <a14:compatExt spid="_x0000_s71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24</xdr:row>
          <xdr:rowOff>19150</xdr:rowOff>
        </xdr:from>
        <xdr:to>
          <xdr:col>4</xdr:col>
          <xdr:colOff>627154</xdr:colOff>
          <xdr:row>24</xdr:row>
          <xdr:rowOff>239372</xdr:rowOff>
        </xdr:to>
        <xdr:sp macro="" textlink="">
          <xdr:nvSpPr>
            <xdr:cNvPr id="71874" name="Check Box 194" descr="Fosfaat" hidden="1">
              <a:extLst>
                <a:ext uri="{63B3BB69-23CF-44E3-9099-C40C66FF867C}">
                  <a14:compatExt spid="_x0000_s71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10</xdr:row>
          <xdr:rowOff>0</xdr:rowOff>
        </xdr:from>
        <xdr:to>
          <xdr:col>10</xdr:col>
          <xdr:colOff>627154</xdr:colOff>
          <xdr:row>10</xdr:row>
          <xdr:rowOff>220222</xdr:rowOff>
        </xdr:to>
        <xdr:sp macro="" textlink="">
          <xdr:nvSpPr>
            <xdr:cNvPr id="71877" name="Check Box 197" hidden="1">
              <a:extLst>
                <a:ext uri="{63B3BB69-23CF-44E3-9099-C40C66FF867C}">
                  <a14:compatExt spid="_x0000_s718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11</xdr:row>
          <xdr:rowOff>0</xdr:rowOff>
        </xdr:from>
        <xdr:to>
          <xdr:col>10</xdr:col>
          <xdr:colOff>627154</xdr:colOff>
          <xdr:row>11</xdr:row>
          <xdr:rowOff>220222</xdr:rowOff>
        </xdr:to>
        <xdr:sp macro="" textlink="">
          <xdr:nvSpPr>
            <xdr:cNvPr id="71878" name="Check Box 198" hidden="1">
              <a:extLst>
                <a:ext uri="{63B3BB69-23CF-44E3-9099-C40C66FF867C}">
                  <a14:compatExt spid="_x0000_s718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13</xdr:row>
          <xdr:rowOff>0</xdr:rowOff>
        </xdr:from>
        <xdr:to>
          <xdr:col>10</xdr:col>
          <xdr:colOff>627154</xdr:colOff>
          <xdr:row>13</xdr:row>
          <xdr:rowOff>220222</xdr:rowOff>
        </xdr:to>
        <xdr:sp macro="" textlink="">
          <xdr:nvSpPr>
            <xdr:cNvPr id="71879" name="Check Box 199" hidden="1">
              <a:extLst>
                <a:ext uri="{63B3BB69-23CF-44E3-9099-C40C66FF867C}">
                  <a14:compatExt spid="_x0000_s718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14</xdr:row>
          <xdr:rowOff>0</xdr:rowOff>
        </xdr:from>
        <xdr:to>
          <xdr:col>10</xdr:col>
          <xdr:colOff>627154</xdr:colOff>
          <xdr:row>14</xdr:row>
          <xdr:rowOff>220222</xdr:rowOff>
        </xdr:to>
        <xdr:sp macro="" textlink="">
          <xdr:nvSpPr>
            <xdr:cNvPr id="71880" name="Check Box 200" hidden="1">
              <a:extLst>
                <a:ext uri="{63B3BB69-23CF-44E3-9099-C40C66FF867C}">
                  <a14:compatExt spid="_x0000_s718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38299</xdr:colOff>
          <xdr:row>20</xdr:row>
          <xdr:rowOff>0</xdr:rowOff>
        </xdr:from>
        <xdr:to>
          <xdr:col>10</xdr:col>
          <xdr:colOff>617579</xdr:colOff>
          <xdr:row>20</xdr:row>
          <xdr:rowOff>220222</xdr:rowOff>
        </xdr:to>
        <xdr:sp macro="" textlink="">
          <xdr:nvSpPr>
            <xdr:cNvPr id="71881" name="Check Box 201" hidden="1">
              <a:extLst>
                <a:ext uri="{63B3BB69-23CF-44E3-9099-C40C66FF867C}">
                  <a14:compatExt spid="_x0000_s71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19</xdr:row>
          <xdr:rowOff>0</xdr:rowOff>
        </xdr:from>
        <xdr:to>
          <xdr:col>10</xdr:col>
          <xdr:colOff>627154</xdr:colOff>
          <xdr:row>19</xdr:row>
          <xdr:rowOff>220222</xdr:rowOff>
        </xdr:to>
        <xdr:sp macro="" textlink="">
          <xdr:nvSpPr>
            <xdr:cNvPr id="71882" name="Check Box 202" hidden="1">
              <a:extLst>
                <a:ext uri="{63B3BB69-23CF-44E3-9099-C40C66FF867C}">
                  <a14:compatExt spid="_x0000_s718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36</xdr:row>
          <xdr:rowOff>0</xdr:rowOff>
        </xdr:from>
        <xdr:to>
          <xdr:col>10</xdr:col>
          <xdr:colOff>627154</xdr:colOff>
          <xdr:row>36</xdr:row>
          <xdr:rowOff>229797</xdr:rowOff>
        </xdr:to>
        <xdr:sp macro="" textlink="">
          <xdr:nvSpPr>
            <xdr:cNvPr id="71883" name="Check Box 203" hidden="1">
              <a:extLst>
                <a:ext uri="{63B3BB69-23CF-44E3-9099-C40C66FF867C}">
                  <a14:compatExt spid="_x0000_s718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22</xdr:row>
          <xdr:rowOff>0</xdr:rowOff>
        </xdr:from>
        <xdr:to>
          <xdr:col>10</xdr:col>
          <xdr:colOff>627154</xdr:colOff>
          <xdr:row>22</xdr:row>
          <xdr:rowOff>220222</xdr:rowOff>
        </xdr:to>
        <xdr:sp macro="" textlink="">
          <xdr:nvSpPr>
            <xdr:cNvPr id="71884" name="Check Box 204" hidden="1">
              <a:extLst>
                <a:ext uri="{63B3BB69-23CF-44E3-9099-C40C66FF867C}">
                  <a14:compatExt spid="_x0000_s718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25</xdr:row>
          <xdr:rowOff>0</xdr:rowOff>
        </xdr:from>
        <xdr:to>
          <xdr:col>10</xdr:col>
          <xdr:colOff>627154</xdr:colOff>
          <xdr:row>25</xdr:row>
          <xdr:rowOff>220222</xdr:rowOff>
        </xdr:to>
        <xdr:sp macro="" textlink="">
          <xdr:nvSpPr>
            <xdr:cNvPr id="71885" name="Check Box 205" hidden="1">
              <a:extLst>
                <a:ext uri="{63B3BB69-23CF-44E3-9099-C40C66FF867C}">
                  <a14:compatExt spid="_x0000_s718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26</xdr:row>
          <xdr:rowOff>0</xdr:rowOff>
        </xdr:from>
        <xdr:to>
          <xdr:col>10</xdr:col>
          <xdr:colOff>627154</xdr:colOff>
          <xdr:row>26</xdr:row>
          <xdr:rowOff>220222</xdr:rowOff>
        </xdr:to>
        <xdr:sp macro="" textlink="">
          <xdr:nvSpPr>
            <xdr:cNvPr id="71886" name="Check Box 206" hidden="1">
              <a:extLst>
                <a:ext uri="{63B3BB69-23CF-44E3-9099-C40C66FF867C}">
                  <a14:compatExt spid="_x0000_s718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27</xdr:row>
          <xdr:rowOff>0</xdr:rowOff>
        </xdr:from>
        <xdr:to>
          <xdr:col>10</xdr:col>
          <xdr:colOff>627154</xdr:colOff>
          <xdr:row>27</xdr:row>
          <xdr:rowOff>220222</xdr:rowOff>
        </xdr:to>
        <xdr:sp macro="" textlink="">
          <xdr:nvSpPr>
            <xdr:cNvPr id="71887" name="Check Box 207" hidden="1">
              <a:extLst>
                <a:ext uri="{63B3BB69-23CF-44E3-9099-C40C66FF867C}">
                  <a14:compatExt spid="_x0000_s71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38299</xdr:colOff>
          <xdr:row>18</xdr:row>
          <xdr:rowOff>0</xdr:rowOff>
        </xdr:from>
        <xdr:to>
          <xdr:col>10</xdr:col>
          <xdr:colOff>617579</xdr:colOff>
          <xdr:row>18</xdr:row>
          <xdr:rowOff>220222</xdr:rowOff>
        </xdr:to>
        <xdr:sp macro="" textlink="">
          <xdr:nvSpPr>
            <xdr:cNvPr id="71888" name="Check Box 208" hidden="1">
              <a:extLst>
                <a:ext uri="{63B3BB69-23CF-44E3-9099-C40C66FF867C}">
                  <a14:compatExt spid="_x0000_s718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34</xdr:row>
          <xdr:rowOff>19150</xdr:rowOff>
        </xdr:from>
        <xdr:to>
          <xdr:col>10</xdr:col>
          <xdr:colOff>627154</xdr:colOff>
          <xdr:row>34</xdr:row>
          <xdr:rowOff>239372</xdr:rowOff>
        </xdr:to>
        <xdr:sp macro="" textlink="">
          <xdr:nvSpPr>
            <xdr:cNvPr id="71889" name="Check Box 209" hidden="1">
              <a:extLst>
                <a:ext uri="{63B3BB69-23CF-44E3-9099-C40C66FF867C}">
                  <a14:compatExt spid="_x0000_s71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10</xdr:row>
          <xdr:rowOff>0</xdr:rowOff>
        </xdr:from>
        <xdr:to>
          <xdr:col>12</xdr:col>
          <xdr:colOff>627154</xdr:colOff>
          <xdr:row>10</xdr:row>
          <xdr:rowOff>220222</xdr:rowOff>
        </xdr:to>
        <xdr:sp macro="" textlink="">
          <xdr:nvSpPr>
            <xdr:cNvPr id="71890" name="Check Box 210" hidden="1">
              <a:extLst>
                <a:ext uri="{63B3BB69-23CF-44E3-9099-C40C66FF867C}">
                  <a14:compatExt spid="_x0000_s718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11</xdr:row>
          <xdr:rowOff>0</xdr:rowOff>
        </xdr:from>
        <xdr:to>
          <xdr:col>12</xdr:col>
          <xdr:colOff>627154</xdr:colOff>
          <xdr:row>11</xdr:row>
          <xdr:rowOff>220222</xdr:rowOff>
        </xdr:to>
        <xdr:sp macro="" textlink="">
          <xdr:nvSpPr>
            <xdr:cNvPr id="71891" name="Check Box 211" hidden="1">
              <a:extLst>
                <a:ext uri="{63B3BB69-23CF-44E3-9099-C40C66FF867C}">
                  <a14:compatExt spid="_x0000_s718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13</xdr:row>
          <xdr:rowOff>0</xdr:rowOff>
        </xdr:from>
        <xdr:to>
          <xdr:col>12</xdr:col>
          <xdr:colOff>627154</xdr:colOff>
          <xdr:row>13</xdr:row>
          <xdr:rowOff>220222</xdr:rowOff>
        </xdr:to>
        <xdr:sp macro="" textlink="">
          <xdr:nvSpPr>
            <xdr:cNvPr id="71892" name="Check Box 212" hidden="1">
              <a:extLst>
                <a:ext uri="{63B3BB69-23CF-44E3-9099-C40C66FF867C}">
                  <a14:compatExt spid="_x0000_s718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14</xdr:row>
          <xdr:rowOff>0</xdr:rowOff>
        </xdr:from>
        <xdr:to>
          <xdr:col>12</xdr:col>
          <xdr:colOff>627154</xdr:colOff>
          <xdr:row>14</xdr:row>
          <xdr:rowOff>220222</xdr:rowOff>
        </xdr:to>
        <xdr:sp macro="" textlink="">
          <xdr:nvSpPr>
            <xdr:cNvPr id="71893" name="Check Box 213" hidden="1">
              <a:extLst>
                <a:ext uri="{63B3BB69-23CF-44E3-9099-C40C66FF867C}">
                  <a14:compatExt spid="_x0000_s718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20</xdr:row>
          <xdr:rowOff>0</xdr:rowOff>
        </xdr:from>
        <xdr:to>
          <xdr:col>12</xdr:col>
          <xdr:colOff>617579</xdr:colOff>
          <xdr:row>20</xdr:row>
          <xdr:rowOff>220222</xdr:rowOff>
        </xdr:to>
        <xdr:sp macro="" textlink="">
          <xdr:nvSpPr>
            <xdr:cNvPr id="71894" name="Check Box 214" hidden="1">
              <a:extLst>
                <a:ext uri="{63B3BB69-23CF-44E3-9099-C40C66FF867C}">
                  <a14:compatExt spid="_x0000_s718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19</xdr:row>
          <xdr:rowOff>0</xdr:rowOff>
        </xdr:from>
        <xdr:to>
          <xdr:col>12</xdr:col>
          <xdr:colOff>627154</xdr:colOff>
          <xdr:row>19</xdr:row>
          <xdr:rowOff>220222</xdr:rowOff>
        </xdr:to>
        <xdr:sp macro="" textlink="">
          <xdr:nvSpPr>
            <xdr:cNvPr id="71895" name="Check Box 215" hidden="1">
              <a:extLst>
                <a:ext uri="{63B3BB69-23CF-44E3-9099-C40C66FF867C}">
                  <a14:compatExt spid="_x0000_s718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36</xdr:row>
          <xdr:rowOff>0</xdr:rowOff>
        </xdr:from>
        <xdr:to>
          <xdr:col>12</xdr:col>
          <xdr:colOff>627154</xdr:colOff>
          <xdr:row>36</xdr:row>
          <xdr:rowOff>229797</xdr:rowOff>
        </xdr:to>
        <xdr:sp macro="" textlink="">
          <xdr:nvSpPr>
            <xdr:cNvPr id="71896" name="Check Box 216" hidden="1">
              <a:extLst>
                <a:ext uri="{63B3BB69-23CF-44E3-9099-C40C66FF867C}">
                  <a14:compatExt spid="_x0000_s718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22</xdr:row>
          <xdr:rowOff>0</xdr:rowOff>
        </xdr:from>
        <xdr:to>
          <xdr:col>12</xdr:col>
          <xdr:colOff>627154</xdr:colOff>
          <xdr:row>22</xdr:row>
          <xdr:rowOff>220222</xdr:rowOff>
        </xdr:to>
        <xdr:sp macro="" textlink="">
          <xdr:nvSpPr>
            <xdr:cNvPr id="71897" name="Check Box 217" hidden="1">
              <a:extLst>
                <a:ext uri="{63B3BB69-23CF-44E3-9099-C40C66FF867C}">
                  <a14:compatExt spid="_x0000_s71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25</xdr:row>
          <xdr:rowOff>0</xdr:rowOff>
        </xdr:from>
        <xdr:to>
          <xdr:col>12</xdr:col>
          <xdr:colOff>627154</xdr:colOff>
          <xdr:row>25</xdr:row>
          <xdr:rowOff>220222</xdr:rowOff>
        </xdr:to>
        <xdr:sp macro="" textlink="">
          <xdr:nvSpPr>
            <xdr:cNvPr id="71898" name="Check Box 218" hidden="1">
              <a:extLst>
                <a:ext uri="{63B3BB69-23CF-44E3-9099-C40C66FF867C}">
                  <a14:compatExt spid="_x0000_s718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26</xdr:row>
          <xdr:rowOff>0</xdr:rowOff>
        </xdr:from>
        <xdr:to>
          <xdr:col>12</xdr:col>
          <xdr:colOff>627154</xdr:colOff>
          <xdr:row>26</xdr:row>
          <xdr:rowOff>220222</xdr:rowOff>
        </xdr:to>
        <xdr:sp macro="" textlink="">
          <xdr:nvSpPr>
            <xdr:cNvPr id="71899" name="Check Box 219" hidden="1">
              <a:extLst>
                <a:ext uri="{63B3BB69-23CF-44E3-9099-C40C66FF867C}">
                  <a14:compatExt spid="_x0000_s718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27</xdr:row>
          <xdr:rowOff>0</xdr:rowOff>
        </xdr:from>
        <xdr:to>
          <xdr:col>12</xdr:col>
          <xdr:colOff>627154</xdr:colOff>
          <xdr:row>27</xdr:row>
          <xdr:rowOff>220222</xdr:rowOff>
        </xdr:to>
        <xdr:sp macro="" textlink="">
          <xdr:nvSpPr>
            <xdr:cNvPr id="71900" name="Check Box 220" hidden="1">
              <a:extLst>
                <a:ext uri="{63B3BB69-23CF-44E3-9099-C40C66FF867C}">
                  <a14:compatExt spid="_x0000_s719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18</xdr:row>
          <xdr:rowOff>0</xdr:rowOff>
        </xdr:from>
        <xdr:to>
          <xdr:col>12</xdr:col>
          <xdr:colOff>617579</xdr:colOff>
          <xdr:row>18</xdr:row>
          <xdr:rowOff>220222</xdr:rowOff>
        </xdr:to>
        <xdr:sp macro="" textlink="">
          <xdr:nvSpPr>
            <xdr:cNvPr id="71901" name="Check Box 221" hidden="1">
              <a:extLst>
                <a:ext uri="{63B3BB69-23CF-44E3-9099-C40C66FF867C}">
                  <a14:compatExt spid="_x0000_s719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34</xdr:row>
          <xdr:rowOff>19150</xdr:rowOff>
        </xdr:from>
        <xdr:to>
          <xdr:col>12</xdr:col>
          <xdr:colOff>627154</xdr:colOff>
          <xdr:row>34</xdr:row>
          <xdr:rowOff>239372</xdr:rowOff>
        </xdr:to>
        <xdr:sp macro="" textlink="">
          <xdr:nvSpPr>
            <xdr:cNvPr id="71902" name="Check Box 222" hidden="1">
              <a:extLst>
                <a:ext uri="{63B3BB69-23CF-44E3-9099-C40C66FF867C}">
                  <a14:compatExt spid="_x0000_s719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38</xdr:row>
          <xdr:rowOff>19150</xdr:rowOff>
        </xdr:from>
        <xdr:to>
          <xdr:col>10</xdr:col>
          <xdr:colOff>627154</xdr:colOff>
          <xdr:row>38</xdr:row>
          <xdr:rowOff>239372</xdr:rowOff>
        </xdr:to>
        <xdr:sp macro="" textlink="">
          <xdr:nvSpPr>
            <xdr:cNvPr id="71903" name="Check Box 223" hidden="1">
              <a:extLst>
                <a:ext uri="{63B3BB69-23CF-44E3-9099-C40C66FF867C}">
                  <a14:compatExt spid="_x0000_s719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38</xdr:row>
          <xdr:rowOff>19150</xdr:rowOff>
        </xdr:from>
        <xdr:to>
          <xdr:col>12</xdr:col>
          <xdr:colOff>627154</xdr:colOff>
          <xdr:row>38</xdr:row>
          <xdr:rowOff>239372</xdr:rowOff>
        </xdr:to>
        <xdr:sp macro="" textlink="">
          <xdr:nvSpPr>
            <xdr:cNvPr id="71904" name="Check Box 224" hidden="1">
              <a:extLst>
                <a:ext uri="{63B3BB69-23CF-44E3-9099-C40C66FF867C}">
                  <a14:compatExt spid="_x0000_s719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12</xdr:row>
          <xdr:rowOff>0</xdr:rowOff>
        </xdr:from>
        <xdr:to>
          <xdr:col>10</xdr:col>
          <xdr:colOff>627154</xdr:colOff>
          <xdr:row>12</xdr:row>
          <xdr:rowOff>220222</xdr:rowOff>
        </xdr:to>
        <xdr:sp macro="" textlink="">
          <xdr:nvSpPr>
            <xdr:cNvPr id="71905" name="Check Box 225" hidden="1">
              <a:extLst>
                <a:ext uri="{63B3BB69-23CF-44E3-9099-C40C66FF867C}">
                  <a14:compatExt spid="_x0000_s71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12</xdr:row>
          <xdr:rowOff>0</xdr:rowOff>
        </xdr:from>
        <xdr:to>
          <xdr:col>12</xdr:col>
          <xdr:colOff>627154</xdr:colOff>
          <xdr:row>12</xdr:row>
          <xdr:rowOff>220222</xdr:rowOff>
        </xdr:to>
        <xdr:sp macro="" textlink="">
          <xdr:nvSpPr>
            <xdr:cNvPr id="71906" name="Check Box 226" hidden="1">
              <a:extLst>
                <a:ext uri="{63B3BB69-23CF-44E3-9099-C40C66FF867C}">
                  <a14:compatExt spid="_x0000_s719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23</xdr:row>
          <xdr:rowOff>0</xdr:rowOff>
        </xdr:from>
        <xdr:to>
          <xdr:col>10</xdr:col>
          <xdr:colOff>627154</xdr:colOff>
          <xdr:row>23</xdr:row>
          <xdr:rowOff>220222</xdr:rowOff>
        </xdr:to>
        <xdr:sp macro="" textlink="">
          <xdr:nvSpPr>
            <xdr:cNvPr id="71907" name="Check Box 227" hidden="1">
              <a:extLst>
                <a:ext uri="{63B3BB69-23CF-44E3-9099-C40C66FF867C}">
                  <a14:compatExt spid="_x0000_s719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23</xdr:row>
          <xdr:rowOff>0</xdr:rowOff>
        </xdr:from>
        <xdr:to>
          <xdr:col>12</xdr:col>
          <xdr:colOff>627154</xdr:colOff>
          <xdr:row>23</xdr:row>
          <xdr:rowOff>220222</xdr:rowOff>
        </xdr:to>
        <xdr:sp macro="" textlink="">
          <xdr:nvSpPr>
            <xdr:cNvPr id="71908" name="Check Box 228" hidden="1">
              <a:extLst>
                <a:ext uri="{63B3BB69-23CF-44E3-9099-C40C66FF867C}">
                  <a14:compatExt spid="_x0000_s719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39</xdr:row>
          <xdr:rowOff>19150</xdr:rowOff>
        </xdr:from>
        <xdr:to>
          <xdr:col>10</xdr:col>
          <xdr:colOff>627154</xdr:colOff>
          <xdr:row>39</xdr:row>
          <xdr:rowOff>239372</xdr:rowOff>
        </xdr:to>
        <xdr:sp macro="" textlink="">
          <xdr:nvSpPr>
            <xdr:cNvPr id="71909" name="Check Box 229" hidden="1">
              <a:extLst>
                <a:ext uri="{63B3BB69-23CF-44E3-9099-C40C66FF867C}">
                  <a14:compatExt spid="_x0000_s719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39</xdr:row>
          <xdr:rowOff>19150</xdr:rowOff>
        </xdr:from>
        <xdr:to>
          <xdr:col>12</xdr:col>
          <xdr:colOff>627154</xdr:colOff>
          <xdr:row>39</xdr:row>
          <xdr:rowOff>239372</xdr:rowOff>
        </xdr:to>
        <xdr:sp macro="" textlink="">
          <xdr:nvSpPr>
            <xdr:cNvPr id="71910" name="Check Box 230" hidden="1">
              <a:extLst>
                <a:ext uri="{63B3BB69-23CF-44E3-9099-C40C66FF867C}">
                  <a14:compatExt spid="_x0000_s719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40</xdr:row>
          <xdr:rowOff>19150</xdr:rowOff>
        </xdr:from>
        <xdr:to>
          <xdr:col>10</xdr:col>
          <xdr:colOff>627154</xdr:colOff>
          <xdr:row>40</xdr:row>
          <xdr:rowOff>239372</xdr:rowOff>
        </xdr:to>
        <xdr:sp macro="" textlink="">
          <xdr:nvSpPr>
            <xdr:cNvPr id="71911" name="Check Box 231" hidden="1">
              <a:extLst>
                <a:ext uri="{63B3BB69-23CF-44E3-9099-C40C66FF867C}">
                  <a14:compatExt spid="_x0000_s719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40</xdr:row>
          <xdr:rowOff>19150</xdr:rowOff>
        </xdr:from>
        <xdr:to>
          <xdr:col>12</xdr:col>
          <xdr:colOff>627154</xdr:colOff>
          <xdr:row>40</xdr:row>
          <xdr:rowOff>239372</xdr:rowOff>
        </xdr:to>
        <xdr:sp macro="" textlink="">
          <xdr:nvSpPr>
            <xdr:cNvPr id="71912" name="Check Box 232" hidden="1">
              <a:extLst>
                <a:ext uri="{63B3BB69-23CF-44E3-9099-C40C66FF867C}">
                  <a14:compatExt spid="_x0000_s719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15</xdr:row>
          <xdr:rowOff>0</xdr:rowOff>
        </xdr:from>
        <xdr:to>
          <xdr:col>10</xdr:col>
          <xdr:colOff>627154</xdr:colOff>
          <xdr:row>15</xdr:row>
          <xdr:rowOff>220222</xdr:rowOff>
        </xdr:to>
        <xdr:sp macro="" textlink="">
          <xdr:nvSpPr>
            <xdr:cNvPr id="71913" name="Check Box 233" hidden="1">
              <a:extLst>
                <a:ext uri="{63B3BB69-23CF-44E3-9099-C40C66FF867C}">
                  <a14:compatExt spid="_x0000_s71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15</xdr:row>
          <xdr:rowOff>0</xdr:rowOff>
        </xdr:from>
        <xdr:to>
          <xdr:col>12</xdr:col>
          <xdr:colOff>627154</xdr:colOff>
          <xdr:row>15</xdr:row>
          <xdr:rowOff>220222</xdr:rowOff>
        </xdr:to>
        <xdr:sp macro="" textlink="">
          <xdr:nvSpPr>
            <xdr:cNvPr id="71914" name="Check Box 234" hidden="1">
              <a:extLst>
                <a:ext uri="{63B3BB69-23CF-44E3-9099-C40C66FF867C}">
                  <a14:compatExt spid="_x0000_s719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17</xdr:row>
          <xdr:rowOff>0</xdr:rowOff>
        </xdr:from>
        <xdr:to>
          <xdr:col>10</xdr:col>
          <xdr:colOff>627154</xdr:colOff>
          <xdr:row>17</xdr:row>
          <xdr:rowOff>220222</xdr:rowOff>
        </xdr:to>
        <xdr:sp macro="" textlink="">
          <xdr:nvSpPr>
            <xdr:cNvPr id="71915" name="Check Box 235" hidden="1">
              <a:extLst>
                <a:ext uri="{63B3BB69-23CF-44E3-9099-C40C66FF867C}">
                  <a14:compatExt spid="_x0000_s719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17</xdr:row>
          <xdr:rowOff>0</xdr:rowOff>
        </xdr:from>
        <xdr:to>
          <xdr:col>12</xdr:col>
          <xdr:colOff>627154</xdr:colOff>
          <xdr:row>17</xdr:row>
          <xdr:rowOff>220222</xdr:rowOff>
        </xdr:to>
        <xdr:sp macro="" textlink="">
          <xdr:nvSpPr>
            <xdr:cNvPr id="71916" name="Check Box 236" hidden="1">
              <a:extLst>
                <a:ext uri="{63B3BB69-23CF-44E3-9099-C40C66FF867C}">
                  <a14:compatExt spid="_x0000_s719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38299</xdr:colOff>
          <xdr:row>21</xdr:row>
          <xdr:rowOff>0</xdr:rowOff>
        </xdr:from>
        <xdr:to>
          <xdr:col>10</xdr:col>
          <xdr:colOff>617579</xdr:colOff>
          <xdr:row>21</xdr:row>
          <xdr:rowOff>220222</xdr:rowOff>
        </xdr:to>
        <xdr:sp macro="" textlink="">
          <xdr:nvSpPr>
            <xdr:cNvPr id="71917" name="Check Box 237" hidden="1">
              <a:extLst>
                <a:ext uri="{63B3BB69-23CF-44E3-9099-C40C66FF867C}">
                  <a14:compatExt spid="_x0000_s719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21</xdr:row>
          <xdr:rowOff>0</xdr:rowOff>
        </xdr:from>
        <xdr:to>
          <xdr:col>12</xdr:col>
          <xdr:colOff>617579</xdr:colOff>
          <xdr:row>21</xdr:row>
          <xdr:rowOff>220222</xdr:rowOff>
        </xdr:to>
        <xdr:sp macro="" textlink="">
          <xdr:nvSpPr>
            <xdr:cNvPr id="71918" name="Check Box 238" hidden="1">
              <a:extLst>
                <a:ext uri="{63B3BB69-23CF-44E3-9099-C40C66FF867C}">
                  <a14:compatExt spid="_x0000_s719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28</xdr:row>
          <xdr:rowOff>0</xdr:rowOff>
        </xdr:from>
        <xdr:to>
          <xdr:col>10</xdr:col>
          <xdr:colOff>627154</xdr:colOff>
          <xdr:row>28</xdr:row>
          <xdr:rowOff>220222</xdr:rowOff>
        </xdr:to>
        <xdr:sp macro="" textlink="">
          <xdr:nvSpPr>
            <xdr:cNvPr id="71919" name="Check Box 239" hidden="1">
              <a:extLst>
                <a:ext uri="{63B3BB69-23CF-44E3-9099-C40C66FF867C}">
                  <a14:compatExt spid="_x0000_s719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28</xdr:row>
          <xdr:rowOff>0</xdr:rowOff>
        </xdr:from>
        <xdr:to>
          <xdr:col>12</xdr:col>
          <xdr:colOff>627154</xdr:colOff>
          <xdr:row>28</xdr:row>
          <xdr:rowOff>220222</xdr:rowOff>
        </xdr:to>
        <xdr:sp macro="" textlink="">
          <xdr:nvSpPr>
            <xdr:cNvPr id="71920" name="Check Box 240" hidden="1">
              <a:extLst>
                <a:ext uri="{63B3BB69-23CF-44E3-9099-C40C66FF867C}">
                  <a14:compatExt spid="_x0000_s719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29</xdr:row>
          <xdr:rowOff>0</xdr:rowOff>
        </xdr:from>
        <xdr:to>
          <xdr:col>10</xdr:col>
          <xdr:colOff>627154</xdr:colOff>
          <xdr:row>29</xdr:row>
          <xdr:rowOff>220222</xdr:rowOff>
        </xdr:to>
        <xdr:sp macro="" textlink="">
          <xdr:nvSpPr>
            <xdr:cNvPr id="71921" name="Check Box 241" hidden="1">
              <a:extLst>
                <a:ext uri="{63B3BB69-23CF-44E3-9099-C40C66FF867C}">
                  <a14:compatExt spid="_x0000_s719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29</xdr:row>
          <xdr:rowOff>0</xdr:rowOff>
        </xdr:from>
        <xdr:to>
          <xdr:col>12</xdr:col>
          <xdr:colOff>627154</xdr:colOff>
          <xdr:row>29</xdr:row>
          <xdr:rowOff>220222</xdr:rowOff>
        </xdr:to>
        <xdr:sp macro="" textlink="">
          <xdr:nvSpPr>
            <xdr:cNvPr id="71922" name="Check Box 242" hidden="1">
              <a:extLst>
                <a:ext uri="{63B3BB69-23CF-44E3-9099-C40C66FF867C}">
                  <a14:compatExt spid="_x0000_s71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30</xdr:row>
          <xdr:rowOff>0</xdr:rowOff>
        </xdr:from>
        <xdr:to>
          <xdr:col>10</xdr:col>
          <xdr:colOff>627154</xdr:colOff>
          <xdr:row>30</xdr:row>
          <xdr:rowOff>220222</xdr:rowOff>
        </xdr:to>
        <xdr:sp macro="" textlink="">
          <xdr:nvSpPr>
            <xdr:cNvPr id="71923" name="Check Box 243" hidden="1">
              <a:extLst>
                <a:ext uri="{63B3BB69-23CF-44E3-9099-C40C66FF867C}">
                  <a14:compatExt spid="_x0000_s719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30</xdr:row>
          <xdr:rowOff>0</xdr:rowOff>
        </xdr:from>
        <xdr:to>
          <xdr:col>12</xdr:col>
          <xdr:colOff>627154</xdr:colOff>
          <xdr:row>30</xdr:row>
          <xdr:rowOff>220222</xdr:rowOff>
        </xdr:to>
        <xdr:sp macro="" textlink="">
          <xdr:nvSpPr>
            <xdr:cNvPr id="71924" name="Check Box 244" hidden="1">
              <a:extLst>
                <a:ext uri="{63B3BB69-23CF-44E3-9099-C40C66FF867C}">
                  <a14:compatExt spid="_x0000_s719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31</xdr:row>
          <xdr:rowOff>0</xdr:rowOff>
        </xdr:from>
        <xdr:to>
          <xdr:col>10</xdr:col>
          <xdr:colOff>627154</xdr:colOff>
          <xdr:row>31</xdr:row>
          <xdr:rowOff>220222</xdr:rowOff>
        </xdr:to>
        <xdr:sp macro="" textlink="">
          <xdr:nvSpPr>
            <xdr:cNvPr id="71925" name="Check Box 245" hidden="1">
              <a:extLst>
                <a:ext uri="{63B3BB69-23CF-44E3-9099-C40C66FF867C}">
                  <a14:compatExt spid="_x0000_s719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31</xdr:row>
          <xdr:rowOff>0</xdr:rowOff>
        </xdr:from>
        <xdr:to>
          <xdr:col>12</xdr:col>
          <xdr:colOff>627154</xdr:colOff>
          <xdr:row>31</xdr:row>
          <xdr:rowOff>220222</xdr:rowOff>
        </xdr:to>
        <xdr:sp macro="" textlink="">
          <xdr:nvSpPr>
            <xdr:cNvPr id="71926" name="Check Box 246" hidden="1">
              <a:extLst>
                <a:ext uri="{63B3BB69-23CF-44E3-9099-C40C66FF867C}">
                  <a14:compatExt spid="_x0000_s719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32</xdr:row>
          <xdr:rowOff>0</xdr:rowOff>
        </xdr:from>
        <xdr:to>
          <xdr:col>10</xdr:col>
          <xdr:colOff>627154</xdr:colOff>
          <xdr:row>32</xdr:row>
          <xdr:rowOff>220222</xdr:rowOff>
        </xdr:to>
        <xdr:sp macro="" textlink="">
          <xdr:nvSpPr>
            <xdr:cNvPr id="71927" name="Check Box 247" hidden="1">
              <a:extLst>
                <a:ext uri="{63B3BB69-23CF-44E3-9099-C40C66FF867C}">
                  <a14:compatExt spid="_x0000_s719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32</xdr:row>
          <xdr:rowOff>0</xdr:rowOff>
        </xdr:from>
        <xdr:to>
          <xdr:col>12</xdr:col>
          <xdr:colOff>627154</xdr:colOff>
          <xdr:row>32</xdr:row>
          <xdr:rowOff>220222</xdr:rowOff>
        </xdr:to>
        <xdr:sp macro="" textlink="">
          <xdr:nvSpPr>
            <xdr:cNvPr id="71928" name="Check Box 248" hidden="1">
              <a:extLst>
                <a:ext uri="{63B3BB69-23CF-44E3-9099-C40C66FF867C}">
                  <a14:compatExt spid="_x0000_s719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35</xdr:row>
          <xdr:rowOff>0</xdr:rowOff>
        </xdr:from>
        <xdr:to>
          <xdr:col>10</xdr:col>
          <xdr:colOff>627154</xdr:colOff>
          <xdr:row>35</xdr:row>
          <xdr:rowOff>229797</xdr:rowOff>
        </xdr:to>
        <xdr:sp macro="" textlink="">
          <xdr:nvSpPr>
            <xdr:cNvPr id="71929" name="Check Box 249" hidden="1">
              <a:extLst>
                <a:ext uri="{63B3BB69-23CF-44E3-9099-C40C66FF867C}">
                  <a14:compatExt spid="_x0000_s719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35</xdr:row>
          <xdr:rowOff>0</xdr:rowOff>
        </xdr:from>
        <xdr:to>
          <xdr:col>12</xdr:col>
          <xdr:colOff>627154</xdr:colOff>
          <xdr:row>35</xdr:row>
          <xdr:rowOff>229797</xdr:rowOff>
        </xdr:to>
        <xdr:sp macro="" textlink="">
          <xdr:nvSpPr>
            <xdr:cNvPr id="71930" name="Check Box 250" hidden="1">
              <a:extLst>
                <a:ext uri="{63B3BB69-23CF-44E3-9099-C40C66FF867C}">
                  <a14:compatExt spid="_x0000_s719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24</xdr:row>
          <xdr:rowOff>19150</xdr:rowOff>
        </xdr:from>
        <xdr:to>
          <xdr:col>10</xdr:col>
          <xdr:colOff>627154</xdr:colOff>
          <xdr:row>24</xdr:row>
          <xdr:rowOff>239372</xdr:rowOff>
        </xdr:to>
        <xdr:sp macro="" textlink="">
          <xdr:nvSpPr>
            <xdr:cNvPr id="71931" name="Check Box 251" descr="Fosfaat" hidden="1">
              <a:extLst>
                <a:ext uri="{63B3BB69-23CF-44E3-9099-C40C66FF867C}">
                  <a14:compatExt spid="_x0000_s719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24</xdr:row>
          <xdr:rowOff>19150</xdr:rowOff>
        </xdr:from>
        <xdr:to>
          <xdr:col>12</xdr:col>
          <xdr:colOff>627154</xdr:colOff>
          <xdr:row>24</xdr:row>
          <xdr:rowOff>239372</xdr:rowOff>
        </xdr:to>
        <xdr:sp macro="" textlink="">
          <xdr:nvSpPr>
            <xdr:cNvPr id="71932" name="Check Box 252" descr="Fosfaat" hidden="1">
              <a:extLst>
                <a:ext uri="{63B3BB69-23CF-44E3-9099-C40C66FF867C}">
                  <a14:compatExt spid="_x0000_s719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16</xdr:row>
          <xdr:rowOff>0</xdr:rowOff>
        </xdr:from>
        <xdr:to>
          <xdr:col>2</xdr:col>
          <xdr:colOff>627154</xdr:colOff>
          <xdr:row>16</xdr:row>
          <xdr:rowOff>220222</xdr:rowOff>
        </xdr:to>
        <xdr:sp macro="" textlink="">
          <xdr:nvSpPr>
            <xdr:cNvPr id="71933" name="Check Box 253" descr="Leuko's + diff" hidden="1">
              <a:extLst>
                <a:ext uri="{63B3BB69-23CF-44E3-9099-C40C66FF867C}">
                  <a14:compatExt spid="_x0000_s719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16</xdr:row>
          <xdr:rowOff>0</xdr:rowOff>
        </xdr:from>
        <xdr:to>
          <xdr:col>6</xdr:col>
          <xdr:colOff>627154</xdr:colOff>
          <xdr:row>16</xdr:row>
          <xdr:rowOff>220222</xdr:rowOff>
        </xdr:to>
        <xdr:sp macro="" textlink="">
          <xdr:nvSpPr>
            <xdr:cNvPr id="71934" name="Check Box 254" hidden="1">
              <a:extLst>
                <a:ext uri="{63B3BB69-23CF-44E3-9099-C40C66FF867C}">
                  <a14:compatExt spid="_x0000_s719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16</xdr:row>
          <xdr:rowOff>0</xdr:rowOff>
        </xdr:from>
        <xdr:to>
          <xdr:col>8</xdr:col>
          <xdr:colOff>627154</xdr:colOff>
          <xdr:row>16</xdr:row>
          <xdr:rowOff>220222</xdr:rowOff>
        </xdr:to>
        <xdr:sp macro="" textlink="">
          <xdr:nvSpPr>
            <xdr:cNvPr id="71935" name="Check Box 255" hidden="1">
              <a:extLst>
                <a:ext uri="{63B3BB69-23CF-44E3-9099-C40C66FF867C}">
                  <a14:compatExt spid="_x0000_s71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16</xdr:row>
          <xdr:rowOff>0</xdr:rowOff>
        </xdr:from>
        <xdr:to>
          <xdr:col>16</xdr:col>
          <xdr:colOff>627154</xdr:colOff>
          <xdr:row>16</xdr:row>
          <xdr:rowOff>220222</xdr:rowOff>
        </xdr:to>
        <xdr:sp macro="" textlink="">
          <xdr:nvSpPr>
            <xdr:cNvPr id="71936" name="Check Box 256" hidden="1">
              <a:extLst>
                <a:ext uri="{63B3BB69-23CF-44E3-9099-C40C66FF867C}">
                  <a14:compatExt spid="_x0000_s719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16</xdr:row>
          <xdr:rowOff>0</xdr:rowOff>
        </xdr:from>
        <xdr:to>
          <xdr:col>4</xdr:col>
          <xdr:colOff>627154</xdr:colOff>
          <xdr:row>16</xdr:row>
          <xdr:rowOff>220222</xdr:rowOff>
        </xdr:to>
        <xdr:sp macro="" textlink="">
          <xdr:nvSpPr>
            <xdr:cNvPr id="71937" name="Check Box 257" hidden="1">
              <a:extLst>
                <a:ext uri="{63B3BB69-23CF-44E3-9099-C40C66FF867C}">
                  <a14:compatExt spid="_x0000_s71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16</xdr:row>
          <xdr:rowOff>0</xdr:rowOff>
        </xdr:from>
        <xdr:to>
          <xdr:col>10</xdr:col>
          <xdr:colOff>627154</xdr:colOff>
          <xdr:row>16</xdr:row>
          <xdr:rowOff>220222</xdr:rowOff>
        </xdr:to>
        <xdr:sp macro="" textlink="">
          <xdr:nvSpPr>
            <xdr:cNvPr id="71940" name="Check Box 260" hidden="1">
              <a:extLst>
                <a:ext uri="{63B3BB69-23CF-44E3-9099-C40C66FF867C}">
                  <a14:compatExt spid="_x0000_s719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16</xdr:row>
          <xdr:rowOff>0</xdr:rowOff>
        </xdr:from>
        <xdr:to>
          <xdr:col>12</xdr:col>
          <xdr:colOff>627154</xdr:colOff>
          <xdr:row>16</xdr:row>
          <xdr:rowOff>220222</xdr:rowOff>
        </xdr:to>
        <xdr:sp macro="" textlink="">
          <xdr:nvSpPr>
            <xdr:cNvPr id="71941" name="Check Box 261" hidden="1">
              <a:extLst>
                <a:ext uri="{63B3BB69-23CF-44E3-9099-C40C66FF867C}">
                  <a14:compatExt spid="_x0000_s719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37</xdr:row>
          <xdr:rowOff>0</xdr:rowOff>
        </xdr:from>
        <xdr:to>
          <xdr:col>2</xdr:col>
          <xdr:colOff>627154</xdr:colOff>
          <xdr:row>37</xdr:row>
          <xdr:rowOff>229797</xdr:rowOff>
        </xdr:to>
        <xdr:sp macro="" textlink="">
          <xdr:nvSpPr>
            <xdr:cNvPr id="71942" name="Check Box 262" descr="NICU APTT " hidden="1">
              <a:extLst>
                <a:ext uri="{63B3BB69-23CF-44E3-9099-C40C66FF867C}">
                  <a14:compatExt spid="_x0000_s719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37</xdr:row>
          <xdr:rowOff>0</xdr:rowOff>
        </xdr:from>
        <xdr:to>
          <xdr:col>6</xdr:col>
          <xdr:colOff>627154</xdr:colOff>
          <xdr:row>37</xdr:row>
          <xdr:rowOff>229797</xdr:rowOff>
        </xdr:to>
        <xdr:sp macro="" textlink="">
          <xdr:nvSpPr>
            <xdr:cNvPr id="71943" name="Check Box 263" hidden="1">
              <a:extLst>
                <a:ext uri="{63B3BB69-23CF-44E3-9099-C40C66FF867C}">
                  <a14:compatExt spid="_x0000_s719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37</xdr:row>
          <xdr:rowOff>0</xdr:rowOff>
        </xdr:from>
        <xdr:to>
          <xdr:col>8</xdr:col>
          <xdr:colOff>627154</xdr:colOff>
          <xdr:row>37</xdr:row>
          <xdr:rowOff>229797</xdr:rowOff>
        </xdr:to>
        <xdr:sp macro="" textlink="">
          <xdr:nvSpPr>
            <xdr:cNvPr id="71944" name="Check Box 264" hidden="1">
              <a:extLst>
                <a:ext uri="{63B3BB69-23CF-44E3-9099-C40C66FF867C}">
                  <a14:compatExt spid="_x0000_s719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37</xdr:row>
          <xdr:rowOff>0</xdr:rowOff>
        </xdr:from>
        <xdr:to>
          <xdr:col>16</xdr:col>
          <xdr:colOff>627154</xdr:colOff>
          <xdr:row>37</xdr:row>
          <xdr:rowOff>229797</xdr:rowOff>
        </xdr:to>
        <xdr:sp macro="" textlink="">
          <xdr:nvSpPr>
            <xdr:cNvPr id="71945" name="Check Box 265" hidden="1">
              <a:extLst>
                <a:ext uri="{63B3BB69-23CF-44E3-9099-C40C66FF867C}">
                  <a14:compatExt spid="_x0000_s719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37</xdr:row>
          <xdr:rowOff>0</xdr:rowOff>
        </xdr:from>
        <xdr:to>
          <xdr:col>4</xdr:col>
          <xdr:colOff>627154</xdr:colOff>
          <xdr:row>37</xdr:row>
          <xdr:rowOff>229797</xdr:rowOff>
        </xdr:to>
        <xdr:sp macro="" textlink="">
          <xdr:nvSpPr>
            <xdr:cNvPr id="71946" name="Check Box 266" hidden="1">
              <a:extLst>
                <a:ext uri="{63B3BB69-23CF-44E3-9099-C40C66FF867C}">
                  <a14:compatExt spid="_x0000_s719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37</xdr:row>
          <xdr:rowOff>0</xdr:rowOff>
        </xdr:from>
        <xdr:to>
          <xdr:col>10</xdr:col>
          <xdr:colOff>627154</xdr:colOff>
          <xdr:row>37</xdr:row>
          <xdr:rowOff>229797</xdr:rowOff>
        </xdr:to>
        <xdr:sp macro="" textlink="">
          <xdr:nvSpPr>
            <xdr:cNvPr id="71949" name="Check Box 269" hidden="1">
              <a:extLst>
                <a:ext uri="{63B3BB69-23CF-44E3-9099-C40C66FF867C}">
                  <a14:compatExt spid="_x0000_s719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37</xdr:row>
          <xdr:rowOff>0</xdr:rowOff>
        </xdr:from>
        <xdr:to>
          <xdr:col>12</xdr:col>
          <xdr:colOff>627154</xdr:colOff>
          <xdr:row>37</xdr:row>
          <xdr:rowOff>229797</xdr:rowOff>
        </xdr:to>
        <xdr:sp macro="" textlink="">
          <xdr:nvSpPr>
            <xdr:cNvPr id="71950" name="Check Box 270" hidden="1">
              <a:extLst>
                <a:ext uri="{63B3BB69-23CF-44E3-9099-C40C66FF867C}">
                  <a14:compatExt spid="_x0000_s719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33</xdr:row>
          <xdr:rowOff>19150</xdr:rowOff>
        </xdr:from>
        <xdr:to>
          <xdr:col>2</xdr:col>
          <xdr:colOff>627154</xdr:colOff>
          <xdr:row>33</xdr:row>
          <xdr:rowOff>239372</xdr:rowOff>
        </xdr:to>
        <xdr:sp macro="" textlink="">
          <xdr:nvSpPr>
            <xdr:cNvPr id="71951" name="Check Box 271" descr="Triglyceriden" hidden="1">
              <a:extLst>
                <a:ext uri="{63B3BB69-23CF-44E3-9099-C40C66FF867C}">
                  <a14:compatExt spid="_x0000_s719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33</xdr:row>
          <xdr:rowOff>19150</xdr:rowOff>
        </xdr:from>
        <xdr:to>
          <xdr:col>6</xdr:col>
          <xdr:colOff>627154</xdr:colOff>
          <xdr:row>33</xdr:row>
          <xdr:rowOff>239372</xdr:rowOff>
        </xdr:to>
        <xdr:sp macro="" textlink="">
          <xdr:nvSpPr>
            <xdr:cNvPr id="71952" name="Check Box 272" descr="Fosfaat" hidden="1">
              <a:extLst>
                <a:ext uri="{63B3BB69-23CF-44E3-9099-C40C66FF867C}">
                  <a14:compatExt spid="_x0000_s719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33</xdr:row>
          <xdr:rowOff>19150</xdr:rowOff>
        </xdr:from>
        <xdr:to>
          <xdr:col>8</xdr:col>
          <xdr:colOff>627154</xdr:colOff>
          <xdr:row>33</xdr:row>
          <xdr:rowOff>239372</xdr:rowOff>
        </xdr:to>
        <xdr:sp macro="" textlink="">
          <xdr:nvSpPr>
            <xdr:cNvPr id="71953" name="Check Box 273" descr="Fosfaat" hidden="1">
              <a:extLst>
                <a:ext uri="{63B3BB69-23CF-44E3-9099-C40C66FF867C}">
                  <a14:compatExt spid="_x0000_s719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33</xdr:row>
          <xdr:rowOff>19150</xdr:rowOff>
        </xdr:from>
        <xdr:to>
          <xdr:col>16</xdr:col>
          <xdr:colOff>627154</xdr:colOff>
          <xdr:row>33</xdr:row>
          <xdr:rowOff>239372</xdr:rowOff>
        </xdr:to>
        <xdr:sp macro="" textlink="">
          <xdr:nvSpPr>
            <xdr:cNvPr id="71954" name="Check Box 274" descr="Fosfaat" hidden="1">
              <a:extLst>
                <a:ext uri="{63B3BB69-23CF-44E3-9099-C40C66FF867C}">
                  <a14:compatExt spid="_x0000_s719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33</xdr:row>
          <xdr:rowOff>19150</xdr:rowOff>
        </xdr:from>
        <xdr:to>
          <xdr:col>4</xdr:col>
          <xdr:colOff>627154</xdr:colOff>
          <xdr:row>33</xdr:row>
          <xdr:rowOff>239372</xdr:rowOff>
        </xdr:to>
        <xdr:sp macro="" textlink="">
          <xdr:nvSpPr>
            <xdr:cNvPr id="71955" name="Check Box 275" descr="Fosfaat" hidden="1">
              <a:extLst>
                <a:ext uri="{63B3BB69-23CF-44E3-9099-C40C66FF867C}">
                  <a14:compatExt spid="_x0000_s719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33</xdr:row>
          <xdr:rowOff>19150</xdr:rowOff>
        </xdr:from>
        <xdr:to>
          <xdr:col>10</xdr:col>
          <xdr:colOff>627154</xdr:colOff>
          <xdr:row>33</xdr:row>
          <xdr:rowOff>239372</xdr:rowOff>
        </xdr:to>
        <xdr:sp macro="" textlink="">
          <xdr:nvSpPr>
            <xdr:cNvPr id="71958" name="Check Box 278" descr="Fosfaat" hidden="1">
              <a:extLst>
                <a:ext uri="{63B3BB69-23CF-44E3-9099-C40C66FF867C}">
                  <a14:compatExt spid="_x0000_s719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33</xdr:row>
          <xdr:rowOff>19150</xdr:rowOff>
        </xdr:from>
        <xdr:to>
          <xdr:col>12</xdr:col>
          <xdr:colOff>627154</xdr:colOff>
          <xdr:row>33</xdr:row>
          <xdr:rowOff>239372</xdr:rowOff>
        </xdr:to>
        <xdr:sp macro="" textlink="">
          <xdr:nvSpPr>
            <xdr:cNvPr id="71959" name="Check Box 279" descr="Fosfaat" hidden="1">
              <a:extLst>
                <a:ext uri="{63B3BB69-23CF-44E3-9099-C40C66FF867C}">
                  <a14:compatExt spid="_x0000_s719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41</xdr:row>
          <xdr:rowOff>19150</xdr:rowOff>
        </xdr:from>
        <xdr:to>
          <xdr:col>2</xdr:col>
          <xdr:colOff>627154</xdr:colOff>
          <xdr:row>41</xdr:row>
          <xdr:rowOff>239372</xdr:rowOff>
        </xdr:to>
        <xdr:sp macro="" textlink="">
          <xdr:nvSpPr>
            <xdr:cNvPr id="71960" name="Check Box 280" descr="Triglyceriden" hidden="1">
              <a:extLst>
                <a:ext uri="{63B3BB69-23CF-44E3-9099-C40C66FF867C}">
                  <a14:compatExt spid="_x0000_s719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Coombs test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10</xdr:row>
          <xdr:rowOff>0</xdr:rowOff>
        </xdr:from>
        <xdr:to>
          <xdr:col>18</xdr:col>
          <xdr:colOff>627154</xdr:colOff>
          <xdr:row>10</xdr:row>
          <xdr:rowOff>220222</xdr:rowOff>
        </xdr:to>
        <xdr:sp macro="" textlink="">
          <xdr:nvSpPr>
            <xdr:cNvPr id="71961" name="Check Box 281" hidden="1">
              <a:extLst>
                <a:ext uri="{63B3BB69-23CF-44E3-9099-C40C66FF867C}">
                  <a14:compatExt spid="_x0000_s71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11</xdr:row>
          <xdr:rowOff>0</xdr:rowOff>
        </xdr:from>
        <xdr:to>
          <xdr:col>18</xdr:col>
          <xdr:colOff>627154</xdr:colOff>
          <xdr:row>11</xdr:row>
          <xdr:rowOff>220222</xdr:rowOff>
        </xdr:to>
        <xdr:sp macro="" textlink="">
          <xdr:nvSpPr>
            <xdr:cNvPr id="71962" name="Check Box 282" hidden="1">
              <a:extLst>
                <a:ext uri="{63B3BB69-23CF-44E3-9099-C40C66FF867C}">
                  <a14:compatExt spid="_x0000_s71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13</xdr:row>
          <xdr:rowOff>0</xdr:rowOff>
        </xdr:from>
        <xdr:to>
          <xdr:col>18</xdr:col>
          <xdr:colOff>627154</xdr:colOff>
          <xdr:row>13</xdr:row>
          <xdr:rowOff>220222</xdr:rowOff>
        </xdr:to>
        <xdr:sp macro="" textlink="">
          <xdr:nvSpPr>
            <xdr:cNvPr id="71963" name="Check Box 283" hidden="1">
              <a:extLst>
                <a:ext uri="{63B3BB69-23CF-44E3-9099-C40C66FF867C}">
                  <a14:compatExt spid="_x0000_s71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14</xdr:row>
          <xdr:rowOff>0</xdr:rowOff>
        </xdr:from>
        <xdr:to>
          <xdr:col>18</xdr:col>
          <xdr:colOff>627154</xdr:colOff>
          <xdr:row>14</xdr:row>
          <xdr:rowOff>220222</xdr:rowOff>
        </xdr:to>
        <xdr:sp macro="" textlink="">
          <xdr:nvSpPr>
            <xdr:cNvPr id="71964" name="Check Box 284" hidden="1">
              <a:extLst>
                <a:ext uri="{63B3BB69-23CF-44E3-9099-C40C66FF867C}">
                  <a14:compatExt spid="_x0000_s719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38299</xdr:colOff>
          <xdr:row>20</xdr:row>
          <xdr:rowOff>0</xdr:rowOff>
        </xdr:from>
        <xdr:to>
          <xdr:col>18</xdr:col>
          <xdr:colOff>617579</xdr:colOff>
          <xdr:row>20</xdr:row>
          <xdr:rowOff>220222</xdr:rowOff>
        </xdr:to>
        <xdr:sp macro="" textlink="">
          <xdr:nvSpPr>
            <xdr:cNvPr id="71965" name="Check Box 285" hidden="1">
              <a:extLst>
                <a:ext uri="{63B3BB69-23CF-44E3-9099-C40C66FF867C}">
                  <a14:compatExt spid="_x0000_s719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19</xdr:row>
          <xdr:rowOff>0</xdr:rowOff>
        </xdr:from>
        <xdr:to>
          <xdr:col>18</xdr:col>
          <xdr:colOff>627154</xdr:colOff>
          <xdr:row>19</xdr:row>
          <xdr:rowOff>220222</xdr:rowOff>
        </xdr:to>
        <xdr:sp macro="" textlink="">
          <xdr:nvSpPr>
            <xdr:cNvPr id="71966" name="Check Box 286" hidden="1">
              <a:extLst>
                <a:ext uri="{63B3BB69-23CF-44E3-9099-C40C66FF867C}">
                  <a14:compatExt spid="_x0000_s719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36</xdr:row>
          <xdr:rowOff>0</xdr:rowOff>
        </xdr:from>
        <xdr:to>
          <xdr:col>18</xdr:col>
          <xdr:colOff>627154</xdr:colOff>
          <xdr:row>36</xdr:row>
          <xdr:rowOff>229797</xdr:rowOff>
        </xdr:to>
        <xdr:sp macro="" textlink="">
          <xdr:nvSpPr>
            <xdr:cNvPr id="71967" name="Check Box 287" hidden="1">
              <a:extLst>
                <a:ext uri="{63B3BB69-23CF-44E3-9099-C40C66FF867C}">
                  <a14:compatExt spid="_x0000_s719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22</xdr:row>
          <xdr:rowOff>0</xdr:rowOff>
        </xdr:from>
        <xdr:to>
          <xdr:col>18</xdr:col>
          <xdr:colOff>627154</xdr:colOff>
          <xdr:row>22</xdr:row>
          <xdr:rowOff>220222</xdr:rowOff>
        </xdr:to>
        <xdr:sp macro="" textlink="">
          <xdr:nvSpPr>
            <xdr:cNvPr id="71968" name="Check Box 288" hidden="1">
              <a:extLst>
                <a:ext uri="{63B3BB69-23CF-44E3-9099-C40C66FF867C}">
                  <a14:compatExt spid="_x0000_s719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25</xdr:row>
          <xdr:rowOff>0</xdr:rowOff>
        </xdr:from>
        <xdr:to>
          <xdr:col>18</xdr:col>
          <xdr:colOff>627154</xdr:colOff>
          <xdr:row>25</xdr:row>
          <xdr:rowOff>220222</xdr:rowOff>
        </xdr:to>
        <xdr:sp macro="" textlink="">
          <xdr:nvSpPr>
            <xdr:cNvPr id="71969" name="Check Box 289" hidden="1">
              <a:extLst>
                <a:ext uri="{63B3BB69-23CF-44E3-9099-C40C66FF867C}">
                  <a14:compatExt spid="_x0000_s71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26</xdr:row>
          <xdr:rowOff>0</xdr:rowOff>
        </xdr:from>
        <xdr:to>
          <xdr:col>18</xdr:col>
          <xdr:colOff>627154</xdr:colOff>
          <xdr:row>26</xdr:row>
          <xdr:rowOff>220222</xdr:rowOff>
        </xdr:to>
        <xdr:sp macro="" textlink="">
          <xdr:nvSpPr>
            <xdr:cNvPr id="71970" name="Check Box 290" hidden="1">
              <a:extLst>
                <a:ext uri="{63B3BB69-23CF-44E3-9099-C40C66FF867C}">
                  <a14:compatExt spid="_x0000_s71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27</xdr:row>
          <xdr:rowOff>0</xdr:rowOff>
        </xdr:from>
        <xdr:to>
          <xdr:col>18</xdr:col>
          <xdr:colOff>627154</xdr:colOff>
          <xdr:row>27</xdr:row>
          <xdr:rowOff>220222</xdr:rowOff>
        </xdr:to>
        <xdr:sp macro="" textlink="">
          <xdr:nvSpPr>
            <xdr:cNvPr id="71971" name="Check Box 291" hidden="1">
              <a:extLst>
                <a:ext uri="{63B3BB69-23CF-44E3-9099-C40C66FF867C}">
                  <a14:compatExt spid="_x0000_s71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38299</xdr:colOff>
          <xdr:row>18</xdr:row>
          <xdr:rowOff>0</xdr:rowOff>
        </xdr:from>
        <xdr:to>
          <xdr:col>18</xdr:col>
          <xdr:colOff>617579</xdr:colOff>
          <xdr:row>18</xdr:row>
          <xdr:rowOff>220222</xdr:rowOff>
        </xdr:to>
        <xdr:sp macro="" textlink="">
          <xdr:nvSpPr>
            <xdr:cNvPr id="71972" name="Check Box 292" hidden="1">
              <a:extLst>
                <a:ext uri="{63B3BB69-23CF-44E3-9099-C40C66FF867C}">
                  <a14:compatExt spid="_x0000_s719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34</xdr:row>
          <xdr:rowOff>19150</xdr:rowOff>
        </xdr:from>
        <xdr:to>
          <xdr:col>18</xdr:col>
          <xdr:colOff>627154</xdr:colOff>
          <xdr:row>34</xdr:row>
          <xdr:rowOff>239372</xdr:rowOff>
        </xdr:to>
        <xdr:sp macro="" textlink="">
          <xdr:nvSpPr>
            <xdr:cNvPr id="71973" name="Check Box 293" hidden="1">
              <a:extLst>
                <a:ext uri="{63B3BB69-23CF-44E3-9099-C40C66FF867C}">
                  <a14:compatExt spid="_x0000_s719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38</xdr:row>
          <xdr:rowOff>19150</xdr:rowOff>
        </xdr:from>
        <xdr:to>
          <xdr:col>18</xdr:col>
          <xdr:colOff>627154</xdr:colOff>
          <xdr:row>38</xdr:row>
          <xdr:rowOff>239372</xdr:rowOff>
        </xdr:to>
        <xdr:sp macro="" textlink="">
          <xdr:nvSpPr>
            <xdr:cNvPr id="71974" name="Check Box 294" hidden="1">
              <a:extLst>
                <a:ext uri="{63B3BB69-23CF-44E3-9099-C40C66FF867C}">
                  <a14:compatExt spid="_x0000_s719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12</xdr:row>
          <xdr:rowOff>0</xdr:rowOff>
        </xdr:from>
        <xdr:to>
          <xdr:col>18</xdr:col>
          <xdr:colOff>627154</xdr:colOff>
          <xdr:row>12</xdr:row>
          <xdr:rowOff>220222</xdr:rowOff>
        </xdr:to>
        <xdr:sp macro="" textlink="">
          <xdr:nvSpPr>
            <xdr:cNvPr id="71975" name="Check Box 295" hidden="1">
              <a:extLst>
                <a:ext uri="{63B3BB69-23CF-44E3-9099-C40C66FF867C}">
                  <a14:compatExt spid="_x0000_s719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23</xdr:row>
          <xdr:rowOff>0</xdr:rowOff>
        </xdr:from>
        <xdr:to>
          <xdr:col>18</xdr:col>
          <xdr:colOff>627154</xdr:colOff>
          <xdr:row>23</xdr:row>
          <xdr:rowOff>220222</xdr:rowOff>
        </xdr:to>
        <xdr:sp macro="" textlink="">
          <xdr:nvSpPr>
            <xdr:cNvPr id="71976" name="Check Box 296" hidden="1">
              <a:extLst>
                <a:ext uri="{63B3BB69-23CF-44E3-9099-C40C66FF867C}">
                  <a14:compatExt spid="_x0000_s719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39</xdr:row>
          <xdr:rowOff>19150</xdr:rowOff>
        </xdr:from>
        <xdr:to>
          <xdr:col>18</xdr:col>
          <xdr:colOff>627154</xdr:colOff>
          <xdr:row>39</xdr:row>
          <xdr:rowOff>239372</xdr:rowOff>
        </xdr:to>
        <xdr:sp macro="" textlink="">
          <xdr:nvSpPr>
            <xdr:cNvPr id="71977" name="Check Box 297" hidden="1">
              <a:extLst>
                <a:ext uri="{63B3BB69-23CF-44E3-9099-C40C66FF867C}">
                  <a14:compatExt spid="_x0000_s719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40</xdr:row>
          <xdr:rowOff>19150</xdr:rowOff>
        </xdr:from>
        <xdr:to>
          <xdr:col>18</xdr:col>
          <xdr:colOff>627154</xdr:colOff>
          <xdr:row>40</xdr:row>
          <xdr:rowOff>239372</xdr:rowOff>
        </xdr:to>
        <xdr:sp macro="" textlink="">
          <xdr:nvSpPr>
            <xdr:cNvPr id="71978" name="Check Box 298" hidden="1">
              <a:extLst>
                <a:ext uri="{63B3BB69-23CF-44E3-9099-C40C66FF867C}">
                  <a14:compatExt spid="_x0000_s719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15</xdr:row>
          <xdr:rowOff>0</xdr:rowOff>
        </xdr:from>
        <xdr:to>
          <xdr:col>18</xdr:col>
          <xdr:colOff>627154</xdr:colOff>
          <xdr:row>15</xdr:row>
          <xdr:rowOff>220222</xdr:rowOff>
        </xdr:to>
        <xdr:sp macro="" textlink="">
          <xdr:nvSpPr>
            <xdr:cNvPr id="71979" name="Check Box 299" hidden="1">
              <a:extLst>
                <a:ext uri="{63B3BB69-23CF-44E3-9099-C40C66FF867C}">
                  <a14:compatExt spid="_x0000_s719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17</xdr:row>
          <xdr:rowOff>0</xdr:rowOff>
        </xdr:from>
        <xdr:to>
          <xdr:col>18</xdr:col>
          <xdr:colOff>627154</xdr:colOff>
          <xdr:row>17</xdr:row>
          <xdr:rowOff>220222</xdr:rowOff>
        </xdr:to>
        <xdr:sp macro="" textlink="">
          <xdr:nvSpPr>
            <xdr:cNvPr id="71980" name="Check Box 300" hidden="1">
              <a:extLst>
                <a:ext uri="{63B3BB69-23CF-44E3-9099-C40C66FF867C}">
                  <a14:compatExt spid="_x0000_s719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38299</xdr:colOff>
          <xdr:row>21</xdr:row>
          <xdr:rowOff>0</xdr:rowOff>
        </xdr:from>
        <xdr:to>
          <xdr:col>18</xdr:col>
          <xdr:colOff>617579</xdr:colOff>
          <xdr:row>21</xdr:row>
          <xdr:rowOff>220222</xdr:rowOff>
        </xdr:to>
        <xdr:sp macro="" textlink="">
          <xdr:nvSpPr>
            <xdr:cNvPr id="71981" name="Check Box 301" hidden="1">
              <a:extLst>
                <a:ext uri="{63B3BB69-23CF-44E3-9099-C40C66FF867C}">
                  <a14:compatExt spid="_x0000_s719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28</xdr:row>
          <xdr:rowOff>0</xdr:rowOff>
        </xdr:from>
        <xdr:to>
          <xdr:col>18</xdr:col>
          <xdr:colOff>627154</xdr:colOff>
          <xdr:row>28</xdr:row>
          <xdr:rowOff>220222</xdr:rowOff>
        </xdr:to>
        <xdr:sp macro="" textlink="">
          <xdr:nvSpPr>
            <xdr:cNvPr id="71982" name="Check Box 302" hidden="1">
              <a:extLst>
                <a:ext uri="{63B3BB69-23CF-44E3-9099-C40C66FF867C}">
                  <a14:compatExt spid="_x0000_s719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29</xdr:row>
          <xdr:rowOff>0</xdr:rowOff>
        </xdr:from>
        <xdr:to>
          <xdr:col>18</xdr:col>
          <xdr:colOff>627154</xdr:colOff>
          <xdr:row>29</xdr:row>
          <xdr:rowOff>220222</xdr:rowOff>
        </xdr:to>
        <xdr:sp macro="" textlink="">
          <xdr:nvSpPr>
            <xdr:cNvPr id="71983" name="Check Box 303" hidden="1">
              <a:extLst>
                <a:ext uri="{63B3BB69-23CF-44E3-9099-C40C66FF867C}">
                  <a14:compatExt spid="_x0000_s719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30</xdr:row>
          <xdr:rowOff>0</xdr:rowOff>
        </xdr:from>
        <xdr:to>
          <xdr:col>18</xdr:col>
          <xdr:colOff>627154</xdr:colOff>
          <xdr:row>30</xdr:row>
          <xdr:rowOff>220222</xdr:rowOff>
        </xdr:to>
        <xdr:sp macro="" textlink="">
          <xdr:nvSpPr>
            <xdr:cNvPr id="71984" name="Check Box 304" hidden="1">
              <a:extLst>
                <a:ext uri="{63B3BB69-23CF-44E3-9099-C40C66FF867C}">
                  <a14:compatExt spid="_x0000_s719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31</xdr:row>
          <xdr:rowOff>0</xdr:rowOff>
        </xdr:from>
        <xdr:to>
          <xdr:col>18</xdr:col>
          <xdr:colOff>627154</xdr:colOff>
          <xdr:row>31</xdr:row>
          <xdr:rowOff>220222</xdr:rowOff>
        </xdr:to>
        <xdr:sp macro="" textlink="">
          <xdr:nvSpPr>
            <xdr:cNvPr id="71985" name="Check Box 305" hidden="1">
              <a:extLst>
                <a:ext uri="{63B3BB69-23CF-44E3-9099-C40C66FF867C}">
                  <a14:compatExt spid="_x0000_s7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32</xdr:row>
          <xdr:rowOff>0</xdr:rowOff>
        </xdr:from>
        <xdr:to>
          <xdr:col>18</xdr:col>
          <xdr:colOff>627154</xdr:colOff>
          <xdr:row>32</xdr:row>
          <xdr:rowOff>220222</xdr:rowOff>
        </xdr:to>
        <xdr:sp macro="" textlink="">
          <xdr:nvSpPr>
            <xdr:cNvPr id="71986" name="Check Box 306" hidden="1">
              <a:extLst>
                <a:ext uri="{63B3BB69-23CF-44E3-9099-C40C66FF867C}">
                  <a14:compatExt spid="_x0000_s719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35</xdr:row>
          <xdr:rowOff>0</xdr:rowOff>
        </xdr:from>
        <xdr:to>
          <xdr:col>18</xdr:col>
          <xdr:colOff>627154</xdr:colOff>
          <xdr:row>35</xdr:row>
          <xdr:rowOff>229797</xdr:rowOff>
        </xdr:to>
        <xdr:sp macro="" textlink="">
          <xdr:nvSpPr>
            <xdr:cNvPr id="71987" name="Check Box 307" hidden="1">
              <a:extLst>
                <a:ext uri="{63B3BB69-23CF-44E3-9099-C40C66FF867C}">
                  <a14:compatExt spid="_x0000_s719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24</xdr:row>
          <xdr:rowOff>19150</xdr:rowOff>
        </xdr:from>
        <xdr:to>
          <xdr:col>18</xdr:col>
          <xdr:colOff>627154</xdr:colOff>
          <xdr:row>24</xdr:row>
          <xdr:rowOff>239372</xdr:rowOff>
        </xdr:to>
        <xdr:sp macro="" textlink="">
          <xdr:nvSpPr>
            <xdr:cNvPr id="71988" name="Check Box 308" descr="Fosfaat" hidden="1">
              <a:extLst>
                <a:ext uri="{63B3BB69-23CF-44E3-9099-C40C66FF867C}">
                  <a14:compatExt spid="_x0000_s719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16</xdr:row>
          <xdr:rowOff>0</xdr:rowOff>
        </xdr:from>
        <xdr:to>
          <xdr:col>18</xdr:col>
          <xdr:colOff>627154</xdr:colOff>
          <xdr:row>16</xdr:row>
          <xdr:rowOff>220222</xdr:rowOff>
        </xdr:to>
        <xdr:sp macro="" textlink="">
          <xdr:nvSpPr>
            <xdr:cNvPr id="71989" name="Check Box 309" hidden="1">
              <a:extLst>
                <a:ext uri="{63B3BB69-23CF-44E3-9099-C40C66FF867C}">
                  <a14:compatExt spid="_x0000_s719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37</xdr:row>
          <xdr:rowOff>0</xdr:rowOff>
        </xdr:from>
        <xdr:to>
          <xdr:col>18</xdr:col>
          <xdr:colOff>627154</xdr:colOff>
          <xdr:row>37</xdr:row>
          <xdr:rowOff>229797</xdr:rowOff>
        </xdr:to>
        <xdr:sp macro="" textlink="">
          <xdr:nvSpPr>
            <xdr:cNvPr id="71990" name="Check Box 310" hidden="1">
              <a:extLst>
                <a:ext uri="{63B3BB69-23CF-44E3-9099-C40C66FF867C}">
                  <a14:compatExt spid="_x0000_s719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33</xdr:row>
          <xdr:rowOff>19150</xdr:rowOff>
        </xdr:from>
        <xdr:to>
          <xdr:col>18</xdr:col>
          <xdr:colOff>627154</xdr:colOff>
          <xdr:row>33</xdr:row>
          <xdr:rowOff>239372</xdr:rowOff>
        </xdr:to>
        <xdr:sp macro="" textlink="">
          <xdr:nvSpPr>
            <xdr:cNvPr id="71991" name="Check Box 311" descr="Fosfaat" hidden="1">
              <a:extLst>
                <a:ext uri="{63B3BB69-23CF-44E3-9099-C40C66FF867C}">
                  <a14:compatExt spid="_x0000_s719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10</xdr:row>
          <xdr:rowOff>0</xdr:rowOff>
        </xdr:from>
        <xdr:to>
          <xdr:col>20</xdr:col>
          <xdr:colOff>627154</xdr:colOff>
          <xdr:row>10</xdr:row>
          <xdr:rowOff>220222</xdr:rowOff>
        </xdr:to>
        <xdr:sp macro="" textlink="">
          <xdr:nvSpPr>
            <xdr:cNvPr id="71992" name="Check Box 312" hidden="1">
              <a:extLst>
                <a:ext uri="{63B3BB69-23CF-44E3-9099-C40C66FF867C}">
                  <a14:compatExt spid="_x0000_s719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11</xdr:row>
          <xdr:rowOff>0</xdr:rowOff>
        </xdr:from>
        <xdr:to>
          <xdr:col>20</xdr:col>
          <xdr:colOff>627154</xdr:colOff>
          <xdr:row>11</xdr:row>
          <xdr:rowOff>220222</xdr:rowOff>
        </xdr:to>
        <xdr:sp macro="" textlink="">
          <xdr:nvSpPr>
            <xdr:cNvPr id="71993" name="Check Box 313" hidden="1">
              <a:extLst>
                <a:ext uri="{63B3BB69-23CF-44E3-9099-C40C66FF867C}">
                  <a14:compatExt spid="_x0000_s719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13</xdr:row>
          <xdr:rowOff>0</xdr:rowOff>
        </xdr:from>
        <xdr:to>
          <xdr:col>20</xdr:col>
          <xdr:colOff>627154</xdr:colOff>
          <xdr:row>13</xdr:row>
          <xdr:rowOff>220222</xdr:rowOff>
        </xdr:to>
        <xdr:sp macro="" textlink="">
          <xdr:nvSpPr>
            <xdr:cNvPr id="71994" name="Check Box 314" hidden="1">
              <a:extLst>
                <a:ext uri="{63B3BB69-23CF-44E3-9099-C40C66FF867C}">
                  <a14:compatExt spid="_x0000_s719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14</xdr:row>
          <xdr:rowOff>0</xdr:rowOff>
        </xdr:from>
        <xdr:to>
          <xdr:col>20</xdr:col>
          <xdr:colOff>627154</xdr:colOff>
          <xdr:row>14</xdr:row>
          <xdr:rowOff>220222</xdr:rowOff>
        </xdr:to>
        <xdr:sp macro="" textlink="">
          <xdr:nvSpPr>
            <xdr:cNvPr id="71995" name="Check Box 315" hidden="1">
              <a:extLst>
                <a:ext uri="{63B3BB69-23CF-44E3-9099-C40C66FF867C}">
                  <a14:compatExt spid="_x0000_s719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38299</xdr:colOff>
          <xdr:row>20</xdr:row>
          <xdr:rowOff>0</xdr:rowOff>
        </xdr:from>
        <xdr:to>
          <xdr:col>20</xdr:col>
          <xdr:colOff>617579</xdr:colOff>
          <xdr:row>20</xdr:row>
          <xdr:rowOff>220222</xdr:rowOff>
        </xdr:to>
        <xdr:sp macro="" textlink="">
          <xdr:nvSpPr>
            <xdr:cNvPr id="71996" name="Check Box 316" hidden="1">
              <a:extLst>
                <a:ext uri="{63B3BB69-23CF-44E3-9099-C40C66FF867C}">
                  <a14:compatExt spid="_x0000_s719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19</xdr:row>
          <xdr:rowOff>0</xdr:rowOff>
        </xdr:from>
        <xdr:to>
          <xdr:col>20</xdr:col>
          <xdr:colOff>627154</xdr:colOff>
          <xdr:row>19</xdr:row>
          <xdr:rowOff>220222</xdr:rowOff>
        </xdr:to>
        <xdr:sp macro="" textlink="">
          <xdr:nvSpPr>
            <xdr:cNvPr id="71997" name="Check Box 317" hidden="1">
              <a:extLst>
                <a:ext uri="{63B3BB69-23CF-44E3-9099-C40C66FF867C}">
                  <a14:compatExt spid="_x0000_s719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36</xdr:row>
          <xdr:rowOff>0</xdr:rowOff>
        </xdr:from>
        <xdr:to>
          <xdr:col>20</xdr:col>
          <xdr:colOff>627154</xdr:colOff>
          <xdr:row>36</xdr:row>
          <xdr:rowOff>229797</xdr:rowOff>
        </xdr:to>
        <xdr:sp macro="" textlink="">
          <xdr:nvSpPr>
            <xdr:cNvPr id="71998" name="Check Box 318" hidden="1">
              <a:extLst>
                <a:ext uri="{63B3BB69-23CF-44E3-9099-C40C66FF867C}">
                  <a14:compatExt spid="_x0000_s719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22</xdr:row>
          <xdr:rowOff>0</xdr:rowOff>
        </xdr:from>
        <xdr:to>
          <xdr:col>20</xdr:col>
          <xdr:colOff>627154</xdr:colOff>
          <xdr:row>22</xdr:row>
          <xdr:rowOff>220222</xdr:rowOff>
        </xdr:to>
        <xdr:sp macro="" textlink="">
          <xdr:nvSpPr>
            <xdr:cNvPr id="71999" name="Check Box 319" hidden="1">
              <a:extLst>
                <a:ext uri="{63B3BB69-23CF-44E3-9099-C40C66FF867C}">
                  <a14:compatExt spid="_x0000_s719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25</xdr:row>
          <xdr:rowOff>0</xdr:rowOff>
        </xdr:from>
        <xdr:to>
          <xdr:col>20</xdr:col>
          <xdr:colOff>627154</xdr:colOff>
          <xdr:row>25</xdr:row>
          <xdr:rowOff>220222</xdr:rowOff>
        </xdr:to>
        <xdr:sp macro="" textlink="">
          <xdr:nvSpPr>
            <xdr:cNvPr id="72000" name="Check Box 320" hidden="1">
              <a:extLst>
                <a:ext uri="{63B3BB69-23CF-44E3-9099-C40C66FF867C}">
                  <a14:compatExt spid="_x0000_s720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26</xdr:row>
          <xdr:rowOff>0</xdr:rowOff>
        </xdr:from>
        <xdr:to>
          <xdr:col>20</xdr:col>
          <xdr:colOff>627154</xdr:colOff>
          <xdr:row>26</xdr:row>
          <xdr:rowOff>220222</xdr:rowOff>
        </xdr:to>
        <xdr:sp macro="" textlink="">
          <xdr:nvSpPr>
            <xdr:cNvPr id="72001" name="Check Box 321" hidden="1">
              <a:extLst>
                <a:ext uri="{63B3BB69-23CF-44E3-9099-C40C66FF867C}">
                  <a14:compatExt spid="_x0000_s720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27</xdr:row>
          <xdr:rowOff>0</xdr:rowOff>
        </xdr:from>
        <xdr:to>
          <xdr:col>20</xdr:col>
          <xdr:colOff>627154</xdr:colOff>
          <xdr:row>27</xdr:row>
          <xdr:rowOff>220222</xdr:rowOff>
        </xdr:to>
        <xdr:sp macro="" textlink="">
          <xdr:nvSpPr>
            <xdr:cNvPr id="72002" name="Check Box 322" hidden="1">
              <a:extLst>
                <a:ext uri="{63B3BB69-23CF-44E3-9099-C40C66FF867C}">
                  <a14:compatExt spid="_x0000_s720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38299</xdr:colOff>
          <xdr:row>18</xdr:row>
          <xdr:rowOff>0</xdr:rowOff>
        </xdr:from>
        <xdr:to>
          <xdr:col>20</xdr:col>
          <xdr:colOff>617579</xdr:colOff>
          <xdr:row>18</xdr:row>
          <xdr:rowOff>220222</xdr:rowOff>
        </xdr:to>
        <xdr:sp macro="" textlink="">
          <xdr:nvSpPr>
            <xdr:cNvPr id="72003" name="Check Box 323" hidden="1">
              <a:extLst>
                <a:ext uri="{63B3BB69-23CF-44E3-9099-C40C66FF867C}">
                  <a14:compatExt spid="_x0000_s720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34</xdr:row>
          <xdr:rowOff>19150</xdr:rowOff>
        </xdr:from>
        <xdr:to>
          <xdr:col>20</xdr:col>
          <xdr:colOff>627154</xdr:colOff>
          <xdr:row>34</xdr:row>
          <xdr:rowOff>239372</xdr:rowOff>
        </xdr:to>
        <xdr:sp macro="" textlink="">
          <xdr:nvSpPr>
            <xdr:cNvPr id="72004" name="Check Box 324" hidden="1">
              <a:extLst>
                <a:ext uri="{63B3BB69-23CF-44E3-9099-C40C66FF867C}">
                  <a14:compatExt spid="_x0000_s720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38</xdr:row>
          <xdr:rowOff>19150</xdr:rowOff>
        </xdr:from>
        <xdr:to>
          <xdr:col>20</xdr:col>
          <xdr:colOff>627154</xdr:colOff>
          <xdr:row>38</xdr:row>
          <xdr:rowOff>239372</xdr:rowOff>
        </xdr:to>
        <xdr:sp macro="" textlink="">
          <xdr:nvSpPr>
            <xdr:cNvPr id="72005" name="Check Box 325" hidden="1">
              <a:extLst>
                <a:ext uri="{63B3BB69-23CF-44E3-9099-C40C66FF867C}">
                  <a14:compatExt spid="_x0000_s720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12</xdr:row>
          <xdr:rowOff>0</xdr:rowOff>
        </xdr:from>
        <xdr:to>
          <xdr:col>20</xdr:col>
          <xdr:colOff>627154</xdr:colOff>
          <xdr:row>12</xdr:row>
          <xdr:rowOff>220222</xdr:rowOff>
        </xdr:to>
        <xdr:sp macro="" textlink="">
          <xdr:nvSpPr>
            <xdr:cNvPr id="72006" name="Check Box 326" hidden="1">
              <a:extLst>
                <a:ext uri="{63B3BB69-23CF-44E3-9099-C40C66FF867C}">
                  <a14:compatExt spid="_x0000_s720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23</xdr:row>
          <xdr:rowOff>0</xdr:rowOff>
        </xdr:from>
        <xdr:to>
          <xdr:col>20</xdr:col>
          <xdr:colOff>627154</xdr:colOff>
          <xdr:row>23</xdr:row>
          <xdr:rowOff>220222</xdr:rowOff>
        </xdr:to>
        <xdr:sp macro="" textlink="">
          <xdr:nvSpPr>
            <xdr:cNvPr id="72007" name="Check Box 327" hidden="1">
              <a:extLst>
                <a:ext uri="{63B3BB69-23CF-44E3-9099-C40C66FF867C}">
                  <a14:compatExt spid="_x0000_s720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39</xdr:row>
          <xdr:rowOff>19150</xdr:rowOff>
        </xdr:from>
        <xdr:to>
          <xdr:col>20</xdr:col>
          <xdr:colOff>627154</xdr:colOff>
          <xdr:row>39</xdr:row>
          <xdr:rowOff>239372</xdr:rowOff>
        </xdr:to>
        <xdr:sp macro="" textlink="">
          <xdr:nvSpPr>
            <xdr:cNvPr id="72008" name="Check Box 328" hidden="1">
              <a:extLst>
                <a:ext uri="{63B3BB69-23CF-44E3-9099-C40C66FF867C}">
                  <a14:compatExt spid="_x0000_s720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40</xdr:row>
          <xdr:rowOff>19150</xdr:rowOff>
        </xdr:from>
        <xdr:to>
          <xdr:col>20</xdr:col>
          <xdr:colOff>627154</xdr:colOff>
          <xdr:row>40</xdr:row>
          <xdr:rowOff>239372</xdr:rowOff>
        </xdr:to>
        <xdr:sp macro="" textlink="">
          <xdr:nvSpPr>
            <xdr:cNvPr id="72009" name="Check Box 329" hidden="1">
              <a:extLst>
                <a:ext uri="{63B3BB69-23CF-44E3-9099-C40C66FF867C}">
                  <a14:compatExt spid="_x0000_s72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15</xdr:row>
          <xdr:rowOff>0</xdr:rowOff>
        </xdr:from>
        <xdr:to>
          <xdr:col>20</xdr:col>
          <xdr:colOff>627154</xdr:colOff>
          <xdr:row>15</xdr:row>
          <xdr:rowOff>220222</xdr:rowOff>
        </xdr:to>
        <xdr:sp macro="" textlink="">
          <xdr:nvSpPr>
            <xdr:cNvPr id="72010" name="Check Box 330" hidden="1">
              <a:extLst>
                <a:ext uri="{63B3BB69-23CF-44E3-9099-C40C66FF867C}">
                  <a14:compatExt spid="_x0000_s720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17</xdr:row>
          <xdr:rowOff>0</xdr:rowOff>
        </xdr:from>
        <xdr:to>
          <xdr:col>20</xdr:col>
          <xdr:colOff>627154</xdr:colOff>
          <xdr:row>17</xdr:row>
          <xdr:rowOff>220222</xdr:rowOff>
        </xdr:to>
        <xdr:sp macro="" textlink="">
          <xdr:nvSpPr>
            <xdr:cNvPr id="72011" name="Check Box 331" hidden="1">
              <a:extLst>
                <a:ext uri="{63B3BB69-23CF-44E3-9099-C40C66FF867C}">
                  <a14:compatExt spid="_x0000_s720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38299</xdr:colOff>
          <xdr:row>21</xdr:row>
          <xdr:rowOff>0</xdr:rowOff>
        </xdr:from>
        <xdr:to>
          <xdr:col>20</xdr:col>
          <xdr:colOff>617579</xdr:colOff>
          <xdr:row>21</xdr:row>
          <xdr:rowOff>220222</xdr:rowOff>
        </xdr:to>
        <xdr:sp macro="" textlink="">
          <xdr:nvSpPr>
            <xdr:cNvPr id="72012" name="Check Box 332" hidden="1">
              <a:extLst>
                <a:ext uri="{63B3BB69-23CF-44E3-9099-C40C66FF867C}">
                  <a14:compatExt spid="_x0000_s720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28</xdr:row>
          <xdr:rowOff>0</xdr:rowOff>
        </xdr:from>
        <xdr:to>
          <xdr:col>20</xdr:col>
          <xdr:colOff>627154</xdr:colOff>
          <xdr:row>28</xdr:row>
          <xdr:rowOff>220222</xdr:rowOff>
        </xdr:to>
        <xdr:sp macro="" textlink="">
          <xdr:nvSpPr>
            <xdr:cNvPr id="72013" name="Check Box 333" hidden="1">
              <a:extLst>
                <a:ext uri="{63B3BB69-23CF-44E3-9099-C40C66FF867C}">
                  <a14:compatExt spid="_x0000_s720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29</xdr:row>
          <xdr:rowOff>0</xdr:rowOff>
        </xdr:from>
        <xdr:to>
          <xdr:col>20</xdr:col>
          <xdr:colOff>627154</xdr:colOff>
          <xdr:row>29</xdr:row>
          <xdr:rowOff>220222</xdr:rowOff>
        </xdr:to>
        <xdr:sp macro="" textlink="">
          <xdr:nvSpPr>
            <xdr:cNvPr id="72014" name="Check Box 334" hidden="1">
              <a:extLst>
                <a:ext uri="{63B3BB69-23CF-44E3-9099-C40C66FF867C}">
                  <a14:compatExt spid="_x0000_s720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30</xdr:row>
          <xdr:rowOff>0</xdr:rowOff>
        </xdr:from>
        <xdr:to>
          <xdr:col>20</xdr:col>
          <xdr:colOff>627154</xdr:colOff>
          <xdr:row>30</xdr:row>
          <xdr:rowOff>220222</xdr:rowOff>
        </xdr:to>
        <xdr:sp macro="" textlink="">
          <xdr:nvSpPr>
            <xdr:cNvPr id="72015" name="Check Box 335" hidden="1">
              <a:extLst>
                <a:ext uri="{63B3BB69-23CF-44E3-9099-C40C66FF867C}">
                  <a14:compatExt spid="_x0000_s720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31</xdr:row>
          <xdr:rowOff>0</xdr:rowOff>
        </xdr:from>
        <xdr:to>
          <xdr:col>20</xdr:col>
          <xdr:colOff>627154</xdr:colOff>
          <xdr:row>31</xdr:row>
          <xdr:rowOff>220222</xdr:rowOff>
        </xdr:to>
        <xdr:sp macro="" textlink="">
          <xdr:nvSpPr>
            <xdr:cNvPr id="72016" name="Check Box 336" hidden="1">
              <a:extLst>
                <a:ext uri="{63B3BB69-23CF-44E3-9099-C40C66FF867C}">
                  <a14:compatExt spid="_x0000_s720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32</xdr:row>
          <xdr:rowOff>0</xdr:rowOff>
        </xdr:from>
        <xdr:to>
          <xdr:col>20</xdr:col>
          <xdr:colOff>627154</xdr:colOff>
          <xdr:row>32</xdr:row>
          <xdr:rowOff>220222</xdr:rowOff>
        </xdr:to>
        <xdr:sp macro="" textlink="">
          <xdr:nvSpPr>
            <xdr:cNvPr id="72017" name="Check Box 337" hidden="1">
              <a:extLst>
                <a:ext uri="{63B3BB69-23CF-44E3-9099-C40C66FF867C}">
                  <a14:compatExt spid="_x0000_s720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35</xdr:row>
          <xdr:rowOff>0</xdr:rowOff>
        </xdr:from>
        <xdr:to>
          <xdr:col>20</xdr:col>
          <xdr:colOff>627154</xdr:colOff>
          <xdr:row>35</xdr:row>
          <xdr:rowOff>229797</xdr:rowOff>
        </xdr:to>
        <xdr:sp macro="" textlink="">
          <xdr:nvSpPr>
            <xdr:cNvPr id="72018" name="Check Box 338" hidden="1">
              <a:extLst>
                <a:ext uri="{63B3BB69-23CF-44E3-9099-C40C66FF867C}">
                  <a14:compatExt spid="_x0000_s720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24</xdr:row>
          <xdr:rowOff>19150</xdr:rowOff>
        </xdr:from>
        <xdr:to>
          <xdr:col>20</xdr:col>
          <xdr:colOff>627154</xdr:colOff>
          <xdr:row>24</xdr:row>
          <xdr:rowOff>239372</xdr:rowOff>
        </xdr:to>
        <xdr:sp macro="" textlink="">
          <xdr:nvSpPr>
            <xdr:cNvPr id="72019" name="Check Box 339" descr="Fosfaat" hidden="1">
              <a:extLst>
                <a:ext uri="{63B3BB69-23CF-44E3-9099-C40C66FF867C}">
                  <a14:compatExt spid="_x0000_s720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16</xdr:row>
          <xdr:rowOff>0</xdr:rowOff>
        </xdr:from>
        <xdr:to>
          <xdr:col>20</xdr:col>
          <xdr:colOff>627154</xdr:colOff>
          <xdr:row>16</xdr:row>
          <xdr:rowOff>220222</xdr:rowOff>
        </xdr:to>
        <xdr:sp macro="" textlink="">
          <xdr:nvSpPr>
            <xdr:cNvPr id="72020" name="Check Box 340" hidden="1">
              <a:extLst>
                <a:ext uri="{63B3BB69-23CF-44E3-9099-C40C66FF867C}">
                  <a14:compatExt spid="_x0000_s720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37</xdr:row>
          <xdr:rowOff>0</xdr:rowOff>
        </xdr:from>
        <xdr:to>
          <xdr:col>20</xdr:col>
          <xdr:colOff>627154</xdr:colOff>
          <xdr:row>37</xdr:row>
          <xdr:rowOff>229797</xdr:rowOff>
        </xdr:to>
        <xdr:sp macro="" textlink="">
          <xdr:nvSpPr>
            <xdr:cNvPr id="72021" name="Check Box 341" hidden="1">
              <a:extLst>
                <a:ext uri="{63B3BB69-23CF-44E3-9099-C40C66FF867C}">
                  <a14:compatExt spid="_x0000_s720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33</xdr:row>
          <xdr:rowOff>19150</xdr:rowOff>
        </xdr:from>
        <xdr:to>
          <xdr:col>20</xdr:col>
          <xdr:colOff>627154</xdr:colOff>
          <xdr:row>33</xdr:row>
          <xdr:rowOff>239372</xdr:rowOff>
        </xdr:to>
        <xdr:sp macro="" textlink="">
          <xdr:nvSpPr>
            <xdr:cNvPr id="72022" name="Check Box 342" descr="Fosfaat" hidden="1">
              <a:extLst>
                <a:ext uri="{63B3BB69-23CF-44E3-9099-C40C66FF867C}">
                  <a14:compatExt spid="_x0000_s720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636729</xdr:colOff>
          <xdr:row>2</xdr:row>
          <xdr:rowOff>57449</xdr:rowOff>
        </xdr:from>
        <xdr:to>
          <xdr:col>10</xdr:col>
          <xdr:colOff>713328</xdr:colOff>
          <xdr:row>3</xdr:row>
          <xdr:rowOff>9575</xdr:rowOff>
        </xdr:to>
        <xdr:sp macro="" textlink="">
          <xdr:nvSpPr>
            <xdr:cNvPr id="72023" name="Spinner 343" hidden="1">
              <a:extLst>
                <a:ext uri="{63B3BB69-23CF-44E3-9099-C40C66FF867C}">
                  <a14:compatExt spid="_x0000_s720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9</xdr:col>
      <xdr:colOff>19050</xdr:colOff>
      <xdr:row>1</xdr:row>
      <xdr:rowOff>47625</xdr:rowOff>
    </xdr:from>
    <xdr:to>
      <xdr:col>10</xdr:col>
      <xdr:colOff>0</xdr:colOff>
      <xdr:row>2</xdr:row>
      <xdr:rowOff>9525</xdr:rowOff>
    </xdr:to>
    <xdr:sp macro="[0]!InGewicht" textlink="">
      <xdr:nvSpPr>
        <xdr:cNvPr id="285" name="Rectangle 113"/>
        <xdr:cNvSpPr>
          <a:spLocks noChangeArrowheads="1"/>
        </xdr:cNvSpPr>
      </xdr:nvSpPr>
      <xdr:spPr bwMode="auto">
        <a:xfrm>
          <a:off x="5981700" y="142875"/>
          <a:ext cx="123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9</xdr:col>
      <xdr:colOff>609600</xdr:colOff>
      <xdr:row>2</xdr:row>
      <xdr:rowOff>171450</xdr:rowOff>
    </xdr:to>
    <xdr:sp macro="[0]!InLengte" textlink="">
      <xdr:nvSpPr>
        <xdr:cNvPr id="286" name="Rectangle 114"/>
        <xdr:cNvSpPr>
          <a:spLocks noChangeArrowheads="1"/>
        </xdr:cNvSpPr>
      </xdr:nvSpPr>
      <xdr:spPr bwMode="auto">
        <a:xfrm>
          <a:off x="5991225" y="333375"/>
          <a:ext cx="114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287" name="Rectangle 115"/>
        <xdr:cNvSpPr>
          <a:spLocks noChangeArrowheads="1"/>
        </xdr:cNvSpPr>
      </xdr:nvSpPr>
      <xdr:spPr bwMode="auto">
        <a:xfrm flipV="1">
          <a:off x="1676400" y="314325"/>
          <a:ext cx="142875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32</xdr:row>
      <xdr:rowOff>238125</xdr:rowOff>
    </xdr:from>
    <xdr:to>
      <xdr:col>6</xdr:col>
      <xdr:colOff>419100</xdr:colOff>
      <xdr:row>35</xdr:row>
      <xdr:rowOff>142875</xdr:rowOff>
    </xdr:to>
    <xdr:sp macro="" textlink="">
      <xdr:nvSpPr>
        <xdr:cNvPr id="4" name="Text Box 1"/>
        <xdr:cNvSpPr txBox="1">
          <a:spLocks noChangeArrowheads="1"/>
        </xdr:cNvSpPr>
      </xdr:nvSpPr>
      <xdr:spPr bwMode="auto">
        <a:xfrm>
          <a:off x="2628900" y="7762875"/>
          <a:ext cx="4752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a:spPr>
      <a:bodyPr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2.xml"/><Relationship Id="rId21" Type="http://schemas.openxmlformats.org/officeDocument/2006/relationships/ctrlProp" Target="../ctrlProps/ctrlProp17.xml"/><Relationship Id="rId42" Type="http://schemas.openxmlformats.org/officeDocument/2006/relationships/ctrlProp" Target="../ctrlProps/ctrlProp38.xml"/><Relationship Id="rId47" Type="http://schemas.openxmlformats.org/officeDocument/2006/relationships/ctrlProp" Target="../ctrlProps/ctrlProp43.xml"/><Relationship Id="rId63" Type="http://schemas.openxmlformats.org/officeDocument/2006/relationships/ctrlProp" Target="../ctrlProps/ctrlProp59.xml"/><Relationship Id="rId68" Type="http://schemas.openxmlformats.org/officeDocument/2006/relationships/ctrlProp" Target="../ctrlProps/ctrlProp64.xml"/><Relationship Id="rId16" Type="http://schemas.openxmlformats.org/officeDocument/2006/relationships/ctrlProp" Target="../ctrlProps/ctrlProp12.xml"/><Relationship Id="rId11" Type="http://schemas.openxmlformats.org/officeDocument/2006/relationships/ctrlProp" Target="../ctrlProps/ctrlProp7.xml"/><Relationship Id="rId32" Type="http://schemas.openxmlformats.org/officeDocument/2006/relationships/ctrlProp" Target="../ctrlProps/ctrlProp28.xml"/><Relationship Id="rId37" Type="http://schemas.openxmlformats.org/officeDocument/2006/relationships/ctrlProp" Target="../ctrlProps/ctrlProp33.xml"/><Relationship Id="rId53" Type="http://schemas.openxmlformats.org/officeDocument/2006/relationships/ctrlProp" Target="../ctrlProps/ctrlProp49.xml"/><Relationship Id="rId58" Type="http://schemas.openxmlformats.org/officeDocument/2006/relationships/ctrlProp" Target="../ctrlProps/ctrlProp54.xml"/><Relationship Id="rId74" Type="http://schemas.openxmlformats.org/officeDocument/2006/relationships/ctrlProp" Target="../ctrlProps/ctrlProp70.xml"/><Relationship Id="rId79" Type="http://schemas.openxmlformats.org/officeDocument/2006/relationships/ctrlProp" Target="../ctrlProps/ctrlProp75.xml"/><Relationship Id="rId5" Type="http://schemas.openxmlformats.org/officeDocument/2006/relationships/ctrlProp" Target="../ctrlProps/ctrlProp1.xml"/><Relationship Id="rId61" Type="http://schemas.openxmlformats.org/officeDocument/2006/relationships/ctrlProp" Target="../ctrlProps/ctrlProp57.xml"/><Relationship Id="rId82" Type="http://schemas.openxmlformats.org/officeDocument/2006/relationships/ctrlProp" Target="../ctrlProps/ctrlProp78.xml"/><Relationship Id="rId19" Type="http://schemas.openxmlformats.org/officeDocument/2006/relationships/ctrlProp" Target="../ctrlProps/ctrlProp15.xml"/><Relationship Id="rId14" Type="http://schemas.openxmlformats.org/officeDocument/2006/relationships/ctrlProp" Target="../ctrlProps/ctrlProp10.xml"/><Relationship Id="rId22" Type="http://schemas.openxmlformats.org/officeDocument/2006/relationships/ctrlProp" Target="../ctrlProps/ctrlProp18.xml"/><Relationship Id="rId27" Type="http://schemas.openxmlformats.org/officeDocument/2006/relationships/ctrlProp" Target="../ctrlProps/ctrlProp23.xml"/><Relationship Id="rId30" Type="http://schemas.openxmlformats.org/officeDocument/2006/relationships/ctrlProp" Target="../ctrlProps/ctrlProp26.xml"/><Relationship Id="rId35" Type="http://schemas.openxmlformats.org/officeDocument/2006/relationships/ctrlProp" Target="../ctrlProps/ctrlProp31.xml"/><Relationship Id="rId43" Type="http://schemas.openxmlformats.org/officeDocument/2006/relationships/ctrlProp" Target="../ctrlProps/ctrlProp39.xml"/><Relationship Id="rId48" Type="http://schemas.openxmlformats.org/officeDocument/2006/relationships/ctrlProp" Target="../ctrlProps/ctrlProp44.xml"/><Relationship Id="rId56" Type="http://schemas.openxmlformats.org/officeDocument/2006/relationships/ctrlProp" Target="../ctrlProps/ctrlProp52.xml"/><Relationship Id="rId64" Type="http://schemas.openxmlformats.org/officeDocument/2006/relationships/ctrlProp" Target="../ctrlProps/ctrlProp60.xml"/><Relationship Id="rId69" Type="http://schemas.openxmlformats.org/officeDocument/2006/relationships/ctrlProp" Target="../ctrlProps/ctrlProp65.xml"/><Relationship Id="rId77" Type="http://schemas.openxmlformats.org/officeDocument/2006/relationships/ctrlProp" Target="../ctrlProps/ctrlProp73.xml"/><Relationship Id="rId8" Type="http://schemas.openxmlformats.org/officeDocument/2006/relationships/ctrlProp" Target="../ctrlProps/ctrlProp4.xml"/><Relationship Id="rId51" Type="http://schemas.openxmlformats.org/officeDocument/2006/relationships/ctrlProp" Target="../ctrlProps/ctrlProp47.xml"/><Relationship Id="rId72" Type="http://schemas.openxmlformats.org/officeDocument/2006/relationships/ctrlProp" Target="../ctrlProps/ctrlProp68.xml"/><Relationship Id="rId80" Type="http://schemas.openxmlformats.org/officeDocument/2006/relationships/ctrlProp" Target="../ctrlProps/ctrlProp76.xml"/><Relationship Id="rId3" Type="http://schemas.openxmlformats.org/officeDocument/2006/relationships/drawing" Target="../drawings/drawing1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5" Type="http://schemas.openxmlformats.org/officeDocument/2006/relationships/ctrlProp" Target="../ctrlProps/ctrlProp21.xml"/><Relationship Id="rId33" Type="http://schemas.openxmlformats.org/officeDocument/2006/relationships/ctrlProp" Target="../ctrlProps/ctrlProp29.xml"/><Relationship Id="rId38" Type="http://schemas.openxmlformats.org/officeDocument/2006/relationships/ctrlProp" Target="../ctrlProps/ctrlProp34.xml"/><Relationship Id="rId46" Type="http://schemas.openxmlformats.org/officeDocument/2006/relationships/ctrlProp" Target="../ctrlProps/ctrlProp42.xml"/><Relationship Id="rId59" Type="http://schemas.openxmlformats.org/officeDocument/2006/relationships/ctrlProp" Target="../ctrlProps/ctrlProp55.xml"/><Relationship Id="rId67" Type="http://schemas.openxmlformats.org/officeDocument/2006/relationships/ctrlProp" Target="../ctrlProps/ctrlProp63.xml"/><Relationship Id="rId20" Type="http://schemas.openxmlformats.org/officeDocument/2006/relationships/ctrlProp" Target="../ctrlProps/ctrlProp16.xml"/><Relationship Id="rId41" Type="http://schemas.openxmlformats.org/officeDocument/2006/relationships/ctrlProp" Target="../ctrlProps/ctrlProp37.xml"/><Relationship Id="rId54" Type="http://schemas.openxmlformats.org/officeDocument/2006/relationships/ctrlProp" Target="../ctrlProps/ctrlProp50.xml"/><Relationship Id="rId62" Type="http://schemas.openxmlformats.org/officeDocument/2006/relationships/ctrlProp" Target="../ctrlProps/ctrlProp58.xml"/><Relationship Id="rId70" Type="http://schemas.openxmlformats.org/officeDocument/2006/relationships/ctrlProp" Target="../ctrlProps/ctrlProp66.xml"/><Relationship Id="rId75" Type="http://schemas.openxmlformats.org/officeDocument/2006/relationships/ctrlProp" Target="../ctrlProps/ctrlProp7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15" Type="http://schemas.openxmlformats.org/officeDocument/2006/relationships/ctrlProp" Target="../ctrlProps/ctrlProp11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36" Type="http://schemas.openxmlformats.org/officeDocument/2006/relationships/ctrlProp" Target="../ctrlProps/ctrlProp32.xml"/><Relationship Id="rId49" Type="http://schemas.openxmlformats.org/officeDocument/2006/relationships/ctrlProp" Target="../ctrlProps/ctrlProp45.xml"/><Relationship Id="rId57" Type="http://schemas.openxmlformats.org/officeDocument/2006/relationships/ctrlProp" Target="../ctrlProps/ctrlProp53.xml"/><Relationship Id="rId10" Type="http://schemas.openxmlformats.org/officeDocument/2006/relationships/ctrlProp" Target="../ctrlProps/ctrlProp6.xml"/><Relationship Id="rId31" Type="http://schemas.openxmlformats.org/officeDocument/2006/relationships/ctrlProp" Target="../ctrlProps/ctrlProp27.xml"/><Relationship Id="rId44" Type="http://schemas.openxmlformats.org/officeDocument/2006/relationships/ctrlProp" Target="../ctrlProps/ctrlProp40.xml"/><Relationship Id="rId52" Type="http://schemas.openxmlformats.org/officeDocument/2006/relationships/ctrlProp" Target="../ctrlProps/ctrlProp48.xml"/><Relationship Id="rId60" Type="http://schemas.openxmlformats.org/officeDocument/2006/relationships/ctrlProp" Target="../ctrlProps/ctrlProp56.xml"/><Relationship Id="rId65" Type="http://schemas.openxmlformats.org/officeDocument/2006/relationships/ctrlProp" Target="../ctrlProps/ctrlProp61.xml"/><Relationship Id="rId73" Type="http://schemas.openxmlformats.org/officeDocument/2006/relationships/ctrlProp" Target="../ctrlProps/ctrlProp69.xml"/><Relationship Id="rId78" Type="http://schemas.openxmlformats.org/officeDocument/2006/relationships/ctrlProp" Target="../ctrlProps/ctrlProp74.xml"/><Relationship Id="rId81" Type="http://schemas.openxmlformats.org/officeDocument/2006/relationships/ctrlProp" Target="../ctrlProps/ctrlProp77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9" Type="http://schemas.openxmlformats.org/officeDocument/2006/relationships/ctrlProp" Target="../ctrlProps/ctrlProp35.xml"/><Relationship Id="rId34" Type="http://schemas.openxmlformats.org/officeDocument/2006/relationships/ctrlProp" Target="../ctrlProps/ctrlProp30.xml"/><Relationship Id="rId50" Type="http://schemas.openxmlformats.org/officeDocument/2006/relationships/ctrlProp" Target="../ctrlProps/ctrlProp46.xml"/><Relationship Id="rId55" Type="http://schemas.openxmlformats.org/officeDocument/2006/relationships/ctrlProp" Target="../ctrlProps/ctrlProp51.xml"/><Relationship Id="rId76" Type="http://schemas.openxmlformats.org/officeDocument/2006/relationships/ctrlProp" Target="../ctrlProps/ctrlProp72.xml"/><Relationship Id="rId7" Type="http://schemas.openxmlformats.org/officeDocument/2006/relationships/ctrlProp" Target="../ctrlProps/ctrlProp3.xml"/><Relationship Id="rId71" Type="http://schemas.openxmlformats.org/officeDocument/2006/relationships/ctrlProp" Target="../ctrlProps/ctrlProp67.xml"/><Relationship Id="rId2" Type="http://schemas.openxmlformats.org/officeDocument/2006/relationships/printerSettings" Target="../printerSettings/printerSettings2.bin"/><Relationship Id="rId29" Type="http://schemas.openxmlformats.org/officeDocument/2006/relationships/ctrlProp" Target="../ctrlProps/ctrlProp25.xml"/><Relationship Id="rId24" Type="http://schemas.openxmlformats.org/officeDocument/2006/relationships/ctrlProp" Target="../ctrlProps/ctrlProp20.xml"/><Relationship Id="rId40" Type="http://schemas.openxmlformats.org/officeDocument/2006/relationships/ctrlProp" Target="../ctrlProps/ctrlProp36.xml"/><Relationship Id="rId45" Type="http://schemas.openxmlformats.org/officeDocument/2006/relationships/ctrlProp" Target="../ctrlProps/ctrlProp41.xml"/><Relationship Id="rId66" Type="http://schemas.openxmlformats.org/officeDocument/2006/relationships/ctrlProp" Target="../ctrlProps/ctrlProp6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91.xml"/><Relationship Id="rId21" Type="http://schemas.openxmlformats.org/officeDocument/2006/relationships/ctrlProp" Target="../ctrlProps/ctrlProp95.xml"/><Relationship Id="rId42" Type="http://schemas.openxmlformats.org/officeDocument/2006/relationships/ctrlProp" Target="../ctrlProps/ctrlProp116.xml"/><Relationship Id="rId63" Type="http://schemas.openxmlformats.org/officeDocument/2006/relationships/ctrlProp" Target="../ctrlProps/ctrlProp137.xml"/><Relationship Id="rId84" Type="http://schemas.openxmlformats.org/officeDocument/2006/relationships/ctrlProp" Target="../ctrlProps/ctrlProp158.xml"/><Relationship Id="rId138" Type="http://schemas.openxmlformats.org/officeDocument/2006/relationships/ctrlProp" Target="../ctrlProps/ctrlProp212.xml"/><Relationship Id="rId159" Type="http://schemas.openxmlformats.org/officeDocument/2006/relationships/ctrlProp" Target="../ctrlProps/ctrlProp233.xml"/><Relationship Id="rId170" Type="http://schemas.openxmlformats.org/officeDocument/2006/relationships/ctrlProp" Target="../ctrlProps/ctrlProp244.xml"/><Relationship Id="rId191" Type="http://schemas.openxmlformats.org/officeDocument/2006/relationships/ctrlProp" Target="../ctrlProps/ctrlProp265.xml"/><Relationship Id="rId205" Type="http://schemas.openxmlformats.org/officeDocument/2006/relationships/ctrlProp" Target="../ctrlProps/ctrlProp279.xml"/><Relationship Id="rId226" Type="http://schemas.openxmlformats.org/officeDocument/2006/relationships/ctrlProp" Target="../ctrlProps/ctrlProp300.xml"/><Relationship Id="rId107" Type="http://schemas.openxmlformats.org/officeDocument/2006/relationships/ctrlProp" Target="../ctrlProps/ctrlProp181.xml"/><Relationship Id="rId11" Type="http://schemas.openxmlformats.org/officeDocument/2006/relationships/ctrlProp" Target="../ctrlProps/ctrlProp85.xml"/><Relationship Id="rId32" Type="http://schemas.openxmlformats.org/officeDocument/2006/relationships/ctrlProp" Target="../ctrlProps/ctrlProp106.xml"/><Relationship Id="rId53" Type="http://schemas.openxmlformats.org/officeDocument/2006/relationships/ctrlProp" Target="../ctrlProps/ctrlProp127.xml"/><Relationship Id="rId74" Type="http://schemas.openxmlformats.org/officeDocument/2006/relationships/ctrlProp" Target="../ctrlProps/ctrlProp148.xml"/><Relationship Id="rId128" Type="http://schemas.openxmlformats.org/officeDocument/2006/relationships/ctrlProp" Target="../ctrlProps/ctrlProp202.xml"/><Relationship Id="rId149" Type="http://schemas.openxmlformats.org/officeDocument/2006/relationships/ctrlProp" Target="../ctrlProps/ctrlProp223.xml"/><Relationship Id="rId5" Type="http://schemas.openxmlformats.org/officeDocument/2006/relationships/ctrlProp" Target="../ctrlProps/ctrlProp79.xml"/><Relationship Id="rId95" Type="http://schemas.openxmlformats.org/officeDocument/2006/relationships/ctrlProp" Target="../ctrlProps/ctrlProp169.xml"/><Relationship Id="rId160" Type="http://schemas.openxmlformats.org/officeDocument/2006/relationships/ctrlProp" Target="../ctrlProps/ctrlProp234.xml"/><Relationship Id="rId181" Type="http://schemas.openxmlformats.org/officeDocument/2006/relationships/ctrlProp" Target="../ctrlProps/ctrlProp255.xml"/><Relationship Id="rId216" Type="http://schemas.openxmlformats.org/officeDocument/2006/relationships/ctrlProp" Target="../ctrlProps/ctrlProp290.xml"/><Relationship Id="rId237" Type="http://schemas.openxmlformats.org/officeDocument/2006/relationships/ctrlProp" Target="../ctrlProps/ctrlProp311.xml"/><Relationship Id="rId22" Type="http://schemas.openxmlformats.org/officeDocument/2006/relationships/ctrlProp" Target="../ctrlProps/ctrlProp96.xml"/><Relationship Id="rId43" Type="http://schemas.openxmlformats.org/officeDocument/2006/relationships/ctrlProp" Target="../ctrlProps/ctrlProp117.xml"/><Relationship Id="rId64" Type="http://schemas.openxmlformats.org/officeDocument/2006/relationships/ctrlProp" Target="../ctrlProps/ctrlProp138.xml"/><Relationship Id="rId118" Type="http://schemas.openxmlformats.org/officeDocument/2006/relationships/ctrlProp" Target="../ctrlProps/ctrlProp192.xml"/><Relationship Id="rId139" Type="http://schemas.openxmlformats.org/officeDocument/2006/relationships/ctrlProp" Target="../ctrlProps/ctrlProp213.xml"/><Relationship Id="rId85" Type="http://schemas.openxmlformats.org/officeDocument/2006/relationships/ctrlProp" Target="../ctrlProps/ctrlProp159.xml"/><Relationship Id="rId150" Type="http://schemas.openxmlformats.org/officeDocument/2006/relationships/ctrlProp" Target="../ctrlProps/ctrlProp224.xml"/><Relationship Id="rId171" Type="http://schemas.openxmlformats.org/officeDocument/2006/relationships/ctrlProp" Target="../ctrlProps/ctrlProp245.xml"/><Relationship Id="rId192" Type="http://schemas.openxmlformats.org/officeDocument/2006/relationships/ctrlProp" Target="../ctrlProps/ctrlProp266.xml"/><Relationship Id="rId206" Type="http://schemas.openxmlformats.org/officeDocument/2006/relationships/ctrlProp" Target="../ctrlProps/ctrlProp280.xml"/><Relationship Id="rId227" Type="http://schemas.openxmlformats.org/officeDocument/2006/relationships/ctrlProp" Target="../ctrlProps/ctrlProp301.xml"/><Relationship Id="rId12" Type="http://schemas.openxmlformats.org/officeDocument/2006/relationships/ctrlProp" Target="../ctrlProps/ctrlProp86.xml"/><Relationship Id="rId33" Type="http://schemas.openxmlformats.org/officeDocument/2006/relationships/ctrlProp" Target="../ctrlProps/ctrlProp107.xml"/><Relationship Id="rId108" Type="http://schemas.openxmlformats.org/officeDocument/2006/relationships/ctrlProp" Target="../ctrlProps/ctrlProp182.xml"/><Relationship Id="rId129" Type="http://schemas.openxmlformats.org/officeDocument/2006/relationships/ctrlProp" Target="../ctrlProps/ctrlProp203.xml"/><Relationship Id="rId54" Type="http://schemas.openxmlformats.org/officeDocument/2006/relationships/ctrlProp" Target="../ctrlProps/ctrlProp128.xml"/><Relationship Id="rId75" Type="http://schemas.openxmlformats.org/officeDocument/2006/relationships/ctrlProp" Target="../ctrlProps/ctrlProp149.xml"/><Relationship Id="rId96" Type="http://schemas.openxmlformats.org/officeDocument/2006/relationships/ctrlProp" Target="../ctrlProps/ctrlProp170.xml"/><Relationship Id="rId140" Type="http://schemas.openxmlformats.org/officeDocument/2006/relationships/ctrlProp" Target="../ctrlProps/ctrlProp214.xml"/><Relationship Id="rId161" Type="http://schemas.openxmlformats.org/officeDocument/2006/relationships/ctrlProp" Target="../ctrlProps/ctrlProp235.xml"/><Relationship Id="rId182" Type="http://schemas.openxmlformats.org/officeDocument/2006/relationships/ctrlProp" Target="../ctrlProps/ctrlProp256.xml"/><Relationship Id="rId217" Type="http://schemas.openxmlformats.org/officeDocument/2006/relationships/ctrlProp" Target="../ctrlProps/ctrlProp291.xml"/><Relationship Id="rId6" Type="http://schemas.openxmlformats.org/officeDocument/2006/relationships/ctrlProp" Target="../ctrlProps/ctrlProp80.xml"/><Relationship Id="rId238" Type="http://schemas.openxmlformats.org/officeDocument/2006/relationships/ctrlProp" Target="../ctrlProps/ctrlProp312.xml"/><Relationship Id="rId23" Type="http://schemas.openxmlformats.org/officeDocument/2006/relationships/ctrlProp" Target="../ctrlProps/ctrlProp97.xml"/><Relationship Id="rId119" Type="http://schemas.openxmlformats.org/officeDocument/2006/relationships/ctrlProp" Target="../ctrlProps/ctrlProp193.xml"/><Relationship Id="rId44" Type="http://schemas.openxmlformats.org/officeDocument/2006/relationships/ctrlProp" Target="../ctrlProps/ctrlProp118.xml"/><Relationship Id="rId65" Type="http://schemas.openxmlformats.org/officeDocument/2006/relationships/ctrlProp" Target="../ctrlProps/ctrlProp139.xml"/><Relationship Id="rId86" Type="http://schemas.openxmlformats.org/officeDocument/2006/relationships/ctrlProp" Target="../ctrlProps/ctrlProp160.xml"/><Relationship Id="rId130" Type="http://schemas.openxmlformats.org/officeDocument/2006/relationships/ctrlProp" Target="../ctrlProps/ctrlProp204.xml"/><Relationship Id="rId151" Type="http://schemas.openxmlformats.org/officeDocument/2006/relationships/ctrlProp" Target="../ctrlProps/ctrlProp225.xml"/><Relationship Id="rId172" Type="http://schemas.openxmlformats.org/officeDocument/2006/relationships/ctrlProp" Target="../ctrlProps/ctrlProp246.xml"/><Relationship Id="rId193" Type="http://schemas.openxmlformats.org/officeDocument/2006/relationships/ctrlProp" Target="../ctrlProps/ctrlProp267.xml"/><Relationship Id="rId207" Type="http://schemas.openxmlformats.org/officeDocument/2006/relationships/ctrlProp" Target="../ctrlProps/ctrlProp281.xml"/><Relationship Id="rId228" Type="http://schemas.openxmlformats.org/officeDocument/2006/relationships/ctrlProp" Target="../ctrlProps/ctrlProp302.xml"/><Relationship Id="rId13" Type="http://schemas.openxmlformats.org/officeDocument/2006/relationships/ctrlProp" Target="../ctrlProps/ctrlProp87.xml"/><Relationship Id="rId109" Type="http://schemas.openxmlformats.org/officeDocument/2006/relationships/ctrlProp" Target="../ctrlProps/ctrlProp183.xml"/><Relationship Id="rId34" Type="http://schemas.openxmlformats.org/officeDocument/2006/relationships/ctrlProp" Target="../ctrlProps/ctrlProp108.xml"/><Relationship Id="rId55" Type="http://schemas.openxmlformats.org/officeDocument/2006/relationships/ctrlProp" Target="../ctrlProps/ctrlProp129.xml"/><Relationship Id="rId76" Type="http://schemas.openxmlformats.org/officeDocument/2006/relationships/ctrlProp" Target="../ctrlProps/ctrlProp150.xml"/><Relationship Id="rId97" Type="http://schemas.openxmlformats.org/officeDocument/2006/relationships/ctrlProp" Target="../ctrlProps/ctrlProp171.xml"/><Relationship Id="rId120" Type="http://schemas.openxmlformats.org/officeDocument/2006/relationships/ctrlProp" Target="../ctrlProps/ctrlProp194.xml"/><Relationship Id="rId141" Type="http://schemas.openxmlformats.org/officeDocument/2006/relationships/ctrlProp" Target="../ctrlProps/ctrlProp215.xml"/><Relationship Id="rId7" Type="http://schemas.openxmlformats.org/officeDocument/2006/relationships/ctrlProp" Target="../ctrlProps/ctrlProp81.xml"/><Relationship Id="rId162" Type="http://schemas.openxmlformats.org/officeDocument/2006/relationships/ctrlProp" Target="../ctrlProps/ctrlProp236.xml"/><Relationship Id="rId183" Type="http://schemas.openxmlformats.org/officeDocument/2006/relationships/ctrlProp" Target="../ctrlProps/ctrlProp257.xml"/><Relationship Id="rId218" Type="http://schemas.openxmlformats.org/officeDocument/2006/relationships/ctrlProp" Target="../ctrlProps/ctrlProp292.xml"/><Relationship Id="rId239" Type="http://schemas.openxmlformats.org/officeDocument/2006/relationships/ctrlProp" Target="../ctrlProps/ctrlProp313.xml"/><Relationship Id="rId24" Type="http://schemas.openxmlformats.org/officeDocument/2006/relationships/ctrlProp" Target="../ctrlProps/ctrlProp98.xml"/><Relationship Id="rId45" Type="http://schemas.openxmlformats.org/officeDocument/2006/relationships/ctrlProp" Target="../ctrlProps/ctrlProp119.xml"/><Relationship Id="rId66" Type="http://schemas.openxmlformats.org/officeDocument/2006/relationships/ctrlProp" Target="../ctrlProps/ctrlProp140.xml"/><Relationship Id="rId87" Type="http://schemas.openxmlformats.org/officeDocument/2006/relationships/ctrlProp" Target="../ctrlProps/ctrlProp161.xml"/><Relationship Id="rId110" Type="http://schemas.openxmlformats.org/officeDocument/2006/relationships/ctrlProp" Target="../ctrlProps/ctrlProp184.xml"/><Relationship Id="rId131" Type="http://schemas.openxmlformats.org/officeDocument/2006/relationships/ctrlProp" Target="../ctrlProps/ctrlProp205.xml"/><Relationship Id="rId152" Type="http://schemas.openxmlformats.org/officeDocument/2006/relationships/ctrlProp" Target="../ctrlProps/ctrlProp226.xml"/><Relationship Id="rId173" Type="http://schemas.openxmlformats.org/officeDocument/2006/relationships/ctrlProp" Target="../ctrlProps/ctrlProp247.xml"/><Relationship Id="rId194" Type="http://schemas.openxmlformats.org/officeDocument/2006/relationships/ctrlProp" Target="../ctrlProps/ctrlProp268.xml"/><Relationship Id="rId208" Type="http://schemas.openxmlformats.org/officeDocument/2006/relationships/ctrlProp" Target="../ctrlProps/ctrlProp282.xml"/><Relationship Id="rId229" Type="http://schemas.openxmlformats.org/officeDocument/2006/relationships/ctrlProp" Target="../ctrlProps/ctrlProp303.xml"/><Relationship Id="rId240" Type="http://schemas.openxmlformats.org/officeDocument/2006/relationships/ctrlProp" Target="../ctrlProps/ctrlProp314.xml"/><Relationship Id="rId14" Type="http://schemas.openxmlformats.org/officeDocument/2006/relationships/ctrlProp" Target="../ctrlProps/ctrlProp88.xml"/><Relationship Id="rId35" Type="http://schemas.openxmlformats.org/officeDocument/2006/relationships/ctrlProp" Target="../ctrlProps/ctrlProp109.xml"/><Relationship Id="rId56" Type="http://schemas.openxmlformats.org/officeDocument/2006/relationships/ctrlProp" Target="../ctrlProps/ctrlProp130.xml"/><Relationship Id="rId77" Type="http://schemas.openxmlformats.org/officeDocument/2006/relationships/ctrlProp" Target="../ctrlProps/ctrlProp151.xml"/><Relationship Id="rId100" Type="http://schemas.openxmlformats.org/officeDocument/2006/relationships/ctrlProp" Target="../ctrlProps/ctrlProp174.xml"/><Relationship Id="rId8" Type="http://schemas.openxmlformats.org/officeDocument/2006/relationships/ctrlProp" Target="../ctrlProps/ctrlProp82.xml"/><Relationship Id="rId98" Type="http://schemas.openxmlformats.org/officeDocument/2006/relationships/ctrlProp" Target="../ctrlProps/ctrlProp172.xml"/><Relationship Id="rId121" Type="http://schemas.openxmlformats.org/officeDocument/2006/relationships/ctrlProp" Target="../ctrlProps/ctrlProp195.xml"/><Relationship Id="rId142" Type="http://schemas.openxmlformats.org/officeDocument/2006/relationships/ctrlProp" Target="../ctrlProps/ctrlProp216.xml"/><Relationship Id="rId163" Type="http://schemas.openxmlformats.org/officeDocument/2006/relationships/ctrlProp" Target="../ctrlProps/ctrlProp237.xml"/><Relationship Id="rId184" Type="http://schemas.openxmlformats.org/officeDocument/2006/relationships/ctrlProp" Target="../ctrlProps/ctrlProp258.xml"/><Relationship Id="rId219" Type="http://schemas.openxmlformats.org/officeDocument/2006/relationships/ctrlProp" Target="../ctrlProps/ctrlProp293.xml"/><Relationship Id="rId230" Type="http://schemas.openxmlformats.org/officeDocument/2006/relationships/ctrlProp" Target="../ctrlProps/ctrlProp304.xml"/><Relationship Id="rId25" Type="http://schemas.openxmlformats.org/officeDocument/2006/relationships/ctrlProp" Target="../ctrlProps/ctrlProp99.xml"/><Relationship Id="rId46" Type="http://schemas.openxmlformats.org/officeDocument/2006/relationships/ctrlProp" Target="../ctrlProps/ctrlProp120.xml"/><Relationship Id="rId67" Type="http://schemas.openxmlformats.org/officeDocument/2006/relationships/ctrlProp" Target="../ctrlProps/ctrlProp141.xml"/><Relationship Id="rId88" Type="http://schemas.openxmlformats.org/officeDocument/2006/relationships/ctrlProp" Target="../ctrlProps/ctrlProp162.xml"/><Relationship Id="rId111" Type="http://schemas.openxmlformats.org/officeDocument/2006/relationships/ctrlProp" Target="../ctrlProps/ctrlProp185.xml"/><Relationship Id="rId132" Type="http://schemas.openxmlformats.org/officeDocument/2006/relationships/ctrlProp" Target="../ctrlProps/ctrlProp206.xml"/><Relationship Id="rId153" Type="http://schemas.openxmlformats.org/officeDocument/2006/relationships/ctrlProp" Target="../ctrlProps/ctrlProp227.xml"/><Relationship Id="rId174" Type="http://schemas.openxmlformats.org/officeDocument/2006/relationships/ctrlProp" Target="../ctrlProps/ctrlProp248.xml"/><Relationship Id="rId195" Type="http://schemas.openxmlformats.org/officeDocument/2006/relationships/ctrlProp" Target="../ctrlProps/ctrlProp269.xml"/><Relationship Id="rId209" Type="http://schemas.openxmlformats.org/officeDocument/2006/relationships/ctrlProp" Target="../ctrlProps/ctrlProp283.xml"/><Relationship Id="rId220" Type="http://schemas.openxmlformats.org/officeDocument/2006/relationships/ctrlProp" Target="../ctrlProps/ctrlProp294.xml"/><Relationship Id="rId241" Type="http://schemas.openxmlformats.org/officeDocument/2006/relationships/ctrlProp" Target="../ctrlProps/ctrlProp315.xml"/><Relationship Id="rId15" Type="http://schemas.openxmlformats.org/officeDocument/2006/relationships/ctrlProp" Target="../ctrlProps/ctrlProp89.xml"/><Relationship Id="rId36" Type="http://schemas.openxmlformats.org/officeDocument/2006/relationships/ctrlProp" Target="../ctrlProps/ctrlProp110.xml"/><Relationship Id="rId57" Type="http://schemas.openxmlformats.org/officeDocument/2006/relationships/ctrlProp" Target="../ctrlProps/ctrlProp131.xml"/><Relationship Id="rId10" Type="http://schemas.openxmlformats.org/officeDocument/2006/relationships/ctrlProp" Target="../ctrlProps/ctrlProp84.xml"/><Relationship Id="rId31" Type="http://schemas.openxmlformats.org/officeDocument/2006/relationships/ctrlProp" Target="../ctrlProps/ctrlProp105.xml"/><Relationship Id="rId52" Type="http://schemas.openxmlformats.org/officeDocument/2006/relationships/ctrlProp" Target="../ctrlProps/ctrlProp126.xml"/><Relationship Id="rId73" Type="http://schemas.openxmlformats.org/officeDocument/2006/relationships/ctrlProp" Target="../ctrlProps/ctrlProp147.xml"/><Relationship Id="rId78" Type="http://schemas.openxmlformats.org/officeDocument/2006/relationships/ctrlProp" Target="../ctrlProps/ctrlProp152.xml"/><Relationship Id="rId94" Type="http://schemas.openxmlformats.org/officeDocument/2006/relationships/ctrlProp" Target="../ctrlProps/ctrlProp168.xml"/><Relationship Id="rId99" Type="http://schemas.openxmlformats.org/officeDocument/2006/relationships/ctrlProp" Target="../ctrlProps/ctrlProp173.xml"/><Relationship Id="rId101" Type="http://schemas.openxmlformats.org/officeDocument/2006/relationships/ctrlProp" Target="../ctrlProps/ctrlProp175.xml"/><Relationship Id="rId122" Type="http://schemas.openxmlformats.org/officeDocument/2006/relationships/ctrlProp" Target="../ctrlProps/ctrlProp196.xml"/><Relationship Id="rId143" Type="http://schemas.openxmlformats.org/officeDocument/2006/relationships/ctrlProp" Target="../ctrlProps/ctrlProp217.xml"/><Relationship Id="rId148" Type="http://schemas.openxmlformats.org/officeDocument/2006/relationships/ctrlProp" Target="../ctrlProps/ctrlProp222.xml"/><Relationship Id="rId164" Type="http://schemas.openxmlformats.org/officeDocument/2006/relationships/ctrlProp" Target="../ctrlProps/ctrlProp238.xml"/><Relationship Id="rId169" Type="http://schemas.openxmlformats.org/officeDocument/2006/relationships/ctrlProp" Target="../ctrlProps/ctrlProp243.xml"/><Relationship Id="rId185" Type="http://schemas.openxmlformats.org/officeDocument/2006/relationships/ctrlProp" Target="../ctrlProps/ctrlProp259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83.xml"/><Relationship Id="rId180" Type="http://schemas.openxmlformats.org/officeDocument/2006/relationships/ctrlProp" Target="../ctrlProps/ctrlProp254.xml"/><Relationship Id="rId210" Type="http://schemas.openxmlformats.org/officeDocument/2006/relationships/ctrlProp" Target="../ctrlProps/ctrlProp284.xml"/><Relationship Id="rId215" Type="http://schemas.openxmlformats.org/officeDocument/2006/relationships/ctrlProp" Target="../ctrlProps/ctrlProp289.xml"/><Relationship Id="rId236" Type="http://schemas.openxmlformats.org/officeDocument/2006/relationships/ctrlProp" Target="../ctrlProps/ctrlProp310.xml"/><Relationship Id="rId26" Type="http://schemas.openxmlformats.org/officeDocument/2006/relationships/ctrlProp" Target="../ctrlProps/ctrlProp100.xml"/><Relationship Id="rId231" Type="http://schemas.openxmlformats.org/officeDocument/2006/relationships/ctrlProp" Target="../ctrlProps/ctrlProp305.xml"/><Relationship Id="rId47" Type="http://schemas.openxmlformats.org/officeDocument/2006/relationships/ctrlProp" Target="../ctrlProps/ctrlProp121.xml"/><Relationship Id="rId68" Type="http://schemas.openxmlformats.org/officeDocument/2006/relationships/ctrlProp" Target="../ctrlProps/ctrlProp142.xml"/><Relationship Id="rId89" Type="http://schemas.openxmlformats.org/officeDocument/2006/relationships/ctrlProp" Target="../ctrlProps/ctrlProp163.xml"/><Relationship Id="rId112" Type="http://schemas.openxmlformats.org/officeDocument/2006/relationships/ctrlProp" Target="../ctrlProps/ctrlProp186.xml"/><Relationship Id="rId133" Type="http://schemas.openxmlformats.org/officeDocument/2006/relationships/ctrlProp" Target="../ctrlProps/ctrlProp207.xml"/><Relationship Id="rId154" Type="http://schemas.openxmlformats.org/officeDocument/2006/relationships/ctrlProp" Target="../ctrlProps/ctrlProp228.xml"/><Relationship Id="rId175" Type="http://schemas.openxmlformats.org/officeDocument/2006/relationships/ctrlProp" Target="../ctrlProps/ctrlProp249.xml"/><Relationship Id="rId196" Type="http://schemas.openxmlformats.org/officeDocument/2006/relationships/ctrlProp" Target="../ctrlProps/ctrlProp270.xml"/><Relationship Id="rId200" Type="http://schemas.openxmlformats.org/officeDocument/2006/relationships/ctrlProp" Target="../ctrlProps/ctrlProp274.xml"/><Relationship Id="rId16" Type="http://schemas.openxmlformats.org/officeDocument/2006/relationships/ctrlProp" Target="../ctrlProps/ctrlProp90.xml"/><Relationship Id="rId221" Type="http://schemas.openxmlformats.org/officeDocument/2006/relationships/ctrlProp" Target="../ctrlProps/ctrlProp295.xml"/><Relationship Id="rId242" Type="http://schemas.openxmlformats.org/officeDocument/2006/relationships/ctrlProp" Target="../ctrlProps/ctrlProp316.xml"/><Relationship Id="rId37" Type="http://schemas.openxmlformats.org/officeDocument/2006/relationships/ctrlProp" Target="../ctrlProps/ctrlProp111.xml"/><Relationship Id="rId58" Type="http://schemas.openxmlformats.org/officeDocument/2006/relationships/ctrlProp" Target="../ctrlProps/ctrlProp132.xml"/><Relationship Id="rId79" Type="http://schemas.openxmlformats.org/officeDocument/2006/relationships/ctrlProp" Target="../ctrlProps/ctrlProp153.xml"/><Relationship Id="rId102" Type="http://schemas.openxmlformats.org/officeDocument/2006/relationships/ctrlProp" Target="../ctrlProps/ctrlProp176.xml"/><Relationship Id="rId123" Type="http://schemas.openxmlformats.org/officeDocument/2006/relationships/ctrlProp" Target="../ctrlProps/ctrlProp197.xml"/><Relationship Id="rId144" Type="http://schemas.openxmlformats.org/officeDocument/2006/relationships/ctrlProp" Target="../ctrlProps/ctrlProp218.xml"/><Relationship Id="rId90" Type="http://schemas.openxmlformats.org/officeDocument/2006/relationships/ctrlProp" Target="../ctrlProps/ctrlProp164.xml"/><Relationship Id="rId165" Type="http://schemas.openxmlformats.org/officeDocument/2006/relationships/ctrlProp" Target="../ctrlProps/ctrlProp239.xml"/><Relationship Id="rId186" Type="http://schemas.openxmlformats.org/officeDocument/2006/relationships/ctrlProp" Target="../ctrlProps/ctrlProp260.xml"/><Relationship Id="rId211" Type="http://schemas.openxmlformats.org/officeDocument/2006/relationships/ctrlProp" Target="../ctrlProps/ctrlProp285.xml"/><Relationship Id="rId232" Type="http://schemas.openxmlformats.org/officeDocument/2006/relationships/ctrlProp" Target="../ctrlProps/ctrlProp306.xml"/><Relationship Id="rId27" Type="http://schemas.openxmlformats.org/officeDocument/2006/relationships/ctrlProp" Target="../ctrlProps/ctrlProp101.xml"/><Relationship Id="rId48" Type="http://schemas.openxmlformats.org/officeDocument/2006/relationships/ctrlProp" Target="../ctrlProps/ctrlProp122.xml"/><Relationship Id="rId69" Type="http://schemas.openxmlformats.org/officeDocument/2006/relationships/ctrlProp" Target="../ctrlProps/ctrlProp143.xml"/><Relationship Id="rId113" Type="http://schemas.openxmlformats.org/officeDocument/2006/relationships/ctrlProp" Target="../ctrlProps/ctrlProp187.xml"/><Relationship Id="rId134" Type="http://schemas.openxmlformats.org/officeDocument/2006/relationships/ctrlProp" Target="../ctrlProps/ctrlProp208.xml"/><Relationship Id="rId80" Type="http://schemas.openxmlformats.org/officeDocument/2006/relationships/ctrlProp" Target="../ctrlProps/ctrlProp154.xml"/><Relationship Id="rId155" Type="http://schemas.openxmlformats.org/officeDocument/2006/relationships/ctrlProp" Target="../ctrlProps/ctrlProp229.xml"/><Relationship Id="rId176" Type="http://schemas.openxmlformats.org/officeDocument/2006/relationships/ctrlProp" Target="../ctrlProps/ctrlProp250.xml"/><Relationship Id="rId197" Type="http://schemas.openxmlformats.org/officeDocument/2006/relationships/ctrlProp" Target="../ctrlProps/ctrlProp271.xml"/><Relationship Id="rId201" Type="http://schemas.openxmlformats.org/officeDocument/2006/relationships/ctrlProp" Target="../ctrlProps/ctrlProp275.xml"/><Relationship Id="rId222" Type="http://schemas.openxmlformats.org/officeDocument/2006/relationships/ctrlProp" Target="../ctrlProps/ctrlProp296.xml"/><Relationship Id="rId243" Type="http://schemas.openxmlformats.org/officeDocument/2006/relationships/ctrlProp" Target="../ctrlProps/ctrlProp317.xml"/><Relationship Id="rId17" Type="http://schemas.openxmlformats.org/officeDocument/2006/relationships/ctrlProp" Target="../ctrlProps/ctrlProp91.xml"/><Relationship Id="rId38" Type="http://schemas.openxmlformats.org/officeDocument/2006/relationships/ctrlProp" Target="../ctrlProps/ctrlProp112.xml"/><Relationship Id="rId59" Type="http://schemas.openxmlformats.org/officeDocument/2006/relationships/ctrlProp" Target="../ctrlProps/ctrlProp133.xml"/><Relationship Id="rId103" Type="http://schemas.openxmlformats.org/officeDocument/2006/relationships/ctrlProp" Target="../ctrlProps/ctrlProp177.xml"/><Relationship Id="rId124" Type="http://schemas.openxmlformats.org/officeDocument/2006/relationships/ctrlProp" Target="../ctrlProps/ctrlProp198.xml"/><Relationship Id="rId70" Type="http://schemas.openxmlformats.org/officeDocument/2006/relationships/ctrlProp" Target="../ctrlProps/ctrlProp144.xml"/><Relationship Id="rId91" Type="http://schemas.openxmlformats.org/officeDocument/2006/relationships/ctrlProp" Target="../ctrlProps/ctrlProp165.xml"/><Relationship Id="rId145" Type="http://schemas.openxmlformats.org/officeDocument/2006/relationships/ctrlProp" Target="../ctrlProps/ctrlProp219.xml"/><Relationship Id="rId166" Type="http://schemas.openxmlformats.org/officeDocument/2006/relationships/ctrlProp" Target="../ctrlProps/ctrlProp240.xml"/><Relationship Id="rId187" Type="http://schemas.openxmlformats.org/officeDocument/2006/relationships/ctrlProp" Target="../ctrlProps/ctrlProp261.xml"/><Relationship Id="rId1" Type="http://schemas.openxmlformats.org/officeDocument/2006/relationships/printerSettings" Target="../printerSettings/printerSettings6.bin"/><Relationship Id="rId212" Type="http://schemas.openxmlformats.org/officeDocument/2006/relationships/ctrlProp" Target="../ctrlProps/ctrlProp286.xml"/><Relationship Id="rId233" Type="http://schemas.openxmlformats.org/officeDocument/2006/relationships/ctrlProp" Target="../ctrlProps/ctrlProp307.xml"/><Relationship Id="rId28" Type="http://schemas.openxmlformats.org/officeDocument/2006/relationships/ctrlProp" Target="../ctrlProps/ctrlProp102.xml"/><Relationship Id="rId49" Type="http://schemas.openxmlformats.org/officeDocument/2006/relationships/ctrlProp" Target="../ctrlProps/ctrlProp123.xml"/><Relationship Id="rId114" Type="http://schemas.openxmlformats.org/officeDocument/2006/relationships/ctrlProp" Target="../ctrlProps/ctrlProp188.xml"/><Relationship Id="rId60" Type="http://schemas.openxmlformats.org/officeDocument/2006/relationships/ctrlProp" Target="../ctrlProps/ctrlProp134.xml"/><Relationship Id="rId81" Type="http://schemas.openxmlformats.org/officeDocument/2006/relationships/ctrlProp" Target="../ctrlProps/ctrlProp155.xml"/><Relationship Id="rId135" Type="http://schemas.openxmlformats.org/officeDocument/2006/relationships/ctrlProp" Target="../ctrlProps/ctrlProp209.xml"/><Relationship Id="rId156" Type="http://schemas.openxmlformats.org/officeDocument/2006/relationships/ctrlProp" Target="../ctrlProps/ctrlProp230.xml"/><Relationship Id="rId177" Type="http://schemas.openxmlformats.org/officeDocument/2006/relationships/ctrlProp" Target="../ctrlProps/ctrlProp251.xml"/><Relationship Id="rId198" Type="http://schemas.openxmlformats.org/officeDocument/2006/relationships/ctrlProp" Target="../ctrlProps/ctrlProp272.xml"/><Relationship Id="rId202" Type="http://schemas.openxmlformats.org/officeDocument/2006/relationships/ctrlProp" Target="../ctrlProps/ctrlProp276.xml"/><Relationship Id="rId223" Type="http://schemas.openxmlformats.org/officeDocument/2006/relationships/ctrlProp" Target="../ctrlProps/ctrlProp297.xml"/><Relationship Id="rId244" Type="http://schemas.openxmlformats.org/officeDocument/2006/relationships/ctrlProp" Target="../ctrlProps/ctrlProp318.xml"/><Relationship Id="rId18" Type="http://schemas.openxmlformats.org/officeDocument/2006/relationships/ctrlProp" Target="../ctrlProps/ctrlProp92.xml"/><Relationship Id="rId39" Type="http://schemas.openxmlformats.org/officeDocument/2006/relationships/ctrlProp" Target="../ctrlProps/ctrlProp113.xml"/><Relationship Id="rId50" Type="http://schemas.openxmlformats.org/officeDocument/2006/relationships/ctrlProp" Target="../ctrlProps/ctrlProp124.xml"/><Relationship Id="rId104" Type="http://schemas.openxmlformats.org/officeDocument/2006/relationships/ctrlProp" Target="../ctrlProps/ctrlProp178.xml"/><Relationship Id="rId125" Type="http://schemas.openxmlformats.org/officeDocument/2006/relationships/ctrlProp" Target="../ctrlProps/ctrlProp199.xml"/><Relationship Id="rId146" Type="http://schemas.openxmlformats.org/officeDocument/2006/relationships/ctrlProp" Target="../ctrlProps/ctrlProp220.xml"/><Relationship Id="rId167" Type="http://schemas.openxmlformats.org/officeDocument/2006/relationships/ctrlProp" Target="../ctrlProps/ctrlProp241.xml"/><Relationship Id="rId188" Type="http://schemas.openxmlformats.org/officeDocument/2006/relationships/ctrlProp" Target="../ctrlProps/ctrlProp262.xml"/><Relationship Id="rId71" Type="http://schemas.openxmlformats.org/officeDocument/2006/relationships/ctrlProp" Target="../ctrlProps/ctrlProp145.xml"/><Relationship Id="rId92" Type="http://schemas.openxmlformats.org/officeDocument/2006/relationships/ctrlProp" Target="../ctrlProps/ctrlProp166.xml"/><Relationship Id="rId213" Type="http://schemas.openxmlformats.org/officeDocument/2006/relationships/ctrlProp" Target="../ctrlProps/ctrlProp287.xml"/><Relationship Id="rId234" Type="http://schemas.openxmlformats.org/officeDocument/2006/relationships/ctrlProp" Target="../ctrlProps/ctrlProp308.xml"/><Relationship Id="rId2" Type="http://schemas.openxmlformats.org/officeDocument/2006/relationships/printerSettings" Target="../printerSettings/printerSettings7.bin"/><Relationship Id="rId29" Type="http://schemas.openxmlformats.org/officeDocument/2006/relationships/ctrlProp" Target="../ctrlProps/ctrlProp103.xml"/><Relationship Id="rId40" Type="http://schemas.openxmlformats.org/officeDocument/2006/relationships/ctrlProp" Target="../ctrlProps/ctrlProp114.xml"/><Relationship Id="rId115" Type="http://schemas.openxmlformats.org/officeDocument/2006/relationships/ctrlProp" Target="../ctrlProps/ctrlProp189.xml"/><Relationship Id="rId136" Type="http://schemas.openxmlformats.org/officeDocument/2006/relationships/ctrlProp" Target="../ctrlProps/ctrlProp210.xml"/><Relationship Id="rId157" Type="http://schemas.openxmlformats.org/officeDocument/2006/relationships/ctrlProp" Target="../ctrlProps/ctrlProp231.xml"/><Relationship Id="rId178" Type="http://schemas.openxmlformats.org/officeDocument/2006/relationships/ctrlProp" Target="../ctrlProps/ctrlProp252.xml"/><Relationship Id="rId61" Type="http://schemas.openxmlformats.org/officeDocument/2006/relationships/ctrlProp" Target="../ctrlProps/ctrlProp135.xml"/><Relationship Id="rId82" Type="http://schemas.openxmlformats.org/officeDocument/2006/relationships/ctrlProp" Target="../ctrlProps/ctrlProp156.xml"/><Relationship Id="rId199" Type="http://schemas.openxmlformats.org/officeDocument/2006/relationships/ctrlProp" Target="../ctrlProps/ctrlProp273.xml"/><Relationship Id="rId203" Type="http://schemas.openxmlformats.org/officeDocument/2006/relationships/ctrlProp" Target="../ctrlProps/ctrlProp277.xml"/><Relationship Id="rId19" Type="http://schemas.openxmlformats.org/officeDocument/2006/relationships/ctrlProp" Target="../ctrlProps/ctrlProp93.xml"/><Relationship Id="rId224" Type="http://schemas.openxmlformats.org/officeDocument/2006/relationships/ctrlProp" Target="../ctrlProps/ctrlProp298.xml"/><Relationship Id="rId245" Type="http://schemas.openxmlformats.org/officeDocument/2006/relationships/ctrlProp" Target="../ctrlProps/ctrlProp319.xml"/><Relationship Id="rId30" Type="http://schemas.openxmlformats.org/officeDocument/2006/relationships/ctrlProp" Target="../ctrlProps/ctrlProp104.xml"/><Relationship Id="rId105" Type="http://schemas.openxmlformats.org/officeDocument/2006/relationships/ctrlProp" Target="../ctrlProps/ctrlProp179.xml"/><Relationship Id="rId126" Type="http://schemas.openxmlformats.org/officeDocument/2006/relationships/ctrlProp" Target="../ctrlProps/ctrlProp200.xml"/><Relationship Id="rId147" Type="http://schemas.openxmlformats.org/officeDocument/2006/relationships/ctrlProp" Target="../ctrlProps/ctrlProp221.xml"/><Relationship Id="rId168" Type="http://schemas.openxmlformats.org/officeDocument/2006/relationships/ctrlProp" Target="../ctrlProps/ctrlProp242.xml"/><Relationship Id="rId51" Type="http://schemas.openxmlformats.org/officeDocument/2006/relationships/ctrlProp" Target="../ctrlProps/ctrlProp125.xml"/><Relationship Id="rId72" Type="http://schemas.openxmlformats.org/officeDocument/2006/relationships/ctrlProp" Target="../ctrlProps/ctrlProp146.xml"/><Relationship Id="rId93" Type="http://schemas.openxmlformats.org/officeDocument/2006/relationships/ctrlProp" Target="../ctrlProps/ctrlProp167.xml"/><Relationship Id="rId189" Type="http://schemas.openxmlformats.org/officeDocument/2006/relationships/ctrlProp" Target="../ctrlProps/ctrlProp263.xml"/><Relationship Id="rId3" Type="http://schemas.openxmlformats.org/officeDocument/2006/relationships/drawing" Target="../drawings/drawing2.xml"/><Relationship Id="rId214" Type="http://schemas.openxmlformats.org/officeDocument/2006/relationships/ctrlProp" Target="../ctrlProps/ctrlProp288.xml"/><Relationship Id="rId235" Type="http://schemas.openxmlformats.org/officeDocument/2006/relationships/ctrlProp" Target="../ctrlProps/ctrlProp309.xml"/><Relationship Id="rId116" Type="http://schemas.openxmlformats.org/officeDocument/2006/relationships/ctrlProp" Target="../ctrlProps/ctrlProp190.xml"/><Relationship Id="rId137" Type="http://schemas.openxmlformats.org/officeDocument/2006/relationships/ctrlProp" Target="../ctrlProps/ctrlProp211.xml"/><Relationship Id="rId158" Type="http://schemas.openxmlformats.org/officeDocument/2006/relationships/ctrlProp" Target="../ctrlProps/ctrlProp232.xml"/><Relationship Id="rId20" Type="http://schemas.openxmlformats.org/officeDocument/2006/relationships/ctrlProp" Target="../ctrlProps/ctrlProp94.xml"/><Relationship Id="rId41" Type="http://schemas.openxmlformats.org/officeDocument/2006/relationships/ctrlProp" Target="../ctrlProps/ctrlProp115.xml"/><Relationship Id="rId62" Type="http://schemas.openxmlformats.org/officeDocument/2006/relationships/ctrlProp" Target="../ctrlProps/ctrlProp136.xml"/><Relationship Id="rId83" Type="http://schemas.openxmlformats.org/officeDocument/2006/relationships/ctrlProp" Target="../ctrlProps/ctrlProp157.xml"/><Relationship Id="rId179" Type="http://schemas.openxmlformats.org/officeDocument/2006/relationships/ctrlProp" Target="../ctrlProps/ctrlProp253.xml"/><Relationship Id="rId190" Type="http://schemas.openxmlformats.org/officeDocument/2006/relationships/ctrlProp" Target="../ctrlProps/ctrlProp264.xml"/><Relationship Id="rId204" Type="http://schemas.openxmlformats.org/officeDocument/2006/relationships/ctrlProp" Target="../ctrlProps/ctrlProp278.xml"/><Relationship Id="rId225" Type="http://schemas.openxmlformats.org/officeDocument/2006/relationships/ctrlProp" Target="../ctrlProps/ctrlProp299.xml"/><Relationship Id="rId246" Type="http://schemas.openxmlformats.org/officeDocument/2006/relationships/ctrlProp" Target="../ctrlProps/ctrlProp320.xml"/><Relationship Id="rId106" Type="http://schemas.openxmlformats.org/officeDocument/2006/relationships/ctrlProp" Target="../ctrlProps/ctrlProp180.xml"/><Relationship Id="rId127" Type="http://schemas.openxmlformats.org/officeDocument/2006/relationships/ctrlProp" Target="../ctrlProps/ctrlProp20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24.xml"/><Relationship Id="rId13" Type="http://schemas.openxmlformats.org/officeDocument/2006/relationships/ctrlProp" Target="../ctrlProps/ctrlProp329.xml"/><Relationship Id="rId18" Type="http://schemas.openxmlformats.org/officeDocument/2006/relationships/ctrlProp" Target="../ctrlProps/ctrlProp334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323.xml"/><Relationship Id="rId12" Type="http://schemas.openxmlformats.org/officeDocument/2006/relationships/ctrlProp" Target="../ctrlProps/ctrlProp328.xml"/><Relationship Id="rId17" Type="http://schemas.openxmlformats.org/officeDocument/2006/relationships/ctrlProp" Target="../ctrlProps/ctrlProp333.xml"/><Relationship Id="rId2" Type="http://schemas.openxmlformats.org/officeDocument/2006/relationships/printerSettings" Target="../printerSettings/printerSettings10.bin"/><Relationship Id="rId16" Type="http://schemas.openxmlformats.org/officeDocument/2006/relationships/ctrlProp" Target="../ctrlProps/ctrlProp33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322.xml"/><Relationship Id="rId11" Type="http://schemas.openxmlformats.org/officeDocument/2006/relationships/ctrlProp" Target="../ctrlProps/ctrlProp327.xml"/><Relationship Id="rId5" Type="http://schemas.openxmlformats.org/officeDocument/2006/relationships/ctrlProp" Target="../ctrlProps/ctrlProp321.xml"/><Relationship Id="rId15" Type="http://schemas.openxmlformats.org/officeDocument/2006/relationships/ctrlProp" Target="../ctrlProps/ctrlProp331.xml"/><Relationship Id="rId10" Type="http://schemas.openxmlformats.org/officeDocument/2006/relationships/ctrlProp" Target="../ctrlProps/ctrlProp326.xml"/><Relationship Id="rId19" Type="http://schemas.openxmlformats.org/officeDocument/2006/relationships/ctrlProp" Target="../ctrlProps/ctrlProp335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325.xml"/><Relationship Id="rId14" Type="http://schemas.openxmlformats.org/officeDocument/2006/relationships/ctrlProp" Target="../ctrlProps/ctrlProp33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0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344.xml"/><Relationship Id="rId18" Type="http://schemas.openxmlformats.org/officeDocument/2006/relationships/ctrlProp" Target="../ctrlProps/ctrlProp349.xml"/><Relationship Id="rId26" Type="http://schemas.openxmlformats.org/officeDocument/2006/relationships/ctrlProp" Target="../ctrlProps/ctrlProp357.xml"/><Relationship Id="rId39" Type="http://schemas.openxmlformats.org/officeDocument/2006/relationships/ctrlProp" Target="../ctrlProps/ctrlProp370.xml"/><Relationship Id="rId21" Type="http://schemas.openxmlformats.org/officeDocument/2006/relationships/ctrlProp" Target="../ctrlProps/ctrlProp352.xml"/><Relationship Id="rId34" Type="http://schemas.openxmlformats.org/officeDocument/2006/relationships/ctrlProp" Target="../ctrlProps/ctrlProp365.xml"/><Relationship Id="rId42" Type="http://schemas.openxmlformats.org/officeDocument/2006/relationships/ctrlProp" Target="../ctrlProps/ctrlProp373.xml"/><Relationship Id="rId7" Type="http://schemas.openxmlformats.org/officeDocument/2006/relationships/ctrlProp" Target="../ctrlProps/ctrlProp338.xml"/><Relationship Id="rId2" Type="http://schemas.openxmlformats.org/officeDocument/2006/relationships/printerSettings" Target="../printerSettings/printerSettings13.bin"/><Relationship Id="rId16" Type="http://schemas.openxmlformats.org/officeDocument/2006/relationships/ctrlProp" Target="../ctrlProps/ctrlProp347.xml"/><Relationship Id="rId29" Type="http://schemas.openxmlformats.org/officeDocument/2006/relationships/ctrlProp" Target="../ctrlProps/ctrlProp360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337.xml"/><Relationship Id="rId11" Type="http://schemas.openxmlformats.org/officeDocument/2006/relationships/ctrlProp" Target="../ctrlProps/ctrlProp342.xml"/><Relationship Id="rId24" Type="http://schemas.openxmlformats.org/officeDocument/2006/relationships/ctrlProp" Target="../ctrlProps/ctrlProp355.xml"/><Relationship Id="rId32" Type="http://schemas.openxmlformats.org/officeDocument/2006/relationships/ctrlProp" Target="../ctrlProps/ctrlProp363.xml"/><Relationship Id="rId37" Type="http://schemas.openxmlformats.org/officeDocument/2006/relationships/ctrlProp" Target="../ctrlProps/ctrlProp368.xml"/><Relationship Id="rId40" Type="http://schemas.openxmlformats.org/officeDocument/2006/relationships/ctrlProp" Target="../ctrlProps/ctrlProp371.xml"/><Relationship Id="rId45" Type="http://schemas.openxmlformats.org/officeDocument/2006/relationships/ctrlProp" Target="../ctrlProps/ctrlProp376.xml"/><Relationship Id="rId5" Type="http://schemas.openxmlformats.org/officeDocument/2006/relationships/ctrlProp" Target="../ctrlProps/ctrlProp336.xml"/><Relationship Id="rId15" Type="http://schemas.openxmlformats.org/officeDocument/2006/relationships/ctrlProp" Target="../ctrlProps/ctrlProp346.xml"/><Relationship Id="rId23" Type="http://schemas.openxmlformats.org/officeDocument/2006/relationships/ctrlProp" Target="../ctrlProps/ctrlProp354.xml"/><Relationship Id="rId28" Type="http://schemas.openxmlformats.org/officeDocument/2006/relationships/ctrlProp" Target="../ctrlProps/ctrlProp359.xml"/><Relationship Id="rId36" Type="http://schemas.openxmlformats.org/officeDocument/2006/relationships/ctrlProp" Target="../ctrlProps/ctrlProp367.xml"/><Relationship Id="rId10" Type="http://schemas.openxmlformats.org/officeDocument/2006/relationships/ctrlProp" Target="../ctrlProps/ctrlProp341.xml"/><Relationship Id="rId19" Type="http://schemas.openxmlformats.org/officeDocument/2006/relationships/ctrlProp" Target="../ctrlProps/ctrlProp350.xml"/><Relationship Id="rId31" Type="http://schemas.openxmlformats.org/officeDocument/2006/relationships/ctrlProp" Target="../ctrlProps/ctrlProp362.xml"/><Relationship Id="rId44" Type="http://schemas.openxmlformats.org/officeDocument/2006/relationships/ctrlProp" Target="../ctrlProps/ctrlProp375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340.xml"/><Relationship Id="rId14" Type="http://schemas.openxmlformats.org/officeDocument/2006/relationships/ctrlProp" Target="../ctrlProps/ctrlProp345.xml"/><Relationship Id="rId22" Type="http://schemas.openxmlformats.org/officeDocument/2006/relationships/ctrlProp" Target="../ctrlProps/ctrlProp353.xml"/><Relationship Id="rId27" Type="http://schemas.openxmlformats.org/officeDocument/2006/relationships/ctrlProp" Target="../ctrlProps/ctrlProp358.xml"/><Relationship Id="rId30" Type="http://schemas.openxmlformats.org/officeDocument/2006/relationships/ctrlProp" Target="../ctrlProps/ctrlProp361.xml"/><Relationship Id="rId35" Type="http://schemas.openxmlformats.org/officeDocument/2006/relationships/ctrlProp" Target="../ctrlProps/ctrlProp366.xml"/><Relationship Id="rId43" Type="http://schemas.openxmlformats.org/officeDocument/2006/relationships/ctrlProp" Target="../ctrlProps/ctrlProp374.xml"/><Relationship Id="rId8" Type="http://schemas.openxmlformats.org/officeDocument/2006/relationships/ctrlProp" Target="../ctrlProps/ctrlProp339.xml"/><Relationship Id="rId3" Type="http://schemas.openxmlformats.org/officeDocument/2006/relationships/drawing" Target="../drawings/drawing4.xml"/><Relationship Id="rId12" Type="http://schemas.openxmlformats.org/officeDocument/2006/relationships/ctrlProp" Target="../ctrlProps/ctrlProp343.xml"/><Relationship Id="rId17" Type="http://schemas.openxmlformats.org/officeDocument/2006/relationships/ctrlProp" Target="../ctrlProps/ctrlProp348.xml"/><Relationship Id="rId25" Type="http://schemas.openxmlformats.org/officeDocument/2006/relationships/ctrlProp" Target="../ctrlProps/ctrlProp356.xml"/><Relationship Id="rId33" Type="http://schemas.openxmlformats.org/officeDocument/2006/relationships/ctrlProp" Target="../ctrlProps/ctrlProp364.xml"/><Relationship Id="rId38" Type="http://schemas.openxmlformats.org/officeDocument/2006/relationships/ctrlProp" Target="../ctrlProps/ctrlProp369.xml"/><Relationship Id="rId20" Type="http://schemas.openxmlformats.org/officeDocument/2006/relationships/ctrlProp" Target="../ctrlProps/ctrlProp351.xml"/><Relationship Id="rId41" Type="http://schemas.openxmlformats.org/officeDocument/2006/relationships/ctrlProp" Target="../ctrlProps/ctrlProp372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rinterSettings" Target="../printerSettings/printerSettings1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0.xml"/><Relationship Id="rId21" Type="http://schemas.openxmlformats.org/officeDocument/2006/relationships/ctrlProp" Target="../ctrlProps/ctrlProp394.xml"/><Relationship Id="rId42" Type="http://schemas.openxmlformats.org/officeDocument/2006/relationships/ctrlProp" Target="../ctrlProps/ctrlProp415.xml"/><Relationship Id="rId63" Type="http://schemas.openxmlformats.org/officeDocument/2006/relationships/ctrlProp" Target="../ctrlProps/ctrlProp436.xml"/><Relationship Id="rId84" Type="http://schemas.openxmlformats.org/officeDocument/2006/relationships/ctrlProp" Target="../ctrlProps/ctrlProp457.xml"/><Relationship Id="rId138" Type="http://schemas.openxmlformats.org/officeDocument/2006/relationships/ctrlProp" Target="../ctrlProps/ctrlProp511.xml"/><Relationship Id="rId159" Type="http://schemas.openxmlformats.org/officeDocument/2006/relationships/ctrlProp" Target="../ctrlProps/ctrlProp532.xml"/><Relationship Id="rId107" Type="http://schemas.openxmlformats.org/officeDocument/2006/relationships/ctrlProp" Target="../ctrlProps/ctrlProp480.xml"/><Relationship Id="rId11" Type="http://schemas.openxmlformats.org/officeDocument/2006/relationships/ctrlProp" Target="../ctrlProps/ctrlProp384.xml"/><Relationship Id="rId32" Type="http://schemas.openxmlformats.org/officeDocument/2006/relationships/ctrlProp" Target="../ctrlProps/ctrlProp405.xml"/><Relationship Id="rId53" Type="http://schemas.openxmlformats.org/officeDocument/2006/relationships/ctrlProp" Target="../ctrlProps/ctrlProp426.xml"/><Relationship Id="rId74" Type="http://schemas.openxmlformats.org/officeDocument/2006/relationships/ctrlProp" Target="../ctrlProps/ctrlProp447.xml"/><Relationship Id="rId128" Type="http://schemas.openxmlformats.org/officeDocument/2006/relationships/ctrlProp" Target="../ctrlProps/ctrlProp501.xml"/><Relationship Id="rId149" Type="http://schemas.openxmlformats.org/officeDocument/2006/relationships/ctrlProp" Target="../ctrlProps/ctrlProp522.xml"/><Relationship Id="rId5" Type="http://schemas.openxmlformats.org/officeDocument/2006/relationships/ctrlProp" Target="../ctrlProps/ctrlProp378.xml"/><Relationship Id="rId95" Type="http://schemas.openxmlformats.org/officeDocument/2006/relationships/ctrlProp" Target="../ctrlProps/ctrlProp468.xml"/><Relationship Id="rId160" Type="http://schemas.openxmlformats.org/officeDocument/2006/relationships/ctrlProp" Target="../ctrlProps/ctrlProp533.xml"/><Relationship Id="rId22" Type="http://schemas.openxmlformats.org/officeDocument/2006/relationships/ctrlProp" Target="../ctrlProps/ctrlProp395.xml"/><Relationship Id="rId43" Type="http://schemas.openxmlformats.org/officeDocument/2006/relationships/ctrlProp" Target="../ctrlProps/ctrlProp416.xml"/><Relationship Id="rId64" Type="http://schemas.openxmlformats.org/officeDocument/2006/relationships/ctrlProp" Target="../ctrlProps/ctrlProp437.xml"/><Relationship Id="rId118" Type="http://schemas.openxmlformats.org/officeDocument/2006/relationships/ctrlProp" Target="../ctrlProps/ctrlProp491.xml"/><Relationship Id="rId139" Type="http://schemas.openxmlformats.org/officeDocument/2006/relationships/ctrlProp" Target="../ctrlProps/ctrlProp512.xml"/><Relationship Id="rId80" Type="http://schemas.openxmlformats.org/officeDocument/2006/relationships/ctrlProp" Target="../ctrlProps/ctrlProp453.xml"/><Relationship Id="rId85" Type="http://schemas.openxmlformats.org/officeDocument/2006/relationships/ctrlProp" Target="../ctrlProps/ctrlProp458.xml"/><Relationship Id="rId150" Type="http://schemas.openxmlformats.org/officeDocument/2006/relationships/ctrlProp" Target="../ctrlProps/ctrlProp523.xml"/><Relationship Id="rId155" Type="http://schemas.openxmlformats.org/officeDocument/2006/relationships/ctrlProp" Target="../ctrlProps/ctrlProp528.xml"/><Relationship Id="rId12" Type="http://schemas.openxmlformats.org/officeDocument/2006/relationships/ctrlProp" Target="../ctrlProps/ctrlProp385.xml"/><Relationship Id="rId17" Type="http://schemas.openxmlformats.org/officeDocument/2006/relationships/ctrlProp" Target="../ctrlProps/ctrlProp390.xml"/><Relationship Id="rId33" Type="http://schemas.openxmlformats.org/officeDocument/2006/relationships/ctrlProp" Target="../ctrlProps/ctrlProp406.xml"/><Relationship Id="rId38" Type="http://schemas.openxmlformats.org/officeDocument/2006/relationships/ctrlProp" Target="../ctrlProps/ctrlProp411.xml"/><Relationship Id="rId59" Type="http://schemas.openxmlformats.org/officeDocument/2006/relationships/ctrlProp" Target="../ctrlProps/ctrlProp432.xml"/><Relationship Id="rId103" Type="http://schemas.openxmlformats.org/officeDocument/2006/relationships/ctrlProp" Target="../ctrlProps/ctrlProp476.xml"/><Relationship Id="rId108" Type="http://schemas.openxmlformats.org/officeDocument/2006/relationships/ctrlProp" Target="../ctrlProps/ctrlProp481.xml"/><Relationship Id="rId124" Type="http://schemas.openxmlformats.org/officeDocument/2006/relationships/ctrlProp" Target="../ctrlProps/ctrlProp497.xml"/><Relationship Id="rId129" Type="http://schemas.openxmlformats.org/officeDocument/2006/relationships/ctrlProp" Target="../ctrlProps/ctrlProp502.xml"/><Relationship Id="rId54" Type="http://schemas.openxmlformats.org/officeDocument/2006/relationships/ctrlProp" Target="../ctrlProps/ctrlProp427.xml"/><Relationship Id="rId70" Type="http://schemas.openxmlformats.org/officeDocument/2006/relationships/ctrlProp" Target="../ctrlProps/ctrlProp443.xml"/><Relationship Id="rId75" Type="http://schemas.openxmlformats.org/officeDocument/2006/relationships/ctrlProp" Target="../ctrlProps/ctrlProp448.xml"/><Relationship Id="rId91" Type="http://schemas.openxmlformats.org/officeDocument/2006/relationships/ctrlProp" Target="../ctrlProps/ctrlProp464.xml"/><Relationship Id="rId96" Type="http://schemas.openxmlformats.org/officeDocument/2006/relationships/ctrlProp" Target="../ctrlProps/ctrlProp469.xml"/><Relationship Id="rId140" Type="http://schemas.openxmlformats.org/officeDocument/2006/relationships/ctrlProp" Target="../ctrlProps/ctrlProp513.xml"/><Relationship Id="rId145" Type="http://schemas.openxmlformats.org/officeDocument/2006/relationships/ctrlProp" Target="../ctrlProps/ctrlProp518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379.xml"/><Relationship Id="rId23" Type="http://schemas.openxmlformats.org/officeDocument/2006/relationships/ctrlProp" Target="../ctrlProps/ctrlProp396.xml"/><Relationship Id="rId28" Type="http://schemas.openxmlformats.org/officeDocument/2006/relationships/ctrlProp" Target="../ctrlProps/ctrlProp401.xml"/><Relationship Id="rId49" Type="http://schemas.openxmlformats.org/officeDocument/2006/relationships/ctrlProp" Target="../ctrlProps/ctrlProp422.xml"/><Relationship Id="rId114" Type="http://schemas.openxmlformats.org/officeDocument/2006/relationships/ctrlProp" Target="../ctrlProps/ctrlProp487.xml"/><Relationship Id="rId119" Type="http://schemas.openxmlformats.org/officeDocument/2006/relationships/ctrlProp" Target="../ctrlProps/ctrlProp492.xml"/><Relationship Id="rId44" Type="http://schemas.openxmlformats.org/officeDocument/2006/relationships/ctrlProp" Target="../ctrlProps/ctrlProp417.xml"/><Relationship Id="rId60" Type="http://schemas.openxmlformats.org/officeDocument/2006/relationships/ctrlProp" Target="../ctrlProps/ctrlProp433.xml"/><Relationship Id="rId65" Type="http://schemas.openxmlformats.org/officeDocument/2006/relationships/ctrlProp" Target="../ctrlProps/ctrlProp438.xml"/><Relationship Id="rId81" Type="http://schemas.openxmlformats.org/officeDocument/2006/relationships/ctrlProp" Target="../ctrlProps/ctrlProp454.xml"/><Relationship Id="rId86" Type="http://schemas.openxmlformats.org/officeDocument/2006/relationships/ctrlProp" Target="../ctrlProps/ctrlProp459.xml"/><Relationship Id="rId130" Type="http://schemas.openxmlformats.org/officeDocument/2006/relationships/ctrlProp" Target="../ctrlProps/ctrlProp503.xml"/><Relationship Id="rId135" Type="http://schemas.openxmlformats.org/officeDocument/2006/relationships/ctrlProp" Target="../ctrlProps/ctrlProp508.xml"/><Relationship Id="rId151" Type="http://schemas.openxmlformats.org/officeDocument/2006/relationships/ctrlProp" Target="../ctrlProps/ctrlProp524.xml"/><Relationship Id="rId156" Type="http://schemas.openxmlformats.org/officeDocument/2006/relationships/ctrlProp" Target="../ctrlProps/ctrlProp529.xml"/><Relationship Id="rId13" Type="http://schemas.openxmlformats.org/officeDocument/2006/relationships/ctrlProp" Target="../ctrlProps/ctrlProp386.xml"/><Relationship Id="rId18" Type="http://schemas.openxmlformats.org/officeDocument/2006/relationships/ctrlProp" Target="../ctrlProps/ctrlProp391.xml"/><Relationship Id="rId39" Type="http://schemas.openxmlformats.org/officeDocument/2006/relationships/ctrlProp" Target="../ctrlProps/ctrlProp412.xml"/><Relationship Id="rId109" Type="http://schemas.openxmlformats.org/officeDocument/2006/relationships/ctrlProp" Target="../ctrlProps/ctrlProp482.xml"/><Relationship Id="rId34" Type="http://schemas.openxmlformats.org/officeDocument/2006/relationships/ctrlProp" Target="../ctrlProps/ctrlProp407.xml"/><Relationship Id="rId50" Type="http://schemas.openxmlformats.org/officeDocument/2006/relationships/ctrlProp" Target="../ctrlProps/ctrlProp423.xml"/><Relationship Id="rId55" Type="http://schemas.openxmlformats.org/officeDocument/2006/relationships/ctrlProp" Target="../ctrlProps/ctrlProp428.xml"/><Relationship Id="rId76" Type="http://schemas.openxmlformats.org/officeDocument/2006/relationships/ctrlProp" Target="../ctrlProps/ctrlProp449.xml"/><Relationship Id="rId97" Type="http://schemas.openxmlformats.org/officeDocument/2006/relationships/ctrlProp" Target="../ctrlProps/ctrlProp470.xml"/><Relationship Id="rId104" Type="http://schemas.openxmlformats.org/officeDocument/2006/relationships/ctrlProp" Target="../ctrlProps/ctrlProp477.xml"/><Relationship Id="rId120" Type="http://schemas.openxmlformats.org/officeDocument/2006/relationships/ctrlProp" Target="../ctrlProps/ctrlProp493.xml"/><Relationship Id="rId125" Type="http://schemas.openxmlformats.org/officeDocument/2006/relationships/ctrlProp" Target="../ctrlProps/ctrlProp498.xml"/><Relationship Id="rId141" Type="http://schemas.openxmlformats.org/officeDocument/2006/relationships/ctrlProp" Target="../ctrlProps/ctrlProp514.xml"/><Relationship Id="rId146" Type="http://schemas.openxmlformats.org/officeDocument/2006/relationships/ctrlProp" Target="../ctrlProps/ctrlProp519.xml"/><Relationship Id="rId7" Type="http://schemas.openxmlformats.org/officeDocument/2006/relationships/ctrlProp" Target="../ctrlProps/ctrlProp380.xml"/><Relationship Id="rId71" Type="http://schemas.openxmlformats.org/officeDocument/2006/relationships/ctrlProp" Target="../ctrlProps/ctrlProp444.xml"/><Relationship Id="rId92" Type="http://schemas.openxmlformats.org/officeDocument/2006/relationships/ctrlProp" Target="../ctrlProps/ctrlProp465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402.xml"/><Relationship Id="rId24" Type="http://schemas.openxmlformats.org/officeDocument/2006/relationships/ctrlProp" Target="../ctrlProps/ctrlProp397.xml"/><Relationship Id="rId40" Type="http://schemas.openxmlformats.org/officeDocument/2006/relationships/ctrlProp" Target="../ctrlProps/ctrlProp413.xml"/><Relationship Id="rId45" Type="http://schemas.openxmlformats.org/officeDocument/2006/relationships/ctrlProp" Target="../ctrlProps/ctrlProp418.xml"/><Relationship Id="rId66" Type="http://schemas.openxmlformats.org/officeDocument/2006/relationships/ctrlProp" Target="../ctrlProps/ctrlProp439.xml"/><Relationship Id="rId87" Type="http://schemas.openxmlformats.org/officeDocument/2006/relationships/ctrlProp" Target="../ctrlProps/ctrlProp460.xml"/><Relationship Id="rId110" Type="http://schemas.openxmlformats.org/officeDocument/2006/relationships/ctrlProp" Target="../ctrlProps/ctrlProp483.xml"/><Relationship Id="rId115" Type="http://schemas.openxmlformats.org/officeDocument/2006/relationships/ctrlProp" Target="../ctrlProps/ctrlProp488.xml"/><Relationship Id="rId131" Type="http://schemas.openxmlformats.org/officeDocument/2006/relationships/ctrlProp" Target="../ctrlProps/ctrlProp504.xml"/><Relationship Id="rId136" Type="http://schemas.openxmlformats.org/officeDocument/2006/relationships/ctrlProp" Target="../ctrlProps/ctrlProp509.xml"/><Relationship Id="rId157" Type="http://schemas.openxmlformats.org/officeDocument/2006/relationships/ctrlProp" Target="../ctrlProps/ctrlProp530.xml"/><Relationship Id="rId61" Type="http://schemas.openxmlformats.org/officeDocument/2006/relationships/ctrlProp" Target="../ctrlProps/ctrlProp434.xml"/><Relationship Id="rId82" Type="http://schemas.openxmlformats.org/officeDocument/2006/relationships/ctrlProp" Target="../ctrlProps/ctrlProp455.xml"/><Relationship Id="rId152" Type="http://schemas.openxmlformats.org/officeDocument/2006/relationships/ctrlProp" Target="../ctrlProps/ctrlProp525.xml"/><Relationship Id="rId19" Type="http://schemas.openxmlformats.org/officeDocument/2006/relationships/ctrlProp" Target="../ctrlProps/ctrlProp392.xml"/><Relationship Id="rId14" Type="http://schemas.openxmlformats.org/officeDocument/2006/relationships/ctrlProp" Target="../ctrlProps/ctrlProp387.xml"/><Relationship Id="rId30" Type="http://schemas.openxmlformats.org/officeDocument/2006/relationships/ctrlProp" Target="../ctrlProps/ctrlProp403.xml"/><Relationship Id="rId35" Type="http://schemas.openxmlformats.org/officeDocument/2006/relationships/ctrlProp" Target="../ctrlProps/ctrlProp408.xml"/><Relationship Id="rId56" Type="http://schemas.openxmlformats.org/officeDocument/2006/relationships/ctrlProp" Target="../ctrlProps/ctrlProp429.xml"/><Relationship Id="rId77" Type="http://schemas.openxmlformats.org/officeDocument/2006/relationships/ctrlProp" Target="../ctrlProps/ctrlProp450.xml"/><Relationship Id="rId100" Type="http://schemas.openxmlformats.org/officeDocument/2006/relationships/ctrlProp" Target="../ctrlProps/ctrlProp473.xml"/><Relationship Id="rId105" Type="http://schemas.openxmlformats.org/officeDocument/2006/relationships/ctrlProp" Target="../ctrlProps/ctrlProp478.xml"/><Relationship Id="rId126" Type="http://schemas.openxmlformats.org/officeDocument/2006/relationships/ctrlProp" Target="../ctrlProps/ctrlProp499.xml"/><Relationship Id="rId147" Type="http://schemas.openxmlformats.org/officeDocument/2006/relationships/ctrlProp" Target="../ctrlProps/ctrlProp520.xml"/><Relationship Id="rId8" Type="http://schemas.openxmlformats.org/officeDocument/2006/relationships/ctrlProp" Target="../ctrlProps/ctrlProp381.xml"/><Relationship Id="rId51" Type="http://schemas.openxmlformats.org/officeDocument/2006/relationships/ctrlProp" Target="../ctrlProps/ctrlProp424.xml"/><Relationship Id="rId72" Type="http://schemas.openxmlformats.org/officeDocument/2006/relationships/ctrlProp" Target="../ctrlProps/ctrlProp445.xml"/><Relationship Id="rId93" Type="http://schemas.openxmlformats.org/officeDocument/2006/relationships/ctrlProp" Target="../ctrlProps/ctrlProp466.xml"/><Relationship Id="rId98" Type="http://schemas.openxmlformats.org/officeDocument/2006/relationships/ctrlProp" Target="../ctrlProps/ctrlProp471.xml"/><Relationship Id="rId121" Type="http://schemas.openxmlformats.org/officeDocument/2006/relationships/ctrlProp" Target="../ctrlProps/ctrlProp494.xml"/><Relationship Id="rId142" Type="http://schemas.openxmlformats.org/officeDocument/2006/relationships/ctrlProp" Target="../ctrlProps/ctrlProp515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398.xml"/><Relationship Id="rId46" Type="http://schemas.openxmlformats.org/officeDocument/2006/relationships/ctrlProp" Target="../ctrlProps/ctrlProp419.xml"/><Relationship Id="rId67" Type="http://schemas.openxmlformats.org/officeDocument/2006/relationships/ctrlProp" Target="../ctrlProps/ctrlProp440.xml"/><Relationship Id="rId116" Type="http://schemas.openxmlformats.org/officeDocument/2006/relationships/ctrlProp" Target="../ctrlProps/ctrlProp489.xml"/><Relationship Id="rId137" Type="http://schemas.openxmlformats.org/officeDocument/2006/relationships/ctrlProp" Target="../ctrlProps/ctrlProp510.xml"/><Relationship Id="rId158" Type="http://schemas.openxmlformats.org/officeDocument/2006/relationships/ctrlProp" Target="../ctrlProps/ctrlProp531.xml"/><Relationship Id="rId20" Type="http://schemas.openxmlformats.org/officeDocument/2006/relationships/ctrlProp" Target="../ctrlProps/ctrlProp393.xml"/><Relationship Id="rId41" Type="http://schemas.openxmlformats.org/officeDocument/2006/relationships/ctrlProp" Target="../ctrlProps/ctrlProp414.xml"/><Relationship Id="rId62" Type="http://schemas.openxmlformats.org/officeDocument/2006/relationships/ctrlProp" Target="../ctrlProps/ctrlProp435.xml"/><Relationship Id="rId83" Type="http://schemas.openxmlformats.org/officeDocument/2006/relationships/ctrlProp" Target="../ctrlProps/ctrlProp456.xml"/><Relationship Id="rId88" Type="http://schemas.openxmlformats.org/officeDocument/2006/relationships/ctrlProp" Target="../ctrlProps/ctrlProp461.xml"/><Relationship Id="rId111" Type="http://schemas.openxmlformats.org/officeDocument/2006/relationships/ctrlProp" Target="../ctrlProps/ctrlProp484.xml"/><Relationship Id="rId132" Type="http://schemas.openxmlformats.org/officeDocument/2006/relationships/ctrlProp" Target="../ctrlProps/ctrlProp505.xml"/><Relationship Id="rId153" Type="http://schemas.openxmlformats.org/officeDocument/2006/relationships/ctrlProp" Target="../ctrlProps/ctrlProp526.xml"/><Relationship Id="rId15" Type="http://schemas.openxmlformats.org/officeDocument/2006/relationships/ctrlProp" Target="../ctrlProps/ctrlProp388.xml"/><Relationship Id="rId36" Type="http://schemas.openxmlformats.org/officeDocument/2006/relationships/ctrlProp" Target="../ctrlProps/ctrlProp409.xml"/><Relationship Id="rId57" Type="http://schemas.openxmlformats.org/officeDocument/2006/relationships/ctrlProp" Target="../ctrlProps/ctrlProp430.xml"/><Relationship Id="rId106" Type="http://schemas.openxmlformats.org/officeDocument/2006/relationships/ctrlProp" Target="../ctrlProps/ctrlProp479.xml"/><Relationship Id="rId127" Type="http://schemas.openxmlformats.org/officeDocument/2006/relationships/ctrlProp" Target="../ctrlProps/ctrlProp500.xml"/><Relationship Id="rId10" Type="http://schemas.openxmlformats.org/officeDocument/2006/relationships/ctrlProp" Target="../ctrlProps/ctrlProp383.xml"/><Relationship Id="rId31" Type="http://schemas.openxmlformats.org/officeDocument/2006/relationships/ctrlProp" Target="../ctrlProps/ctrlProp404.xml"/><Relationship Id="rId52" Type="http://schemas.openxmlformats.org/officeDocument/2006/relationships/ctrlProp" Target="../ctrlProps/ctrlProp425.xml"/><Relationship Id="rId73" Type="http://schemas.openxmlformats.org/officeDocument/2006/relationships/ctrlProp" Target="../ctrlProps/ctrlProp446.xml"/><Relationship Id="rId78" Type="http://schemas.openxmlformats.org/officeDocument/2006/relationships/ctrlProp" Target="../ctrlProps/ctrlProp451.xml"/><Relationship Id="rId94" Type="http://schemas.openxmlformats.org/officeDocument/2006/relationships/ctrlProp" Target="../ctrlProps/ctrlProp467.xml"/><Relationship Id="rId99" Type="http://schemas.openxmlformats.org/officeDocument/2006/relationships/ctrlProp" Target="../ctrlProps/ctrlProp472.xml"/><Relationship Id="rId101" Type="http://schemas.openxmlformats.org/officeDocument/2006/relationships/ctrlProp" Target="../ctrlProps/ctrlProp474.xml"/><Relationship Id="rId122" Type="http://schemas.openxmlformats.org/officeDocument/2006/relationships/ctrlProp" Target="../ctrlProps/ctrlProp495.xml"/><Relationship Id="rId143" Type="http://schemas.openxmlformats.org/officeDocument/2006/relationships/ctrlProp" Target="../ctrlProps/ctrlProp516.xml"/><Relationship Id="rId148" Type="http://schemas.openxmlformats.org/officeDocument/2006/relationships/ctrlProp" Target="../ctrlProps/ctrlProp521.xml"/><Relationship Id="rId4" Type="http://schemas.openxmlformats.org/officeDocument/2006/relationships/ctrlProp" Target="../ctrlProps/ctrlProp377.xml"/><Relationship Id="rId9" Type="http://schemas.openxmlformats.org/officeDocument/2006/relationships/ctrlProp" Target="../ctrlProps/ctrlProp382.xml"/><Relationship Id="rId26" Type="http://schemas.openxmlformats.org/officeDocument/2006/relationships/ctrlProp" Target="../ctrlProps/ctrlProp399.xml"/><Relationship Id="rId47" Type="http://schemas.openxmlformats.org/officeDocument/2006/relationships/ctrlProp" Target="../ctrlProps/ctrlProp420.xml"/><Relationship Id="rId68" Type="http://schemas.openxmlformats.org/officeDocument/2006/relationships/ctrlProp" Target="../ctrlProps/ctrlProp441.xml"/><Relationship Id="rId89" Type="http://schemas.openxmlformats.org/officeDocument/2006/relationships/ctrlProp" Target="../ctrlProps/ctrlProp462.xml"/><Relationship Id="rId112" Type="http://schemas.openxmlformats.org/officeDocument/2006/relationships/ctrlProp" Target="../ctrlProps/ctrlProp485.xml"/><Relationship Id="rId133" Type="http://schemas.openxmlformats.org/officeDocument/2006/relationships/ctrlProp" Target="../ctrlProps/ctrlProp506.xml"/><Relationship Id="rId154" Type="http://schemas.openxmlformats.org/officeDocument/2006/relationships/ctrlProp" Target="../ctrlProps/ctrlProp527.xml"/><Relationship Id="rId16" Type="http://schemas.openxmlformats.org/officeDocument/2006/relationships/ctrlProp" Target="../ctrlProps/ctrlProp389.xml"/><Relationship Id="rId37" Type="http://schemas.openxmlformats.org/officeDocument/2006/relationships/ctrlProp" Target="../ctrlProps/ctrlProp410.xml"/><Relationship Id="rId58" Type="http://schemas.openxmlformats.org/officeDocument/2006/relationships/ctrlProp" Target="../ctrlProps/ctrlProp431.xml"/><Relationship Id="rId79" Type="http://schemas.openxmlformats.org/officeDocument/2006/relationships/ctrlProp" Target="../ctrlProps/ctrlProp452.xml"/><Relationship Id="rId102" Type="http://schemas.openxmlformats.org/officeDocument/2006/relationships/ctrlProp" Target="../ctrlProps/ctrlProp475.xml"/><Relationship Id="rId123" Type="http://schemas.openxmlformats.org/officeDocument/2006/relationships/ctrlProp" Target="../ctrlProps/ctrlProp496.xml"/><Relationship Id="rId144" Type="http://schemas.openxmlformats.org/officeDocument/2006/relationships/ctrlProp" Target="../ctrlProps/ctrlProp517.xml"/><Relationship Id="rId90" Type="http://schemas.openxmlformats.org/officeDocument/2006/relationships/ctrlProp" Target="../ctrlProps/ctrlProp463.xml"/><Relationship Id="rId27" Type="http://schemas.openxmlformats.org/officeDocument/2006/relationships/ctrlProp" Target="../ctrlProps/ctrlProp400.xml"/><Relationship Id="rId48" Type="http://schemas.openxmlformats.org/officeDocument/2006/relationships/ctrlProp" Target="../ctrlProps/ctrlProp421.xml"/><Relationship Id="rId69" Type="http://schemas.openxmlformats.org/officeDocument/2006/relationships/ctrlProp" Target="../ctrlProps/ctrlProp442.xml"/><Relationship Id="rId113" Type="http://schemas.openxmlformats.org/officeDocument/2006/relationships/ctrlProp" Target="../ctrlProps/ctrlProp486.xml"/><Relationship Id="rId134" Type="http://schemas.openxmlformats.org/officeDocument/2006/relationships/ctrlProp" Target="../ctrlProps/ctrlProp507.xml"/></Relationships>
</file>

<file path=xl/worksheets/_rels/sheet17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556.xml"/><Relationship Id="rId21" Type="http://schemas.openxmlformats.org/officeDocument/2006/relationships/ctrlProp" Target="../ctrlProps/ctrlProp551.xml"/><Relationship Id="rId42" Type="http://schemas.openxmlformats.org/officeDocument/2006/relationships/ctrlProp" Target="../ctrlProps/ctrlProp572.xml"/><Relationship Id="rId47" Type="http://schemas.openxmlformats.org/officeDocument/2006/relationships/ctrlProp" Target="../ctrlProps/ctrlProp577.xml"/><Relationship Id="rId63" Type="http://schemas.openxmlformats.org/officeDocument/2006/relationships/ctrlProp" Target="../ctrlProps/ctrlProp593.xml"/><Relationship Id="rId68" Type="http://schemas.openxmlformats.org/officeDocument/2006/relationships/ctrlProp" Target="../ctrlProps/ctrlProp598.xml"/><Relationship Id="rId7" Type="http://schemas.openxmlformats.org/officeDocument/2006/relationships/ctrlProp" Target="../ctrlProps/ctrlProp537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546.xml"/><Relationship Id="rId29" Type="http://schemas.openxmlformats.org/officeDocument/2006/relationships/ctrlProp" Target="../ctrlProps/ctrlProp559.xml"/><Relationship Id="rId11" Type="http://schemas.openxmlformats.org/officeDocument/2006/relationships/ctrlProp" Target="../ctrlProps/ctrlProp541.xml"/><Relationship Id="rId24" Type="http://schemas.openxmlformats.org/officeDocument/2006/relationships/ctrlProp" Target="../ctrlProps/ctrlProp554.xml"/><Relationship Id="rId32" Type="http://schemas.openxmlformats.org/officeDocument/2006/relationships/ctrlProp" Target="../ctrlProps/ctrlProp562.xml"/><Relationship Id="rId37" Type="http://schemas.openxmlformats.org/officeDocument/2006/relationships/ctrlProp" Target="../ctrlProps/ctrlProp567.xml"/><Relationship Id="rId40" Type="http://schemas.openxmlformats.org/officeDocument/2006/relationships/ctrlProp" Target="../ctrlProps/ctrlProp570.xml"/><Relationship Id="rId45" Type="http://schemas.openxmlformats.org/officeDocument/2006/relationships/ctrlProp" Target="../ctrlProps/ctrlProp575.xml"/><Relationship Id="rId53" Type="http://schemas.openxmlformats.org/officeDocument/2006/relationships/ctrlProp" Target="../ctrlProps/ctrlProp583.xml"/><Relationship Id="rId58" Type="http://schemas.openxmlformats.org/officeDocument/2006/relationships/ctrlProp" Target="../ctrlProps/ctrlProp588.xml"/><Relationship Id="rId66" Type="http://schemas.openxmlformats.org/officeDocument/2006/relationships/ctrlProp" Target="../ctrlProps/ctrlProp596.xml"/><Relationship Id="rId5" Type="http://schemas.openxmlformats.org/officeDocument/2006/relationships/ctrlProp" Target="../ctrlProps/ctrlProp535.xml"/><Relationship Id="rId61" Type="http://schemas.openxmlformats.org/officeDocument/2006/relationships/ctrlProp" Target="../ctrlProps/ctrlProp591.xml"/><Relationship Id="rId19" Type="http://schemas.openxmlformats.org/officeDocument/2006/relationships/ctrlProp" Target="../ctrlProps/ctrlProp549.xml"/><Relationship Id="rId14" Type="http://schemas.openxmlformats.org/officeDocument/2006/relationships/ctrlProp" Target="../ctrlProps/ctrlProp544.xml"/><Relationship Id="rId22" Type="http://schemas.openxmlformats.org/officeDocument/2006/relationships/ctrlProp" Target="../ctrlProps/ctrlProp552.xml"/><Relationship Id="rId27" Type="http://schemas.openxmlformats.org/officeDocument/2006/relationships/ctrlProp" Target="../ctrlProps/ctrlProp557.xml"/><Relationship Id="rId30" Type="http://schemas.openxmlformats.org/officeDocument/2006/relationships/ctrlProp" Target="../ctrlProps/ctrlProp560.xml"/><Relationship Id="rId35" Type="http://schemas.openxmlformats.org/officeDocument/2006/relationships/ctrlProp" Target="../ctrlProps/ctrlProp565.xml"/><Relationship Id="rId43" Type="http://schemas.openxmlformats.org/officeDocument/2006/relationships/ctrlProp" Target="../ctrlProps/ctrlProp573.xml"/><Relationship Id="rId48" Type="http://schemas.openxmlformats.org/officeDocument/2006/relationships/ctrlProp" Target="../ctrlProps/ctrlProp578.xml"/><Relationship Id="rId56" Type="http://schemas.openxmlformats.org/officeDocument/2006/relationships/ctrlProp" Target="../ctrlProps/ctrlProp586.xml"/><Relationship Id="rId64" Type="http://schemas.openxmlformats.org/officeDocument/2006/relationships/ctrlProp" Target="../ctrlProps/ctrlProp594.xml"/><Relationship Id="rId69" Type="http://schemas.openxmlformats.org/officeDocument/2006/relationships/ctrlProp" Target="../ctrlProps/ctrlProp599.xml"/><Relationship Id="rId8" Type="http://schemas.openxmlformats.org/officeDocument/2006/relationships/ctrlProp" Target="../ctrlProps/ctrlProp538.xml"/><Relationship Id="rId51" Type="http://schemas.openxmlformats.org/officeDocument/2006/relationships/ctrlProp" Target="../ctrlProps/ctrlProp581.xml"/><Relationship Id="rId3" Type="http://schemas.openxmlformats.org/officeDocument/2006/relationships/vmlDrawing" Target="../drawings/vmlDrawing6.vml"/><Relationship Id="rId12" Type="http://schemas.openxmlformats.org/officeDocument/2006/relationships/ctrlProp" Target="../ctrlProps/ctrlProp542.xml"/><Relationship Id="rId17" Type="http://schemas.openxmlformats.org/officeDocument/2006/relationships/ctrlProp" Target="../ctrlProps/ctrlProp547.xml"/><Relationship Id="rId25" Type="http://schemas.openxmlformats.org/officeDocument/2006/relationships/ctrlProp" Target="../ctrlProps/ctrlProp555.xml"/><Relationship Id="rId33" Type="http://schemas.openxmlformats.org/officeDocument/2006/relationships/ctrlProp" Target="../ctrlProps/ctrlProp563.xml"/><Relationship Id="rId38" Type="http://schemas.openxmlformats.org/officeDocument/2006/relationships/ctrlProp" Target="../ctrlProps/ctrlProp568.xml"/><Relationship Id="rId46" Type="http://schemas.openxmlformats.org/officeDocument/2006/relationships/ctrlProp" Target="../ctrlProps/ctrlProp576.xml"/><Relationship Id="rId59" Type="http://schemas.openxmlformats.org/officeDocument/2006/relationships/ctrlProp" Target="../ctrlProps/ctrlProp589.xml"/><Relationship Id="rId67" Type="http://schemas.openxmlformats.org/officeDocument/2006/relationships/ctrlProp" Target="../ctrlProps/ctrlProp597.xml"/><Relationship Id="rId20" Type="http://schemas.openxmlformats.org/officeDocument/2006/relationships/ctrlProp" Target="../ctrlProps/ctrlProp550.xml"/><Relationship Id="rId41" Type="http://schemas.openxmlformats.org/officeDocument/2006/relationships/ctrlProp" Target="../ctrlProps/ctrlProp571.xml"/><Relationship Id="rId54" Type="http://schemas.openxmlformats.org/officeDocument/2006/relationships/ctrlProp" Target="../ctrlProps/ctrlProp584.xml"/><Relationship Id="rId62" Type="http://schemas.openxmlformats.org/officeDocument/2006/relationships/ctrlProp" Target="../ctrlProps/ctrlProp592.xml"/><Relationship Id="rId70" Type="http://schemas.openxmlformats.org/officeDocument/2006/relationships/ctrlProp" Target="../ctrlProps/ctrlProp600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536.xml"/><Relationship Id="rId15" Type="http://schemas.openxmlformats.org/officeDocument/2006/relationships/ctrlProp" Target="../ctrlProps/ctrlProp545.xml"/><Relationship Id="rId23" Type="http://schemas.openxmlformats.org/officeDocument/2006/relationships/ctrlProp" Target="../ctrlProps/ctrlProp553.xml"/><Relationship Id="rId28" Type="http://schemas.openxmlformats.org/officeDocument/2006/relationships/ctrlProp" Target="../ctrlProps/ctrlProp558.xml"/><Relationship Id="rId36" Type="http://schemas.openxmlformats.org/officeDocument/2006/relationships/ctrlProp" Target="../ctrlProps/ctrlProp566.xml"/><Relationship Id="rId49" Type="http://schemas.openxmlformats.org/officeDocument/2006/relationships/ctrlProp" Target="../ctrlProps/ctrlProp579.xml"/><Relationship Id="rId57" Type="http://schemas.openxmlformats.org/officeDocument/2006/relationships/ctrlProp" Target="../ctrlProps/ctrlProp587.xml"/><Relationship Id="rId10" Type="http://schemas.openxmlformats.org/officeDocument/2006/relationships/ctrlProp" Target="../ctrlProps/ctrlProp540.xml"/><Relationship Id="rId31" Type="http://schemas.openxmlformats.org/officeDocument/2006/relationships/ctrlProp" Target="../ctrlProps/ctrlProp561.xml"/><Relationship Id="rId44" Type="http://schemas.openxmlformats.org/officeDocument/2006/relationships/ctrlProp" Target="../ctrlProps/ctrlProp574.xml"/><Relationship Id="rId52" Type="http://schemas.openxmlformats.org/officeDocument/2006/relationships/ctrlProp" Target="../ctrlProps/ctrlProp582.xml"/><Relationship Id="rId60" Type="http://schemas.openxmlformats.org/officeDocument/2006/relationships/ctrlProp" Target="../ctrlProps/ctrlProp590.xml"/><Relationship Id="rId65" Type="http://schemas.openxmlformats.org/officeDocument/2006/relationships/ctrlProp" Target="../ctrlProps/ctrlProp595.xml"/><Relationship Id="rId4" Type="http://schemas.openxmlformats.org/officeDocument/2006/relationships/ctrlProp" Target="../ctrlProps/ctrlProp534.xml"/><Relationship Id="rId9" Type="http://schemas.openxmlformats.org/officeDocument/2006/relationships/ctrlProp" Target="../ctrlProps/ctrlProp539.xml"/><Relationship Id="rId13" Type="http://schemas.openxmlformats.org/officeDocument/2006/relationships/ctrlProp" Target="../ctrlProps/ctrlProp543.xml"/><Relationship Id="rId18" Type="http://schemas.openxmlformats.org/officeDocument/2006/relationships/ctrlProp" Target="../ctrlProps/ctrlProp548.xml"/><Relationship Id="rId39" Type="http://schemas.openxmlformats.org/officeDocument/2006/relationships/ctrlProp" Target="../ctrlProps/ctrlProp569.xml"/><Relationship Id="rId34" Type="http://schemas.openxmlformats.org/officeDocument/2006/relationships/ctrlProp" Target="../ctrlProps/ctrlProp564.xml"/><Relationship Id="rId50" Type="http://schemas.openxmlformats.org/officeDocument/2006/relationships/ctrlProp" Target="../ctrlProps/ctrlProp580.xml"/><Relationship Id="rId55" Type="http://schemas.openxmlformats.org/officeDocument/2006/relationships/ctrlProp" Target="../ctrlProps/ctrlProp58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6.bin"/><Relationship Id="rId1" Type="http://schemas.openxmlformats.org/officeDocument/2006/relationships/printerSettings" Target="../printerSettings/printerSettings25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rinterSettings" Target="../printerSettings/printerSettings27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rinterSettings" Target="../printerSettings/printerSettings29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rinterSettings" Target="../printerSettings/printerSettings31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rinterSettings" Target="../printerSettings/printerSettings33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rinterSettings" Target="../printerSettings/printerSettings35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rinterSettings" Target="../printerSettings/printerSettings3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rinterSettings" Target="../printerSettings/printerSettings3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rinterSettings" Target="../printerSettings/printerSettings41.bin"/></Relationships>
</file>

<file path=xl/worksheets/_rels/sheet3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14.xml"/><Relationship Id="rId21" Type="http://schemas.openxmlformats.org/officeDocument/2006/relationships/ctrlProp" Target="../ctrlProps/ctrlProp618.xml"/><Relationship Id="rId42" Type="http://schemas.openxmlformats.org/officeDocument/2006/relationships/ctrlProp" Target="../ctrlProps/ctrlProp639.xml"/><Relationship Id="rId47" Type="http://schemas.openxmlformats.org/officeDocument/2006/relationships/ctrlProp" Target="../ctrlProps/ctrlProp644.xml"/><Relationship Id="rId63" Type="http://schemas.openxmlformats.org/officeDocument/2006/relationships/ctrlProp" Target="../ctrlProps/ctrlProp660.xml"/><Relationship Id="rId68" Type="http://schemas.openxmlformats.org/officeDocument/2006/relationships/ctrlProp" Target="../ctrlProps/ctrlProp665.xml"/><Relationship Id="rId84" Type="http://schemas.openxmlformats.org/officeDocument/2006/relationships/ctrlProp" Target="../ctrlProps/ctrlProp681.xml"/><Relationship Id="rId89" Type="http://schemas.openxmlformats.org/officeDocument/2006/relationships/ctrlProp" Target="../ctrlProps/ctrlProp686.xml"/><Relationship Id="rId112" Type="http://schemas.openxmlformats.org/officeDocument/2006/relationships/ctrlProp" Target="../ctrlProps/ctrlProp709.xml"/><Relationship Id="rId16" Type="http://schemas.openxmlformats.org/officeDocument/2006/relationships/ctrlProp" Target="../ctrlProps/ctrlProp613.xml"/><Relationship Id="rId107" Type="http://schemas.openxmlformats.org/officeDocument/2006/relationships/ctrlProp" Target="../ctrlProps/ctrlProp704.xml"/><Relationship Id="rId11" Type="http://schemas.openxmlformats.org/officeDocument/2006/relationships/ctrlProp" Target="../ctrlProps/ctrlProp608.xml"/><Relationship Id="rId32" Type="http://schemas.openxmlformats.org/officeDocument/2006/relationships/ctrlProp" Target="../ctrlProps/ctrlProp629.xml"/><Relationship Id="rId37" Type="http://schemas.openxmlformats.org/officeDocument/2006/relationships/ctrlProp" Target="../ctrlProps/ctrlProp634.xml"/><Relationship Id="rId53" Type="http://schemas.openxmlformats.org/officeDocument/2006/relationships/ctrlProp" Target="../ctrlProps/ctrlProp650.xml"/><Relationship Id="rId58" Type="http://schemas.openxmlformats.org/officeDocument/2006/relationships/ctrlProp" Target="../ctrlProps/ctrlProp655.xml"/><Relationship Id="rId74" Type="http://schemas.openxmlformats.org/officeDocument/2006/relationships/ctrlProp" Target="../ctrlProps/ctrlProp671.xml"/><Relationship Id="rId79" Type="http://schemas.openxmlformats.org/officeDocument/2006/relationships/ctrlProp" Target="../ctrlProps/ctrlProp676.xml"/><Relationship Id="rId102" Type="http://schemas.openxmlformats.org/officeDocument/2006/relationships/ctrlProp" Target="../ctrlProps/ctrlProp699.xml"/><Relationship Id="rId123" Type="http://schemas.openxmlformats.org/officeDocument/2006/relationships/ctrlProp" Target="../ctrlProps/ctrlProp720.xml"/><Relationship Id="rId128" Type="http://schemas.openxmlformats.org/officeDocument/2006/relationships/ctrlProp" Target="../ctrlProps/ctrlProp725.xml"/><Relationship Id="rId5" Type="http://schemas.openxmlformats.org/officeDocument/2006/relationships/ctrlProp" Target="../ctrlProps/ctrlProp602.xml"/><Relationship Id="rId90" Type="http://schemas.openxmlformats.org/officeDocument/2006/relationships/ctrlProp" Target="../ctrlProps/ctrlProp687.xml"/><Relationship Id="rId95" Type="http://schemas.openxmlformats.org/officeDocument/2006/relationships/ctrlProp" Target="../ctrlProps/ctrlProp692.xml"/><Relationship Id="rId22" Type="http://schemas.openxmlformats.org/officeDocument/2006/relationships/ctrlProp" Target="../ctrlProps/ctrlProp619.xml"/><Relationship Id="rId27" Type="http://schemas.openxmlformats.org/officeDocument/2006/relationships/ctrlProp" Target="../ctrlProps/ctrlProp624.xml"/><Relationship Id="rId43" Type="http://schemas.openxmlformats.org/officeDocument/2006/relationships/ctrlProp" Target="../ctrlProps/ctrlProp640.xml"/><Relationship Id="rId48" Type="http://schemas.openxmlformats.org/officeDocument/2006/relationships/ctrlProp" Target="../ctrlProps/ctrlProp645.xml"/><Relationship Id="rId64" Type="http://schemas.openxmlformats.org/officeDocument/2006/relationships/ctrlProp" Target="../ctrlProps/ctrlProp661.xml"/><Relationship Id="rId69" Type="http://schemas.openxmlformats.org/officeDocument/2006/relationships/ctrlProp" Target="../ctrlProps/ctrlProp666.xml"/><Relationship Id="rId113" Type="http://schemas.openxmlformats.org/officeDocument/2006/relationships/ctrlProp" Target="../ctrlProps/ctrlProp710.xml"/><Relationship Id="rId118" Type="http://schemas.openxmlformats.org/officeDocument/2006/relationships/ctrlProp" Target="../ctrlProps/ctrlProp715.xml"/><Relationship Id="rId80" Type="http://schemas.openxmlformats.org/officeDocument/2006/relationships/ctrlProp" Target="../ctrlProps/ctrlProp677.xml"/><Relationship Id="rId85" Type="http://schemas.openxmlformats.org/officeDocument/2006/relationships/ctrlProp" Target="../ctrlProps/ctrlProp682.xml"/><Relationship Id="rId12" Type="http://schemas.openxmlformats.org/officeDocument/2006/relationships/ctrlProp" Target="../ctrlProps/ctrlProp609.xml"/><Relationship Id="rId17" Type="http://schemas.openxmlformats.org/officeDocument/2006/relationships/ctrlProp" Target="../ctrlProps/ctrlProp614.xml"/><Relationship Id="rId33" Type="http://schemas.openxmlformats.org/officeDocument/2006/relationships/ctrlProp" Target="../ctrlProps/ctrlProp630.xml"/><Relationship Id="rId38" Type="http://schemas.openxmlformats.org/officeDocument/2006/relationships/ctrlProp" Target="../ctrlProps/ctrlProp635.xml"/><Relationship Id="rId59" Type="http://schemas.openxmlformats.org/officeDocument/2006/relationships/ctrlProp" Target="../ctrlProps/ctrlProp656.xml"/><Relationship Id="rId103" Type="http://schemas.openxmlformats.org/officeDocument/2006/relationships/ctrlProp" Target="../ctrlProps/ctrlProp700.xml"/><Relationship Id="rId108" Type="http://schemas.openxmlformats.org/officeDocument/2006/relationships/ctrlProp" Target="../ctrlProps/ctrlProp705.xml"/><Relationship Id="rId124" Type="http://schemas.openxmlformats.org/officeDocument/2006/relationships/ctrlProp" Target="../ctrlProps/ctrlProp721.xml"/><Relationship Id="rId129" Type="http://schemas.openxmlformats.org/officeDocument/2006/relationships/ctrlProp" Target="../ctrlProps/ctrlProp726.xml"/><Relationship Id="rId54" Type="http://schemas.openxmlformats.org/officeDocument/2006/relationships/ctrlProp" Target="../ctrlProps/ctrlProp651.xml"/><Relationship Id="rId70" Type="http://schemas.openxmlformats.org/officeDocument/2006/relationships/ctrlProp" Target="../ctrlProps/ctrlProp667.xml"/><Relationship Id="rId75" Type="http://schemas.openxmlformats.org/officeDocument/2006/relationships/ctrlProp" Target="../ctrlProps/ctrlProp672.xml"/><Relationship Id="rId91" Type="http://schemas.openxmlformats.org/officeDocument/2006/relationships/ctrlProp" Target="../ctrlProps/ctrlProp688.xml"/><Relationship Id="rId96" Type="http://schemas.openxmlformats.org/officeDocument/2006/relationships/ctrlProp" Target="../ctrlProps/ctrlProp693.xml"/><Relationship Id="rId1" Type="http://schemas.openxmlformats.org/officeDocument/2006/relationships/printerSettings" Target="../printerSettings/printerSettings43.bin"/><Relationship Id="rId6" Type="http://schemas.openxmlformats.org/officeDocument/2006/relationships/ctrlProp" Target="../ctrlProps/ctrlProp603.xml"/><Relationship Id="rId23" Type="http://schemas.openxmlformats.org/officeDocument/2006/relationships/ctrlProp" Target="../ctrlProps/ctrlProp620.xml"/><Relationship Id="rId28" Type="http://schemas.openxmlformats.org/officeDocument/2006/relationships/ctrlProp" Target="../ctrlProps/ctrlProp625.xml"/><Relationship Id="rId49" Type="http://schemas.openxmlformats.org/officeDocument/2006/relationships/ctrlProp" Target="../ctrlProps/ctrlProp646.xml"/><Relationship Id="rId114" Type="http://schemas.openxmlformats.org/officeDocument/2006/relationships/ctrlProp" Target="../ctrlProps/ctrlProp711.xml"/><Relationship Id="rId119" Type="http://schemas.openxmlformats.org/officeDocument/2006/relationships/ctrlProp" Target="../ctrlProps/ctrlProp716.xml"/><Relationship Id="rId44" Type="http://schemas.openxmlformats.org/officeDocument/2006/relationships/ctrlProp" Target="../ctrlProps/ctrlProp641.xml"/><Relationship Id="rId60" Type="http://schemas.openxmlformats.org/officeDocument/2006/relationships/ctrlProp" Target="../ctrlProps/ctrlProp657.xml"/><Relationship Id="rId65" Type="http://schemas.openxmlformats.org/officeDocument/2006/relationships/ctrlProp" Target="../ctrlProps/ctrlProp662.xml"/><Relationship Id="rId81" Type="http://schemas.openxmlformats.org/officeDocument/2006/relationships/ctrlProp" Target="../ctrlProps/ctrlProp678.xml"/><Relationship Id="rId86" Type="http://schemas.openxmlformats.org/officeDocument/2006/relationships/ctrlProp" Target="../ctrlProps/ctrlProp683.xml"/><Relationship Id="rId130" Type="http://schemas.openxmlformats.org/officeDocument/2006/relationships/ctrlProp" Target="../ctrlProps/ctrlProp727.xml"/><Relationship Id="rId13" Type="http://schemas.openxmlformats.org/officeDocument/2006/relationships/ctrlProp" Target="../ctrlProps/ctrlProp610.xml"/><Relationship Id="rId18" Type="http://schemas.openxmlformats.org/officeDocument/2006/relationships/ctrlProp" Target="../ctrlProps/ctrlProp615.xml"/><Relationship Id="rId39" Type="http://schemas.openxmlformats.org/officeDocument/2006/relationships/ctrlProp" Target="../ctrlProps/ctrlProp636.xml"/><Relationship Id="rId109" Type="http://schemas.openxmlformats.org/officeDocument/2006/relationships/ctrlProp" Target="../ctrlProps/ctrlProp706.xml"/><Relationship Id="rId34" Type="http://schemas.openxmlformats.org/officeDocument/2006/relationships/ctrlProp" Target="../ctrlProps/ctrlProp631.xml"/><Relationship Id="rId50" Type="http://schemas.openxmlformats.org/officeDocument/2006/relationships/ctrlProp" Target="../ctrlProps/ctrlProp647.xml"/><Relationship Id="rId55" Type="http://schemas.openxmlformats.org/officeDocument/2006/relationships/ctrlProp" Target="../ctrlProps/ctrlProp652.xml"/><Relationship Id="rId76" Type="http://schemas.openxmlformats.org/officeDocument/2006/relationships/ctrlProp" Target="../ctrlProps/ctrlProp673.xml"/><Relationship Id="rId97" Type="http://schemas.openxmlformats.org/officeDocument/2006/relationships/ctrlProp" Target="../ctrlProps/ctrlProp694.xml"/><Relationship Id="rId104" Type="http://schemas.openxmlformats.org/officeDocument/2006/relationships/ctrlProp" Target="../ctrlProps/ctrlProp701.xml"/><Relationship Id="rId120" Type="http://schemas.openxmlformats.org/officeDocument/2006/relationships/ctrlProp" Target="../ctrlProps/ctrlProp717.xml"/><Relationship Id="rId125" Type="http://schemas.openxmlformats.org/officeDocument/2006/relationships/ctrlProp" Target="../ctrlProps/ctrlProp722.xml"/><Relationship Id="rId7" Type="http://schemas.openxmlformats.org/officeDocument/2006/relationships/ctrlProp" Target="../ctrlProps/ctrlProp604.xml"/><Relationship Id="rId71" Type="http://schemas.openxmlformats.org/officeDocument/2006/relationships/ctrlProp" Target="../ctrlProps/ctrlProp668.xml"/><Relationship Id="rId92" Type="http://schemas.openxmlformats.org/officeDocument/2006/relationships/ctrlProp" Target="../ctrlProps/ctrlProp689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626.xml"/><Relationship Id="rId24" Type="http://schemas.openxmlformats.org/officeDocument/2006/relationships/ctrlProp" Target="../ctrlProps/ctrlProp621.xml"/><Relationship Id="rId40" Type="http://schemas.openxmlformats.org/officeDocument/2006/relationships/ctrlProp" Target="../ctrlProps/ctrlProp637.xml"/><Relationship Id="rId45" Type="http://schemas.openxmlformats.org/officeDocument/2006/relationships/ctrlProp" Target="../ctrlProps/ctrlProp642.xml"/><Relationship Id="rId66" Type="http://schemas.openxmlformats.org/officeDocument/2006/relationships/ctrlProp" Target="../ctrlProps/ctrlProp663.xml"/><Relationship Id="rId87" Type="http://schemas.openxmlformats.org/officeDocument/2006/relationships/ctrlProp" Target="../ctrlProps/ctrlProp684.xml"/><Relationship Id="rId110" Type="http://schemas.openxmlformats.org/officeDocument/2006/relationships/ctrlProp" Target="../ctrlProps/ctrlProp707.xml"/><Relationship Id="rId115" Type="http://schemas.openxmlformats.org/officeDocument/2006/relationships/ctrlProp" Target="../ctrlProps/ctrlProp712.xml"/><Relationship Id="rId131" Type="http://schemas.openxmlformats.org/officeDocument/2006/relationships/ctrlProp" Target="../ctrlProps/ctrlProp728.xml"/><Relationship Id="rId61" Type="http://schemas.openxmlformats.org/officeDocument/2006/relationships/ctrlProp" Target="../ctrlProps/ctrlProp658.xml"/><Relationship Id="rId82" Type="http://schemas.openxmlformats.org/officeDocument/2006/relationships/ctrlProp" Target="../ctrlProps/ctrlProp679.xml"/><Relationship Id="rId19" Type="http://schemas.openxmlformats.org/officeDocument/2006/relationships/ctrlProp" Target="../ctrlProps/ctrlProp616.xml"/><Relationship Id="rId14" Type="http://schemas.openxmlformats.org/officeDocument/2006/relationships/ctrlProp" Target="../ctrlProps/ctrlProp611.xml"/><Relationship Id="rId30" Type="http://schemas.openxmlformats.org/officeDocument/2006/relationships/ctrlProp" Target="../ctrlProps/ctrlProp627.xml"/><Relationship Id="rId35" Type="http://schemas.openxmlformats.org/officeDocument/2006/relationships/ctrlProp" Target="../ctrlProps/ctrlProp632.xml"/><Relationship Id="rId56" Type="http://schemas.openxmlformats.org/officeDocument/2006/relationships/ctrlProp" Target="../ctrlProps/ctrlProp653.xml"/><Relationship Id="rId77" Type="http://schemas.openxmlformats.org/officeDocument/2006/relationships/ctrlProp" Target="../ctrlProps/ctrlProp674.xml"/><Relationship Id="rId100" Type="http://schemas.openxmlformats.org/officeDocument/2006/relationships/ctrlProp" Target="../ctrlProps/ctrlProp697.xml"/><Relationship Id="rId105" Type="http://schemas.openxmlformats.org/officeDocument/2006/relationships/ctrlProp" Target="../ctrlProps/ctrlProp702.xml"/><Relationship Id="rId126" Type="http://schemas.openxmlformats.org/officeDocument/2006/relationships/ctrlProp" Target="../ctrlProps/ctrlProp723.xml"/><Relationship Id="rId8" Type="http://schemas.openxmlformats.org/officeDocument/2006/relationships/ctrlProp" Target="../ctrlProps/ctrlProp605.xml"/><Relationship Id="rId51" Type="http://schemas.openxmlformats.org/officeDocument/2006/relationships/ctrlProp" Target="../ctrlProps/ctrlProp648.xml"/><Relationship Id="rId72" Type="http://schemas.openxmlformats.org/officeDocument/2006/relationships/ctrlProp" Target="../ctrlProps/ctrlProp669.xml"/><Relationship Id="rId93" Type="http://schemas.openxmlformats.org/officeDocument/2006/relationships/ctrlProp" Target="../ctrlProps/ctrlProp690.xml"/><Relationship Id="rId98" Type="http://schemas.openxmlformats.org/officeDocument/2006/relationships/ctrlProp" Target="../ctrlProps/ctrlProp695.xml"/><Relationship Id="rId121" Type="http://schemas.openxmlformats.org/officeDocument/2006/relationships/ctrlProp" Target="../ctrlProps/ctrlProp718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622.xml"/><Relationship Id="rId46" Type="http://schemas.openxmlformats.org/officeDocument/2006/relationships/ctrlProp" Target="../ctrlProps/ctrlProp643.xml"/><Relationship Id="rId67" Type="http://schemas.openxmlformats.org/officeDocument/2006/relationships/ctrlProp" Target="../ctrlProps/ctrlProp664.xml"/><Relationship Id="rId116" Type="http://schemas.openxmlformats.org/officeDocument/2006/relationships/ctrlProp" Target="../ctrlProps/ctrlProp713.xml"/><Relationship Id="rId20" Type="http://schemas.openxmlformats.org/officeDocument/2006/relationships/ctrlProp" Target="../ctrlProps/ctrlProp617.xml"/><Relationship Id="rId41" Type="http://schemas.openxmlformats.org/officeDocument/2006/relationships/ctrlProp" Target="../ctrlProps/ctrlProp638.xml"/><Relationship Id="rId62" Type="http://schemas.openxmlformats.org/officeDocument/2006/relationships/ctrlProp" Target="../ctrlProps/ctrlProp659.xml"/><Relationship Id="rId83" Type="http://schemas.openxmlformats.org/officeDocument/2006/relationships/ctrlProp" Target="../ctrlProps/ctrlProp680.xml"/><Relationship Id="rId88" Type="http://schemas.openxmlformats.org/officeDocument/2006/relationships/ctrlProp" Target="../ctrlProps/ctrlProp685.xml"/><Relationship Id="rId111" Type="http://schemas.openxmlformats.org/officeDocument/2006/relationships/ctrlProp" Target="../ctrlProps/ctrlProp708.xml"/><Relationship Id="rId15" Type="http://schemas.openxmlformats.org/officeDocument/2006/relationships/ctrlProp" Target="../ctrlProps/ctrlProp612.xml"/><Relationship Id="rId36" Type="http://schemas.openxmlformats.org/officeDocument/2006/relationships/ctrlProp" Target="../ctrlProps/ctrlProp633.xml"/><Relationship Id="rId57" Type="http://schemas.openxmlformats.org/officeDocument/2006/relationships/ctrlProp" Target="../ctrlProps/ctrlProp654.xml"/><Relationship Id="rId106" Type="http://schemas.openxmlformats.org/officeDocument/2006/relationships/ctrlProp" Target="../ctrlProps/ctrlProp703.xml"/><Relationship Id="rId127" Type="http://schemas.openxmlformats.org/officeDocument/2006/relationships/ctrlProp" Target="../ctrlProps/ctrlProp724.xml"/><Relationship Id="rId10" Type="http://schemas.openxmlformats.org/officeDocument/2006/relationships/ctrlProp" Target="../ctrlProps/ctrlProp607.xml"/><Relationship Id="rId31" Type="http://schemas.openxmlformats.org/officeDocument/2006/relationships/ctrlProp" Target="../ctrlProps/ctrlProp628.xml"/><Relationship Id="rId52" Type="http://schemas.openxmlformats.org/officeDocument/2006/relationships/ctrlProp" Target="../ctrlProps/ctrlProp649.xml"/><Relationship Id="rId73" Type="http://schemas.openxmlformats.org/officeDocument/2006/relationships/ctrlProp" Target="../ctrlProps/ctrlProp670.xml"/><Relationship Id="rId78" Type="http://schemas.openxmlformats.org/officeDocument/2006/relationships/ctrlProp" Target="../ctrlProps/ctrlProp675.xml"/><Relationship Id="rId94" Type="http://schemas.openxmlformats.org/officeDocument/2006/relationships/ctrlProp" Target="../ctrlProps/ctrlProp691.xml"/><Relationship Id="rId99" Type="http://schemas.openxmlformats.org/officeDocument/2006/relationships/ctrlProp" Target="../ctrlProps/ctrlProp696.xml"/><Relationship Id="rId101" Type="http://schemas.openxmlformats.org/officeDocument/2006/relationships/ctrlProp" Target="../ctrlProps/ctrlProp698.xml"/><Relationship Id="rId122" Type="http://schemas.openxmlformats.org/officeDocument/2006/relationships/ctrlProp" Target="../ctrlProps/ctrlProp719.xml"/><Relationship Id="rId4" Type="http://schemas.openxmlformats.org/officeDocument/2006/relationships/ctrlProp" Target="../ctrlProps/ctrlProp601.xml"/><Relationship Id="rId9" Type="http://schemas.openxmlformats.org/officeDocument/2006/relationships/ctrlProp" Target="../ctrlProps/ctrlProp606.xml"/><Relationship Id="rId26" Type="http://schemas.openxmlformats.org/officeDocument/2006/relationships/ctrlProp" Target="../ctrlProps/ctrlProp623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3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842.xml"/><Relationship Id="rId21" Type="http://schemas.openxmlformats.org/officeDocument/2006/relationships/ctrlProp" Target="../ctrlProps/ctrlProp746.xml"/><Relationship Id="rId42" Type="http://schemas.openxmlformats.org/officeDocument/2006/relationships/ctrlProp" Target="../ctrlProps/ctrlProp767.xml"/><Relationship Id="rId63" Type="http://schemas.openxmlformats.org/officeDocument/2006/relationships/ctrlProp" Target="../ctrlProps/ctrlProp788.xml"/><Relationship Id="rId84" Type="http://schemas.openxmlformats.org/officeDocument/2006/relationships/ctrlProp" Target="../ctrlProps/ctrlProp809.xml"/><Relationship Id="rId138" Type="http://schemas.openxmlformats.org/officeDocument/2006/relationships/ctrlProp" Target="../ctrlProps/ctrlProp863.xml"/><Relationship Id="rId107" Type="http://schemas.openxmlformats.org/officeDocument/2006/relationships/ctrlProp" Target="../ctrlProps/ctrlProp832.xml"/><Relationship Id="rId11" Type="http://schemas.openxmlformats.org/officeDocument/2006/relationships/ctrlProp" Target="../ctrlProps/ctrlProp736.xml"/><Relationship Id="rId32" Type="http://schemas.openxmlformats.org/officeDocument/2006/relationships/ctrlProp" Target="../ctrlProps/ctrlProp757.xml"/><Relationship Id="rId53" Type="http://schemas.openxmlformats.org/officeDocument/2006/relationships/ctrlProp" Target="../ctrlProps/ctrlProp778.xml"/><Relationship Id="rId74" Type="http://schemas.openxmlformats.org/officeDocument/2006/relationships/ctrlProp" Target="../ctrlProps/ctrlProp799.xml"/><Relationship Id="rId128" Type="http://schemas.openxmlformats.org/officeDocument/2006/relationships/ctrlProp" Target="../ctrlProps/ctrlProp853.xml"/><Relationship Id="rId5" Type="http://schemas.openxmlformats.org/officeDocument/2006/relationships/ctrlProp" Target="../ctrlProps/ctrlProp730.xml"/><Relationship Id="rId90" Type="http://schemas.openxmlformats.org/officeDocument/2006/relationships/ctrlProp" Target="../ctrlProps/ctrlProp815.xml"/><Relationship Id="rId95" Type="http://schemas.openxmlformats.org/officeDocument/2006/relationships/ctrlProp" Target="../ctrlProps/ctrlProp820.xml"/><Relationship Id="rId22" Type="http://schemas.openxmlformats.org/officeDocument/2006/relationships/ctrlProp" Target="../ctrlProps/ctrlProp747.xml"/><Relationship Id="rId27" Type="http://schemas.openxmlformats.org/officeDocument/2006/relationships/ctrlProp" Target="../ctrlProps/ctrlProp752.xml"/><Relationship Id="rId43" Type="http://schemas.openxmlformats.org/officeDocument/2006/relationships/ctrlProp" Target="../ctrlProps/ctrlProp768.xml"/><Relationship Id="rId48" Type="http://schemas.openxmlformats.org/officeDocument/2006/relationships/ctrlProp" Target="../ctrlProps/ctrlProp773.xml"/><Relationship Id="rId64" Type="http://schemas.openxmlformats.org/officeDocument/2006/relationships/ctrlProp" Target="../ctrlProps/ctrlProp789.xml"/><Relationship Id="rId69" Type="http://schemas.openxmlformats.org/officeDocument/2006/relationships/ctrlProp" Target="../ctrlProps/ctrlProp794.xml"/><Relationship Id="rId113" Type="http://schemas.openxmlformats.org/officeDocument/2006/relationships/ctrlProp" Target="../ctrlProps/ctrlProp838.xml"/><Relationship Id="rId118" Type="http://schemas.openxmlformats.org/officeDocument/2006/relationships/ctrlProp" Target="../ctrlProps/ctrlProp843.xml"/><Relationship Id="rId134" Type="http://schemas.openxmlformats.org/officeDocument/2006/relationships/ctrlProp" Target="../ctrlProps/ctrlProp859.xml"/><Relationship Id="rId139" Type="http://schemas.openxmlformats.org/officeDocument/2006/relationships/ctrlProp" Target="../ctrlProps/ctrlProp864.xml"/><Relationship Id="rId80" Type="http://schemas.openxmlformats.org/officeDocument/2006/relationships/ctrlProp" Target="../ctrlProps/ctrlProp805.xml"/><Relationship Id="rId85" Type="http://schemas.openxmlformats.org/officeDocument/2006/relationships/ctrlProp" Target="../ctrlProps/ctrlProp810.xml"/><Relationship Id="rId12" Type="http://schemas.openxmlformats.org/officeDocument/2006/relationships/ctrlProp" Target="../ctrlProps/ctrlProp737.xml"/><Relationship Id="rId17" Type="http://schemas.openxmlformats.org/officeDocument/2006/relationships/ctrlProp" Target="../ctrlProps/ctrlProp742.xml"/><Relationship Id="rId33" Type="http://schemas.openxmlformats.org/officeDocument/2006/relationships/ctrlProp" Target="../ctrlProps/ctrlProp758.xml"/><Relationship Id="rId38" Type="http://schemas.openxmlformats.org/officeDocument/2006/relationships/ctrlProp" Target="../ctrlProps/ctrlProp763.xml"/><Relationship Id="rId59" Type="http://schemas.openxmlformats.org/officeDocument/2006/relationships/ctrlProp" Target="../ctrlProps/ctrlProp784.xml"/><Relationship Id="rId103" Type="http://schemas.openxmlformats.org/officeDocument/2006/relationships/ctrlProp" Target="../ctrlProps/ctrlProp828.xml"/><Relationship Id="rId108" Type="http://schemas.openxmlformats.org/officeDocument/2006/relationships/ctrlProp" Target="../ctrlProps/ctrlProp833.xml"/><Relationship Id="rId124" Type="http://schemas.openxmlformats.org/officeDocument/2006/relationships/ctrlProp" Target="../ctrlProps/ctrlProp849.xml"/><Relationship Id="rId129" Type="http://schemas.openxmlformats.org/officeDocument/2006/relationships/ctrlProp" Target="../ctrlProps/ctrlProp854.xml"/><Relationship Id="rId54" Type="http://schemas.openxmlformats.org/officeDocument/2006/relationships/ctrlProp" Target="../ctrlProps/ctrlProp779.xml"/><Relationship Id="rId70" Type="http://schemas.openxmlformats.org/officeDocument/2006/relationships/ctrlProp" Target="../ctrlProps/ctrlProp795.xml"/><Relationship Id="rId75" Type="http://schemas.openxmlformats.org/officeDocument/2006/relationships/ctrlProp" Target="../ctrlProps/ctrlProp800.xml"/><Relationship Id="rId91" Type="http://schemas.openxmlformats.org/officeDocument/2006/relationships/ctrlProp" Target="../ctrlProps/ctrlProp816.xml"/><Relationship Id="rId96" Type="http://schemas.openxmlformats.org/officeDocument/2006/relationships/ctrlProp" Target="../ctrlProps/ctrlProp821.xml"/><Relationship Id="rId140" Type="http://schemas.openxmlformats.org/officeDocument/2006/relationships/ctrlProp" Target="../ctrlProps/ctrlProp865.xml"/><Relationship Id="rId145" Type="http://schemas.openxmlformats.org/officeDocument/2006/relationships/ctrlProp" Target="../ctrlProps/ctrlProp870.xml"/><Relationship Id="rId1" Type="http://schemas.openxmlformats.org/officeDocument/2006/relationships/printerSettings" Target="../printerSettings/printerSettings45.bin"/><Relationship Id="rId6" Type="http://schemas.openxmlformats.org/officeDocument/2006/relationships/ctrlProp" Target="../ctrlProps/ctrlProp731.xml"/><Relationship Id="rId23" Type="http://schemas.openxmlformats.org/officeDocument/2006/relationships/ctrlProp" Target="../ctrlProps/ctrlProp748.xml"/><Relationship Id="rId28" Type="http://schemas.openxmlformats.org/officeDocument/2006/relationships/ctrlProp" Target="../ctrlProps/ctrlProp753.xml"/><Relationship Id="rId49" Type="http://schemas.openxmlformats.org/officeDocument/2006/relationships/ctrlProp" Target="../ctrlProps/ctrlProp774.xml"/><Relationship Id="rId114" Type="http://schemas.openxmlformats.org/officeDocument/2006/relationships/ctrlProp" Target="../ctrlProps/ctrlProp839.xml"/><Relationship Id="rId119" Type="http://schemas.openxmlformats.org/officeDocument/2006/relationships/ctrlProp" Target="../ctrlProps/ctrlProp844.xml"/><Relationship Id="rId44" Type="http://schemas.openxmlformats.org/officeDocument/2006/relationships/ctrlProp" Target="../ctrlProps/ctrlProp769.xml"/><Relationship Id="rId60" Type="http://schemas.openxmlformats.org/officeDocument/2006/relationships/ctrlProp" Target="../ctrlProps/ctrlProp785.xml"/><Relationship Id="rId65" Type="http://schemas.openxmlformats.org/officeDocument/2006/relationships/ctrlProp" Target="../ctrlProps/ctrlProp790.xml"/><Relationship Id="rId81" Type="http://schemas.openxmlformats.org/officeDocument/2006/relationships/ctrlProp" Target="../ctrlProps/ctrlProp806.xml"/><Relationship Id="rId86" Type="http://schemas.openxmlformats.org/officeDocument/2006/relationships/ctrlProp" Target="../ctrlProps/ctrlProp811.xml"/><Relationship Id="rId130" Type="http://schemas.openxmlformats.org/officeDocument/2006/relationships/ctrlProp" Target="../ctrlProps/ctrlProp855.xml"/><Relationship Id="rId135" Type="http://schemas.openxmlformats.org/officeDocument/2006/relationships/ctrlProp" Target="../ctrlProps/ctrlProp860.xml"/><Relationship Id="rId13" Type="http://schemas.openxmlformats.org/officeDocument/2006/relationships/ctrlProp" Target="../ctrlProps/ctrlProp738.xml"/><Relationship Id="rId18" Type="http://schemas.openxmlformats.org/officeDocument/2006/relationships/ctrlProp" Target="../ctrlProps/ctrlProp743.xml"/><Relationship Id="rId39" Type="http://schemas.openxmlformats.org/officeDocument/2006/relationships/ctrlProp" Target="../ctrlProps/ctrlProp764.xml"/><Relationship Id="rId109" Type="http://schemas.openxmlformats.org/officeDocument/2006/relationships/ctrlProp" Target="../ctrlProps/ctrlProp834.xml"/><Relationship Id="rId34" Type="http://schemas.openxmlformats.org/officeDocument/2006/relationships/ctrlProp" Target="../ctrlProps/ctrlProp759.xml"/><Relationship Id="rId50" Type="http://schemas.openxmlformats.org/officeDocument/2006/relationships/ctrlProp" Target="../ctrlProps/ctrlProp775.xml"/><Relationship Id="rId55" Type="http://schemas.openxmlformats.org/officeDocument/2006/relationships/ctrlProp" Target="../ctrlProps/ctrlProp780.xml"/><Relationship Id="rId76" Type="http://schemas.openxmlformats.org/officeDocument/2006/relationships/ctrlProp" Target="../ctrlProps/ctrlProp801.xml"/><Relationship Id="rId97" Type="http://schemas.openxmlformats.org/officeDocument/2006/relationships/ctrlProp" Target="../ctrlProps/ctrlProp822.xml"/><Relationship Id="rId104" Type="http://schemas.openxmlformats.org/officeDocument/2006/relationships/ctrlProp" Target="../ctrlProps/ctrlProp829.xml"/><Relationship Id="rId120" Type="http://schemas.openxmlformats.org/officeDocument/2006/relationships/ctrlProp" Target="../ctrlProps/ctrlProp845.xml"/><Relationship Id="rId125" Type="http://schemas.openxmlformats.org/officeDocument/2006/relationships/ctrlProp" Target="../ctrlProps/ctrlProp850.xml"/><Relationship Id="rId141" Type="http://schemas.openxmlformats.org/officeDocument/2006/relationships/ctrlProp" Target="../ctrlProps/ctrlProp866.xml"/><Relationship Id="rId146" Type="http://schemas.openxmlformats.org/officeDocument/2006/relationships/ctrlProp" Target="../ctrlProps/ctrlProp871.xml"/><Relationship Id="rId7" Type="http://schemas.openxmlformats.org/officeDocument/2006/relationships/ctrlProp" Target="../ctrlProps/ctrlProp732.xml"/><Relationship Id="rId71" Type="http://schemas.openxmlformats.org/officeDocument/2006/relationships/ctrlProp" Target="../ctrlProps/ctrlProp796.xml"/><Relationship Id="rId92" Type="http://schemas.openxmlformats.org/officeDocument/2006/relationships/ctrlProp" Target="../ctrlProps/ctrlProp817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754.xml"/><Relationship Id="rId24" Type="http://schemas.openxmlformats.org/officeDocument/2006/relationships/ctrlProp" Target="../ctrlProps/ctrlProp749.xml"/><Relationship Id="rId40" Type="http://schemas.openxmlformats.org/officeDocument/2006/relationships/ctrlProp" Target="../ctrlProps/ctrlProp765.xml"/><Relationship Id="rId45" Type="http://schemas.openxmlformats.org/officeDocument/2006/relationships/ctrlProp" Target="../ctrlProps/ctrlProp770.xml"/><Relationship Id="rId66" Type="http://schemas.openxmlformats.org/officeDocument/2006/relationships/ctrlProp" Target="../ctrlProps/ctrlProp791.xml"/><Relationship Id="rId87" Type="http://schemas.openxmlformats.org/officeDocument/2006/relationships/ctrlProp" Target="../ctrlProps/ctrlProp812.xml"/><Relationship Id="rId110" Type="http://schemas.openxmlformats.org/officeDocument/2006/relationships/ctrlProp" Target="../ctrlProps/ctrlProp835.xml"/><Relationship Id="rId115" Type="http://schemas.openxmlformats.org/officeDocument/2006/relationships/ctrlProp" Target="../ctrlProps/ctrlProp840.xml"/><Relationship Id="rId131" Type="http://schemas.openxmlformats.org/officeDocument/2006/relationships/ctrlProp" Target="../ctrlProps/ctrlProp856.xml"/><Relationship Id="rId136" Type="http://schemas.openxmlformats.org/officeDocument/2006/relationships/ctrlProp" Target="../ctrlProps/ctrlProp861.xml"/><Relationship Id="rId61" Type="http://schemas.openxmlformats.org/officeDocument/2006/relationships/ctrlProp" Target="../ctrlProps/ctrlProp786.xml"/><Relationship Id="rId82" Type="http://schemas.openxmlformats.org/officeDocument/2006/relationships/ctrlProp" Target="../ctrlProps/ctrlProp807.xml"/><Relationship Id="rId19" Type="http://schemas.openxmlformats.org/officeDocument/2006/relationships/ctrlProp" Target="../ctrlProps/ctrlProp744.xml"/><Relationship Id="rId14" Type="http://schemas.openxmlformats.org/officeDocument/2006/relationships/ctrlProp" Target="../ctrlProps/ctrlProp739.xml"/><Relationship Id="rId30" Type="http://schemas.openxmlformats.org/officeDocument/2006/relationships/ctrlProp" Target="../ctrlProps/ctrlProp755.xml"/><Relationship Id="rId35" Type="http://schemas.openxmlformats.org/officeDocument/2006/relationships/ctrlProp" Target="../ctrlProps/ctrlProp760.xml"/><Relationship Id="rId56" Type="http://schemas.openxmlformats.org/officeDocument/2006/relationships/ctrlProp" Target="../ctrlProps/ctrlProp781.xml"/><Relationship Id="rId77" Type="http://schemas.openxmlformats.org/officeDocument/2006/relationships/ctrlProp" Target="../ctrlProps/ctrlProp802.xml"/><Relationship Id="rId100" Type="http://schemas.openxmlformats.org/officeDocument/2006/relationships/ctrlProp" Target="../ctrlProps/ctrlProp825.xml"/><Relationship Id="rId105" Type="http://schemas.openxmlformats.org/officeDocument/2006/relationships/ctrlProp" Target="../ctrlProps/ctrlProp830.xml"/><Relationship Id="rId126" Type="http://schemas.openxmlformats.org/officeDocument/2006/relationships/ctrlProp" Target="../ctrlProps/ctrlProp851.xml"/><Relationship Id="rId8" Type="http://schemas.openxmlformats.org/officeDocument/2006/relationships/ctrlProp" Target="../ctrlProps/ctrlProp733.xml"/><Relationship Id="rId51" Type="http://schemas.openxmlformats.org/officeDocument/2006/relationships/ctrlProp" Target="../ctrlProps/ctrlProp776.xml"/><Relationship Id="rId72" Type="http://schemas.openxmlformats.org/officeDocument/2006/relationships/ctrlProp" Target="../ctrlProps/ctrlProp797.xml"/><Relationship Id="rId93" Type="http://schemas.openxmlformats.org/officeDocument/2006/relationships/ctrlProp" Target="../ctrlProps/ctrlProp818.xml"/><Relationship Id="rId98" Type="http://schemas.openxmlformats.org/officeDocument/2006/relationships/ctrlProp" Target="../ctrlProps/ctrlProp823.xml"/><Relationship Id="rId121" Type="http://schemas.openxmlformats.org/officeDocument/2006/relationships/ctrlProp" Target="../ctrlProps/ctrlProp846.xml"/><Relationship Id="rId142" Type="http://schemas.openxmlformats.org/officeDocument/2006/relationships/ctrlProp" Target="../ctrlProps/ctrlProp867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750.xml"/><Relationship Id="rId46" Type="http://schemas.openxmlformats.org/officeDocument/2006/relationships/ctrlProp" Target="../ctrlProps/ctrlProp771.xml"/><Relationship Id="rId67" Type="http://schemas.openxmlformats.org/officeDocument/2006/relationships/ctrlProp" Target="../ctrlProps/ctrlProp792.xml"/><Relationship Id="rId116" Type="http://schemas.openxmlformats.org/officeDocument/2006/relationships/ctrlProp" Target="../ctrlProps/ctrlProp841.xml"/><Relationship Id="rId137" Type="http://schemas.openxmlformats.org/officeDocument/2006/relationships/ctrlProp" Target="../ctrlProps/ctrlProp862.xml"/><Relationship Id="rId20" Type="http://schemas.openxmlformats.org/officeDocument/2006/relationships/ctrlProp" Target="../ctrlProps/ctrlProp745.xml"/><Relationship Id="rId41" Type="http://schemas.openxmlformats.org/officeDocument/2006/relationships/ctrlProp" Target="../ctrlProps/ctrlProp766.xml"/><Relationship Id="rId62" Type="http://schemas.openxmlformats.org/officeDocument/2006/relationships/ctrlProp" Target="../ctrlProps/ctrlProp787.xml"/><Relationship Id="rId83" Type="http://schemas.openxmlformats.org/officeDocument/2006/relationships/ctrlProp" Target="../ctrlProps/ctrlProp808.xml"/><Relationship Id="rId88" Type="http://schemas.openxmlformats.org/officeDocument/2006/relationships/ctrlProp" Target="../ctrlProps/ctrlProp813.xml"/><Relationship Id="rId111" Type="http://schemas.openxmlformats.org/officeDocument/2006/relationships/ctrlProp" Target="../ctrlProps/ctrlProp836.xml"/><Relationship Id="rId132" Type="http://schemas.openxmlformats.org/officeDocument/2006/relationships/ctrlProp" Target="../ctrlProps/ctrlProp857.xml"/><Relationship Id="rId15" Type="http://schemas.openxmlformats.org/officeDocument/2006/relationships/ctrlProp" Target="../ctrlProps/ctrlProp740.xml"/><Relationship Id="rId36" Type="http://schemas.openxmlformats.org/officeDocument/2006/relationships/ctrlProp" Target="../ctrlProps/ctrlProp761.xml"/><Relationship Id="rId57" Type="http://schemas.openxmlformats.org/officeDocument/2006/relationships/ctrlProp" Target="../ctrlProps/ctrlProp782.xml"/><Relationship Id="rId106" Type="http://schemas.openxmlformats.org/officeDocument/2006/relationships/ctrlProp" Target="../ctrlProps/ctrlProp831.xml"/><Relationship Id="rId127" Type="http://schemas.openxmlformats.org/officeDocument/2006/relationships/ctrlProp" Target="../ctrlProps/ctrlProp852.xml"/><Relationship Id="rId10" Type="http://schemas.openxmlformats.org/officeDocument/2006/relationships/ctrlProp" Target="../ctrlProps/ctrlProp735.xml"/><Relationship Id="rId31" Type="http://schemas.openxmlformats.org/officeDocument/2006/relationships/ctrlProp" Target="../ctrlProps/ctrlProp756.xml"/><Relationship Id="rId52" Type="http://schemas.openxmlformats.org/officeDocument/2006/relationships/ctrlProp" Target="../ctrlProps/ctrlProp777.xml"/><Relationship Id="rId73" Type="http://schemas.openxmlformats.org/officeDocument/2006/relationships/ctrlProp" Target="../ctrlProps/ctrlProp798.xml"/><Relationship Id="rId78" Type="http://schemas.openxmlformats.org/officeDocument/2006/relationships/ctrlProp" Target="../ctrlProps/ctrlProp803.xml"/><Relationship Id="rId94" Type="http://schemas.openxmlformats.org/officeDocument/2006/relationships/ctrlProp" Target="../ctrlProps/ctrlProp819.xml"/><Relationship Id="rId99" Type="http://schemas.openxmlformats.org/officeDocument/2006/relationships/ctrlProp" Target="../ctrlProps/ctrlProp824.xml"/><Relationship Id="rId101" Type="http://schemas.openxmlformats.org/officeDocument/2006/relationships/ctrlProp" Target="../ctrlProps/ctrlProp826.xml"/><Relationship Id="rId122" Type="http://schemas.openxmlformats.org/officeDocument/2006/relationships/ctrlProp" Target="../ctrlProps/ctrlProp847.xml"/><Relationship Id="rId143" Type="http://schemas.openxmlformats.org/officeDocument/2006/relationships/ctrlProp" Target="../ctrlProps/ctrlProp868.xml"/><Relationship Id="rId4" Type="http://schemas.openxmlformats.org/officeDocument/2006/relationships/ctrlProp" Target="../ctrlProps/ctrlProp729.xml"/><Relationship Id="rId9" Type="http://schemas.openxmlformats.org/officeDocument/2006/relationships/ctrlProp" Target="../ctrlProps/ctrlProp734.xml"/><Relationship Id="rId26" Type="http://schemas.openxmlformats.org/officeDocument/2006/relationships/ctrlProp" Target="../ctrlProps/ctrlProp751.xml"/><Relationship Id="rId47" Type="http://schemas.openxmlformats.org/officeDocument/2006/relationships/ctrlProp" Target="../ctrlProps/ctrlProp772.xml"/><Relationship Id="rId68" Type="http://schemas.openxmlformats.org/officeDocument/2006/relationships/ctrlProp" Target="../ctrlProps/ctrlProp793.xml"/><Relationship Id="rId89" Type="http://schemas.openxmlformats.org/officeDocument/2006/relationships/ctrlProp" Target="../ctrlProps/ctrlProp814.xml"/><Relationship Id="rId112" Type="http://schemas.openxmlformats.org/officeDocument/2006/relationships/ctrlProp" Target="../ctrlProps/ctrlProp837.xml"/><Relationship Id="rId133" Type="http://schemas.openxmlformats.org/officeDocument/2006/relationships/ctrlProp" Target="../ctrlProps/ctrlProp858.xml"/><Relationship Id="rId16" Type="http://schemas.openxmlformats.org/officeDocument/2006/relationships/ctrlProp" Target="../ctrlProps/ctrlProp741.xml"/><Relationship Id="rId37" Type="http://schemas.openxmlformats.org/officeDocument/2006/relationships/ctrlProp" Target="../ctrlProps/ctrlProp762.xml"/><Relationship Id="rId58" Type="http://schemas.openxmlformats.org/officeDocument/2006/relationships/ctrlProp" Target="../ctrlProps/ctrlProp783.xml"/><Relationship Id="rId79" Type="http://schemas.openxmlformats.org/officeDocument/2006/relationships/ctrlProp" Target="../ctrlProps/ctrlProp804.xml"/><Relationship Id="rId102" Type="http://schemas.openxmlformats.org/officeDocument/2006/relationships/ctrlProp" Target="../ctrlProps/ctrlProp827.xml"/><Relationship Id="rId123" Type="http://schemas.openxmlformats.org/officeDocument/2006/relationships/ctrlProp" Target="../ctrlProps/ctrlProp848.xml"/><Relationship Id="rId144" Type="http://schemas.openxmlformats.org/officeDocument/2006/relationships/ctrlProp" Target="../ctrlProps/ctrlProp869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4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894.xml"/><Relationship Id="rId117" Type="http://schemas.openxmlformats.org/officeDocument/2006/relationships/ctrlProp" Target="../ctrlProps/ctrlProp985.xml"/><Relationship Id="rId21" Type="http://schemas.openxmlformats.org/officeDocument/2006/relationships/ctrlProp" Target="../ctrlProps/ctrlProp889.xml"/><Relationship Id="rId42" Type="http://schemas.openxmlformats.org/officeDocument/2006/relationships/ctrlProp" Target="../ctrlProps/ctrlProp910.xml"/><Relationship Id="rId47" Type="http://schemas.openxmlformats.org/officeDocument/2006/relationships/ctrlProp" Target="../ctrlProps/ctrlProp915.xml"/><Relationship Id="rId63" Type="http://schemas.openxmlformats.org/officeDocument/2006/relationships/ctrlProp" Target="../ctrlProps/ctrlProp931.xml"/><Relationship Id="rId68" Type="http://schemas.openxmlformats.org/officeDocument/2006/relationships/ctrlProp" Target="../ctrlProps/ctrlProp936.xml"/><Relationship Id="rId84" Type="http://schemas.openxmlformats.org/officeDocument/2006/relationships/ctrlProp" Target="../ctrlProps/ctrlProp952.xml"/><Relationship Id="rId89" Type="http://schemas.openxmlformats.org/officeDocument/2006/relationships/ctrlProp" Target="../ctrlProps/ctrlProp957.xml"/><Relationship Id="rId112" Type="http://schemas.openxmlformats.org/officeDocument/2006/relationships/ctrlProp" Target="../ctrlProps/ctrlProp980.xml"/><Relationship Id="rId16" Type="http://schemas.openxmlformats.org/officeDocument/2006/relationships/ctrlProp" Target="../ctrlProps/ctrlProp884.xml"/><Relationship Id="rId107" Type="http://schemas.openxmlformats.org/officeDocument/2006/relationships/ctrlProp" Target="../ctrlProps/ctrlProp975.xml"/><Relationship Id="rId11" Type="http://schemas.openxmlformats.org/officeDocument/2006/relationships/ctrlProp" Target="../ctrlProps/ctrlProp879.xml"/><Relationship Id="rId32" Type="http://schemas.openxmlformats.org/officeDocument/2006/relationships/ctrlProp" Target="../ctrlProps/ctrlProp900.xml"/><Relationship Id="rId37" Type="http://schemas.openxmlformats.org/officeDocument/2006/relationships/ctrlProp" Target="../ctrlProps/ctrlProp905.xml"/><Relationship Id="rId53" Type="http://schemas.openxmlformats.org/officeDocument/2006/relationships/ctrlProp" Target="../ctrlProps/ctrlProp921.xml"/><Relationship Id="rId58" Type="http://schemas.openxmlformats.org/officeDocument/2006/relationships/ctrlProp" Target="../ctrlProps/ctrlProp926.xml"/><Relationship Id="rId74" Type="http://schemas.openxmlformats.org/officeDocument/2006/relationships/ctrlProp" Target="../ctrlProps/ctrlProp942.xml"/><Relationship Id="rId79" Type="http://schemas.openxmlformats.org/officeDocument/2006/relationships/ctrlProp" Target="../ctrlProps/ctrlProp947.xml"/><Relationship Id="rId102" Type="http://schemas.openxmlformats.org/officeDocument/2006/relationships/ctrlProp" Target="../ctrlProps/ctrlProp970.xml"/><Relationship Id="rId123" Type="http://schemas.openxmlformats.org/officeDocument/2006/relationships/ctrlProp" Target="../ctrlProps/ctrlProp991.xml"/><Relationship Id="rId5" Type="http://schemas.openxmlformats.org/officeDocument/2006/relationships/ctrlProp" Target="../ctrlProps/ctrlProp873.xml"/><Relationship Id="rId90" Type="http://schemas.openxmlformats.org/officeDocument/2006/relationships/ctrlProp" Target="../ctrlProps/ctrlProp958.xml"/><Relationship Id="rId95" Type="http://schemas.openxmlformats.org/officeDocument/2006/relationships/ctrlProp" Target="../ctrlProps/ctrlProp963.xml"/><Relationship Id="rId22" Type="http://schemas.openxmlformats.org/officeDocument/2006/relationships/ctrlProp" Target="../ctrlProps/ctrlProp890.xml"/><Relationship Id="rId27" Type="http://schemas.openxmlformats.org/officeDocument/2006/relationships/ctrlProp" Target="../ctrlProps/ctrlProp895.xml"/><Relationship Id="rId43" Type="http://schemas.openxmlformats.org/officeDocument/2006/relationships/ctrlProp" Target="../ctrlProps/ctrlProp911.xml"/><Relationship Id="rId48" Type="http://schemas.openxmlformats.org/officeDocument/2006/relationships/ctrlProp" Target="../ctrlProps/ctrlProp916.xml"/><Relationship Id="rId64" Type="http://schemas.openxmlformats.org/officeDocument/2006/relationships/ctrlProp" Target="../ctrlProps/ctrlProp932.xml"/><Relationship Id="rId69" Type="http://schemas.openxmlformats.org/officeDocument/2006/relationships/ctrlProp" Target="../ctrlProps/ctrlProp937.xml"/><Relationship Id="rId113" Type="http://schemas.openxmlformats.org/officeDocument/2006/relationships/ctrlProp" Target="../ctrlProps/ctrlProp981.xml"/><Relationship Id="rId118" Type="http://schemas.openxmlformats.org/officeDocument/2006/relationships/ctrlProp" Target="../ctrlProps/ctrlProp986.xml"/><Relationship Id="rId80" Type="http://schemas.openxmlformats.org/officeDocument/2006/relationships/ctrlProp" Target="../ctrlProps/ctrlProp948.xml"/><Relationship Id="rId85" Type="http://schemas.openxmlformats.org/officeDocument/2006/relationships/ctrlProp" Target="../ctrlProps/ctrlProp953.xml"/><Relationship Id="rId12" Type="http://schemas.openxmlformats.org/officeDocument/2006/relationships/ctrlProp" Target="../ctrlProps/ctrlProp880.xml"/><Relationship Id="rId17" Type="http://schemas.openxmlformats.org/officeDocument/2006/relationships/ctrlProp" Target="../ctrlProps/ctrlProp885.xml"/><Relationship Id="rId33" Type="http://schemas.openxmlformats.org/officeDocument/2006/relationships/ctrlProp" Target="../ctrlProps/ctrlProp901.xml"/><Relationship Id="rId38" Type="http://schemas.openxmlformats.org/officeDocument/2006/relationships/ctrlProp" Target="../ctrlProps/ctrlProp906.xml"/><Relationship Id="rId59" Type="http://schemas.openxmlformats.org/officeDocument/2006/relationships/ctrlProp" Target="../ctrlProps/ctrlProp927.xml"/><Relationship Id="rId103" Type="http://schemas.openxmlformats.org/officeDocument/2006/relationships/ctrlProp" Target="../ctrlProps/ctrlProp971.xml"/><Relationship Id="rId108" Type="http://schemas.openxmlformats.org/officeDocument/2006/relationships/ctrlProp" Target="../ctrlProps/ctrlProp976.xml"/><Relationship Id="rId124" Type="http://schemas.openxmlformats.org/officeDocument/2006/relationships/ctrlProp" Target="../ctrlProps/ctrlProp992.xml"/><Relationship Id="rId54" Type="http://schemas.openxmlformats.org/officeDocument/2006/relationships/ctrlProp" Target="../ctrlProps/ctrlProp922.xml"/><Relationship Id="rId70" Type="http://schemas.openxmlformats.org/officeDocument/2006/relationships/ctrlProp" Target="../ctrlProps/ctrlProp938.xml"/><Relationship Id="rId75" Type="http://schemas.openxmlformats.org/officeDocument/2006/relationships/ctrlProp" Target="../ctrlProps/ctrlProp943.xml"/><Relationship Id="rId91" Type="http://schemas.openxmlformats.org/officeDocument/2006/relationships/ctrlProp" Target="../ctrlProps/ctrlProp959.xml"/><Relationship Id="rId96" Type="http://schemas.openxmlformats.org/officeDocument/2006/relationships/ctrlProp" Target="../ctrlProps/ctrlProp964.xml"/><Relationship Id="rId1" Type="http://schemas.openxmlformats.org/officeDocument/2006/relationships/printerSettings" Target="../printerSettings/printerSettings50.bin"/><Relationship Id="rId6" Type="http://schemas.openxmlformats.org/officeDocument/2006/relationships/ctrlProp" Target="../ctrlProps/ctrlProp874.xml"/><Relationship Id="rId23" Type="http://schemas.openxmlformats.org/officeDocument/2006/relationships/ctrlProp" Target="../ctrlProps/ctrlProp891.xml"/><Relationship Id="rId28" Type="http://schemas.openxmlformats.org/officeDocument/2006/relationships/ctrlProp" Target="../ctrlProps/ctrlProp896.xml"/><Relationship Id="rId49" Type="http://schemas.openxmlformats.org/officeDocument/2006/relationships/ctrlProp" Target="../ctrlProps/ctrlProp917.xml"/><Relationship Id="rId114" Type="http://schemas.openxmlformats.org/officeDocument/2006/relationships/ctrlProp" Target="../ctrlProps/ctrlProp982.xml"/><Relationship Id="rId119" Type="http://schemas.openxmlformats.org/officeDocument/2006/relationships/ctrlProp" Target="../ctrlProps/ctrlProp987.xml"/><Relationship Id="rId44" Type="http://schemas.openxmlformats.org/officeDocument/2006/relationships/ctrlProp" Target="../ctrlProps/ctrlProp912.xml"/><Relationship Id="rId60" Type="http://schemas.openxmlformats.org/officeDocument/2006/relationships/ctrlProp" Target="../ctrlProps/ctrlProp928.xml"/><Relationship Id="rId65" Type="http://schemas.openxmlformats.org/officeDocument/2006/relationships/ctrlProp" Target="../ctrlProps/ctrlProp933.xml"/><Relationship Id="rId81" Type="http://schemas.openxmlformats.org/officeDocument/2006/relationships/ctrlProp" Target="../ctrlProps/ctrlProp949.xml"/><Relationship Id="rId86" Type="http://schemas.openxmlformats.org/officeDocument/2006/relationships/ctrlProp" Target="../ctrlProps/ctrlProp954.xml"/><Relationship Id="rId4" Type="http://schemas.openxmlformats.org/officeDocument/2006/relationships/ctrlProp" Target="../ctrlProps/ctrlProp872.xml"/><Relationship Id="rId9" Type="http://schemas.openxmlformats.org/officeDocument/2006/relationships/ctrlProp" Target="../ctrlProps/ctrlProp877.xml"/><Relationship Id="rId13" Type="http://schemas.openxmlformats.org/officeDocument/2006/relationships/ctrlProp" Target="../ctrlProps/ctrlProp881.xml"/><Relationship Id="rId18" Type="http://schemas.openxmlformats.org/officeDocument/2006/relationships/ctrlProp" Target="../ctrlProps/ctrlProp886.xml"/><Relationship Id="rId39" Type="http://schemas.openxmlformats.org/officeDocument/2006/relationships/ctrlProp" Target="../ctrlProps/ctrlProp907.xml"/><Relationship Id="rId109" Type="http://schemas.openxmlformats.org/officeDocument/2006/relationships/ctrlProp" Target="../ctrlProps/ctrlProp977.xml"/><Relationship Id="rId34" Type="http://schemas.openxmlformats.org/officeDocument/2006/relationships/ctrlProp" Target="../ctrlProps/ctrlProp902.xml"/><Relationship Id="rId50" Type="http://schemas.openxmlformats.org/officeDocument/2006/relationships/ctrlProp" Target="../ctrlProps/ctrlProp918.xml"/><Relationship Id="rId55" Type="http://schemas.openxmlformats.org/officeDocument/2006/relationships/ctrlProp" Target="../ctrlProps/ctrlProp923.xml"/><Relationship Id="rId76" Type="http://schemas.openxmlformats.org/officeDocument/2006/relationships/ctrlProp" Target="../ctrlProps/ctrlProp944.xml"/><Relationship Id="rId97" Type="http://schemas.openxmlformats.org/officeDocument/2006/relationships/ctrlProp" Target="../ctrlProps/ctrlProp965.xml"/><Relationship Id="rId104" Type="http://schemas.openxmlformats.org/officeDocument/2006/relationships/ctrlProp" Target="../ctrlProps/ctrlProp972.xml"/><Relationship Id="rId120" Type="http://schemas.openxmlformats.org/officeDocument/2006/relationships/ctrlProp" Target="../ctrlProps/ctrlProp988.xml"/><Relationship Id="rId7" Type="http://schemas.openxmlformats.org/officeDocument/2006/relationships/ctrlProp" Target="../ctrlProps/ctrlProp875.xml"/><Relationship Id="rId71" Type="http://schemas.openxmlformats.org/officeDocument/2006/relationships/ctrlProp" Target="../ctrlProps/ctrlProp939.xml"/><Relationship Id="rId92" Type="http://schemas.openxmlformats.org/officeDocument/2006/relationships/ctrlProp" Target="../ctrlProps/ctrlProp960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897.xml"/><Relationship Id="rId24" Type="http://schemas.openxmlformats.org/officeDocument/2006/relationships/ctrlProp" Target="../ctrlProps/ctrlProp892.xml"/><Relationship Id="rId40" Type="http://schemas.openxmlformats.org/officeDocument/2006/relationships/ctrlProp" Target="../ctrlProps/ctrlProp908.xml"/><Relationship Id="rId45" Type="http://schemas.openxmlformats.org/officeDocument/2006/relationships/ctrlProp" Target="../ctrlProps/ctrlProp913.xml"/><Relationship Id="rId66" Type="http://schemas.openxmlformats.org/officeDocument/2006/relationships/ctrlProp" Target="../ctrlProps/ctrlProp934.xml"/><Relationship Id="rId87" Type="http://schemas.openxmlformats.org/officeDocument/2006/relationships/ctrlProp" Target="../ctrlProps/ctrlProp955.xml"/><Relationship Id="rId110" Type="http://schemas.openxmlformats.org/officeDocument/2006/relationships/ctrlProp" Target="../ctrlProps/ctrlProp978.xml"/><Relationship Id="rId115" Type="http://schemas.openxmlformats.org/officeDocument/2006/relationships/ctrlProp" Target="../ctrlProps/ctrlProp983.xml"/><Relationship Id="rId61" Type="http://schemas.openxmlformats.org/officeDocument/2006/relationships/ctrlProp" Target="../ctrlProps/ctrlProp929.xml"/><Relationship Id="rId82" Type="http://schemas.openxmlformats.org/officeDocument/2006/relationships/ctrlProp" Target="../ctrlProps/ctrlProp950.xml"/><Relationship Id="rId19" Type="http://schemas.openxmlformats.org/officeDocument/2006/relationships/ctrlProp" Target="../ctrlProps/ctrlProp887.xml"/><Relationship Id="rId14" Type="http://schemas.openxmlformats.org/officeDocument/2006/relationships/ctrlProp" Target="../ctrlProps/ctrlProp882.xml"/><Relationship Id="rId30" Type="http://schemas.openxmlformats.org/officeDocument/2006/relationships/ctrlProp" Target="../ctrlProps/ctrlProp898.xml"/><Relationship Id="rId35" Type="http://schemas.openxmlformats.org/officeDocument/2006/relationships/ctrlProp" Target="../ctrlProps/ctrlProp903.xml"/><Relationship Id="rId56" Type="http://schemas.openxmlformats.org/officeDocument/2006/relationships/ctrlProp" Target="../ctrlProps/ctrlProp924.xml"/><Relationship Id="rId77" Type="http://schemas.openxmlformats.org/officeDocument/2006/relationships/ctrlProp" Target="../ctrlProps/ctrlProp945.xml"/><Relationship Id="rId100" Type="http://schemas.openxmlformats.org/officeDocument/2006/relationships/ctrlProp" Target="../ctrlProps/ctrlProp968.xml"/><Relationship Id="rId105" Type="http://schemas.openxmlformats.org/officeDocument/2006/relationships/ctrlProp" Target="../ctrlProps/ctrlProp973.xml"/><Relationship Id="rId8" Type="http://schemas.openxmlformats.org/officeDocument/2006/relationships/ctrlProp" Target="../ctrlProps/ctrlProp876.xml"/><Relationship Id="rId51" Type="http://schemas.openxmlformats.org/officeDocument/2006/relationships/ctrlProp" Target="../ctrlProps/ctrlProp919.xml"/><Relationship Id="rId72" Type="http://schemas.openxmlformats.org/officeDocument/2006/relationships/ctrlProp" Target="../ctrlProps/ctrlProp940.xml"/><Relationship Id="rId93" Type="http://schemas.openxmlformats.org/officeDocument/2006/relationships/ctrlProp" Target="../ctrlProps/ctrlProp961.xml"/><Relationship Id="rId98" Type="http://schemas.openxmlformats.org/officeDocument/2006/relationships/ctrlProp" Target="../ctrlProps/ctrlProp966.xml"/><Relationship Id="rId121" Type="http://schemas.openxmlformats.org/officeDocument/2006/relationships/ctrlProp" Target="../ctrlProps/ctrlProp989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93.xml"/><Relationship Id="rId46" Type="http://schemas.openxmlformats.org/officeDocument/2006/relationships/ctrlProp" Target="../ctrlProps/ctrlProp914.xml"/><Relationship Id="rId67" Type="http://schemas.openxmlformats.org/officeDocument/2006/relationships/ctrlProp" Target="../ctrlProps/ctrlProp935.xml"/><Relationship Id="rId116" Type="http://schemas.openxmlformats.org/officeDocument/2006/relationships/ctrlProp" Target="../ctrlProps/ctrlProp984.xml"/><Relationship Id="rId20" Type="http://schemas.openxmlformats.org/officeDocument/2006/relationships/ctrlProp" Target="../ctrlProps/ctrlProp888.xml"/><Relationship Id="rId41" Type="http://schemas.openxmlformats.org/officeDocument/2006/relationships/ctrlProp" Target="../ctrlProps/ctrlProp909.xml"/><Relationship Id="rId62" Type="http://schemas.openxmlformats.org/officeDocument/2006/relationships/ctrlProp" Target="../ctrlProps/ctrlProp930.xml"/><Relationship Id="rId83" Type="http://schemas.openxmlformats.org/officeDocument/2006/relationships/ctrlProp" Target="../ctrlProps/ctrlProp951.xml"/><Relationship Id="rId88" Type="http://schemas.openxmlformats.org/officeDocument/2006/relationships/ctrlProp" Target="../ctrlProps/ctrlProp956.xml"/><Relationship Id="rId111" Type="http://schemas.openxmlformats.org/officeDocument/2006/relationships/ctrlProp" Target="../ctrlProps/ctrlProp979.xml"/><Relationship Id="rId15" Type="http://schemas.openxmlformats.org/officeDocument/2006/relationships/ctrlProp" Target="../ctrlProps/ctrlProp883.xml"/><Relationship Id="rId36" Type="http://schemas.openxmlformats.org/officeDocument/2006/relationships/ctrlProp" Target="../ctrlProps/ctrlProp904.xml"/><Relationship Id="rId57" Type="http://schemas.openxmlformats.org/officeDocument/2006/relationships/ctrlProp" Target="../ctrlProps/ctrlProp925.xml"/><Relationship Id="rId106" Type="http://schemas.openxmlformats.org/officeDocument/2006/relationships/ctrlProp" Target="../ctrlProps/ctrlProp974.xml"/><Relationship Id="rId10" Type="http://schemas.openxmlformats.org/officeDocument/2006/relationships/ctrlProp" Target="../ctrlProps/ctrlProp878.xml"/><Relationship Id="rId31" Type="http://schemas.openxmlformats.org/officeDocument/2006/relationships/ctrlProp" Target="../ctrlProps/ctrlProp899.xml"/><Relationship Id="rId52" Type="http://schemas.openxmlformats.org/officeDocument/2006/relationships/ctrlProp" Target="../ctrlProps/ctrlProp920.xml"/><Relationship Id="rId73" Type="http://schemas.openxmlformats.org/officeDocument/2006/relationships/ctrlProp" Target="../ctrlProps/ctrlProp941.xml"/><Relationship Id="rId78" Type="http://schemas.openxmlformats.org/officeDocument/2006/relationships/ctrlProp" Target="../ctrlProps/ctrlProp946.xml"/><Relationship Id="rId94" Type="http://schemas.openxmlformats.org/officeDocument/2006/relationships/ctrlProp" Target="../ctrlProps/ctrlProp962.xml"/><Relationship Id="rId99" Type="http://schemas.openxmlformats.org/officeDocument/2006/relationships/ctrlProp" Target="../ctrlProps/ctrlProp967.xml"/><Relationship Id="rId101" Type="http://schemas.openxmlformats.org/officeDocument/2006/relationships/ctrlProp" Target="../ctrlProps/ctrlProp969.xml"/><Relationship Id="rId122" Type="http://schemas.openxmlformats.org/officeDocument/2006/relationships/ctrlProp" Target="../ctrlProps/ctrlProp990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4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06.xml"/><Relationship Id="rId21" Type="http://schemas.openxmlformats.org/officeDocument/2006/relationships/ctrlProp" Target="../ctrlProps/ctrlProp1010.xml"/><Relationship Id="rId63" Type="http://schemas.openxmlformats.org/officeDocument/2006/relationships/ctrlProp" Target="../ctrlProps/ctrlProp1052.xml"/><Relationship Id="rId159" Type="http://schemas.openxmlformats.org/officeDocument/2006/relationships/ctrlProp" Target="../ctrlProps/ctrlProp1148.xml"/><Relationship Id="rId170" Type="http://schemas.openxmlformats.org/officeDocument/2006/relationships/ctrlProp" Target="../ctrlProps/ctrlProp1159.xml"/><Relationship Id="rId226" Type="http://schemas.openxmlformats.org/officeDocument/2006/relationships/ctrlProp" Target="../ctrlProps/ctrlProp1215.xml"/><Relationship Id="rId268" Type="http://schemas.openxmlformats.org/officeDocument/2006/relationships/ctrlProp" Target="../ctrlProps/ctrlProp1257.xml"/><Relationship Id="rId32" Type="http://schemas.openxmlformats.org/officeDocument/2006/relationships/ctrlProp" Target="../ctrlProps/ctrlProp1021.xml"/><Relationship Id="rId74" Type="http://schemas.openxmlformats.org/officeDocument/2006/relationships/ctrlProp" Target="../ctrlProps/ctrlProp1063.xml"/><Relationship Id="rId128" Type="http://schemas.openxmlformats.org/officeDocument/2006/relationships/ctrlProp" Target="../ctrlProps/ctrlProp1117.xml"/><Relationship Id="rId5" Type="http://schemas.openxmlformats.org/officeDocument/2006/relationships/ctrlProp" Target="../ctrlProps/ctrlProp994.xml"/><Relationship Id="rId181" Type="http://schemas.openxmlformats.org/officeDocument/2006/relationships/ctrlProp" Target="../ctrlProps/ctrlProp1170.xml"/><Relationship Id="rId237" Type="http://schemas.openxmlformats.org/officeDocument/2006/relationships/ctrlProp" Target="../ctrlProps/ctrlProp1226.xml"/><Relationship Id="rId279" Type="http://schemas.openxmlformats.org/officeDocument/2006/relationships/ctrlProp" Target="../ctrlProps/ctrlProp1268.xml"/><Relationship Id="rId22" Type="http://schemas.openxmlformats.org/officeDocument/2006/relationships/ctrlProp" Target="../ctrlProps/ctrlProp1011.xml"/><Relationship Id="rId43" Type="http://schemas.openxmlformats.org/officeDocument/2006/relationships/ctrlProp" Target="../ctrlProps/ctrlProp1032.xml"/><Relationship Id="rId64" Type="http://schemas.openxmlformats.org/officeDocument/2006/relationships/ctrlProp" Target="../ctrlProps/ctrlProp1053.xml"/><Relationship Id="rId118" Type="http://schemas.openxmlformats.org/officeDocument/2006/relationships/ctrlProp" Target="../ctrlProps/ctrlProp1107.xml"/><Relationship Id="rId139" Type="http://schemas.openxmlformats.org/officeDocument/2006/relationships/ctrlProp" Target="../ctrlProps/ctrlProp1128.xml"/><Relationship Id="rId85" Type="http://schemas.openxmlformats.org/officeDocument/2006/relationships/ctrlProp" Target="../ctrlProps/ctrlProp1074.xml"/><Relationship Id="rId150" Type="http://schemas.openxmlformats.org/officeDocument/2006/relationships/ctrlProp" Target="../ctrlProps/ctrlProp1139.xml"/><Relationship Id="rId171" Type="http://schemas.openxmlformats.org/officeDocument/2006/relationships/ctrlProp" Target="../ctrlProps/ctrlProp1160.xml"/><Relationship Id="rId192" Type="http://schemas.openxmlformats.org/officeDocument/2006/relationships/ctrlProp" Target="../ctrlProps/ctrlProp1181.xml"/><Relationship Id="rId206" Type="http://schemas.openxmlformats.org/officeDocument/2006/relationships/ctrlProp" Target="../ctrlProps/ctrlProp1195.xml"/><Relationship Id="rId227" Type="http://schemas.openxmlformats.org/officeDocument/2006/relationships/ctrlProp" Target="../ctrlProps/ctrlProp1216.xml"/><Relationship Id="rId248" Type="http://schemas.openxmlformats.org/officeDocument/2006/relationships/ctrlProp" Target="../ctrlProps/ctrlProp1237.xml"/><Relationship Id="rId269" Type="http://schemas.openxmlformats.org/officeDocument/2006/relationships/ctrlProp" Target="../ctrlProps/ctrlProp1258.xml"/><Relationship Id="rId12" Type="http://schemas.openxmlformats.org/officeDocument/2006/relationships/ctrlProp" Target="../ctrlProps/ctrlProp1001.xml"/><Relationship Id="rId33" Type="http://schemas.openxmlformats.org/officeDocument/2006/relationships/ctrlProp" Target="../ctrlProps/ctrlProp1022.xml"/><Relationship Id="rId108" Type="http://schemas.openxmlformats.org/officeDocument/2006/relationships/ctrlProp" Target="../ctrlProps/ctrlProp1097.xml"/><Relationship Id="rId129" Type="http://schemas.openxmlformats.org/officeDocument/2006/relationships/ctrlProp" Target="../ctrlProps/ctrlProp1118.xml"/><Relationship Id="rId280" Type="http://schemas.openxmlformats.org/officeDocument/2006/relationships/ctrlProp" Target="../ctrlProps/ctrlProp1269.xml"/><Relationship Id="rId54" Type="http://schemas.openxmlformats.org/officeDocument/2006/relationships/ctrlProp" Target="../ctrlProps/ctrlProp1043.xml"/><Relationship Id="rId75" Type="http://schemas.openxmlformats.org/officeDocument/2006/relationships/ctrlProp" Target="../ctrlProps/ctrlProp1064.xml"/><Relationship Id="rId96" Type="http://schemas.openxmlformats.org/officeDocument/2006/relationships/ctrlProp" Target="../ctrlProps/ctrlProp1085.xml"/><Relationship Id="rId140" Type="http://schemas.openxmlformats.org/officeDocument/2006/relationships/ctrlProp" Target="../ctrlProps/ctrlProp1129.xml"/><Relationship Id="rId161" Type="http://schemas.openxmlformats.org/officeDocument/2006/relationships/ctrlProp" Target="../ctrlProps/ctrlProp1150.xml"/><Relationship Id="rId182" Type="http://schemas.openxmlformats.org/officeDocument/2006/relationships/ctrlProp" Target="../ctrlProps/ctrlProp1171.xml"/><Relationship Id="rId217" Type="http://schemas.openxmlformats.org/officeDocument/2006/relationships/ctrlProp" Target="../ctrlProps/ctrlProp1206.xml"/><Relationship Id="rId6" Type="http://schemas.openxmlformats.org/officeDocument/2006/relationships/ctrlProp" Target="../ctrlProps/ctrlProp995.xml"/><Relationship Id="rId238" Type="http://schemas.openxmlformats.org/officeDocument/2006/relationships/ctrlProp" Target="../ctrlProps/ctrlProp1227.xml"/><Relationship Id="rId259" Type="http://schemas.openxmlformats.org/officeDocument/2006/relationships/ctrlProp" Target="../ctrlProps/ctrlProp1248.xml"/><Relationship Id="rId23" Type="http://schemas.openxmlformats.org/officeDocument/2006/relationships/ctrlProp" Target="../ctrlProps/ctrlProp1012.xml"/><Relationship Id="rId119" Type="http://schemas.openxmlformats.org/officeDocument/2006/relationships/ctrlProp" Target="../ctrlProps/ctrlProp1108.xml"/><Relationship Id="rId270" Type="http://schemas.openxmlformats.org/officeDocument/2006/relationships/ctrlProp" Target="../ctrlProps/ctrlProp1259.xml"/><Relationship Id="rId44" Type="http://schemas.openxmlformats.org/officeDocument/2006/relationships/ctrlProp" Target="../ctrlProps/ctrlProp1033.xml"/><Relationship Id="rId65" Type="http://schemas.openxmlformats.org/officeDocument/2006/relationships/ctrlProp" Target="../ctrlProps/ctrlProp1054.xml"/><Relationship Id="rId86" Type="http://schemas.openxmlformats.org/officeDocument/2006/relationships/ctrlProp" Target="../ctrlProps/ctrlProp1075.xml"/><Relationship Id="rId130" Type="http://schemas.openxmlformats.org/officeDocument/2006/relationships/ctrlProp" Target="../ctrlProps/ctrlProp1119.xml"/><Relationship Id="rId151" Type="http://schemas.openxmlformats.org/officeDocument/2006/relationships/ctrlProp" Target="../ctrlProps/ctrlProp1140.xml"/><Relationship Id="rId172" Type="http://schemas.openxmlformats.org/officeDocument/2006/relationships/ctrlProp" Target="../ctrlProps/ctrlProp1161.xml"/><Relationship Id="rId193" Type="http://schemas.openxmlformats.org/officeDocument/2006/relationships/ctrlProp" Target="../ctrlProps/ctrlProp1182.xml"/><Relationship Id="rId207" Type="http://schemas.openxmlformats.org/officeDocument/2006/relationships/ctrlProp" Target="../ctrlProps/ctrlProp1196.xml"/><Relationship Id="rId228" Type="http://schemas.openxmlformats.org/officeDocument/2006/relationships/ctrlProp" Target="../ctrlProps/ctrlProp1217.xml"/><Relationship Id="rId249" Type="http://schemas.openxmlformats.org/officeDocument/2006/relationships/ctrlProp" Target="../ctrlProps/ctrlProp1238.xml"/><Relationship Id="rId13" Type="http://schemas.openxmlformats.org/officeDocument/2006/relationships/ctrlProp" Target="../ctrlProps/ctrlProp1002.xml"/><Relationship Id="rId109" Type="http://schemas.openxmlformats.org/officeDocument/2006/relationships/ctrlProp" Target="../ctrlProps/ctrlProp1098.xml"/><Relationship Id="rId260" Type="http://schemas.openxmlformats.org/officeDocument/2006/relationships/ctrlProp" Target="../ctrlProps/ctrlProp1249.xml"/><Relationship Id="rId281" Type="http://schemas.openxmlformats.org/officeDocument/2006/relationships/ctrlProp" Target="../ctrlProps/ctrlProp1270.xml"/><Relationship Id="rId34" Type="http://schemas.openxmlformats.org/officeDocument/2006/relationships/ctrlProp" Target="../ctrlProps/ctrlProp1023.xml"/><Relationship Id="rId55" Type="http://schemas.openxmlformats.org/officeDocument/2006/relationships/ctrlProp" Target="../ctrlProps/ctrlProp1044.xml"/><Relationship Id="rId76" Type="http://schemas.openxmlformats.org/officeDocument/2006/relationships/ctrlProp" Target="../ctrlProps/ctrlProp1065.xml"/><Relationship Id="rId97" Type="http://schemas.openxmlformats.org/officeDocument/2006/relationships/ctrlProp" Target="../ctrlProps/ctrlProp1086.xml"/><Relationship Id="rId120" Type="http://schemas.openxmlformats.org/officeDocument/2006/relationships/ctrlProp" Target="../ctrlProps/ctrlProp1109.xml"/><Relationship Id="rId141" Type="http://schemas.openxmlformats.org/officeDocument/2006/relationships/ctrlProp" Target="../ctrlProps/ctrlProp1130.xml"/><Relationship Id="rId7" Type="http://schemas.openxmlformats.org/officeDocument/2006/relationships/ctrlProp" Target="../ctrlProps/ctrlProp996.xml"/><Relationship Id="rId162" Type="http://schemas.openxmlformats.org/officeDocument/2006/relationships/ctrlProp" Target="../ctrlProps/ctrlProp1151.xml"/><Relationship Id="rId183" Type="http://schemas.openxmlformats.org/officeDocument/2006/relationships/ctrlProp" Target="../ctrlProps/ctrlProp1172.xml"/><Relationship Id="rId218" Type="http://schemas.openxmlformats.org/officeDocument/2006/relationships/ctrlProp" Target="../ctrlProps/ctrlProp1207.xml"/><Relationship Id="rId239" Type="http://schemas.openxmlformats.org/officeDocument/2006/relationships/ctrlProp" Target="../ctrlProps/ctrlProp1228.xml"/><Relationship Id="rId250" Type="http://schemas.openxmlformats.org/officeDocument/2006/relationships/ctrlProp" Target="../ctrlProps/ctrlProp1239.xml"/><Relationship Id="rId271" Type="http://schemas.openxmlformats.org/officeDocument/2006/relationships/ctrlProp" Target="../ctrlProps/ctrlProp1260.xml"/><Relationship Id="rId24" Type="http://schemas.openxmlformats.org/officeDocument/2006/relationships/ctrlProp" Target="../ctrlProps/ctrlProp1013.xml"/><Relationship Id="rId45" Type="http://schemas.openxmlformats.org/officeDocument/2006/relationships/ctrlProp" Target="../ctrlProps/ctrlProp1034.xml"/><Relationship Id="rId66" Type="http://schemas.openxmlformats.org/officeDocument/2006/relationships/ctrlProp" Target="../ctrlProps/ctrlProp1055.xml"/><Relationship Id="rId87" Type="http://schemas.openxmlformats.org/officeDocument/2006/relationships/ctrlProp" Target="../ctrlProps/ctrlProp1076.xml"/><Relationship Id="rId110" Type="http://schemas.openxmlformats.org/officeDocument/2006/relationships/ctrlProp" Target="../ctrlProps/ctrlProp1099.xml"/><Relationship Id="rId131" Type="http://schemas.openxmlformats.org/officeDocument/2006/relationships/ctrlProp" Target="../ctrlProps/ctrlProp1120.xml"/><Relationship Id="rId152" Type="http://schemas.openxmlformats.org/officeDocument/2006/relationships/ctrlProp" Target="../ctrlProps/ctrlProp1141.xml"/><Relationship Id="rId173" Type="http://schemas.openxmlformats.org/officeDocument/2006/relationships/ctrlProp" Target="../ctrlProps/ctrlProp1162.xml"/><Relationship Id="rId194" Type="http://schemas.openxmlformats.org/officeDocument/2006/relationships/ctrlProp" Target="../ctrlProps/ctrlProp1183.xml"/><Relationship Id="rId208" Type="http://schemas.openxmlformats.org/officeDocument/2006/relationships/ctrlProp" Target="../ctrlProps/ctrlProp1197.xml"/><Relationship Id="rId229" Type="http://schemas.openxmlformats.org/officeDocument/2006/relationships/ctrlProp" Target="../ctrlProps/ctrlProp1218.xml"/><Relationship Id="rId240" Type="http://schemas.openxmlformats.org/officeDocument/2006/relationships/ctrlProp" Target="../ctrlProps/ctrlProp1229.xml"/><Relationship Id="rId261" Type="http://schemas.openxmlformats.org/officeDocument/2006/relationships/ctrlProp" Target="../ctrlProps/ctrlProp1250.xml"/><Relationship Id="rId14" Type="http://schemas.openxmlformats.org/officeDocument/2006/relationships/ctrlProp" Target="../ctrlProps/ctrlProp1003.xml"/><Relationship Id="rId35" Type="http://schemas.openxmlformats.org/officeDocument/2006/relationships/ctrlProp" Target="../ctrlProps/ctrlProp1024.xml"/><Relationship Id="rId56" Type="http://schemas.openxmlformats.org/officeDocument/2006/relationships/ctrlProp" Target="../ctrlProps/ctrlProp1045.xml"/><Relationship Id="rId77" Type="http://schemas.openxmlformats.org/officeDocument/2006/relationships/ctrlProp" Target="../ctrlProps/ctrlProp1066.xml"/><Relationship Id="rId100" Type="http://schemas.openxmlformats.org/officeDocument/2006/relationships/ctrlProp" Target="../ctrlProps/ctrlProp1089.xml"/><Relationship Id="rId282" Type="http://schemas.openxmlformats.org/officeDocument/2006/relationships/ctrlProp" Target="../ctrlProps/ctrlProp1271.xml"/><Relationship Id="rId8" Type="http://schemas.openxmlformats.org/officeDocument/2006/relationships/ctrlProp" Target="../ctrlProps/ctrlProp997.xml"/><Relationship Id="rId98" Type="http://schemas.openxmlformats.org/officeDocument/2006/relationships/ctrlProp" Target="../ctrlProps/ctrlProp1087.xml"/><Relationship Id="rId121" Type="http://schemas.openxmlformats.org/officeDocument/2006/relationships/ctrlProp" Target="../ctrlProps/ctrlProp1110.xml"/><Relationship Id="rId142" Type="http://schemas.openxmlformats.org/officeDocument/2006/relationships/ctrlProp" Target="../ctrlProps/ctrlProp1131.xml"/><Relationship Id="rId163" Type="http://schemas.openxmlformats.org/officeDocument/2006/relationships/ctrlProp" Target="../ctrlProps/ctrlProp1152.xml"/><Relationship Id="rId184" Type="http://schemas.openxmlformats.org/officeDocument/2006/relationships/ctrlProp" Target="../ctrlProps/ctrlProp1173.xml"/><Relationship Id="rId219" Type="http://schemas.openxmlformats.org/officeDocument/2006/relationships/ctrlProp" Target="../ctrlProps/ctrlProp1208.xml"/><Relationship Id="rId230" Type="http://schemas.openxmlformats.org/officeDocument/2006/relationships/ctrlProp" Target="../ctrlProps/ctrlProp1219.xml"/><Relationship Id="rId251" Type="http://schemas.openxmlformats.org/officeDocument/2006/relationships/ctrlProp" Target="../ctrlProps/ctrlProp1240.xml"/><Relationship Id="rId25" Type="http://schemas.openxmlformats.org/officeDocument/2006/relationships/ctrlProp" Target="../ctrlProps/ctrlProp1014.xml"/><Relationship Id="rId46" Type="http://schemas.openxmlformats.org/officeDocument/2006/relationships/ctrlProp" Target="../ctrlProps/ctrlProp1035.xml"/><Relationship Id="rId67" Type="http://schemas.openxmlformats.org/officeDocument/2006/relationships/ctrlProp" Target="../ctrlProps/ctrlProp1056.xml"/><Relationship Id="rId272" Type="http://schemas.openxmlformats.org/officeDocument/2006/relationships/ctrlProp" Target="../ctrlProps/ctrlProp1261.xml"/><Relationship Id="rId88" Type="http://schemas.openxmlformats.org/officeDocument/2006/relationships/ctrlProp" Target="../ctrlProps/ctrlProp1077.xml"/><Relationship Id="rId111" Type="http://schemas.openxmlformats.org/officeDocument/2006/relationships/ctrlProp" Target="../ctrlProps/ctrlProp1100.xml"/><Relationship Id="rId132" Type="http://schemas.openxmlformats.org/officeDocument/2006/relationships/ctrlProp" Target="../ctrlProps/ctrlProp1121.xml"/><Relationship Id="rId153" Type="http://schemas.openxmlformats.org/officeDocument/2006/relationships/ctrlProp" Target="../ctrlProps/ctrlProp1142.xml"/><Relationship Id="rId174" Type="http://schemas.openxmlformats.org/officeDocument/2006/relationships/ctrlProp" Target="../ctrlProps/ctrlProp1163.xml"/><Relationship Id="rId195" Type="http://schemas.openxmlformats.org/officeDocument/2006/relationships/ctrlProp" Target="../ctrlProps/ctrlProp1184.xml"/><Relationship Id="rId209" Type="http://schemas.openxmlformats.org/officeDocument/2006/relationships/ctrlProp" Target="../ctrlProps/ctrlProp1198.xml"/><Relationship Id="rId220" Type="http://schemas.openxmlformats.org/officeDocument/2006/relationships/ctrlProp" Target="../ctrlProps/ctrlProp1209.xml"/><Relationship Id="rId241" Type="http://schemas.openxmlformats.org/officeDocument/2006/relationships/ctrlProp" Target="../ctrlProps/ctrlProp1230.xml"/><Relationship Id="rId15" Type="http://schemas.openxmlformats.org/officeDocument/2006/relationships/ctrlProp" Target="../ctrlProps/ctrlProp1004.xml"/><Relationship Id="rId36" Type="http://schemas.openxmlformats.org/officeDocument/2006/relationships/ctrlProp" Target="../ctrlProps/ctrlProp1025.xml"/><Relationship Id="rId57" Type="http://schemas.openxmlformats.org/officeDocument/2006/relationships/ctrlProp" Target="../ctrlProps/ctrlProp1046.xml"/><Relationship Id="rId262" Type="http://schemas.openxmlformats.org/officeDocument/2006/relationships/ctrlProp" Target="../ctrlProps/ctrlProp1251.xml"/><Relationship Id="rId283" Type="http://schemas.openxmlformats.org/officeDocument/2006/relationships/ctrlProp" Target="../ctrlProps/ctrlProp1272.xml"/><Relationship Id="rId78" Type="http://schemas.openxmlformats.org/officeDocument/2006/relationships/ctrlProp" Target="../ctrlProps/ctrlProp1067.xml"/><Relationship Id="rId99" Type="http://schemas.openxmlformats.org/officeDocument/2006/relationships/ctrlProp" Target="../ctrlProps/ctrlProp1088.xml"/><Relationship Id="rId101" Type="http://schemas.openxmlformats.org/officeDocument/2006/relationships/ctrlProp" Target="../ctrlProps/ctrlProp1090.xml"/><Relationship Id="rId122" Type="http://schemas.openxmlformats.org/officeDocument/2006/relationships/ctrlProp" Target="../ctrlProps/ctrlProp1111.xml"/><Relationship Id="rId143" Type="http://schemas.openxmlformats.org/officeDocument/2006/relationships/ctrlProp" Target="../ctrlProps/ctrlProp1132.xml"/><Relationship Id="rId164" Type="http://schemas.openxmlformats.org/officeDocument/2006/relationships/ctrlProp" Target="../ctrlProps/ctrlProp1153.xml"/><Relationship Id="rId185" Type="http://schemas.openxmlformats.org/officeDocument/2006/relationships/ctrlProp" Target="../ctrlProps/ctrlProp1174.xml"/><Relationship Id="rId9" Type="http://schemas.openxmlformats.org/officeDocument/2006/relationships/ctrlProp" Target="../ctrlProps/ctrlProp998.xml"/><Relationship Id="rId210" Type="http://schemas.openxmlformats.org/officeDocument/2006/relationships/ctrlProp" Target="../ctrlProps/ctrlProp1199.xml"/><Relationship Id="rId26" Type="http://schemas.openxmlformats.org/officeDocument/2006/relationships/ctrlProp" Target="../ctrlProps/ctrlProp1015.xml"/><Relationship Id="rId231" Type="http://schemas.openxmlformats.org/officeDocument/2006/relationships/ctrlProp" Target="../ctrlProps/ctrlProp1220.xml"/><Relationship Id="rId252" Type="http://schemas.openxmlformats.org/officeDocument/2006/relationships/ctrlProp" Target="../ctrlProps/ctrlProp1241.xml"/><Relationship Id="rId273" Type="http://schemas.openxmlformats.org/officeDocument/2006/relationships/ctrlProp" Target="../ctrlProps/ctrlProp1262.xml"/><Relationship Id="rId47" Type="http://schemas.openxmlformats.org/officeDocument/2006/relationships/ctrlProp" Target="../ctrlProps/ctrlProp1036.xml"/><Relationship Id="rId68" Type="http://schemas.openxmlformats.org/officeDocument/2006/relationships/ctrlProp" Target="../ctrlProps/ctrlProp1057.xml"/><Relationship Id="rId89" Type="http://schemas.openxmlformats.org/officeDocument/2006/relationships/ctrlProp" Target="../ctrlProps/ctrlProp1078.xml"/><Relationship Id="rId112" Type="http://schemas.openxmlformats.org/officeDocument/2006/relationships/ctrlProp" Target="../ctrlProps/ctrlProp1101.xml"/><Relationship Id="rId133" Type="http://schemas.openxmlformats.org/officeDocument/2006/relationships/ctrlProp" Target="../ctrlProps/ctrlProp1122.xml"/><Relationship Id="rId154" Type="http://schemas.openxmlformats.org/officeDocument/2006/relationships/ctrlProp" Target="../ctrlProps/ctrlProp1143.xml"/><Relationship Id="rId175" Type="http://schemas.openxmlformats.org/officeDocument/2006/relationships/ctrlProp" Target="../ctrlProps/ctrlProp1164.xml"/><Relationship Id="rId196" Type="http://schemas.openxmlformats.org/officeDocument/2006/relationships/ctrlProp" Target="../ctrlProps/ctrlProp1185.xml"/><Relationship Id="rId200" Type="http://schemas.openxmlformats.org/officeDocument/2006/relationships/ctrlProp" Target="../ctrlProps/ctrlProp1189.xml"/><Relationship Id="rId16" Type="http://schemas.openxmlformats.org/officeDocument/2006/relationships/ctrlProp" Target="../ctrlProps/ctrlProp1005.xml"/><Relationship Id="rId221" Type="http://schemas.openxmlformats.org/officeDocument/2006/relationships/ctrlProp" Target="../ctrlProps/ctrlProp1210.xml"/><Relationship Id="rId242" Type="http://schemas.openxmlformats.org/officeDocument/2006/relationships/ctrlProp" Target="../ctrlProps/ctrlProp1231.xml"/><Relationship Id="rId263" Type="http://schemas.openxmlformats.org/officeDocument/2006/relationships/ctrlProp" Target="../ctrlProps/ctrlProp1252.xml"/><Relationship Id="rId284" Type="http://schemas.openxmlformats.org/officeDocument/2006/relationships/ctrlProp" Target="../ctrlProps/ctrlProp1273.xml"/><Relationship Id="rId37" Type="http://schemas.openxmlformats.org/officeDocument/2006/relationships/ctrlProp" Target="../ctrlProps/ctrlProp1026.xml"/><Relationship Id="rId58" Type="http://schemas.openxmlformats.org/officeDocument/2006/relationships/ctrlProp" Target="../ctrlProps/ctrlProp1047.xml"/><Relationship Id="rId79" Type="http://schemas.openxmlformats.org/officeDocument/2006/relationships/ctrlProp" Target="../ctrlProps/ctrlProp1068.xml"/><Relationship Id="rId102" Type="http://schemas.openxmlformats.org/officeDocument/2006/relationships/ctrlProp" Target="../ctrlProps/ctrlProp1091.xml"/><Relationship Id="rId123" Type="http://schemas.openxmlformats.org/officeDocument/2006/relationships/ctrlProp" Target="../ctrlProps/ctrlProp1112.xml"/><Relationship Id="rId144" Type="http://schemas.openxmlformats.org/officeDocument/2006/relationships/ctrlProp" Target="../ctrlProps/ctrlProp1133.xml"/><Relationship Id="rId90" Type="http://schemas.openxmlformats.org/officeDocument/2006/relationships/ctrlProp" Target="../ctrlProps/ctrlProp1079.xml"/><Relationship Id="rId165" Type="http://schemas.openxmlformats.org/officeDocument/2006/relationships/ctrlProp" Target="../ctrlProps/ctrlProp1154.xml"/><Relationship Id="rId186" Type="http://schemas.openxmlformats.org/officeDocument/2006/relationships/ctrlProp" Target="../ctrlProps/ctrlProp1175.xml"/><Relationship Id="rId211" Type="http://schemas.openxmlformats.org/officeDocument/2006/relationships/ctrlProp" Target="../ctrlProps/ctrlProp1200.xml"/><Relationship Id="rId232" Type="http://schemas.openxmlformats.org/officeDocument/2006/relationships/ctrlProp" Target="../ctrlProps/ctrlProp1221.xml"/><Relationship Id="rId253" Type="http://schemas.openxmlformats.org/officeDocument/2006/relationships/ctrlProp" Target="../ctrlProps/ctrlProp1242.xml"/><Relationship Id="rId274" Type="http://schemas.openxmlformats.org/officeDocument/2006/relationships/ctrlProp" Target="../ctrlProps/ctrlProp1263.xml"/><Relationship Id="rId27" Type="http://schemas.openxmlformats.org/officeDocument/2006/relationships/ctrlProp" Target="../ctrlProps/ctrlProp1016.xml"/><Relationship Id="rId48" Type="http://schemas.openxmlformats.org/officeDocument/2006/relationships/ctrlProp" Target="../ctrlProps/ctrlProp1037.xml"/><Relationship Id="rId69" Type="http://schemas.openxmlformats.org/officeDocument/2006/relationships/ctrlProp" Target="../ctrlProps/ctrlProp1058.xml"/><Relationship Id="rId113" Type="http://schemas.openxmlformats.org/officeDocument/2006/relationships/ctrlProp" Target="../ctrlProps/ctrlProp1102.xml"/><Relationship Id="rId134" Type="http://schemas.openxmlformats.org/officeDocument/2006/relationships/ctrlProp" Target="../ctrlProps/ctrlProp1123.xml"/><Relationship Id="rId80" Type="http://schemas.openxmlformats.org/officeDocument/2006/relationships/ctrlProp" Target="../ctrlProps/ctrlProp1069.xml"/><Relationship Id="rId155" Type="http://schemas.openxmlformats.org/officeDocument/2006/relationships/ctrlProp" Target="../ctrlProps/ctrlProp1144.xml"/><Relationship Id="rId176" Type="http://schemas.openxmlformats.org/officeDocument/2006/relationships/ctrlProp" Target="../ctrlProps/ctrlProp1165.xml"/><Relationship Id="rId197" Type="http://schemas.openxmlformats.org/officeDocument/2006/relationships/ctrlProp" Target="../ctrlProps/ctrlProp1186.xml"/><Relationship Id="rId201" Type="http://schemas.openxmlformats.org/officeDocument/2006/relationships/ctrlProp" Target="../ctrlProps/ctrlProp1190.xml"/><Relationship Id="rId222" Type="http://schemas.openxmlformats.org/officeDocument/2006/relationships/ctrlProp" Target="../ctrlProps/ctrlProp1211.xml"/><Relationship Id="rId243" Type="http://schemas.openxmlformats.org/officeDocument/2006/relationships/ctrlProp" Target="../ctrlProps/ctrlProp1232.xml"/><Relationship Id="rId264" Type="http://schemas.openxmlformats.org/officeDocument/2006/relationships/ctrlProp" Target="../ctrlProps/ctrlProp1253.xml"/><Relationship Id="rId17" Type="http://schemas.openxmlformats.org/officeDocument/2006/relationships/ctrlProp" Target="../ctrlProps/ctrlProp1006.xml"/><Relationship Id="rId38" Type="http://schemas.openxmlformats.org/officeDocument/2006/relationships/ctrlProp" Target="../ctrlProps/ctrlProp1027.xml"/><Relationship Id="rId59" Type="http://schemas.openxmlformats.org/officeDocument/2006/relationships/ctrlProp" Target="../ctrlProps/ctrlProp1048.xml"/><Relationship Id="rId103" Type="http://schemas.openxmlformats.org/officeDocument/2006/relationships/ctrlProp" Target="../ctrlProps/ctrlProp1092.xml"/><Relationship Id="rId124" Type="http://schemas.openxmlformats.org/officeDocument/2006/relationships/ctrlProp" Target="../ctrlProps/ctrlProp1113.xml"/><Relationship Id="rId70" Type="http://schemas.openxmlformats.org/officeDocument/2006/relationships/ctrlProp" Target="../ctrlProps/ctrlProp1059.xml"/><Relationship Id="rId91" Type="http://schemas.openxmlformats.org/officeDocument/2006/relationships/ctrlProp" Target="../ctrlProps/ctrlProp1080.xml"/><Relationship Id="rId145" Type="http://schemas.openxmlformats.org/officeDocument/2006/relationships/ctrlProp" Target="../ctrlProps/ctrlProp1134.xml"/><Relationship Id="rId166" Type="http://schemas.openxmlformats.org/officeDocument/2006/relationships/ctrlProp" Target="../ctrlProps/ctrlProp1155.xml"/><Relationship Id="rId187" Type="http://schemas.openxmlformats.org/officeDocument/2006/relationships/ctrlProp" Target="../ctrlProps/ctrlProp1176.xml"/><Relationship Id="rId1" Type="http://schemas.openxmlformats.org/officeDocument/2006/relationships/printerSettings" Target="../printerSettings/printerSettings52.bin"/><Relationship Id="rId212" Type="http://schemas.openxmlformats.org/officeDocument/2006/relationships/ctrlProp" Target="../ctrlProps/ctrlProp1201.xml"/><Relationship Id="rId233" Type="http://schemas.openxmlformats.org/officeDocument/2006/relationships/ctrlProp" Target="../ctrlProps/ctrlProp1222.xml"/><Relationship Id="rId254" Type="http://schemas.openxmlformats.org/officeDocument/2006/relationships/ctrlProp" Target="../ctrlProps/ctrlProp1243.xml"/><Relationship Id="rId28" Type="http://schemas.openxmlformats.org/officeDocument/2006/relationships/ctrlProp" Target="../ctrlProps/ctrlProp1017.xml"/><Relationship Id="rId49" Type="http://schemas.openxmlformats.org/officeDocument/2006/relationships/ctrlProp" Target="../ctrlProps/ctrlProp1038.xml"/><Relationship Id="rId114" Type="http://schemas.openxmlformats.org/officeDocument/2006/relationships/ctrlProp" Target="../ctrlProps/ctrlProp1103.xml"/><Relationship Id="rId275" Type="http://schemas.openxmlformats.org/officeDocument/2006/relationships/ctrlProp" Target="../ctrlProps/ctrlProp1264.xml"/><Relationship Id="rId60" Type="http://schemas.openxmlformats.org/officeDocument/2006/relationships/ctrlProp" Target="../ctrlProps/ctrlProp1049.xml"/><Relationship Id="rId81" Type="http://schemas.openxmlformats.org/officeDocument/2006/relationships/ctrlProp" Target="../ctrlProps/ctrlProp1070.xml"/><Relationship Id="rId135" Type="http://schemas.openxmlformats.org/officeDocument/2006/relationships/ctrlProp" Target="../ctrlProps/ctrlProp1124.xml"/><Relationship Id="rId156" Type="http://schemas.openxmlformats.org/officeDocument/2006/relationships/ctrlProp" Target="../ctrlProps/ctrlProp1145.xml"/><Relationship Id="rId177" Type="http://schemas.openxmlformats.org/officeDocument/2006/relationships/ctrlProp" Target="../ctrlProps/ctrlProp1166.xml"/><Relationship Id="rId198" Type="http://schemas.openxmlformats.org/officeDocument/2006/relationships/ctrlProp" Target="../ctrlProps/ctrlProp1187.xml"/><Relationship Id="rId202" Type="http://schemas.openxmlformats.org/officeDocument/2006/relationships/ctrlProp" Target="../ctrlProps/ctrlProp1191.xml"/><Relationship Id="rId223" Type="http://schemas.openxmlformats.org/officeDocument/2006/relationships/ctrlProp" Target="../ctrlProps/ctrlProp1212.xml"/><Relationship Id="rId244" Type="http://schemas.openxmlformats.org/officeDocument/2006/relationships/ctrlProp" Target="../ctrlProps/ctrlProp1233.xml"/><Relationship Id="rId18" Type="http://schemas.openxmlformats.org/officeDocument/2006/relationships/ctrlProp" Target="../ctrlProps/ctrlProp1007.xml"/><Relationship Id="rId39" Type="http://schemas.openxmlformats.org/officeDocument/2006/relationships/ctrlProp" Target="../ctrlProps/ctrlProp1028.xml"/><Relationship Id="rId265" Type="http://schemas.openxmlformats.org/officeDocument/2006/relationships/ctrlProp" Target="../ctrlProps/ctrlProp1254.xml"/><Relationship Id="rId50" Type="http://schemas.openxmlformats.org/officeDocument/2006/relationships/ctrlProp" Target="../ctrlProps/ctrlProp1039.xml"/><Relationship Id="rId104" Type="http://schemas.openxmlformats.org/officeDocument/2006/relationships/ctrlProp" Target="../ctrlProps/ctrlProp1093.xml"/><Relationship Id="rId125" Type="http://schemas.openxmlformats.org/officeDocument/2006/relationships/ctrlProp" Target="../ctrlProps/ctrlProp1114.xml"/><Relationship Id="rId146" Type="http://schemas.openxmlformats.org/officeDocument/2006/relationships/ctrlProp" Target="../ctrlProps/ctrlProp1135.xml"/><Relationship Id="rId167" Type="http://schemas.openxmlformats.org/officeDocument/2006/relationships/ctrlProp" Target="../ctrlProps/ctrlProp1156.xml"/><Relationship Id="rId188" Type="http://schemas.openxmlformats.org/officeDocument/2006/relationships/ctrlProp" Target="../ctrlProps/ctrlProp1177.xml"/><Relationship Id="rId71" Type="http://schemas.openxmlformats.org/officeDocument/2006/relationships/ctrlProp" Target="../ctrlProps/ctrlProp1060.xml"/><Relationship Id="rId92" Type="http://schemas.openxmlformats.org/officeDocument/2006/relationships/ctrlProp" Target="../ctrlProps/ctrlProp1081.xml"/><Relationship Id="rId213" Type="http://schemas.openxmlformats.org/officeDocument/2006/relationships/ctrlProp" Target="../ctrlProps/ctrlProp1202.xml"/><Relationship Id="rId234" Type="http://schemas.openxmlformats.org/officeDocument/2006/relationships/ctrlProp" Target="../ctrlProps/ctrlProp1223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018.xml"/><Relationship Id="rId255" Type="http://schemas.openxmlformats.org/officeDocument/2006/relationships/ctrlProp" Target="../ctrlProps/ctrlProp1244.xml"/><Relationship Id="rId276" Type="http://schemas.openxmlformats.org/officeDocument/2006/relationships/ctrlProp" Target="../ctrlProps/ctrlProp1265.xml"/><Relationship Id="rId40" Type="http://schemas.openxmlformats.org/officeDocument/2006/relationships/ctrlProp" Target="../ctrlProps/ctrlProp1029.xml"/><Relationship Id="rId115" Type="http://schemas.openxmlformats.org/officeDocument/2006/relationships/ctrlProp" Target="../ctrlProps/ctrlProp1104.xml"/><Relationship Id="rId136" Type="http://schemas.openxmlformats.org/officeDocument/2006/relationships/ctrlProp" Target="../ctrlProps/ctrlProp1125.xml"/><Relationship Id="rId157" Type="http://schemas.openxmlformats.org/officeDocument/2006/relationships/ctrlProp" Target="../ctrlProps/ctrlProp1146.xml"/><Relationship Id="rId178" Type="http://schemas.openxmlformats.org/officeDocument/2006/relationships/ctrlProp" Target="../ctrlProps/ctrlProp1167.xml"/><Relationship Id="rId61" Type="http://schemas.openxmlformats.org/officeDocument/2006/relationships/ctrlProp" Target="../ctrlProps/ctrlProp1050.xml"/><Relationship Id="rId82" Type="http://schemas.openxmlformats.org/officeDocument/2006/relationships/ctrlProp" Target="../ctrlProps/ctrlProp1071.xml"/><Relationship Id="rId199" Type="http://schemas.openxmlformats.org/officeDocument/2006/relationships/ctrlProp" Target="../ctrlProps/ctrlProp1188.xml"/><Relationship Id="rId203" Type="http://schemas.openxmlformats.org/officeDocument/2006/relationships/ctrlProp" Target="../ctrlProps/ctrlProp1192.xml"/><Relationship Id="rId19" Type="http://schemas.openxmlformats.org/officeDocument/2006/relationships/ctrlProp" Target="../ctrlProps/ctrlProp1008.xml"/><Relationship Id="rId224" Type="http://schemas.openxmlformats.org/officeDocument/2006/relationships/ctrlProp" Target="../ctrlProps/ctrlProp1213.xml"/><Relationship Id="rId245" Type="http://schemas.openxmlformats.org/officeDocument/2006/relationships/ctrlProp" Target="../ctrlProps/ctrlProp1234.xml"/><Relationship Id="rId266" Type="http://schemas.openxmlformats.org/officeDocument/2006/relationships/ctrlProp" Target="../ctrlProps/ctrlProp1255.xml"/><Relationship Id="rId30" Type="http://schemas.openxmlformats.org/officeDocument/2006/relationships/ctrlProp" Target="../ctrlProps/ctrlProp1019.xml"/><Relationship Id="rId105" Type="http://schemas.openxmlformats.org/officeDocument/2006/relationships/ctrlProp" Target="../ctrlProps/ctrlProp1094.xml"/><Relationship Id="rId126" Type="http://schemas.openxmlformats.org/officeDocument/2006/relationships/ctrlProp" Target="../ctrlProps/ctrlProp1115.xml"/><Relationship Id="rId147" Type="http://schemas.openxmlformats.org/officeDocument/2006/relationships/ctrlProp" Target="../ctrlProps/ctrlProp1136.xml"/><Relationship Id="rId168" Type="http://schemas.openxmlformats.org/officeDocument/2006/relationships/ctrlProp" Target="../ctrlProps/ctrlProp1157.xml"/><Relationship Id="rId51" Type="http://schemas.openxmlformats.org/officeDocument/2006/relationships/ctrlProp" Target="../ctrlProps/ctrlProp1040.xml"/><Relationship Id="rId72" Type="http://schemas.openxmlformats.org/officeDocument/2006/relationships/ctrlProp" Target="../ctrlProps/ctrlProp1061.xml"/><Relationship Id="rId93" Type="http://schemas.openxmlformats.org/officeDocument/2006/relationships/ctrlProp" Target="../ctrlProps/ctrlProp1082.xml"/><Relationship Id="rId189" Type="http://schemas.openxmlformats.org/officeDocument/2006/relationships/ctrlProp" Target="../ctrlProps/ctrlProp1178.xml"/><Relationship Id="rId3" Type="http://schemas.openxmlformats.org/officeDocument/2006/relationships/vmlDrawing" Target="../drawings/vmlDrawing10.vml"/><Relationship Id="rId214" Type="http://schemas.openxmlformats.org/officeDocument/2006/relationships/ctrlProp" Target="../ctrlProps/ctrlProp1203.xml"/><Relationship Id="rId235" Type="http://schemas.openxmlformats.org/officeDocument/2006/relationships/ctrlProp" Target="../ctrlProps/ctrlProp1224.xml"/><Relationship Id="rId256" Type="http://schemas.openxmlformats.org/officeDocument/2006/relationships/ctrlProp" Target="../ctrlProps/ctrlProp1245.xml"/><Relationship Id="rId277" Type="http://schemas.openxmlformats.org/officeDocument/2006/relationships/ctrlProp" Target="../ctrlProps/ctrlProp1266.xml"/><Relationship Id="rId116" Type="http://schemas.openxmlformats.org/officeDocument/2006/relationships/ctrlProp" Target="../ctrlProps/ctrlProp1105.xml"/><Relationship Id="rId137" Type="http://schemas.openxmlformats.org/officeDocument/2006/relationships/ctrlProp" Target="../ctrlProps/ctrlProp1126.xml"/><Relationship Id="rId158" Type="http://schemas.openxmlformats.org/officeDocument/2006/relationships/ctrlProp" Target="../ctrlProps/ctrlProp1147.xml"/><Relationship Id="rId20" Type="http://schemas.openxmlformats.org/officeDocument/2006/relationships/ctrlProp" Target="../ctrlProps/ctrlProp1009.xml"/><Relationship Id="rId41" Type="http://schemas.openxmlformats.org/officeDocument/2006/relationships/ctrlProp" Target="../ctrlProps/ctrlProp1030.xml"/><Relationship Id="rId62" Type="http://schemas.openxmlformats.org/officeDocument/2006/relationships/ctrlProp" Target="../ctrlProps/ctrlProp1051.xml"/><Relationship Id="rId83" Type="http://schemas.openxmlformats.org/officeDocument/2006/relationships/ctrlProp" Target="../ctrlProps/ctrlProp1072.xml"/><Relationship Id="rId179" Type="http://schemas.openxmlformats.org/officeDocument/2006/relationships/ctrlProp" Target="../ctrlProps/ctrlProp1168.xml"/><Relationship Id="rId190" Type="http://schemas.openxmlformats.org/officeDocument/2006/relationships/ctrlProp" Target="../ctrlProps/ctrlProp1179.xml"/><Relationship Id="rId204" Type="http://schemas.openxmlformats.org/officeDocument/2006/relationships/ctrlProp" Target="../ctrlProps/ctrlProp1193.xml"/><Relationship Id="rId225" Type="http://schemas.openxmlformats.org/officeDocument/2006/relationships/ctrlProp" Target="../ctrlProps/ctrlProp1214.xml"/><Relationship Id="rId246" Type="http://schemas.openxmlformats.org/officeDocument/2006/relationships/ctrlProp" Target="../ctrlProps/ctrlProp1235.xml"/><Relationship Id="rId267" Type="http://schemas.openxmlformats.org/officeDocument/2006/relationships/ctrlProp" Target="../ctrlProps/ctrlProp1256.xml"/><Relationship Id="rId106" Type="http://schemas.openxmlformats.org/officeDocument/2006/relationships/ctrlProp" Target="../ctrlProps/ctrlProp1095.xml"/><Relationship Id="rId127" Type="http://schemas.openxmlformats.org/officeDocument/2006/relationships/ctrlProp" Target="../ctrlProps/ctrlProp1116.xml"/><Relationship Id="rId10" Type="http://schemas.openxmlformats.org/officeDocument/2006/relationships/ctrlProp" Target="../ctrlProps/ctrlProp999.xml"/><Relationship Id="rId31" Type="http://schemas.openxmlformats.org/officeDocument/2006/relationships/ctrlProp" Target="../ctrlProps/ctrlProp1020.xml"/><Relationship Id="rId52" Type="http://schemas.openxmlformats.org/officeDocument/2006/relationships/ctrlProp" Target="../ctrlProps/ctrlProp1041.xml"/><Relationship Id="rId73" Type="http://schemas.openxmlformats.org/officeDocument/2006/relationships/ctrlProp" Target="../ctrlProps/ctrlProp1062.xml"/><Relationship Id="rId94" Type="http://schemas.openxmlformats.org/officeDocument/2006/relationships/ctrlProp" Target="../ctrlProps/ctrlProp1083.xml"/><Relationship Id="rId148" Type="http://schemas.openxmlformats.org/officeDocument/2006/relationships/ctrlProp" Target="../ctrlProps/ctrlProp1137.xml"/><Relationship Id="rId169" Type="http://schemas.openxmlformats.org/officeDocument/2006/relationships/ctrlProp" Target="../ctrlProps/ctrlProp1158.xml"/><Relationship Id="rId4" Type="http://schemas.openxmlformats.org/officeDocument/2006/relationships/ctrlProp" Target="../ctrlProps/ctrlProp993.xml"/><Relationship Id="rId180" Type="http://schemas.openxmlformats.org/officeDocument/2006/relationships/ctrlProp" Target="../ctrlProps/ctrlProp1169.xml"/><Relationship Id="rId215" Type="http://schemas.openxmlformats.org/officeDocument/2006/relationships/ctrlProp" Target="../ctrlProps/ctrlProp1204.xml"/><Relationship Id="rId236" Type="http://schemas.openxmlformats.org/officeDocument/2006/relationships/ctrlProp" Target="../ctrlProps/ctrlProp1225.xml"/><Relationship Id="rId257" Type="http://schemas.openxmlformats.org/officeDocument/2006/relationships/ctrlProp" Target="../ctrlProps/ctrlProp1246.xml"/><Relationship Id="rId278" Type="http://schemas.openxmlformats.org/officeDocument/2006/relationships/ctrlProp" Target="../ctrlProps/ctrlProp1267.xml"/><Relationship Id="rId42" Type="http://schemas.openxmlformats.org/officeDocument/2006/relationships/ctrlProp" Target="../ctrlProps/ctrlProp1031.xml"/><Relationship Id="rId84" Type="http://schemas.openxmlformats.org/officeDocument/2006/relationships/ctrlProp" Target="../ctrlProps/ctrlProp1073.xml"/><Relationship Id="rId138" Type="http://schemas.openxmlformats.org/officeDocument/2006/relationships/ctrlProp" Target="../ctrlProps/ctrlProp1127.xml"/><Relationship Id="rId191" Type="http://schemas.openxmlformats.org/officeDocument/2006/relationships/ctrlProp" Target="../ctrlProps/ctrlProp1180.xml"/><Relationship Id="rId205" Type="http://schemas.openxmlformats.org/officeDocument/2006/relationships/ctrlProp" Target="../ctrlProps/ctrlProp1194.xml"/><Relationship Id="rId247" Type="http://schemas.openxmlformats.org/officeDocument/2006/relationships/ctrlProp" Target="../ctrlProps/ctrlProp1236.xml"/><Relationship Id="rId107" Type="http://schemas.openxmlformats.org/officeDocument/2006/relationships/ctrlProp" Target="../ctrlProps/ctrlProp1096.xml"/><Relationship Id="rId11" Type="http://schemas.openxmlformats.org/officeDocument/2006/relationships/ctrlProp" Target="../ctrlProps/ctrlProp1000.xml"/><Relationship Id="rId53" Type="http://schemas.openxmlformats.org/officeDocument/2006/relationships/ctrlProp" Target="../ctrlProps/ctrlProp1042.xml"/><Relationship Id="rId149" Type="http://schemas.openxmlformats.org/officeDocument/2006/relationships/ctrlProp" Target="../ctrlProps/ctrlProp1138.xml"/><Relationship Id="rId95" Type="http://schemas.openxmlformats.org/officeDocument/2006/relationships/ctrlProp" Target="../ctrlProps/ctrlProp1084.xml"/><Relationship Id="rId160" Type="http://schemas.openxmlformats.org/officeDocument/2006/relationships/ctrlProp" Target="../ctrlProps/ctrlProp1149.xml"/><Relationship Id="rId216" Type="http://schemas.openxmlformats.org/officeDocument/2006/relationships/ctrlProp" Target="../ctrlProps/ctrlProp1205.xml"/><Relationship Id="rId258" Type="http://schemas.openxmlformats.org/officeDocument/2006/relationships/ctrlProp" Target="../ctrlProps/ctrlProp1247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53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8.bin"/><Relationship Id="rId1" Type="http://schemas.openxmlformats.org/officeDocument/2006/relationships/printerSettings" Target="../printerSettings/printerSettings57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0.bin"/><Relationship Id="rId1" Type="http://schemas.openxmlformats.org/officeDocument/2006/relationships/printerSettings" Target="../printerSettings/printerSettings59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2.bin"/><Relationship Id="rId1" Type="http://schemas.openxmlformats.org/officeDocument/2006/relationships/printerSettings" Target="../printerSettings/printerSettings61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4.bin"/><Relationship Id="rId1" Type="http://schemas.openxmlformats.org/officeDocument/2006/relationships/printerSettings" Target="../printerSettings/printerSettings6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MedicatieIV">
    <tabColor rgb="FF7030A0"/>
  </sheetPr>
  <dimension ref="A1:CD92"/>
  <sheetViews>
    <sheetView tabSelected="1" workbookViewId="0">
      <pane ySplit="5" topLeftCell="A6" activePane="bottomLeft" state="frozen"/>
      <selection activeCell="A6" sqref="A6"/>
      <selection pane="bottomLeft" activeCell="H21" sqref="H21"/>
    </sheetView>
  </sheetViews>
  <sheetFormatPr defaultColWidth="9.1328125" defaultRowHeight="12.85" x14ac:dyDescent="0.35"/>
  <cols>
    <col min="1" max="1" width="10.265625" style="18" customWidth="1"/>
    <col min="2" max="2" width="3" style="18" bestFit="1" customWidth="1"/>
    <col min="3" max="3" width="27" style="18" customWidth="1"/>
    <col min="4" max="4" width="13.3984375" style="18" customWidth="1"/>
    <col min="5" max="5" width="11.1328125" style="18" customWidth="1"/>
    <col min="6" max="6" width="11" style="18" customWidth="1"/>
    <col min="7" max="7" width="16.59765625" style="18" customWidth="1"/>
    <col min="8" max="8" width="20.1328125" style="18" customWidth="1"/>
    <col min="9" max="9" width="13.265625" style="18" customWidth="1"/>
    <col min="10" max="10" width="9.1328125" style="18"/>
    <col min="11" max="11" width="12.73046875" style="18" customWidth="1"/>
    <col min="12" max="13" width="9.1328125" style="18"/>
    <col min="14" max="15" width="9.3984375" style="18" bestFit="1" customWidth="1"/>
    <col min="16" max="16384" width="9.1328125" style="18"/>
  </cols>
  <sheetData>
    <row r="1" spans="1:82" s="251" customFormat="1" ht="7.55" customHeight="1" x14ac:dyDescent="0.35">
      <c r="A1" s="587"/>
      <c r="B1" s="250"/>
      <c r="C1" s="250"/>
      <c r="D1" s="250"/>
      <c r="E1" s="250"/>
      <c r="F1" s="250"/>
      <c r="G1" s="250"/>
      <c r="H1" s="250"/>
      <c r="I1" s="250"/>
      <c r="J1" s="250"/>
      <c r="K1" s="250"/>
      <c r="L1" s="250"/>
      <c r="N1" s="250"/>
      <c r="S1" s="250"/>
      <c r="T1" s="250"/>
      <c r="U1" s="250"/>
      <c r="V1" s="250"/>
      <c r="W1" s="250"/>
      <c r="X1" s="250"/>
      <c r="Y1" s="250"/>
    </row>
    <row r="2" spans="1:82" s="251" customFormat="1" ht="17.25" customHeight="1" x14ac:dyDescent="0.4">
      <c r="A2" s="250"/>
      <c r="B2" s="250"/>
      <c r="C2" s="252" t="s">
        <v>623</v>
      </c>
      <c r="D2" s="253" t="e">
        <f ca="1">AfspraakDatum</f>
        <v>#NAME?</v>
      </c>
      <c r="E2" s="254"/>
      <c r="F2" s="252" t="s">
        <v>624</v>
      </c>
      <c r="G2" s="250"/>
      <c r="H2" s="255">
        <f>OpnDatum</f>
        <v>42370</v>
      </c>
      <c r="I2" s="252" t="e">
        <f ca="1">"ICU-dag: "&amp;AfspraakDatum-OpnDatum+1</f>
        <v>#NAME?</v>
      </c>
      <c r="J2" s="258" t="str">
        <f>"Gewicht: "&amp;Gewicht/10&amp;" kg"</f>
        <v>Gewicht: 10 kg</v>
      </c>
      <c r="L2" s="250"/>
      <c r="N2" s="250"/>
      <c r="S2" s="250"/>
      <c r="T2" s="250"/>
      <c r="U2" s="250"/>
      <c r="V2" s="250"/>
      <c r="W2" s="250"/>
      <c r="X2" s="250"/>
      <c r="Y2" s="250"/>
    </row>
    <row r="3" spans="1:82" s="251" customFormat="1" ht="17.25" customHeight="1" x14ac:dyDescent="0.4">
      <c r="A3" s="250"/>
      <c r="B3" s="256"/>
      <c r="C3" s="252" t="s">
        <v>54</v>
      </c>
      <c r="D3" s="257" t="str">
        <f>_AchterNaam&amp;", "&amp;_VoorNaam</f>
        <v>Achternaam, Voornaam</v>
      </c>
      <c r="E3" s="257"/>
      <c r="F3" s="252" t="s">
        <v>638</v>
      </c>
      <c r="G3" s="250"/>
      <c r="H3" s="255">
        <f>GebDatum</f>
        <v>42370</v>
      </c>
      <c r="J3" s="258" t="str">
        <f>"Lengte: "&amp;Lengte&amp;" cm"</f>
        <v>Lengte: 80 cm</v>
      </c>
      <c r="K3" s="252"/>
      <c r="L3" s="250"/>
      <c r="N3" s="516"/>
      <c r="S3" s="250"/>
      <c r="T3" s="250"/>
      <c r="U3" s="250"/>
      <c r="V3" s="250"/>
      <c r="W3" s="250"/>
      <c r="X3" s="250"/>
      <c r="Y3" s="250"/>
    </row>
    <row r="4" spans="1:82" s="251" customFormat="1" ht="17.25" customHeight="1" x14ac:dyDescent="0.4">
      <c r="A4" s="259"/>
      <c r="B4" s="259"/>
      <c r="C4" s="252" t="s">
        <v>707</v>
      </c>
      <c r="D4" s="258">
        <f>PatNummer</f>
        <v>0</v>
      </c>
      <c r="E4" s="254"/>
      <c r="F4" s="252" t="s">
        <v>573</v>
      </c>
      <c r="G4" s="259"/>
      <c r="H4" s="260" t="e">
        <f ca="1">TRUNC((AfspraakDatum-GebDatum)/365,0)&amp;" jaar en "&amp;TRUNC(((AfspraakDatum-GebDatum)-365*TRUNC((AfspraakDatum-GebDatum)/365,0))/30,0)&amp;" maand(-en)"</f>
        <v>#NAME?</v>
      </c>
      <c r="I4" s="252"/>
      <c r="J4" s="252" t="str">
        <f>"Lichamelijk oppervlak: "&amp;ROUND(POWER(Gewicht/10,0.425)*POWER(((Lengte/100)*100),0.725)*0.007184,2)&amp;" m2"</f>
        <v>Lichamelijk oppervlak: 0,46 m2</v>
      </c>
      <c r="K4" s="252"/>
      <c r="L4" s="259"/>
      <c r="N4" s="259"/>
      <c r="S4" s="259"/>
      <c r="T4" s="259"/>
      <c r="U4" s="259"/>
      <c r="V4" s="259"/>
      <c r="W4" s="259"/>
      <c r="X4" s="259"/>
      <c r="Y4" s="259"/>
      <c r="Z4" s="261"/>
      <c r="AA4" s="261"/>
      <c r="AB4" s="261"/>
      <c r="AC4" s="261"/>
      <c r="AD4" s="261"/>
      <c r="AE4" s="261"/>
      <c r="AF4" s="261"/>
      <c r="AG4" s="261"/>
      <c r="AH4" s="261"/>
      <c r="AI4" s="261"/>
      <c r="AJ4" s="261"/>
      <c r="AK4" s="261"/>
      <c r="AL4" s="261"/>
      <c r="AM4" s="261"/>
      <c r="AN4" s="261"/>
      <c r="AO4" s="261"/>
      <c r="AP4" s="261"/>
      <c r="AQ4" s="261"/>
      <c r="AR4" s="261"/>
      <c r="AS4" s="261"/>
      <c r="AT4" s="261"/>
      <c r="AU4" s="261"/>
      <c r="AV4" s="261"/>
      <c r="AW4" s="261"/>
      <c r="AX4" s="261"/>
      <c r="AY4" s="261"/>
      <c r="AZ4" s="261"/>
      <c r="BA4" s="261"/>
      <c r="BB4" s="261"/>
      <c r="BC4" s="261"/>
      <c r="BD4" s="261"/>
      <c r="BE4" s="261"/>
      <c r="BF4" s="261"/>
      <c r="BG4" s="261"/>
      <c r="BH4" s="261"/>
      <c r="BI4" s="261"/>
      <c r="BJ4" s="261"/>
      <c r="BK4" s="261"/>
      <c r="BL4" s="261"/>
      <c r="BM4" s="261"/>
      <c r="BN4" s="261"/>
      <c r="BO4" s="261"/>
      <c r="BP4" s="261"/>
      <c r="BQ4" s="261"/>
      <c r="BR4" s="261"/>
      <c r="BS4" s="261"/>
      <c r="BT4" s="261"/>
      <c r="BU4" s="261"/>
      <c r="BV4" s="261"/>
      <c r="BW4" s="261"/>
      <c r="BX4" s="261"/>
      <c r="BY4" s="261"/>
      <c r="BZ4" s="261"/>
      <c r="CA4" s="261"/>
      <c r="CB4" s="261"/>
      <c r="CC4" s="261"/>
      <c r="CD4" s="261"/>
    </row>
    <row r="5" spans="1:82" s="251" customFormat="1" ht="17.25" customHeight="1" x14ac:dyDescent="0.4">
      <c r="A5" s="259"/>
      <c r="B5" s="259"/>
      <c r="C5" s="268" t="s">
        <v>1002</v>
      </c>
      <c r="D5" s="268">
        <f>BedNummer</f>
        <v>0</v>
      </c>
      <c r="E5" s="254"/>
      <c r="F5" s="252"/>
      <c r="G5" s="259"/>
      <c r="H5" s="260"/>
      <c r="I5" s="252"/>
      <c r="J5" s="252"/>
      <c r="K5" s="252"/>
      <c r="L5" s="259"/>
      <c r="N5" s="259"/>
      <c r="S5" s="259"/>
      <c r="T5" s="259"/>
      <c r="U5" s="259"/>
      <c r="V5" s="259"/>
      <c r="W5" s="259"/>
      <c r="X5" s="259"/>
      <c r="Y5" s="259"/>
      <c r="Z5" s="261"/>
      <c r="AA5" s="261"/>
      <c r="AB5" s="261"/>
      <c r="AC5" s="261"/>
      <c r="AD5" s="261"/>
      <c r="AE5" s="261"/>
      <c r="AF5" s="261"/>
      <c r="AG5" s="261"/>
      <c r="AH5" s="261"/>
      <c r="AI5" s="261"/>
      <c r="AJ5" s="261"/>
      <c r="AK5" s="261"/>
      <c r="AL5" s="261"/>
      <c r="AM5" s="261"/>
      <c r="AN5" s="261"/>
      <c r="AO5" s="261"/>
      <c r="AP5" s="261"/>
      <c r="AQ5" s="261"/>
      <c r="AR5" s="261"/>
      <c r="AS5" s="261"/>
      <c r="AT5" s="261"/>
      <c r="AU5" s="261"/>
      <c r="AV5" s="261"/>
      <c r="AW5" s="261"/>
      <c r="AX5" s="261"/>
      <c r="AY5" s="261"/>
      <c r="AZ5" s="261"/>
      <c r="BA5" s="261"/>
      <c r="BB5" s="261"/>
      <c r="BC5" s="261"/>
      <c r="BD5" s="261"/>
      <c r="BE5" s="261"/>
      <c r="BF5" s="261"/>
      <c r="BG5" s="261"/>
      <c r="BH5" s="261"/>
      <c r="BI5" s="261"/>
      <c r="BJ5" s="261"/>
      <c r="BK5" s="261"/>
      <c r="BL5" s="261"/>
      <c r="BM5" s="261"/>
      <c r="BN5" s="261"/>
      <c r="BO5" s="261"/>
      <c r="BP5" s="261"/>
      <c r="BQ5" s="261"/>
      <c r="BR5" s="261"/>
      <c r="BS5" s="261"/>
      <c r="BT5" s="261"/>
      <c r="BU5" s="261"/>
      <c r="BV5" s="261"/>
      <c r="BW5" s="261"/>
      <c r="BX5" s="261"/>
      <c r="BY5" s="261"/>
      <c r="BZ5" s="261"/>
      <c r="CA5" s="261"/>
      <c r="CB5" s="261"/>
      <c r="CC5" s="261"/>
      <c r="CD5" s="261"/>
    </row>
    <row r="6" spans="1:82" ht="13.2" x14ac:dyDescent="0.4">
      <c r="A6" s="592"/>
      <c r="B6" s="140"/>
      <c r="C6" s="71"/>
      <c r="D6" s="145"/>
      <c r="E6" s="63"/>
      <c r="F6" s="71"/>
      <c r="G6" s="146"/>
      <c r="H6" s="71"/>
      <c r="I6" s="71"/>
      <c r="J6" s="71"/>
      <c r="K6" s="71"/>
      <c r="L6" s="71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249"/>
      <c r="AA6" s="249"/>
      <c r="AB6" s="262"/>
      <c r="AC6" s="262"/>
      <c r="AD6" s="249"/>
      <c r="AE6" s="249"/>
      <c r="AF6" s="249"/>
      <c r="AG6" s="249"/>
      <c r="AH6" s="249"/>
      <c r="AI6" s="249"/>
      <c r="AJ6" s="249"/>
      <c r="AK6" s="249"/>
      <c r="AL6" s="249"/>
      <c r="AM6" s="249"/>
      <c r="AN6" s="249"/>
      <c r="AO6" s="24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19"/>
      <c r="BN6" s="19"/>
      <c r="BO6" s="19"/>
      <c r="BP6" s="19"/>
      <c r="BQ6" s="19"/>
      <c r="BR6" s="19"/>
      <c r="BS6" s="19"/>
      <c r="BT6" s="19"/>
      <c r="BU6" s="19"/>
      <c r="BV6" s="19"/>
      <c r="BW6" s="19"/>
      <c r="BX6" s="19"/>
      <c r="BY6" s="19"/>
      <c r="BZ6" s="19"/>
      <c r="CA6" s="19"/>
      <c r="CB6" s="19"/>
      <c r="CC6" s="19"/>
      <c r="CD6" s="19"/>
    </row>
    <row r="7" spans="1:82" ht="13.2" x14ac:dyDescent="0.4">
      <c r="A7" s="132"/>
      <c r="B7" s="140"/>
      <c r="C7" s="143" t="s">
        <v>684</v>
      </c>
      <c r="D7" s="158" t="s">
        <v>440</v>
      </c>
      <c r="E7" s="143" t="s">
        <v>329</v>
      </c>
      <c r="F7" s="159"/>
      <c r="G7" s="143" t="s">
        <v>96</v>
      </c>
      <c r="H7" s="143" t="s">
        <v>685</v>
      </c>
      <c r="I7" s="143"/>
      <c r="J7" s="143" t="s">
        <v>631</v>
      </c>
      <c r="K7" s="143" t="s">
        <v>663</v>
      </c>
      <c r="L7" s="160"/>
      <c r="M7" s="143"/>
      <c r="N7" s="47"/>
      <c r="O7" s="47"/>
      <c r="P7" s="47"/>
      <c r="Q7" s="47"/>
      <c r="R7" s="47"/>
      <c r="S7" s="47"/>
      <c r="T7" s="47"/>
      <c r="U7" s="47"/>
      <c r="V7" s="47"/>
      <c r="W7" s="47"/>
      <c r="X7" s="47"/>
      <c r="Y7" s="47"/>
      <c r="Z7" s="131"/>
      <c r="AA7" s="249"/>
      <c r="AB7" s="131"/>
      <c r="AC7" s="131"/>
      <c r="AD7" s="131"/>
      <c r="AE7" s="131"/>
      <c r="AF7" s="249"/>
      <c r="AG7" s="249"/>
      <c r="AH7" s="249"/>
      <c r="AI7" s="249"/>
      <c r="AJ7" s="249"/>
      <c r="AK7" s="249"/>
      <c r="AL7" s="249"/>
      <c r="AM7" s="249"/>
      <c r="AN7" s="249"/>
      <c r="AO7" s="24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  <c r="BN7" s="19"/>
      <c r="BO7" s="19"/>
      <c r="BP7" s="19"/>
      <c r="BQ7" s="19"/>
      <c r="BR7" s="19"/>
      <c r="BS7" s="19"/>
      <c r="BT7" s="19"/>
      <c r="BU7" s="19"/>
      <c r="BV7" s="19"/>
      <c r="BW7" s="19"/>
      <c r="BX7" s="19"/>
      <c r="BY7" s="19"/>
      <c r="BZ7" s="19"/>
      <c r="CA7" s="19"/>
      <c r="CB7" s="19"/>
      <c r="CC7" s="19"/>
      <c r="CD7" s="19"/>
    </row>
    <row r="8" spans="1:82" ht="6.8" customHeight="1" x14ac:dyDescent="0.35">
      <c r="A8" s="132"/>
      <c r="B8" s="140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131"/>
      <c r="AA8" s="249"/>
      <c r="AB8" s="131"/>
      <c r="AC8" s="131"/>
      <c r="AD8" s="131"/>
      <c r="AE8" s="131"/>
      <c r="AF8" s="249"/>
      <c r="AG8" s="249"/>
      <c r="AH8" s="249"/>
      <c r="AI8" s="249"/>
      <c r="AJ8" s="249"/>
      <c r="AK8" s="249"/>
      <c r="AL8" s="249"/>
      <c r="AM8" s="249"/>
      <c r="AN8" s="249"/>
      <c r="AO8" s="24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</row>
    <row r="9" spans="1:82" ht="20.100000000000001" customHeight="1" x14ac:dyDescent="0.4">
      <c r="A9" s="132"/>
      <c r="B9" s="140">
        <v>1</v>
      </c>
      <c r="C9" s="265">
        <f>INDEX(tblMedicationContIV,ber_IVmed!$B3,1)</f>
        <v>0</v>
      </c>
      <c r="D9" s="161" t="str">
        <f>INDEX(tblBerMedContIV,2,5)&amp;" "&amp;INDEX(tblMedicationContIV,ber_IVmed!$B3,4)</f>
        <v xml:space="preserve"> </v>
      </c>
      <c r="E9" s="149" t="str">
        <f>IF(AND(C9&lt;&gt;0,INDEX(tblBerMedContIV,2,6)&lt;&gt;""),INDEX(tblBerMedContIV,2,6)&amp;" ml","")</f>
        <v/>
      </c>
      <c r="F9" s="142">
        <f>INDEX(tblOplossing,ber_IVmed!I3,1)</f>
        <v>0</v>
      </c>
      <c r="G9" s="149" t="str">
        <f>IF(C9&lt;&gt;0,ber_IVmed!J3/10&amp;" ml/uur","")</f>
        <v/>
      </c>
      <c r="H9" s="149">
        <f>IF(C9&lt;&gt;0,(ber_IVmed!J3/10)*INDEX(tblBerMedContIV,2,7),0)</f>
        <v>0</v>
      </c>
      <c r="I9" s="149">
        <f>INDEX(tblMedicationContIV,ber_IVmed!$B3,2)</f>
        <v>0</v>
      </c>
      <c r="J9" s="150" t="str">
        <f>IF(C9&lt;&gt;0,24*ber_IVmed!J3/10&amp;" ml","")</f>
        <v/>
      </c>
      <c r="K9" s="167">
        <f>INDEX(tblMedicationContIV,ber_IVmed!$B3,3)</f>
        <v>0</v>
      </c>
      <c r="L9" s="150"/>
      <c r="M9" s="150"/>
      <c r="N9" s="610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131"/>
      <c r="AA9" s="249"/>
      <c r="AB9" s="131" t="b">
        <f>IF(C9&lt;&gt;0,INDEX(tblMedicationContIV,ber_IVmed!$B3,6)*(ber_IVmed!J3/10))</f>
        <v>0</v>
      </c>
      <c r="AC9" s="131">
        <f>IF(AB9&gt;=10,0,IF(AB9&gt;=1,1,IF(AB9&gt;=0,2,IF(AB9&gt;=0.1,3,IF(AB9&gt;=0.01,4,5)))))</f>
        <v>0</v>
      </c>
      <c r="AD9" s="131">
        <f>ROUND(AB9,AC9)</f>
        <v>0</v>
      </c>
      <c r="AE9" s="131"/>
      <c r="AF9" s="249"/>
      <c r="AG9" s="249"/>
      <c r="AH9" s="249"/>
      <c r="AI9" s="249"/>
      <c r="AJ9" s="249"/>
      <c r="AK9" s="249"/>
      <c r="AL9" s="249"/>
      <c r="AM9" s="249"/>
      <c r="AN9" s="249"/>
      <c r="AO9" s="24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</row>
    <row r="10" spans="1:82" ht="20.100000000000001" customHeight="1" x14ac:dyDescent="0.4">
      <c r="A10" s="132"/>
      <c r="B10" s="140">
        <v>2</v>
      </c>
      <c r="C10" s="265">
        <f>INDEX(tblMedicationContIV,ber_IVmed!$B4,1)</f>
        <v>0</v>
      </c>
      <c r="D10" s="161" t="str">
        <f>INDEX(tblBerMedContIV,3,5)&amp;" "&amp;INDEX(tblMedicationContIV,ber_IVmed!$B4,4)</f>
        <v xml:space="preserve"> </v>
      </c>
      <c r="E10" s="151" t="str">
        <f>IF(AND(C9&lt;&gt;0,INDEX(tblBerMedContIV,3,6)&lt;&gt;""),INDEX(tblBerMedContIV,3,6)&amp;" ml","")</f>
        <v/>
      </c>
      <c r="F10" s="142">
        <f>INDEX(tblOplossing,ber_IVmed!I4,1)</f>
        <v>0</v>
      </c>
      <c r="G10" s="151" t="str">
        <f>IF(C10&lt;&gt;0,ber_IVmed!J4/10&amp;" ml/uur","")</f>
        <v/>
      </c>
      <c r="H10" s="149">
        <f>IF(C10&lt;&gt;0,(ber_IVmed!J4/10)*INDEX(tblBerMedContIV,3,7),0)</f>
        <v>0</v>
      </c>
      <c r="I10" s="149">
        <f>INDEX(tblMedicationContIV,ber_IVmed!$B4,2)</f>
        <v>0</v>
      </c>
      <c r="J10" s="152" t="str">
        <f>IF(C10&lt;&gt;0,24*ber_IVmed!J4/10&amp;" ml","")</f>
        <v/>
      </c>
      <c r="K10" s="168">
        <f>INDEX(tblMedicationContIV,ber_IVmed!$B4,3)</f>
        <v>0</v>
      </c>
      <c r="L10" s="152"/>
      <c r="M10" s="152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131"/>
      <c r="AA10" s="249"/>
      <c r="AB10" s="131" t="b">
        <f>IF(C10&lt;&gt;0,INDEX(tblMedicationContIV,ber_IVmed!$B4,6)*(ber_IVmed!J4/10))</f>
        <v>0</v>
      </c>
      <c r="AC10" s="131">
        <f t="shared" ref="AC10:AC18" si="0">IF(AB10&gt;=10,0,IF(AB10&gt;=1,1,IF(AB10&gt;=0,2,IF(AB10&gt;=0.1,3,IF(AB10&gt;=0.01,4,5)))))</f>
        <v>0</v>
      </c>
      <c r="AD10" s="131">
        <f t="shared" ref="AD10:AD18" si="1">ROUND(AB10,AC10)</f>
        <v>0</v>
      </c>
      <c r="AE10" s="131"/>
      <c r="AF10" s="249"/>
      <c r="AG10" s="249"/>
      <c r="AH10" s="249"/>
      <c r="AI10" s="249"/>
      <c r="AJ10" s="249"/>
      <c r="AK10" s="249"/>
      <c r="AL10" s="249"/>
      <c r="AM10" s="249"/>
      <c r="AN10" s="249"/>
      <c r="AO10" s="24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  <c r="CD10" s="19"/>
    </row>
    <row r="11" spans="1:82" ht="20.100000000000001" customHeight="1" x14ac:dyDescent="0.4">
      <c r="A11" s="132"/>
      <c r="B11" s="140">
        <v>3</v>
      </c>
      <c r="C11" s="265">
        <f>INDEX(tblMedicationContIV,ber_IVmed!$B5,1)</f>
        <v>0</v>
      </c>
      <c r="D11" s="161" t="str">
        <f>INDEX(tblBerMedContIV,4,5)&amp;" "&amp;INDEX(tblMedicationContIV,ber_IVmed!$B5,4)</f>
        <v xml:space="preserve"> </v>
      </c>
      <c r="E11" s="151" t="str">
        <f>IF(AND(C9&lt;&gt;0,INDEX(tblBerMedContIV,4,6)&lt;&gt;""),INDEX(tblBerMedContIV,4,6)&amp;" ml","")</f>
        <v/>
      </c>
      <c r="F11" s="142">
        <f>INDEX(tblOplossing,ber_IVmed!I5,1)</f>
        <v>0</v>
      </c>
      <c r="G11" s="151" t="str">
        <f>IF(C11&lt;&gt;0,ber_IVmed!J5/10&amp;" ml/uur","")</f>
        <v/>
      </c>
      <c r="H11" s="149">
        <f>IF(C11&lt;&gt;0,(ber_IVmed!J5/10)*INDEX(tblBerMedContIV,4,7),0)</f>
        <v>0</v>
      </c>
      <c r="I11" s="149">
        <f>INDEX(tblMedicationContIV,ber_IVmed!$B5,2)</f>
        <v>0</v>
      </c>
      <c r="J11" s="152" t="str">
        <f>IF(C11&lt;&gt;0,24*ber_IVmed!J5/10&amp;" ml","")</f>
        <v/>
      </c>
      <c r="K11" s="168">
        <f>INDEX(tblMedicationContIV,ber_IVmed!$B5,3)</f>
        <v>0</v>
      </c>
      <c r="L11" s="152"/>
      <c r="M11" s="152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131"/>
      <c r="AA11" s="249"/>
      <c r="AB11" s="131" t="b">
        <f>IF(C11&lt;&gt;0,INDEX(tblMedicationContIV,ber_IVmed!$B5,6)*(ber_IVmed!J5/10))</f>
        <v>0</v>
      </c>
      <c r="AC11" s="131">
        <f t="shared" si="0"/>
        <v>0</v>
      </c>
      <c r="AD11" s="131">
        <f t="shared" si="1"/>
        <v>0</v>
      </c>
      <c r="AE11" s="131"/>
      <c r="AF11" s="249"/>
      <c r="AG11" s="249"/>
      <c r="AH11" s="249"/>
      <c r="AI11" s="249"/>
      <c r="AJ11" s="249"/>
      <c r="AK11" s="249"/>
      <c r="AL11" s="249"/>
      <c r="AM11" s="249"/>
      <c r="AN11" s="249"/>
      <c r="AO11" s="24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</row>
    <row r="12" spans="1:82" ht="20.100000000000001" customHeight="1" x14ac:dyDescent="0.4">
      <c r="A12" s="132"/>
      <c r="B12" s="140">
        <v>4</v>
      </c>
      <c r="C12" s="265">
        <f>INDEX(tblMedicationContIV,ber_IVmed!$B6,1)</f>
        <v>0</v>
      </c>
      <c r="D12" s="161" t="str">
        <f>INDEX(tblBerMedContIV,5,5)&amp;" "&amp;INDEX(tblMedicationContIV,ber_IVmed!$B6,4)</f>
        <v xml:space="preserve"> </v>
      </c>
      <c r="E12" s="151" t="str">
        <f>IF(AND(C9&lt;&gt;0,INDEX(tblBerMedContIV,5,6)&lt;&gt;""),INDEX(tblBerMedContIV,5,6)&amp;" ml","")</f>
        <v/>
      </c>
      <c r="F12" s="142">
        <f>INDEX(tblOplossing,ber_IVmed!I6,1)</f>
        <v>0</v>
      </c>
      <c r="G12" s="151" t="str">
        <f>IF(C12&lt;&gt;0,ber_IVmed!J6/10&amp;" ml/uur","")</f>
        <v/>
      </c>
      <c r="H12" s="149">
        <f>IF(C12&lt;&gt;0,(ber_IVmed!J6/10)*INDEX(tblBerMedContIV,5,7),0)</f>
        <v>0</v>
      </c>
      <c r="I12" s="149">
        <f>INDEX(tblMedicationContIV,ber_IVmed!$B6,2)</f>
        <v>0</v>
      </c>
      <c r="J12" s="152" t="str">
        <f>IF(C12&lt;&gt;0,24*ber_IVmed!J6/10&amp;" ml","")</f>
        <v/>
      </c>
      <c r="K12" s="168">
        <f>INDEX(tblMedicationContIV,ber_IVmed!$B6,3)</f>
        <v>0</v>
      </c>
      <c r="L12" s="152"/>
      <c r="M12" s="152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131"/>
      <c r="AA12" s="249"/>
      <c r="AB12" s="131" t="b">
        <f>IF(C12&lt;&gt;0,INDEX(tblMedicationContIV,ber_IVmed!$B6,6)*(ber_IVmed!J6/10))</f>
        <v>0</v>
      </c>
      <c r="AC12" s="131">
        <f t="shared" si="0"/>
        <v>0</v>
      </c>
      <c r="AD12" s="131">
        <f t="shared" si="1"/>
        <v>0</v>
      </c>
      <c r="AE12" s="131"/>
      <c r="AF12" s="249"/>
      <c r="AG12" s="249"/>
      <c r="AH12" s="249"/>
      <c r="AI12" s="249"/>
      <c r="AJ12" s="249"/>
      <c r="AK12" s="249"/>
      <c r="AL12" s="249"/>
      <c r="AM12" s="249"/>
      <c r="AN12" s="249"/>
      <c r="AO12" s="24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19"/>
      <c r="BN12" s="19"/>
      <c r="BO12" s="19"/>
      <c r="BP12" s="19"/>
      <c r="BQ12" s="19"/>
      <c r="BR12" s="19"/>
      <c r="BS12" s="19"/>
      <c r="BT12" s="19"/>
      <c r="BU12" s="19"/>
      <c r="BV12" s="19"/>
      <c r="BW12" s="19"/>
      <c r="BX12" s="19"/>
      <c r="BY12" s="19"/>
      <c r="BZ12" s="19"/>
      <c r="CA12" s="19"/>
      <c r="CB12" s="19"/>
      <c r="CC12" s="19"/>
      <c r="CD12" s="19"/>
    </row>
    <row r="13" spans="1:82" ht="20.100000000000001" customHeight="1" x14ac:dyDescent="0.4">
      <c r="A13" s="132"/>
      <c r="B13" s="140">
        <v>5</v>
      </c>
      <c r="C13" s="265">
        <f>INDEX(tblMedicationContIV,ber_IVmed!$B7,1)</f>
        <v>0</v>
      </c>
      <c r="D13" s="161" t="str">
        <f>INDEX(tblBerMedContIV,6,5)&amp;" "&amp;INDEX(tblMedicationContIV,ber_IVmed!$B7,4)</f>
        <v xml:space="preserve"> </v>
      </c>
      <c r="E13" s="151" t="str">
        <f>IF(AND(C9&lt;&gt;0,INDEX(tblBerMedContIV,6,6)&lt;&gt;""),INDEX(tblBerMedContIV,6,6)&amp;" ml","")</f>
        <v/>
      </c>
      <c r="F13" s="142">
        <f>INDEX(tblOplossing,ber_IVmed!I7,1)</f>
        <v>0</v>
      </c>
      <c r="G13" s="151" t="str">
        <f>IF(C13&lt;&gt;0,ber_IVmed!J7/10&amp;" ml/uur","")</f>
        <v/>
      </c>
      <c r="H13" s="149">
        <f>IF(C13&lt;&gt;0,(ber_IVmed!J7/10)*INDEX(tblBerMedContIV,6,7),0)</f>
        <v>0</v>
      </c>
      <c r="I13" s="149">
        <f>INDEX(tblMedicationContIV,ber_IVmed!$B7,2)</f>
        <v>0</v>
      </c>
      <c r="J13" s="152" t="str">
        <f>IF(C13&lt;&gt;0,24*ber_IVmed!J7/10&amp;" ml","")</f>
        <v/>
      </c>
      <c r="K13" s="168">
        <f>INDEX(tblMedicationContIV,ber_IVmed!$B7,3)</f>
        <v>0</v>
      </c>
      <c r="L13" s="152"/>
      <c r="M13" s="152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131"/>
      <c r="AA13" s="249"/>
      <c r="AB13" s="131" t="b">
        <f>IF(C13&lt;&gt;0,INDEX(tblMedicationContIV,ber_IVmed!$B7,6)*(ber_IVmed!J7/10))</f>
        <v>0</v>
      </c>
      <c r="AC13" s="131">
        <f t="shared" si="0"/>
        <v>0</v>
      </c>
      <c r="AD13" s="131">
        <f t="shared" si="1"/>
        <v>0</v>
      </c>
      <c r="AE13" s="131"/>
      <c r="AF13" s="249"/>
      <c r="AG13" s="249"/>
      <c r="AH13" s="249"/>
      <c r="AI13" s="249"/>
      <c r="AJ13" s="249"/>
      <c r="AK13" s="249"/>
      <c r="AL13" s="249"/>
      <c r="AM13" s="249"/>
      <c r="AN13" s="249"/>
      <c r="AO13" s="24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  <c r="BL13" s="19"/>
      <c r="BM13" s="19"/>
      <c r="BN13" s="19"/>
      <c r="BO13" s="19"/>
      <c r="BP13" s="19"/>
      <c r="BQ13" s="19"/>
      <c r="BR13" s="19"/>
      <c r="BS13" s="19"/>
      <c r="BT13" s="19"/>
      <c r="BU13" s="19"/>
      <c r="BV13" s="19"/>
      <c r="BW13" s="19"/>
      <c r="BX13" s="19"/>
      <c r="BY13" s="19"/>
      <c r="BZ13" s="19"/>
      <c r="CA13" s="19"/>
      <c r="CB13" s="19"/>
      <c r="CC13" s="19"/>
      <c r="CD13" s="19"/>
    </row>
    <row r="14" spans="1:82" ht="20.100000000000001" customHeight="1" x14ac:dyDescent="0.4">
      <c r="A14" s="132"/>
      <c r="B14" s="140">
        <v>6</v>
      </c>
      <c r="C14" s="265">
        <f>INDEX(tblMedicationContIV,ber_IVmed!$B8,1)</f>
        <v>0</v>
      </c>
      <c r="D14" s="161" t="str">
        <f>INDEX(tblBerMedContIV,7,5)&amp;" "&amp;INDEX(tblMedicationContIV,ber_IVmed!$B8,4)</f>
        <v xml:space="preserve"> </v>
      </c>
      <c r="E14" s="151" t="str">
        <f>IF(AND(C9&lt;&gt;0,INDEX(tblBerMedContIV,7,6)&lt;&gt;""),INDEX(tblBerMedContIV,7,6)&amp;" ml","")</f>
        <v/>
      </c>
      <c r="F14" s="142">
        <f>INDEX(tblOplossing,ber_IVmed!I8,1)</f>
        <v>0</v>
      </c>
      <c r="G14" s="151" t="str">
        <f>IF(C14&lt;&gt;0,ber_IVmed!J8/10&amp;" ml/uur","")</f>
        <v/>
      </c>
      <c r="H14" s="149">
        <f>IF(C14&lt;&gt;0,(ber_IVmed!J8/10)*INDEX(tblBerMedContIV,7,7),0)</f>
        <v>0</v>
      </c>
      <c r="I14" s="149">
        <f>INDEX(tblMedicationContIV,ber_IVmed!$B8,2)</f>
        <v>0</v>
      </c>
      <c r="J14" s="152" t="str">
        <f>IF(C14&lt;&gt;0,24*ber_IVmed!J8/10&amp;" ml","")</f>
        <v/>
      </c>
      <c r="K14" s="168">
        <f>INDEX(tblMedicationContIV,ber_IVmed!$B8,3)</f>
        <v>0</v>
      </c>
      <c r="L14" s="152"/>
      <c r="M14" s="152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131"/>
      <c r="AA14" s="249"/>
      <c r="AB14" s="131" t="b">
        <f>IF(C14&lt;&gt;0,INDEX(tblMedicationContIV,ber_IVmed!$B8,6)*(ber_IVmed!J8/10))</f>
        <v>0</v>
      </c>
      <c r="AC14" s="131">
        <f t="shared" si="0"/>
        <v>0</v>
      </c>
      <c r="AD14" s="131">
        <f t="shared" si="1"/>
        <v>0</v>
      </c>
      <c r="AE14" s="131"/>
      <c r="AF14" s="249"/>
      <c r="AG14" s="249"/>
      <c r="AH14" s="249"/>
      <c r="AI14" s="249"/>
      <c r="AJ14" s="249"/>
      <c r="AK14" s="249"/>
      <c r="AL14" s="249"/>
      <c r="AM14" s="249"/>
      <c r="AN14" s="249"/>
      <c r="AO14" s="24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  <c r="BP14" s="19"/>
      <c r="BQ14" s="19"/>
      <c r="BR14" s="19"/>
      <c r="BS14" s="19"/>
      <c r="BT14" s="19"/>
      <c r="BU14" s="19"/>
      <c r="BV14" s="19"/>
      <c r="BW14" s="19"/>
      <c r="BX14" s="19"/>
      <c r="BY14" s="19"/>
      <c r="BZ14" s="19"/>
      <c r="CA14" s="19"/>
      <c r="CB14" s="19"/>
      <c r="CC14" s="19"/>
      <c r="CD14" s="19"/>
    </row>
    <row r="15" spans="1:82" ht="20.100000000000001" customHeight="1" x14ac:dyDescent="0.4">
      <c r="A15" s="132"/>
      <c r="B15" s="140">
        <v>7</v>
      </c>
      <c r="C15" s="265">
        <f>INDEX(tblMedicationContIV,ber_IVmed!$B9,1)</f>
        <v>0</v>
      </c>
      <c r="D15" s="161" t="str">
        <f>INDEX(tblBerMedContIV,8,5)&amp;" "&amp;INDEX(tblMedicationContIV,ber_IVmed!$B9,4)</f>
        <v xml:space="preserve"> </v>
      </c>
      <c r="E15" s="151" t="str">
        <f>IF(AND(C9&lt;&gt;0,INDEX(tblBerMedContIV,8,6)&lt;&gt;""),INDEX(tblBerMedContIV,8,6)&amp;" ml","")</f>
        <v/>
      </c>
      <c r="F15" s="142">
        <f>INDEX(tblOplossing,ber_IVmed!I9,1)</f>
        <v>0</v>
      </c>
      <c r="G15" s="151" t="str">
        <f>IF(C15&lt;&gt;0,ber_IVmed!J9/10&amp;" ml/uur","")</f>
        <v/>
      </c>
      <c r="H15" s="149">
        <f>IF(C15&lt;&gt;0,(ber_IVmed!J9/10)*INDEX(tblBerMedContIV,8,7),0)</f>
        <v>0</v>
      </c>
      <c r="I15" s="149">
        <f>INDEX(tblMedicationContIV,ber_IVmed!$B9,2)</f>
        <v>0</v>
      </c>
      <c r="J15" s="152" t="str">
        <f>IF(C15&lt;&gt;0,24*ber_IVmed!J9/10&amp;" ml","")</f>
        <v/>
      </c>
      <c r="K15" s="168">
        <f>INDEX(tblMedicationContIV,ber_IVmed!$B9,3)</f>
        <v>0</v>
      </c>
      <c r="L15" s="152"/>
      <c r="M15" s="152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131"/>
      <c r="AA15" s="249"/>
      <c r="AB15" s="131" t="b">
        <f>IF(C15&lt;&gt;0,INDEX(tblMedicationContIV,ber_IVmed!$B9,6)*(ber_IVmed!J9/10))</f>
        <v>0</v>
      </c>
      <c r="AC15" s="131">
        <f t="shared" si="0"/>
        <v>0</v>
      </c>
      <c r="AD15" s="131">
        <f t="shared" si="1"/>
        <v>0</v>
      </c>
      <c r="AE15" s="131"/>
      <c r="AF15" s="249"/>
      <c r="AG15" s="249"/>
      <c r="AH15" s="249"/>
      <c r="AI15" s="249"/>
      <c r="AJ15" s="249"/>
      <c r="AK15" s="249"/>
      <c r="AL15" s="249"/>
      <c r="AM15" s="249"/>
      <c r="AN15" s="249"/>
      <c r="AO15" s="24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  <c r="BP15" s="19"/>
      <c r="BQ15" s="19"/>
      <c r="BR15" s="19"/>
      <c r="BS15" s="19"/>
      <c r="BT15" s="19"/>
      <c r="BU15" s="19"/>
      <c r="BV15" s="19"/>
      <c r="BW15" s="19"/>
      <c r="BX15" s="19"/>
      <c r="BY15" s="19"/>
      <c r="BZ15" s="19"/>
      <c r="CA15" s="19"/>
      <c r="CB15" s="19"/>
      <c r="CC15" s="19"/>
      <c r="CD15" s="19"/>
    </row>
    <row r="16" spans="1:82" ht="20.100000000000001" customHeight="1" x14ac:dyDescent="0.4">
      <c r="A16" s="132"/>
      <c r="B16" s="140">
        <v>8</v>
      </c>
      <c r="C16" s="265">
        <f>INDEX(tblMedicationContIV,ber_IVmed!$B10,1)</f>
        <v>0</v>
      </c>
      <c r="D16" s="161" t="str">
        <f>INDEX(tblBerMedContIV,9,5)&amp;" "&amp;INDEX(tblMedicationContIV,ber_IVmed!$B10,4)</f>
        <v xml:space="preserve"> </v>
      </c>
      <c r="E16" s="151" t="str">
        <f>IF(AND(C9&lt;&gt;0,INDEX(tblBerMedContIV,9,6)&lt;&gt;""),INDEX(tblBerMedContIV,9,6)&amp;" ml","")</f>
        <v/>
      </c>
      <c r="F16" s="142">
        <f>INDEX(tblOplossing,ber_IVmed!I10,1)</f>
        <v>0</v>
      </c>
      <c r="G16" s="151" t="str">
        <f>IF(C16&lt;&gt;0,ber_IVmed!J10/10&amp;" ml/uur","")</f>
        <v/>
      </c>
      <c r="H16" s="149">
        <f>IF(C16&lt;&gt;0,(ber_IVmed!J10/10)*INDEX(tblBerMedContIV,9,7),0)</f>
        <v>0</v>
      </c>
      <c r="I16" s="149">
        <f>INDEX(tblMedicationContIV,ber_IVmed!$B10,2)</f>
        <v>0</v>
      </c>
      <c r="J16" s="152" t="str">
        <f>IF(C16&lt;&gt;0,24*ber_IVmed!J10/10&amp;" ml","")</f>
        <v/>
      </c>
      <c r="K16" s="168">
        <f>INDEX(tblMedicationContIV,ber_IVmed!$B10,3)</f>
        <v>0</v>
      </c>
      <c r="L16" s="152"/>
      <c r="M16" s="152"/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131"/>
      <c r="AA16" s="249"/>
      <c r="AB16" s="131" t="b">
        <f>IF(C16&lt;&gt;0,INDEX(tblMedicationContIV,ber_IVmed!$B10,6)*(ber_IVmed!J10/10))</f>
        <v>0</v>
      </c>
      <c r="AC16" s="131">
        <f t="shared" si="0"/>
        <v>0</v>
      </c>
      <c r="AD16" s="131">
        <f t="shared" si="1"/>
        <v>0</v>
      </c>
      <c r="AE16" s="131"/>
      <c r="AF16" s="249"/>
      <c r="AG16" s="249"/>
      <c r="AH16" s="249"/>
      <c r="AI16" s="249"/>
      <c r="AJ16" s="249"/>
      <c r="AK16" s="249"/>
      <c r="AL16" s="249"/>
      <c r="AM16" s="249"/>
      <c r="AN16" s="249"/>
      <c r="AO16" s="24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  <c r="BP16" s="19"/>
      <c r="BQ16" s="19"/>
      <c r="BR16" s="19"/>
      <c r="BS16" s="19"/>
      <c r="BT16" s="19"/>
      <c r="BU16" s="19"/>
      <c r="BV16" s="19"/>
      <c r="BW16" s="19"/>
      <c r="BX16" s="19"/>
      <c r="BY16" s="19"/>
      <c r="BZ16" s="19"/>
      <c r="CA16" s="19"/>
      <c r="CB16" s="19"/>
      <c r="CC16" s="19"/>
      <c r="CD16" s="19"/>
    </row>
    <row r="17" spans="1:82" ht="20.100000000000001" customHeight="1" x14ac:dyDescent="0.4">
      <c r="A17" s="132"/>
      <c r="B17" s="140">
        <v>9</v>
      </c>
      <c r="C17" s="265">
        <f>INDEX(tblMedicationContIV,ber_IVmed!$B11,1)</f>
        <v>0</v>
      </c>
      <c r="D17" s="161" t="str">
        <f>INDEX(tblBerMedContIV,10,5)&amp;" "&amp;INDEX(tblMedicationContIV,ber_IVmed!$B11,4)</f>
        <v xml:space="preserve"> </v>
      </c>
      <c r="E17" s="151" t="str">
        <f>IF(AND(C9&lt;&gt;0,INDEX(tblBerMedContIV,10,6)&lt;&gt;""),INDEX(tblBerMedContIV,10,6)&amp;" ml","")</f>
        <v/>
      </c>
      <c r="F17" s="142">
        <f>INDEX(tblOplossing,ber_IVmed!I11,1)</f>
        <v>0</v>
      </c>
      <c r="G17" s="151" t="str">
        <f>IF(C17&lt;&gt;0,ber_IVmed!J11/10&amp;" ml/uur","")</f>
        <v/>
      </c>
      <c r="H17" s="149">
        <f>IF(C17&lt;&gt;0,(ber_IVmed!J11/10)*INDEX(tblBerMedContIV,10,7),0)</f>
        <v>0</v>
      </c>
      <c r="I17" s="149">
        <f>INDEX(tblMedicationContIV,ber_IVmed!$B11,2)</f>
        <v>0</v>
      </c>
      <c r="J17" s="152" t="str">
        <f>IF(C17&lt;&gt;0,24*ber_IVmed!J11/10&amp;" ml","")</f>
        <v/>
      </c>
      <c r="K17" s="168">
        <f>INDEX(tblMedicationContIV,ber_IVmed!$B11,3)</f>
        <v>0</v>
      </c>
      <c r="L17" s="152"/>
      <c r="M17" s="152"/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131"/>
      <c r="AA17" s="249"/>
      <c r="AB17" s="131" t="b">
        <f>IF(C17&lt;&gt;0,INDEX(tblMedicationContIV,ber_IVmed!$B11,6)*(ber_IVmed!J11/10))</f>
        <v>0</v>
      </c>
      <c r="AC17" s="131">
        <f t="shared" si="0"/>
        <v>0</v>
      </c>
      <c r="AD17" s="131">
        <f t="shared" si="1"/>
        <v>0</v>
      </c>
      <c r="AE17" s="131"/>
      <c r="AF17" s="249"/>
      <c r="AG17" s="249"/>
      <c r="AH17" s="249"/>
      <c r="AI17" s="249"/>
      <c r="AJ17" s="249"/>
      <c r="AK17" s="249"/>
      <c r="AL17" s="249"/>
      <c r="AM17" s="249"/>
      <c r="AN17" s="249"/>
      <c r="AO17" s="24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  <c r="BO17" s="19"/>
      <c r="BP17" s="19"/>
      <c r="BQ17" s="19"/>
      <c r="BR17" s="19"/>
      <c r="BS17" s="19"/>
      <c r="BT17" s="19"/>
      <c r="BU17" s="19"/>
      <c r="BV17" s="19"/>
      <c r="BW17" s="19"/>
      <c r="BX17" s="19"/>
      <c r="BY17" s="19"/>
      <c r="BZ17" s="19"/>
      <c r="CA17" s="19"/>
      <c r="CB17" s="19"/>
      <c r="CC17" s="19"/>
      <c r="CD17" s="19"/>
    </row>
    <row r="18" spans="1:82" ht="20.100000000000001" customHeight="1" x14ac:dyDescent="0.4">
      <c r="A18" s="132"/>
      <c r="B18" s="140">
        <v>10</v>
      </c>
      <c r="C18" s="265">
        <f>INDEX(tblMedicationContIV,ber_IVmed!$B12,1)</f>
        <v>0</v>
      </c>
      <c r="D18" s="161" t="str">
        <f>INDEX(tblBerMedContIV,11,5)&amp;" "&amp;INDEX(tblMedicationContIV,ber_IVmed!$B12,4)</f>
        <v xml:space="preserve"> </v>
      </c>
      <c r="E18" s="151" t="str">
        <f>IF(AND(C9&lt;&gt;0,INDEX(tblBerMedContIV,11,6)&lt;&gt;""),INDEX(tblBerMedContIV,11,6)&amp;" ml","")</f>
        <v/>
      </c>
      <c r="F18" s="142">
        <f>INDEX(tblOplossing,ber_IVmed!I12,1)</f>
        <v>0</v>
      </c>
      <c r="G18" s="151" t="str">
        <f>IF(C18&lt;&gt;0,ber_IVmed!J12/10&amp;" ml/uur","")</f>
        <v/>
      </c>
      <c r="H18" s="149">
        <f>IF(C18&lt;&gt;0,(ber_IVmed!J12/10)*INDEX(tblBerMedContIV,11,7),0)</f>
        <v>0</v>
      </c>
      <c r="I18" s="149">
        <f>INDEX(tblMedicationContIV,ber_IVmed!$B12,2)</f>
        <v>0</v>
      </c>
      <c r="J18" s="152" t="str">
        <f>IF(C18&lt;&gt;0,24*ber_IVmed!J12/10&amp;" ml","")</f>
        <v/>
      </c>
      <c r="K18" s="168">
        <f>INDEX(tblMedicationContIV,ber_IVmed!$B12,3)</f>
        <v>0</v>
      </c>
      <c r="L18" s="152"/>
      <c r="M18" s="152"/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131"/>
      <c r="AA18" s="249"/>
      <c r="AB18" s="131" t="b">
        <f>IF(C18&lt;&gt;0,INDEX(tblMedicationContIV,ber_IVmed!$B12,6)*(ber_IVmed!J12/10))</f>
        <v>0</v>
      </c>
      <c r="AC18" s="131">
        <f t="shared" si="0"/>
        <v>0</v>
      </c>
      <c r="AD18" s="131">
        <f t="shared" si="1"/>
        <v>0</v>
      </c>
      <c r="AE18" s="131"/>
      <c r="AF18" s="249"/>
      <c r="AG18" s="249"/>
      <c r="AH18" s="249"/>
      <c r="AI18" s="249"/>
      <c r="AJ18" s="249"/>
      <c r="AK18" s="249"/>
      <c r="AL18" s="249"/>
      <c r="AM18" s="249"/>
      <c r="AN18" s="249"/>
      <c r="AO18" s="24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  <c r="BO18" s="19"/>
      <c r="BP18" s="19"/>
      <c r="BQ18" s="19"/>
      <c r="BR18" s="19"/>
      <c r="BS18" s="19"/>
      <c r="BT18" s="19"/>
      <c r="BU18" s="19"/>
      <c r="BV18" s="19"/>
      <c r="BW18" s="19"/>
      <c r="BX18" s="19"/>
      <c r="BY18" s="19"/>
      <c r="BZ18" s="19"/>
      <c r="CA18" s="19"/>
      <c r="CB18" s="19"/>
      <c r="CC18" s="19"/>
      <c r="CD18" s="19"/>
    </row>
    <row r="19" spans="1:82" ht="20.100000000000001" customHeight="1" x14ac:dyDescent="0.4">
      <c r="A19" s="132"/>
      <c r="B19" s="140"/>
      <c r="C19" s="147"/>
      <c r="D19" s="147"/>
      <c r="E19" s="47"/>
      <c r="F19" s="47"/>
      <c r="G19" s="47"/>
      <c r="H19" s="47"/>
      <c r="I19" s="47"/>
      <c r="J19" s="46"/>
      <c r="K19" s="169" t="str">
        <f>IF(C19&lt;&gt;0,HLOOKUP(C19,#REF!,6),"")</f>
        <v/>
      </c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131"/>
      <c r="AA19" s="249"/>
      <c r="AB19" s="131"/>
      <c r="AC19" s="131"/>
      <c r="AD19" s="131"/>
      <c r="AE19" s="131"/>
      <c r="AF19" s="249"/>
      <c r="AG19" s="249"/>
      <c r="AH19" s="249"/>
      <c r="AI19" s="249"/>
      <c r="AJ19" s="249"/>
      <c r="AK19" s="249"/>
      <c r="AL19" s="249"/>
      <c r="AM19" s="249"/>
      <c r="AN19" s="249"/>
      <c r="AO19" s="24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  <c r="BP19" s="19"/>
      <c r="BQ19" s="19"/>
      <c r="BR19" s="19"/>
      <c r="BS19" s="19"/>
      <c r="BT19" s="19"/>
      <c r="BU19" s="19"/>
      <c r="BV19" s="19"/>
      <c r="BW19" s="19"/>
      <c r="BX19" s="19"/>
      <c r="BY19" s="19"/>
      <c r="BZ19" s="19"/>
      <c r="CA19" s="19"/>
      <c r="CB19" s="19"/>
      <c r="CC19" s="19"/>
      <c r="CD19" s="19"/>
    </row>
    <row r="20" spans="1:82" ht="20.100000000000001" customHeight="1" x14ac:dyDescent="0.4">
      <c r="A20" s="132"/>
      <c r="B20" s="140">
        <v>11</v>
      </c>
      <c r="C20" s="153">
        <f>MedIVKeuze_11</f>
        <v>0</v>
      </c>
      <c r="D20" s="154">
        <f>MedIVSterkte_11</f>
        <v>0</v>
      </c>
      <c r="E20" s="155" t="str">
        <f>IF(C20&lt;&gt;0,ber_IVmed!E13&amp;" ml","")</f>
        <v/>
      </c>
      <c r="F20" s="227">
        <f>INDEX(tblOplossing,ber_IVmed!I13,1)</f>
        <v>0</v>
      </c>
      <c r="G20" s="155">
        <f>IF(C20&lt;&gt;"",IF(ber_IVmed!J13&lt;&gt;0,ber_IVmed!J13/10&amp;" ml/uur",0),"")</f>
        <v>0</v>
      </c>
      <c r="H20" s="155" t="str">
        <f>ber_IVmed!H13</f>
        <v/>
      </c>
      <c r="I20" s="155"/>
      <c r="J20" s="156" t="str">
        <f>IF(ber_IVmed!K13&lt;&gt;0,ber_IVmed!K13&amp;" ml","")</f>
        <v/>
      </c>
      <c r="K20" s="167"/>
      <c r="L20" s="150"/>
      <c r="M20" s="150"/>
      <c r="N20" s="46"/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131"/>
      <c r="AA20" s="249"/>
      <c r="AB20" s="249"/>
      <c r="AC20" s="249"/>
      <c r="AD20" s="249"/>
      <c r="AE20" s="249"/>
      <c r="AF20" s="249"/>
      <c r="AG20" s="249"/>
      <c r="AH20" s="249"/>
      <c r="AI20" s="249"/>
      <c r="AJ20" s="249"/>
      <c r="AK20" s="249"/>
      <c r="AL20" s="249"/>
      <c r="AM20" s="249"/>
      <c r="AN20" s="249"/>
      <c r="AO20" s="24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  <c r="BP20" s="19"/>
      <c r="BQ20" s="19"/>
      <c r="BR20" s="19"/>
      <c r="BS20" s="19"/>
      <c r="BT20" s="19"/>
      <c r="BU20" s="19"/>
      <c r="BV20" s="19"/>
      <c r="BW20" s="19"/>
      <c r="BX20" s="19"/>
      <c r="BY20" s="19"/>
      <c r="BZ20" s="19"/>
      <c r="CA20" s="19"/>
      <c r="CB20" s="19"/>
      <c r="CC20" s="19"/>
      <c r="CD20" s="19"/>
    </row>
    <row r="21" spans="1:82" ht="20.100000000000001" customHeight="1" x14ac:dyDescent="0.4">
      <c r="A21" s="132"/>
      <c r="B21" s="140">
        <v>12</v>
      </c>
      <c r="C21" s="157">
        <f>MedIVKeuze_12</f>
        <v>0</v>
      </c>
      <c r="D21" s="157">
        <f>MedIVSterkte_12</f>
        <v>0</v>
      </c>
      <c r="E21" s="151" t="str">
        <f>IF(C21&lt;&gt;0,ber_IVmed!E14&amp;" ml","")</f>
        <v/>
      </c>
      <c r="F21" s="228">
        <f>INDEX(tblOplossing,ber_IVmed!I14,1)</f>
        <v>0</v>
      </c>
      <c r="G21" s="151">
        <f>IF(C21&lt;&gt;"",IF(ber_IVmed!J14&lt;&gt;0,ber_IVmed!J14/10&amp;" ml/uur",0),"")</f>
        <v>0</v>
      </c>
      <c r="H21" s="155" t="str">
        <f>ber_IVmed!H14</f>
        <v/>
      </c>
      <c r="I21" s="155"/>
      <c r="J21" s="152" t="str">
        <f>IF(ber_IVmed!K14&lt;&gt;0,ber_IVmed!K14&amp;" ml","")</f>
        <v/>
      </c>
      <c r="K21" s="168"/>
      <c r="L21" s="152"/>
      <c r="M21" s="152"/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131"/>
      <c r="AA21" s="249"/>
      <c r="AB21" s="249"/>
      <c r="AC21" s="249"/>
      <c r="AD21" s="249"/>
      <c r="AE21" s="249"/>
      <c r="AF21" s="249"/>
      <c r="AG21" s="249"/>
      <c r="AH21" s="249"/>
      <c r="AI21" s="249"/>
      <c r="AJ21" s="249"/>
      <c r="AK21" s="249"/>
      <c r="AL21" s="249"/>
      <c r="AM21" s="249"/>
      <c r="AN21" s="249"/>
      <c r="AO21" s="24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BJ21" s="19"/>
      <c r="BK21" s="19"/>
      <c r="BL21" s="19"/>
      <c r="BM21" s="19"/>
      <c r="BN21" s="19"/>
      <c r="BO21" s="19"/>
      <c r="BP21" s="19"/>
      <c r="BQ21" s="19"/>
      <c r="BR21" s="19"/>
      <c r="BS21" s="19"/>
      <c r="BT21" s="19"/>
      <c r="BU21" s="19"/>
      <c r="BV21" s="19"/>
      <c r="BW21" s="19"/>
      <c r="BX21" s="19"/>
      <c r="BY21" s="19"/>
      <c r="BZ21" s="19"/>
      <c r="CA21" s="19"/>
      <c r="CB21" s="19"/>
      <c r="CC21" s="19"/>
      <c r="CD21" s="19"/>
    </row>
    <row r="22" spans="1:82" ht="20.100000000000001" customHeight="1" x14ac:dyDescent="0.4">
      <c r="A22" s="132"/>
      <c r="B22" s="140">
        <v>13</v>
      </c>
      <c r="C22" s="157">
        <f>MedIVKeuze_13</f>
        <v>0</v>
      </c>
      <c r="D22" s="157">
        <f>MedIVSterkte_13</f>
        <v>0</v>
      </c>
      <c r="E22" s="151" t="str">
        <f>IF(C22&lt;&gt;0,ber_IVmed!E15&amp;" ml","")</f>
        <v/>
      </c>
      <c r="F22" s="228">
        <f>INDEX(tblOplossing,ber_IVmed!I15,1)</f>
        <v>0</v>
      </c>
      <c r="G22" s="151">
        <f>IF(C22&lt;&gt;"",IF(ber_IVmed!J15&lt;&gt;0,ber_IVmed!J15/10&amp;" ml/uur",0),"")</f>
        <v>0</v>
      </c>
      <c r="H22" s="155" t="str">
        <f>ber_IVmed!H15</f>
        <v/>
      </c>
      <c r="I22" s="155"/>
      <c r="J22" s="152" t="str">
        <f>IF(ber_IVmed!K15&lt;&gt;0,ber_IVmed!K15&amp;" ml","")</f>
        <v/>
      </c>
      <c r="K22" s="168"/>
      <c r="L22" s="152"/>
      <c r="M22" s="152"/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131"/>
      <c r="AA22" s="249"/>
      <c r="AB22" s="249"/>
      <c r="AC22" s="249"/>
      <c r="AD22" s="249"/>
      <c r="AE22" s="249"/>
      <c r="AF22" s="249"/>
      <c r="AG22" s="249"/>
      <c r="AH22" s="249"/>
      <c r="AI22" s="249"/>
      <c r="AJ22" s="249"/>
      <c r="AK22" s="249"/>
      <c r="AL22" s="249"/>
      <c r="AM22" s="249"/>
      <c r="AN22" s="249"/>
      <c r="AO22" s="24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  <c r="BJ22" s="19"/>
      <c r="BK22" s="19"/>
      <c r="BL22" s="19"/>
      <c r="BM22" s="19"/>
      <c r="BN22" s="19"/>
      <c r="BO22" s="19"/>
      <c r="BP22" s="19"/>
      <c r="BQ22" s="19"/>
      <c r="BR22" s="19"/>
      <c r="BS22" s="19"/>
      <c r="BT22" s="19"/>
      <c r="BU22" s="19"/>
      <c r="BV22" s="19"/>
      <c r="BW22" s="19"/>
      <c r="BX22" s="19"/>
      <c r="BY22" s="19"/>
      <c r="BZ22" s="19"/>
      <c r="CA22" s="19"/>
      <c r="CB22" s="19"/>
      <c r="CC22" s="19"/>
      <c r="CD22" s="19"/>
    </row>
    <row r="23" spans="1:82" ht="20.100000000000001" customHeight="1" x14ac:dyDescent="0.4">
      <c r="A23" s="132"/>
      <c r="B23" s="140">
        <v>14</v>
      </c>
      <c r="C23" s="157">
        <f>MedIVKeuze_14</f>
        <v>0</v>
      </c>
      <c r="D23" s="157">
        <f>MedIVSterkte_14</f>
        <v>0</v>
      </c>
      <c r="E23" s="151" t="str">
        <f>IF(C23&lt;&gt;0,ber_IVmed!E16&amp;" ml","")</f>
        <v/>
      </c>
      <c r="F23" s="228">
        <f>INDEX(tblOplossing,ber_IVmed!I16,1)</f>
        <v>0</v>
      </c>
      <c r="G23" s="151">
        <f>IF(C23&lt;&gt;"",IF(ber_IVmed!J16&lt;&gt;0,ber_IVmed!J16/10&amp;" ml/uur",0),"")</f>
        <v>0</v>
      </c>
      <c r="H23" s="155" t="str">
        <f>ber_IVmed!H16</f>
        <v/>
      </c>
      <c r="I23" s="155"/>
      <c r="J23" s="152" t="str">
        <f>IF(ber_IVmed!K16&lt;&gt;0,ber_IVmed!K16&amp;" ml","")</f>
        <v/>
      </c>
      <c r="K23" s="168"/>
      <c r="L23" s="152"/>
      <c r="M23" s="152"/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131"/>
      <c r="AA23" s="249"/>
      <c r="AB23" s="249"/>
      <c r="AC23" s="249"/>
      <c r="AD23" s="249"/>
      <c r="AE23" s="249"/>
      <c r="AF23" s="249"/>
      <c r="AG23" s="249"/>
      <c r="AH23" s="249"/>
      <c r="AI23" s="249"/>
      <c r="AJ23" s="249"/>
      <c r="AK23" s="249"/>
      <c r="AL23" s="249"/>
      <c r="AM23" s="249"/>
      <c r="AN23" s="249"/>
      <c r="AO23" s="24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  <c r="BH23" s="19"/>
      <c r="BI23" s="19"/>
      <c r="BJ23" s="19"/>
      <c r="BK23" s="19"/>
      <c r="BL23" s="19"/>
      <c r="BM23" s="19"/>
      <c r="BN23" s="19"/>
      <c r="BO23" s="19"/>
      <c r="BP23" s="19"/>
      <c r="BQ23" s="19"/>
      <c r="BR23" s="19"/>
      <c r="BS23" s="19"/>
      <c r="BT23" s="19"/>
      <c r="BU23" s="19"/>
      <c r="BV23" s="19"/>
      <c r="BW23" s="19"/>
      <c r="BX23" s="19"/>
      <c r="BY23" s="19"/>
      <c r="BZ23" s="19"/>
      <c r="CA23" s="19"/>
      <c r="CB23" s="19"/>
      <c r="CC23" s="19"/>
      <c r="CD23" s="19"/>
    </row>
    <row r="24" spans="1:82" ht="20.100000000000001" customHeight="1" x14ac:dyDescent="0.4">
      <c r="A24" s="132"/>
      <c r="B24" s="140">
        <v>15</v>
      </c>
      <c r="C24" s="157">
        <f>MedIVKeuze_15</f>
        <v>0</v>
      </c>
      <c r="D24" s="157">
        <f>MedIVSterkte_15</f>
        <v>0</v>
      </c>
      <c r="E24" s="151" t="str">
        <f>IF(C24&lt;&gt;0,ber_IVmed!E17&amp;" ml","")</f>
        <v/>
      </c>
      <c r="F24" s="228">
        <f>INDEX(tblOplossing,ber_IVmed!I17,1)</f>
        <v>0</v>
      </c>
      <c r="G24" s="151">
        <f>IF(C24&lt;&gt;"",IF(ber_IVmed!J17&lt;&gt;0,ber_IVmed!J17/10&amp;" ml/uur",0),"")</f>
        <v>0</v>
      </c>
      <c r="H24" s="155" t="str">
        <f>ber_IVmed!H17</f>
        <v/>
      </c>
      <c r="I24" s="155"/>
      <c r="J24" s="152" t="str">
        <f>IF(ber_IVmed!K17&lt;&gt;0,ber_IVmed!K17&amp;" ml","")</f>
        <v/>
      </c>
      <c r="K24" s="168"/>
      <c r="L24" s="152"/>
      <c r="M24" s="152"/>
      <c r="N24" s="46"/>
      <c r="O24" s="46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131"/>
      <c r="AA24" s="249"/>
      <c r="AB24" s="249"/>
      <c r="AC24" s="249"/>
      <c r="AD24" s="249"/>
      <c r="AE24" s="249"/>
      <c r="AF24" s="249"/>
      <c r="AG24" s="249"/>
      <c r="AH24" s="249"/>
      <c r="AI24" s="249"/>
      <c r="AJ24" s="249"/>
      <c r="AK24" s="249"/>
      <c r="AL24" s="249"/>
      <c r="AM24" s="249"/>
      <c r="AN24" s="249"/>
      <c r="AO24" s="24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9"/>
      <c r="BK24" s="19"/>
      <c r="BL24" s="19"/>
      <c r="BM24" s="19"/>
      <c r="BN24" s="19"/>
      <c r="BO24" s="19"/>
      <c r="BP24" s="19"/>
      <c r="BQ24" s="19"/>
      <c r="BR24" s="19"/>
      <c r="BS24" s="19"/>
      <c r="BT24" s="19"/>
      <c r="BU24" s="19"/>
      <c r="BV24" s="19"/>
      <c r="BW24" s="19"/>
      <c r="BX24" s="19"/>
      <c r="BY24" s="19"/>
      <c r="BZ24" s="19"/>
      <c r="CA24" s="19"/>
      <c r="CB24" s="19"/>
      <c r="CC24" s="19"/>
      <c r="CD24" s="19"/>
    </row>
    <row r="25" spans="1:82" x14ac:dyDescent="0.35">
      <c r="A25" s="132"/>
      <c r="B25" s="132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45"/>
      <c r="Z25" s="131"/>
      <c r="AA25" s="249"/>
      <c r="AB25" s="249"/>
      <c r="AC25" s="249"/>
      <c r="AD25" s="249"/>
      <c r="AE25" s="249"/>
      <c r="AF25" s="249"/>
      <c r="AG25" s="249"/>
      <c r="AH25" s="249"/>
      <c r="AI25" s="249"/>
      <c r="AJ25" s="249"/>
      <c r="AK25" s="249"/>
      <c r="AL25" s="249"/>
      <c r="AM25" s="249"/>
      <c r="AN25" s="249"/>
      <c r="AO25" s="24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  <c r="BP25" s="19"/>
      <c r="BQ25" s="19"/>
      <c r="BR25" s="19"/>
      <c r="BS25" s="19"/>
      <c r="BT25" s="19"/>
      <c r="BU25" s="19"/>
      <c r="BV25" s="19"/>
      <c r="BW25" s="19"/>
      <c r="BX25" s="19"/>
      <c r="BY25" s="19"/>
      <c r="BZ25" s="19"/>
      <c r="CA25" s="19"/>
      <c r="CB25" s="19"/>
      <c r="CC25" s="19"/>
      <c r="CD25" s="19"/>
    </row>
    <row r="26" spans="1:82" ht="13.2" x14ac:dyDescent="0.4">
      <c r="A26" s="132"/>
      <c r="B26" s="132"/>
      <c r="C26" s="164" t="str">
        <f>Intake!B34</f>
        <v>Vocht</v>
      </c>
      <c r="D26" s="165" t="str">
        <f>Intake!D34</f>
        <v>0 ml/kg</v>
      </c>
      <c r="E26" s="164" t="str">
        <f ca="1">Intake!E34</f>
        <v>100 ml/kg</v>
      </c>
      <c r="F26" s="164"/>
      <c r="G26" s="164" t="str">
        <f>Intake!H34</f>
        <v>Eiwit</v>
      </c>
      <c r="H26" s="165" t="str">
        <f>Intake!I34</f>
        <v>0  gram/kg</v>
      </c>
      <c r="I26" s="165"/>
      <c r="J26" s="164" t="str">
        <f>Intake!J34</f>
        <v>2-2,5 g/kg</v>
      </c>
      <c r="K26" s="164"/>
      <c r="L26" s="166"/>
      <c r="M26" s="166"/>
      <c r="N26" s="166"/>
      <c r="O26" s="166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249"/>
      <c r="AA26" s="249"/>
      <c r="AB26" s="249"/>
      <c r="AC26" s="249"/>
      <c r="AD26" s="249"/>
      <c r="AE26" s="249"/>
      <c r="AF26" s="249"/>
      <c r="AG26" s="249"/>
      <c r="AH26" s="249"/>
      <c r="AI26" s="249"/>
      <c r="AJ26" s="249"/>
      <c r="AK26" s="249"/>
      <c r="AL26" s="249"/>
      <c r="AM26" s="249"/>
      <c r="AN26" s="249"/>
      <c r="AO26" s="24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K26" s="19"/>
      <c r="BL26" s="19"/>
      <c r="BM26" s="19"/>
      <c r="BN26" s="19"/>
      <c r="BO26" s="19"/>
      <c r="BP26" s="19"/>
      <c r="BQ26" s="19"/>
      <c r="BR26" s="19"/>
      <c r="BS26" s="19"/>
      <c r="BT26" s="19"/>
      <c r="BU26" s="19"/>
      <c r="BV26" s="19"/>
      <c r="BW26" s="19"/>
      <c r="BX26" s="19"/>
      <c r="BY26" s="19"/>
      <c r="BZ26" s="19"/>
      <c r="CA26" s="19"/>
      <c r="CB26" s="19"/>
      <c r="CC26" s="19"/>
      <c r="CD26" s="19"/>
    </row>
    <row r="27" spans="1:82" ht="13.2" x14ac:dyDescent="0.4">
      <c r="A27" s="132"/>
      <c r="B27" s="132"/>
      <c r="C27" s="164" t="str">
        <f>Intake!B35</f>
        <v>Calorieen</v>
      </c>
      <c r="D27" s="165" t="str">
        <f>Intake!D35</f>
        <v>0 kCal/kg</v>
      </c>
      <c r="E27" s="164" t="str">
        <f ca="1">Intake!E35</f>
        <v>95 kCal/kg</v>
      </c>
      <c r="F27" s="164"/>
      <c r="G27" s="164" t="str">
        <f>Intake!H35</f>
        <v>Vet</v>
      </c>
      <c r="H27" s="165" t="str">
        <f>Intake!I35</f>
        <v>0 gram/kg</v>
      </c>
      <c r="I27" s="165"/>
      <c r="J27" s="164" t="str">
        <f>Intake!J35</f>
        <v>4 g/kg</v>
      </c>
      <c r="K27" s="164"/>
      <c r="L27" s="164"/>
      <c r="M27" s="164"/>
      <c r="N27" s="164"/>
      <c r="O27" s="164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249"/>
      <c r="AA27" s="249"/>
      <c r="AB27" s="249"/>
      <c r="AC27" s="249"/>
      <c r="AD27" s="249"/>
      <c r="AE27" s="249"/>
      <c r="AF27" s="249"/>
      <c r="AG27" s="249"/>
      <c r="AH27" s="249"/>
      <c r="AI27" s="249"/>
      <c r="AJ27" s="249"/>
      <c r="AK27" s="249"/>
      <c r="AL27" s="249"/>
      <c r="AM27" s="249"/>
      <c r="AN27" s="249"/>
      <c r="AO27" s="24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  <c r="BI27" s="19"/>
      <c r="BJ27" s="19"/>
      <c r="BK27" s="19"/>
      <c r="BL27" s="19"/>
      <c r="BM27" s="19"/>
      <c r="BN27" s="19"/>
      <c r="BO27" s="19"/>
      <c r="BP27" s="19"/>
      <c r="BQ27" s="19"/>
      <c r="BR27" s="19"/>
      <c r="BS27" s="19"/>
      <c r="BT27" s="19"/>
      <c r="BU27" s="19"/>
      <c r="BV27" s="19"/>
      <c r="BW27" s="19"/>
      <c r="BX27" s="19"/>
      <c r="BY27" s="19"/>
      <c r="BZ27" s="19"/>
      <c r="CA27" s="19"/>
      <c r="CB27" s="19"/>
      <c r="CC27" s="19"/>
      <c r="CD27" s="19"/>
    </row>
    <row r="28" spans="1:82" ht="13.2" x14ac:dyDescent="0.4">
      <c r="A28" s="132"/>
      <c r="B28" s="132"/>
      <c r="C28" s="164" t="str">
        <f>Intake!B36</f>
        <v>Glucose/KH</v>
      </c>
      <c r="D28" s="165" t="str">
        <f>Intake!D36</f>
        <v>0 g/kg</v>
      </c>
      <c r="E28" s="164" t="str">
        <f>Intake!E36</f>
        <v>3,6 g/kg</v>
      </c>
      <c r="F28" s="164"/>
      <c r="G28" s="164" t="str">
        <f>Intake!H36</f>
        <v>Calcium</v>
      </c>
      <c r="H28" s="165" t="str">
        <f>Intake!I36</f>
        <v>0 mmol/kg</v>
      </c>
      <c r="I28" s="165"/>
      <c r="J28" s="164" t="str">
        <f>Intake!J36</f>
        <v>0,2-0,8 mmol/kg (3-10 kg:0,8; 10-20 kg:0,5; &gt; 20 kg:0,2 mmol/kg)</v>
      </c>
      <c r="K28" s="164"/>
      <c r="L28" s="164"/>
      <c r="M28" s="164"/>
      <c r="N28" s="164"/>
      <c r="O28" s="164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249"/>
      <c r="AA28" s="249"/>
      <c r="AB28" s="249"/>
      <c r="AC28" s="249"/>
      <c r="AD28" s="249"/>
      <c r="AE28" s="249"/>
      <c r="AF28" s="249"/>
      <c r="AG28" s="249"/>
      <c r="AH28" s="249"/>
      <c r="AI28" s="249"/>
      <c r="AJ28" s="249"/>
      <c r="AK28" s="249"/>
      <c r="AL28" s="249"/>
      <c r="AM28" s="249"/>
      <c r="AN28" s="249"/>
      <c r="AO28" s="24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  <c r="BJ28" s="19"/>
      <c r="BK28" s="19"/>
      <c r="BL28" s="19"/>
      <c r="BM28" s="19"/>
      <c r="BN28" s="19"/>
      <c r="BO28" s="19"/>
      <c r="BP28" s="19"/>
      <c r="BQ28" s="19"/>
      <c r="BR28" s="19"/>
      <c r="BS28" s="19"/>
      <c r="BT28" s="19"/>
      <c r="BU28" s="19"/>
      <c r="BV28" s="19"/>
      <c r="BW28" s="19"/>
      <c r="BX28" s="19"/>
      <c r="BY28" s="19"/>
      <c r="BZ28" s="19"/>
      <c r="CA28" s="19"/>
      <c r="CB28" s="19"/>
      <c r="CC28" s="19"/>
      <c r="CD28" s="19"/>
    </row>
    <row r="29" spans="1:82" ht="13.2" x14ac:dyDescent="0.4">
      <c r="A29" s="132"/>
      <c r="B29" s="132"/>
      <c r="C29" s="164" t="str">
        <f>Intake!B37</f>
        <v xml:space="preserve">Natrium </v>
      </c>
      <c r="D29" s="165" t="str">
        <f>Intake!D37</f>
        <v>0 mmol/kg</v>
      </c>
      <c r="E29" s="164" t="str">
        <f>Intake!E37</f>
        <v>2-4 mmol/kg</v>
      </c>
      <c r="F29" s="164"/>
      <c r="G29" s="164" t="str">
        <f>Intake!H37</f>
        <v>Magnesium</v>
      </c>
      <c r="H29" s="165" t="str">
        <f>Intake!I37</f>
        <v>0 mmol/kg</v>
      </c>
      <c r="I29" s="165"/>
      <c r="J29" s="164" t="str">
        <f>Intake!J37</f>
        <v>0,1-0,3 mmol/kg</v>
      </c>
      <c r="K29" s="164"/>
      <c r="L29" s="164"/>
      <c r="M29" s="164"/>
      <c r="N29" s="164"/>
      <c r="O29" s="164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249"/>
      <c r="AA29" s="249"/>
      <c r="AB29" s="249"/>
      <c r="AC29" s="249"/>
      <c r="AD29" s="249"/>
      <c r="AE29" s="249"/>
      <c r="AF29" s="249"/>
      <c r="AG29" s="249"/>
      <c r="AH29" s="249"/>
      <c r="AI29" s="249"/>
      <c r="AJ29" s="249"/>
      <c r="AK29" s="249"/>
      <c r="AL29" s="249"/>
      <c r="AM29" s="249"/>
      <c r="AN29" s="249"/>
      <c r="AO29" s="24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  <c r="BI29" s="19"/>
      <c r="BJ29" s="19"/>
      <c r="BK29" s="19"/>
      <c r="BL29" s="19"/>
      <c r="BM29" s="19"/>
      <c r="BN29" s="19"/>
      <c r="BO29" s="19"/>
      <c r="BP29" s="19"/>
      <c r="BQ29" s="19"/>
      <c r="BR29" s="19"/>
      <c r="BS29" s="19"/>
      <c r="BT29" s="19"/>
      <c r="BU29" s="19"/>
      <c r="BV29" s="19"/>
      <c r="BW29" s="19"/>
      <c r="BX29" s="19"/>
      <c r="BY29" s="19"/>
      <c r="BZ29" s="19"/>
      <c r="CA29" s="19"/>
      <c r="CB29" s="19"/>
      <c r="CC29" s="19"/>
      <c r="CD29" s="19"/>
    </row>
    <row r="30" spans="1:82" ht="13.2" x14ac:dyDescent="0.4">
      <c r="A30" s="132"/>
      <c r="B30" s="132"/>
      <c r="C30" s="164" t="str">
        <f>Intake!B38</f>
        <v>Kalium</v>
      </c>
      <c r="D30" s="165" t="str">
        <f>Intake!D38</f>
        <v>0 mmol/kg</v>
      </c>
      <c r="E30" s="164" t="str">
        <f>Intake!E38</f>
        <v>1-2 mmol/kg</v>
      </c>
      <c r="F30" s="164"/>
      <c r="G30" s="164" t="str">
        <f>Intake!H38</f>
        <v>Fosfaat</v>
      </c>
      <c r="H30" s="165" t="str">
        <f>Intake!I38</f>
        <v>0 mmol/kg</v>
      </c>
      <c r="I30" s="165"/>
      <c r="J30" s="164" t="str">
        <f>Intake!J38</f>
        <v>0,75 mmol/kg</v>
      </c>
      <c r="K30" s="164"/>
      <c r="L30" s="164"/>
      <c r="M30" s="164"/>
      <c r="N30" s="164"/>
      <c r="O30" s="164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249"/>
      <c r="AA30" s="249"/>
      <c r="AB30" s="249"/>
      <c r="AC30" s="249"/>
      <c r="AD30" s="249"/>
      <c r="AE30" s="249"/>
      <c r="AF30" s="249"/>
      <c r="AG30" s="249"/>
      <c r="AH30" s="249"/>
      <c r="AI30" s="249"/>
      <c r="AJ30" s="249"/>
      <c r="AK30" s="249"/>
      <c r="AL30" s="249"/>
      <c r="AM30" s="249"/>
      <c r="AN30" s="249"/>
      <c r="AO30" s="24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  <c r="BI30" s="19"/>
      <c r="BJ30" s="19"/>
      <c r="BK30" s="19"/>
      <c r="BL30" s="19"/>
      <c r="BM30" s="19"/>
      <c r="BN30" s="19"/>
      <c r="BO30" s="19"/>
      <c r="BP30" s="19"/>
      <c r="BQ30" s="19"/>
      <c r="BR30" s="19"/>
      <c r="BS30" s="19"/>
      <c r="BT30" s="19"/>
      <c r="BU30" s="19"/>
      <c r="BV30" s="19"/>
      <c r="BW30" s="19"/>
      <c r="BX30" s="19"/>
      <c r="BY30" s="19"/>
      <c r="BZ30" s="19"/>
      <c r="CA30" s="19"/>
      <c r="CB30" s="19"/>
      <c r="CC30" s="19"/>
      <c r="CD30" s="19"/>
    </row>
    <row r="31" spans="1:82" x14ac:dyDescent="0.35">
      <c r="A31" s="132"/>
      <c r="B31" s="132"/>
      <c r="C31" s="45"/>
      <c r="D31" s="45"/>
      <c r="E31" s="45"/>
      <c r="F31" s="45"/>
      <c r="G31" s="45"/>
      <c r="H31" s="45"/>
      <c r="I31" s="45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249"/>
      <c r="AA31" s="249"/>
      <c r="AB31" s="249"/>
      <c r="AC31" s="249"/>
      <c r="AD31" s="249"/>
      <c r="AE31" s="249"/>
      <c r="AF31" s="249"/>
      <c r="AG31" s="249"/>
      <c r="AH31" s="249"/>
      <c r="AI31" s="249"/>
      <c r="AJ31" s="249"/>
      <c r="AK31" s="249"/>
      <c r="AL31" s="249"/>
      <c r="AM31" s="249"/>
      <c r="AN31" s="249"/>
      <c r="AO31" s="24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  <c r="BJ31" s="19"/>
      <c r="BK31" s="19"/>
      <c r="BL31" s="19"/>
      <c r="BM31" s="19"/>
      <c r="BN31" s="19"/>
      <c r="BO31" s="19"/>
      <c r="BP31" s="19"/>
      <c r="BQ31" s="19"/>
      <c r="BR31" s="19"/>
      <c r="BS31" s="19"/>
      <c r="BT31" s="19"/>
      <c r="BU31" s="19"/>
      <c r="BV31" s="19"/>
      <c r="BW31" s="19"/>
      <c r="BX31" s="19"/>
      <c r="BY31" s="19"/>
      <c r="BZ31" s="19"/>
      <c r="CA31" s="19"/>
      <c r="CB31" s="19"/>
      <c r="CC31" s="19"/>
      <c r="CD31" s="19"/>
    </row>
    <row r="32" spans="1:82" x14ac:dyDescent="0.35">
      <c r="A32" s="132"/>
      <c r="B32" s="132"/>
      <c r="C32" s="163" t="s">
        <v>596</v>
      </c>
      <c r="D32" s="868">
        <f>ber_Opm!C4</f>
        <v>0</v>
      </c>
      <c r="E32" s="869"/>
      <c r="F32" s="869"/>
      <c r="G32" s="869"/>
      <c r="H32" s="869"/>
      <c r="I32" s="869"/>
      <c r="J32" s="869"/>
      <c r="K32" s="869"/>
      <c r="L32" s="148"/>
      <c r="M32" s="45"/>
      <c r="N32" s="45"/>
      <c r="O32" s="45"/>
      <c r="P32" s="45"/>
      <c r="Q32" s="45"/>
      <c r="R32" s="45"/>
      <c r="S32" s="45"/>
      <c r="T32" s="45"/>
      <c r="U32" s="45"/>
      <c r="V32" s="45"/>
      <c r="W32" s="45"/>
      <c r="X32" s="45"/>
      <c r="Y32" s="45"/>
      <c r="Z32" s="249"/>
      <c r="AA32" s="249"/>
      <c r="AB32" s="249"/>
      <c r="AC32" s="249"/>
      <c r="AD32" s="249"/>
      <c r="AE32" s="249"/>
      <c r="AF32" s="249"/>
      <c r="AG32" s="249"/>
      <c r="AH32" s="249"/>
      <c r="AI32" s="249"/>
      <c r="AJ32" s="249"/>
      <c r="AK32" s="249"/>
      <c r="AL32" s="249"/>
      <c r="AM32" s="249"/>
      <c r="AN32" s="249"/>
      <c r="AO32" s="24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  <c r="BI32" s="19"/>
      <c r="BJ32" s="19"/>
      <c r="BK32" s="19"/>
      <c r="BL32" s="19"/>
      <c r="BM32" s="19"/>
      <c r="BN32" s="19"/>
      <c r="BO32" s="19"/>
      <c r="BP32" s="19"/>
      <c r="BQ32" s="19"/>
      <c r="BR32" s="19"/>
      <c r="BS32" s="19"/>
      <c r="BT32" s="19"/>
      <c r="BU32" s="19"/>
      <c r="BV32" s="19"/>
      <c r="BW32" s="19"/>
      <c r="BX32" s="19"/>
      <c r="BY32" s="19"/>
      <c r="BZ32" s="19"/>
      <c r="CA32" s="19"/>
      <c r="CB32" s="19"/>
      <c r="CC32" s="19"/>
      <c r="CD32" s="19"/>
    </row>
    <row r="33" spans="1:82" x14ac:dyDescent="0.35">
      <c r="A33" s="132"/>
      <c r="B33" s="132"/>
      <c r="C33" s="144"/>
      <c r="D33" s="869"/>
      <c r="E33" s="869"/>
      <c r="F33" s="869"/>
      <c r="G33" s="869"/>
      <c r="H33" s="869"/>
      <c r="I33" s="869"/>
      <c r="J33" s="869"/>
      <c r="K33" s="869"/>
      <c r="L33" s="148"/>
      <c r="M33" s="45"/>
      <c r="N33" s="45"/>
      <c r="O33" s="45"/>
      <c r="P33" s="45"/>
      <c r="Q33" s="45"/>
      <c r="R33" s="45"/>
      <c r="S33" s="45"/>
      <c r="T33" s="45"/>
      <c r="U33" s="45"/>
      <c r="V33" s="45"/>
      <c r="W33" s="45"/>
      <c r="X33" s="45"/>
      <c r="Y33" s="45"/>
      <c r="Z33" s="249"/>
      <c r="AA33" s="249"/>
      <c r="AB33" s="249"/>
      <c r="AC33" s="249"/>
      <c r="AD33" s="249"/>
      <c r="AE33" s="249"/>
      <c r="AF33" s="249"/>
      <c r="AG33" s="249"/>
      <c r="AH33" s="249"/>
      <c r="AI33" s="249"/>
      <c r="AJ33" s="249"/>
      <c r="AK33" s="249"/>
      <c r="AL33" s="249"/>
      <c r="AM33" s="249"/>
      <c r="AN33" s="249"/>
      <c r="AO33" s="24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19"/>
      <c r="BH33" s="19"/>
      <c r="BI33" s="19"/>
      <c r="BJ33" s="19"/>
      <c r="BK33" s="19"/>
      <c r="BL33" s="19"/>
      <c r="BM33" s="19"/>
      <c r="BN33" s="19"/>
      <c r="BO33" s="19"/>
      <c r="BP33" s="19"/>
      <c r="BQ33" s="19"/>
      <c r="BR33" s="19"/>
      <c r="BS33" s="19"/>
      <c r="BT33" s="19"/>
      <c r="BU33" s="19"/>
      <c r="BV33" s="19"/>
      <c r="BW33" s="19"/>
      <c r="BX33" s="19"/>
      <c r="BY33" s="19"/>
      <c r="BZ33" s="19"/>
      <c r="CA33" s="19"/>
      <c r="CB33" s="19"/>
      <c r="CC33" s="19"/>
      <c r="CD33" s="19"/>
    </row>
    <row r="34" spans="1:82" x14ac:dyDescent="0.35">
      <c r="A34" s="132"/>
      <c r="B34" s="132"/>
      <c r="C34" s="144"/>
      <c r="D34" s="869"/>
      <c r="E34" s="869"/>
      <c r="F34" s="869"/>
      <c r="G34" s="869"/>
      <c r="H34" s="869"/>
      <c r="I34" s="869"/>
      <c r="J34" s="869"/>
      <c r="K34" s="869"/>
      <c r="L34" s="148"/>
      <c r="M34" s="45"/>
      <c r="N34" s="45"/>
      <c r="O34" s="45"/>
      <c r="P34" s="45"/>
      <c r="Q34" s="45"/>
      <c r="R34" s="45"/>
      <c r="S34" s="45"/>
      <c r="T34" s="45"/>
      <c r="U34" s="45"/>
      <c r="V34" s="45"/>
      <c r="W34" s="45"/>
      <c r="X34" s="45"/>
      <c r="Y34" s="45"/>
      <c r="Z34" s="249"/>
      <c r="AA34" s="249"/>
      <c r="AB34" s="249"/>
      <c r="AC34" s="249"/>
      <c r="AD34" s="249"/>
      <c r="AE34" s="249"/>
      <c r="AF34" s="249"/>
      <c r="AG34" s="249"/>
      <c r="AH34" s="249"/>
      <c r="AI34" s="249"/>
      <c r="AJ34" s="249"/>
      <c r="AK34" s="249"/>
      <c r="AL34" s="249"/>
      <c r="AM34" s="249"/>
      <c r="AN34" s="249"/>
      <c r="AO34" s="24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19"/>
      <c r="BH34" s="19"/>
      <c r="BI34" s="19"/>
      <c r="BJ34" s="19"/>
      <c r="BK34" s="19"/>
      <c r="BL34" s="19"/>
      <c r="BM34" s="19"/>
      <c r="BN34" s="19"/>
      <c r="BO34" s="19"/>
      <c r="BP34" s="19"/>
      <c r="BQ34" s="19"/>
      <c r="BR34" s="19"/>
      <c r="BS34" s="19"/>
      <c r="BT34" s="19"/>
      <c r="BU34" s="19"/>
      <c r="BV34" s="19"/>
      <c r="BW34" s="19"/>
      <c r="BX34" s="19"/>
      <c r="BY34" s="19"/>
      <c r="BZ34" s="19"/>
      <c r="CA34" s="19"/>
      <c r="CB34" s="19"/>
      <c r="CC34" s="19"/>
      <c r="CD34" s="19"/>
    </row>
    <row r="35" spans="1:82" x14ac:dyDescent="0.35">
      <c r="A35" s="132"/>
      <c r="B35" s="132"/>
      <c r="C35" s="144"/>
      <c r="D35" s="869"/>
      <c r="E35" s="869"/>
      <c r="F35" s="869"/>
      <c r="G35" s="869"/>
      <c r="H35" s="869"/>
      <c r="I35" s="869"/>
      <c r="J35" s="869"/>
      <c r="K35" s="869"/>
      <c r="L35" s="148"/>
      <c r="M35" s="45"/>
      <c r="N35" s="45"/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249"/>
      <c r="AA35" s="249"/>
      <c r="AB35" s="249"/>
      <c r="AC35" s="249"/>
      <c r="AD35" s="249"/>
      <c r="AE35" s="249"/>
      <c r="AF35" s="249"/>
      <c r="AG35" s="249"/>
      <c r="AH35" s="249"/>
      <c r="AI35" s="249"/>
      <c r="AJ35" s="249"/>
      <c r="AK35" s="249"/>
      <c r="AL35" s="249"/>
      <c r="AM35" s="249"/>
      <c r="AN35" s="249"/>
      <c r="AO35" s="24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9"/>
      <c r="BC35" s="19"/>
      <c r="BD35" s="19"/>
      <c r="BE35" s="19"/>
      <c r="BF35" s="19"/>
      <c r="BG35" s="19"/>
      <c r="BH35" s="19"/>
      <c r="BI35" s="19"/>
      <c r="BJ35" s="19"/>
      <c r="BK35" s="19"/>
      <c r="BL35" s="19"/>
      <c r="BM35" s="19"/>
      <c r="BN35" s="19"/>
      <c r="BO35" s="19"/>
      <c r="BP35" s="19"/>
      <c r="BQ35" s="19"/>
      <c r="BR35" s="19"/>
      <c r="BS35" s="19"/>
      <c r="BT35" s="19"/>
      <c r="BU35" s="19"/>
      <c r="BV35" s="19"/>
      <c r="BW35" s="19"/>
      <c r="BX35" s="19"/>
      <c r="BY35" s="19"/>
      <c r="BZ35" s="19"/>
      <c r="CA35" s="19"/>
      <c r="CB35" s="19"/>
      <c r="CC35" s="19"/>
      <c r="CD35" s="19"/>
    </row>
    <row r="36" spans="1:82" x14ac:dyDescent="0.35">
      <c r="A36" s="140"/>
      <c r="B36" s="140"/>
      <c r="C36" s="144"/>
      <c r="D36" s="869"/>
      <c r="E36" s="869"/>
      <c r="F36" s="869"/>
      <c r="G36" s="869"/>
      <c r="H36" s="869"/>
      <c r="I36" s="869"/>
      <c r="J36" s="869"/>
      <c r="K36" s="869"/>
      <c r="L36" s="63"/>
      <c r="M36" s="46"/>
      <c r="N36" s="45"/>
      <c r="O36" s="45"/>
      <c r="P36" s="45"/>
      <c r="Q36" s="45"/>
      <c r="R36" s="45"/>
      <c r="S36" s="45"/>
      <c r="T36" s="45"/>
      <c r="U36" s="45"/>
      <c r="V36" s="45"/>
      <c r="W36" s="45"/>
      <c r="X36" s="45"/>
      <c r="Y36" s="45"/>
      <c r="Z36" s="249"/>
      <c r="AA36" s="249"/>
      <c r="AB36" s="249"/>
      <c r="AC36" s="249"/>
      <c r="AD36" s="249"/>
      <c r="AE36" s="249"/>
      <c r="AF36" s="249"/>
      <c r="AG36" s="249"/>
      <c r="AH36" s="249"/>
      <c r="AI36" s="249"/>
      <c r="AJ36" s="249"/>
      <c r="AK36" s="249"/>
      <c r="AL36" s="249"/>
      <c r="AM36" s="249"/>
      <c r="AN36" s="249"/>
      <c r="AO36" s="24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  <c r="BA36" s="19"/>
      <c r="BB36" s="19"/>
      <c r="BC36" s="19"/>
      <c r="BD36" s="19"/>
      <c r="BE36" s="19"/>
      <c r="BF36" s="19"/>
      <c r="BG36" s="19"/>
      <c r="BH36" s="19"/>
      <c r="BI36" s="19"/>
      <c r="BJ36" s="19"/>
      <c r="BK36" s="19"/>
      <c r="BL36" s="19"/>
      <c r="BM36" s="19"/>
      <c r="BN36" s="19"/>
      <c r="BO36" s="19"/>
      <c r="BP36" s="19"/>
      <c r="BQ36" s="19"/>
      <c r="BR36" s="19"/>
      <c r="BS36" s="19"/>
      <c r="BT36" s="19"/>
      <c r="BU36" s="19"/>
      <c r="BV36" s="19"/>
      <c r="BW36" s="19"/>
      <c r="BX36" s="19"/>
      <c r="BY36" s="19"/>
      <c r="BZ36" s="19"/>
      <c r="CA36" s="19"/>
      <c r="CB36" s="19"/>
      <c r="CC36" s="19"/>
      <c r="CD36" s="19"/>
    </row>
    <row r="37" spans="1:82" x14ac:dyDescent="0.35">
      <c r="A37" s="132"/>
      <c r="B37" s="132"/>
      <c r="C37" s="45"/>
      <c r="D37" s="45"/>
      <c r="E37" s="45"/>
      <c r="F37" s="45"/>
      <c r="G37" s="45"/>
      <c r="H37" s="45"/>
      <c r="I37" s="45"/>
      <c r="J37" s="45"/>
      <c r="K37" s="45"/>
      <c r="L37" s="45"/>
      <c r="M37" s="45"/>
      <c r="N37" s="45"/>
      <c r="O37" s="45"/>
      <c r="P37" s="45"/>
      <c r="Q37" s="45"/>
      <c r="R37" s="45"/>
      <c r="S37" s="45"/>
      <c r="T37" s="45"/>
      <c r="U37" s="45"/>
      <c r="V37" s="45"/>
      <c r="W37" s="45"/>
      <c r="X37" s="45"/>
      <c r="Y37" s="45"/>
      <c r="Z37" s="249"/>
      <c r="AA37" s="249"/>
      <c r="AB37" s="249"/>
      <c r="AC37" s="249"/>
      <c r="AD37" s="249"/>
      <c r="AE37" s="249"/>
      <c r="AF37" s="249"/>
      <c r="AG37" s="249"/>
      <c r="AH37" s="249"/>
      <c r="AI37" s="249"/>
      <c r="AJ37" s="249"/>
      <c r="AK37" s="249"/>
      <c r="AL37" s="249"/>
      <c r="AM37" s="249"/>
      <c r="AN37" s="249"/>
      <c r="AO37" s="24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  <c r="BA37" s="19"/>
      <c r="BB37" s="19"/>
      <c r="BC37" s="19"/>
      <c r="BD37" s="19"/>
      <c r="BE37" s="19"/>
      <c r="BF37" s="19"/>
      <c r="BG37" s="19"/>
      <c r="BH37" s="19"/>
      <c r="BI37" s="19"/>
      <c r="BJ37" s="19"/>
      <c r="BK37" s="19"/>
      <c r="BL37" s="19"/>
      <c r="BM37" s="19"/>
      <c r="BN37" s="19"/>
      <c r="BO37" s="19"/>
      <c r="BP37" s="19"/>
      <c r="BQ37" s="19"/>
      <c r="BR37" s="19"/>
      <c r="BS37" s="19"/>
      <c r="BT37" s="19"/>
      <c r="BU37" s="19"/>
      <c r="BV37" s="19"/>
      <c r="BW37" s="19"/>
      <c r="BX37" s="19"/>
      <c r="BY37" s="19"/>
      <c r="BZ37" s="19"/>
      <c r="CA37" s="19"/>
      <c r="CB37" s="19"/>
      <c r="CC37" s="19"/>
      <c r="CD37" s="19"/>
    </row>
    <row r="38" spans="1:82" x14ac:dyDescent="0.35">
      <c r="A38" s="132"/>
      <c r="B38" s="132"/>
      <c r="C38" s="45"/>
      <c r="D38" s="45"/>
      <c r="E38" s="45"/>
      <c r="F38" s="45"/>
      <c r="G38" s="45"/>
      <c r="H38" s="45"/>
      <c r="I38" s="45"/>
      <c r="J38" s="45"/>
      <c r="K38" s="45"/>
      <c r="L38" s="45"/>
      <c r="M38" s="45"/>
      <c r="N38" s="45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249"/>
      <c r="AA38" s="249"/>
      <c r="AB38" s="249"/>
      <c r="AC38" s="249"/>
      <c r="AD38" s="249"/>
      <c r="AE38" s="249"/>
      <c r="AF38" s="249"/>
      <c r="AG38" s="249"/>
      <c r="AH38" s="249"/>
      <c r="AI38" s="249"/>
      <c r="AJ38" s="249"/>
      <c r="AK38" s="249"/>
      <c r="AL38" s="249"/>
      <c r="AM38" s="249"/>
      <c r="AN38" s="249"/>
      <c r="AO38" s="249"/>
      <c r="AP38" s="19"/>
      <c r="AQ38" s="19"/>
      <c r="AR38" s="19"/>
      <c r="AS38" s="19"/>
      <c r="AT38" s="19"/>
      <c r="AU38" s="19"/>
      <c r="AV38" s="19"/>
      <c r="AW38" s="19"/>
      <c r="AX38" s="19"/>
      <c r="AY38" s="19"/>
      <c r="AZ38" s="19"/>
      <c r="BA38" s="19"/>
      <c r="BB38" s="19"/>
      <c r="BC38" s="19"/>
      <c r="BD38" s="19"/>
      <c r="BE38" s="19"/>
      <c r="BF38" s="19"/>
      <c r="BG38" s="19"/>
      <c r="BH38" s="19"/>
      <c r="BI38" s="19"/>
      <c r="BJ38" s="19"/>
      <c r="BK38" s="19"/>
      <c r="BL38" s="19"/>
      <c r="BM38" s="19"/>
      <c r="BN38" s="19"/>
      <c r="BO38" s="19"/>
      <c r="BP38" s="19"/>
      <c r="BQ38" s="19"/>
      <c r="BR38" s="19"/>
      <c r="BS38" s="19"/>
      <c r="BT38" s="19"/>
      <c r="BU38" s="19"/>
      <c r="BV38" s="19"/>
      <c r="BW38" s="19"/>
      <c r="BX38" s="19"/>
      <c r="BY38" s="19"/>
      <c r="BZ38" s="19"/>
      <c r="CA38" s="19"/>
      <c r="CB38" s="19"/>
      <c r="CC38" s="19"/>
      <c r="CD38" s="19"/>
    </row>
    <row r="39" spans="1:82" x14ac:dyDescent="0.35">
      <c r="A39" s="132"/>
      <c r="B39" s="132"/>
      <c r="C39" s="45"/>
      <c r="D39" s="45"/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  <c r="S39" s="45"/>
      <c r="T39" s="45"/>
      <c r="U39" s="45"/>
      <c r="V39" s="45"/>
      <c r="W39" s="45"/>
      <c r="X39" s="45"/>
      <c r="Y39" s="45"/>
      <c r="Z39" s="249"/>
      <c r="AA39" s="249"/>
      <c r="AB39" s="249"/>
      <c r="AC39" s="249"/>
      <c r="AD39" s="249"/>
      <c r="AE39" s="249"/>
      <c r="AF39" s="249"/>
      <c r="AG39" s="249"/>
      <c r="AH39" s="249"/>
      <c r="AI39" s="249"/>
      <c r="AJ39" s="249"/>
      <c r="AK39" s="249"/>
      <c r="AL39" s="249"/>
      <c r="AM39" s="249"/>
      <c r="AN39" s="249"/>
      <c r="AO39" s="24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19"/>
      <c r="BH39" s="19"/>
      <c r="BI39" s="19"/>
      <c r="BJ39" s="19"/>
      <c r="BK39" s="19"/>
      <c r="BL39" s="19"/>
      <c r="BM39" s="19"/>
      <c r="BN39" s="19"/>
      <c r="BO39" s="19"/>
      <c r="BP39" s="19"/>
      <c r="BQ39" s="19"/>
      <c r="BR39" s="19"/>
      <c r="BS39" s="19"/>
      <c r="BT39" s="19"/>
      <c r="BU39" s="19"/>
      <c r="BV39" s="19"/>
      <c r="BW39" s="19"/>
      <c r="BX39" s="19"/>
      <c r="BY39" s="19"/>
      <c r="BZ39" s="19"/>
      <c r="CA39" s="19"/>
      <c r="CB39" s="19"/>
      <c r="CC39" s="19"/>
      <c r="CD39" s="19"/>
    </row>
    <row r="40" spans="1:82" x14ac:dyDescent="0.35">
      <c r="A40" s="132"/>
      <c r="B40" s="132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5"/>
      <c r="P40" s="45"/>
      <c r="Q40" s="45"/>
      <c r="R40" s="45"/>
      <c r="S40" s="45"/>
      <c r="T40" s="45"/>
      <c r="U40" s="45"/>
      <c r="V40" s="45"/>
      <c r="W40" s="45"/>
      <c r="X40" s="45"/>
      <c r="Y40" s="45"/>
      <c r="Z40" s="131"/>
      <c r="AA40" s="131"/>
      <c r="AB40" s="131"/>
      <c r="AC40" s="131"/>
      <c r="AD40" s="131"/>
      <c r="AE40" s="131"/>
      <c r="AF40" s="131"/>
      <c r="AG40" s="131"/>
      <c r="AH40" s="131"/>
      <c r="AI40" s="131"/>
      <c r="AJ40" s="131"/>
      <c r="AK40" s="131"/>
      <c r="AL40" s="131"/>
      <c r="AM40" s="131"/>
      <c r="AN40" s="131"/>
      <c r="AO40" s="131"/>
    </row>
    <row r="41" spans="1:82" x14ac:dyDescent="0.35">
      <c r="A41" s="132"/>
      <c r="B41" s="132"/>
      <c r="C41" s="45"/>
      <c r="D41" s="45"/>
      <c r="E41" s="45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131"/>
      <c r="AA41" s="131"/>
      <c r="AB41" s="131"/>
      <c r="AC41" s="131"/>
      <c r="AD41" s="131"/>
      <c r="AE41" s="131"/>
      <c r="AF41" s="131"/>
      <c r="AG41" s="131"/>
      <c r="AH41" s="131"/>
      <c r="AI41" s="131"/>
      <c r="AJ41" s="131"/>
      <c r="AK41" s="131"/>
      <c r="AL41" s="131"/>
      <c r="AM41" s="131"/>
      <c r="AN41" s="131"/>
      <c r="AO41" s="131"/>
    </row>
    <row r="42" spans="1:82" x14ac:dyDescent="0.35">
      <c r="A42" s="132"/>
      <c r="B42" s="132"/>
      <c r="C42" s="45"/>
      <c r="D42" s="45"/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5"/>
      <c r="S42" s="45"/>
      <c r="T42" s="45"/>
      <c r="U42" s="45"/>
      <c r="V42" s="45"/>
      <c r="W42" s="45"/>
      <c r="X42" s="45"/>
      <c r="Y42" s="45"/>
      <c r="Z42" s="131"/>
      <c r="AA42" s="131"/>
      <c r="AB42" s="131"/>
      <c r="AC42" s="131"/>
      <c r="AD42" s="131"/>
      <c r="AE42" s="131"/>
      <c r="AF42" s="131"/>
      <c r="AG42" s="131"/>
      <c r="AH42" s="131"/>
      <c r="AI42" s="131"/>
      <c r="AJ42" s="131"/>
      <c r="AK42" s="131"/>
      <c r="AL42" s="131"/>
      <c r="AM42" s="131"/>
      <c r="AN42" s="131"/>
      <c r="AO42" s="131"/>
    </row>
    <row r="43" spans="1:82" x14ac:dyDescent="0.35">
      <c r="A43" s="132"/>
      <c r="B43" s="132"/>
      <c r="C43" s="45"/>
      <c r="D43" s="45"/>
      <c r="E43" s="45"/>
      <c r="F43" s="45"/>
      <c r="G43" s="45"/>
      <c r="H43" s="45"/>
      <c r="I43" s="45"/>
      <c r="J43" s="45"/>
      <c r="K43" s="45"/>
      <c r="L43" s="45"/>
      <c r="M43" s="45"/>
      <c r="N43" s="45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131"/>
      <c r="AA43" s="131"/>
      <c r="AB43" s="131"/>
      <c r="AC43" s="131"/>
      <c r="AD43" s="131"/>
      <c r="AE43" s="131"/>
      <c r="AF43" s="131"/>
      <c r="AG43" s="131"/>
      <c r="AH43" s="131"/>
      <c r="AI43" s="131"/>
      <c r="AJ43" s="131"/>
      <c r="AK43" s="131"/>
      <c r="AL43" s="131"/>
      <c r="AM43" s="131"/>
      <c r="AN43" s="131"/>
      <c r="AO43" s="131"/>
    </row>
    <row r="44" spans="1:82" x14ac:dyDescent="0.35">
      <c r="A44" s="45"/>
      <c r="B44" s="45"/>
      <c r="C44" s="45"/>
      <c r="D44" s="45"/>
      <c r="E44" s="45"/>
      <c r="F44" s="45"/>
      <c r="G44" s="45"/>
      <c r="H44" s="45"/>
      <c r="I44" s="45"/>
      <c r="J44" s="45"/>
      <c r="K44" s="45"/>
      <c r="L44" s="45"/>
      <c r="M44" s="45"/>
      <c r="N44" s="45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131"/>
      <c r="AA44" s="131"/>
      <c r="AB44" s="131"/>
      <c r="AC44" s="131"/>
      <c r="AD44" s="131"/>
      <c r="AE44" s="131"/>
      <c r="AF44" s="131"/>
      <c r="AG44" s="131"/>
      <c r="AH44" s="131"/>
      <c r="AI44" s="131"/>
      <c r="AJ44" s="131"/>
      <c r="AK44" s="131"/>
      <c r="AL44" s="131"/>
      <c r="AM44" s="131"/>
      <c r="AN44" s="131"/>
      <c r="AO44" s="131"/>
    </row>
    <row r="45" spans="1:82" x14ac:dyDescent="0.35">
      <c r="A45" s="45"/>
      <c r="B45" s="45"/>
      <c r="C45" s="45"/>
      <c r="D45" s="45"/>
      <c r="E45" s="45"/>
      <c r="F45" s="45"/>
      <c r="G45" s="45"/>
      <c r="H45" s="45"/>
      <c r="I45" s="45"/>
      <c r="J45" s="45"/>
      <c r="K45" s="45"/>
      <c r="L45" s="45"/>
      <c r="M45" s="45"/>
      <c r="N45" s="45"/>
      <c r="O45" s="45"/>
      <c r="P45" s="45"/>
      <c r="Q45" s="45"/>
      <c r="R45" s="45"/>
      <c r="S45" s="45"/>
      <c r="T45" s="45"/>
      <c r="U45" s="45"/>
      <c r="V45" s="45"/>
      <c r="W45" s="45"/>
      <c r="X45" s="45"/>
      <c r="Y45" s="45"/>
      <c r="Z45" s="131"/>
      <c r="AA45" s="131"/>
      <c r="AB45" s="131"/>
      <c r="AC45" s="131"/>
      <c r="AD45" s="131"/>
      <c r="AE45" s="131"/>
      <c r="AF45" s="131"/>
      <c r="AG45" s="131"/>
      <c r="AH45" s="131"/>
      <c r="AI45" s="131"/>
      <c r="AJ45" s="131"/>
      <c r="AK45" s="131"/>
      <c r="AL45" s="131"/>
      <c r="AM45" s="131"/>
      <c r="AN45" s="131"/>
      <c r="AO45" s="131"/>
    </row>
    <row r="46" spans="1:82" x14ac:dyDescent="0.35">
      <c r="A46" s="131"/>
      <c r="B46" s="131"/>
      <c r="C46" s="131"/>
      <c r="D46" s="131"/>
      <c r="E46" s="131"/>
      <c r="F46" s="131"/>
      <c r="G46" s="131"/>
      <c r="H46" s="131"/>
      <c r="I46" s="131"/>
      <c r="J46" s="131"/>
      <c r="K46" s="131"/>
      <c r="L46" s="131"/>
      <c r="M46" s="131"/>
      <c r="N46" s="131"/>
      <c r="O46" s="131"/>
      <c r="P46" s="131"/>
      <c r="Q46" s="131"/>
      <c r="R46" s="131"/>
      <c r="S46" s="131"/>
      <c r="T46" s="131"/>
      <c r="U46" s="131"/>
      <c r="V46" s="131"/>
      <c r="W46" s="131"/>
      <c r="X46" s="131"/>
      <c r="Y46" s="131"/>
      <c r="Z46" s="131"/>
      <c r="AA46" s="131"/>
      <c r="AB46" s="131"/>
      <c r="AC46" s="131"/>
      <c r="AD46" s="131"/>
      <c r="AE46" s="131"/>
      <c r="AF46" s="131"/>
      <c r="AG46" s="131"/>
      <c r="AH46" s="131"/>
      <c r="AI46" s="131"/>
      <c r="AJ46" s="131"/>
      <c r="AK46" s="131"/>
      <c r="AL46" s="131"/>
      <c r="AM46" s="131"/>
      <c r="AN46" s="131"/>
      <c r="AO46" s="131"/>
    </row>
    <row r="47" spans="1:82" x14ac:dyDescent="0.35">
      <c r="A47" s="131"/>
      <c r="B47" s="131"/>
      <c r="C47" s="131"/>
      <c r="D47" s="131"/>
      <c r="E47" s="131"/>
      <c r="F47" s="131"/>
      <c r="G47" s="131"/>
      <c r="H47" s="131"/>
      <c r="I47" s="131"/>
      <c r="J47" s="131"/>
      <c r="K47" s="131"/>
      <c r="L47" s="131"/>
      <c r="M47" s="131"/>
      <c r="N47" s="131"/>
      <c r="O47" s="131"/>
      <c r="P47" s="131"/>
      <c r="Q47" s="131"/>
      <c r="R47" s="131"/>
      <c r="S47" s="131"/>
      <c r="T47" s="131"/>
      <c r="U47" s="131"/>
      <c r="V47" s="131"/>
      <c r="W47" s="131"/>
      <c r="X47" s="131"/>
      <c r="Y47" s="131"/>
      <c r="Z47" s="131"/>
      <c r="AA47" s="131"/>
      <c r="AB47" s="131"/>
      <c r="AC47" s="131"/>
      <c r="AD47" s="131"/>
      <c r="AE47" s="131"/>
      <c r="AF47" s="131"/>
      <c r="AG47" s="131"/>
      <c r="AH47" s="131"/>
      <c r="AI47" s="131"/>
      <c r="AJ47" s="131"/>
      <c r="AK47" s="131"/>
      <c r="AL47" s="131"/>
      <c r="AM47" s="131"/>
      <c r="AN47" s="131"/>
      <c r="AO47" s="131"/>
    </row>
    <row r="48" spans="1:82" x14ac:dyDescent="0.35">
      <c r="A48" s="131"/>
      <c r="B48" s="131"/>
      <c r="C48" s="131"/>
      <c r="D48" s="131"/>
      <c r="E48" s="131"/>
      <c r="F48" s="131"/>
      <c r="G48" s="131"/>
      <c r="H48" s="131"/>
      <c r="I48" s="131"/>
      <c r="J48" s="131"/>
      <c r="K48" s="131"/>
      <c r="L48" s="131"/>
      <c r="M48" s="131"/>
      <c r="N48" s="131"/>
      <c r="O48" s="131"/>
      <c r="P48" s="131"/>
      <c r="Q48" s="131"/>
      <c r="R48" s="131"/>
      <c r="S48" s="131"/>
      <c r="T48" s="131"/>
      <c r="U48" s="131"/>
      <c r="V48" s="131"/>
      <c r="W48" s="131"/>
      <c r="X48" s="131"/>
      <c r="Y48" s="131"/>
      <c r="Z48" s="131"/>
      <c r="AA48" s="131"/>
      <c r="AB48" s="131"/>
      <c r="AC48" s="131"/>
      <c r="AD48" s="131"/>
      <c r="AE48" s="131"/>
      <c r="AF48" s="131"/>
      <c r="AG48" s="131"/>
      <c r="AH48" s="131"/>
      <c r="AI48" s="131"/>
      <c r="AJ48" s="131"/>
      <c r="AK48" s="131"/>
      <c r="AL48" s="131"/>
      <c r="AM48" s="131"/>
      <c r="AN48" s="131"/>
      <c r="AO48" s="131"/>
    </row>
    <row r="49" spans="1:49" x14ac:dyDescent="0.35">
      <c r="A49" s="131"/>
      <c r="B49" s="131"/>
      <c r="C49" s="131"/>
      <c r="D49" s="131"/>
      <c r="E49" s="131"/>
      <c r="F49" s="131"/>
      <c r="G49" s="131"/>
      <c r="H49" s="131"/>
      <c r="I49" s="131"/>
      <c r="J49" s="131"/>
      <c r="K49" s="131"/>
      <c r="L49" s="131"/>
      <c r="M49" s="131"/>
      <c r="N49" s="131"/>
      <c r="O49" s="131"/>
      <c r="P49" s="131"/>
      <c r="Q49" s="131"/>
      <c r="R49" s="131"/>
      <c r="S49" s="131"/>
      <c r="T49" s="131"/>
      <c r="U49" s="131"/>
      <c r="V49" s="131"/>
      <c r="W49" s="131"/>
      <c r="X49" s="131"/>
      <c r="Y49" s="131"/>
      <c r="Z49" s="131"/>
      <c r="AA49" s="131"/>
      <c r="AB49" s="131"/>
      <c r="AC49" s="131"/>
      <c r="AD49" s="131"/>
      <c r="AE49" s="131"/>
      <c r="AF49" s="131"/>
      <c r="AG49" s="131"/>
      <c r="AH49" s="131"/>
      <c r="AI49" s="131"/>
      <c r="AJ49" s="131"/>
      <c r="AK49" s="131"/>
      <c r="AL49" s="131"/>
      <c r="AM49" s="131"/>
      <c r="AN49" s="131"/>
      <c r="AO49" s="131"/>
    </row>
    <row r="50" spans="1:49" x14ac:dyDescent="0.35">
      <c r="A50" s="131"/>
      <c r="B50" s="131"/>
      <c r="C50" s="131"/>
      <c r="D50" s="131"/>
      <c r="E50" s="131"/>
      <c r="F50" s="131"/>
      <c r="G50" s="131"/>
      <c r="H50" s="131"/>
      <c r="I50" s="131"/>
      <c r="J50" s="131"/>
      <c r="K50" s="131"/>
      <c r="L50" s="131"/>
      <c r="M50" s="131"/>
      <c r="N50" s="131"/>
      <c r="O50" s="131"/>
      <c r="P50" s="131"/>
      <c r="Q50" s="131"/>
      <c r="R50" s="131"/>
      <c r="S50" s="131"/>
      <c r="T50" s="131"/>
      <c r="U50" s="131"/>
      <c r="V50" s="131"/>
      <c r="W50" s="131"/>
      <c r="X50" s="131"/>
      <c r="Y50" s="131"/>
      <c r="Z50" s="131"/>
      <c r="AA50" s="131"/>
      <c r="AB50" s="131"/>
      <c r="AC50" s="131"/>
      <c r="AD50" s="131"/>
      <c r="AE50" s="131"/>
      <c r="AF50" s="131"/>
      <c r="AG50" s="131"/>
      <c r="AH50" s="131"/>
      <c r="AI50" s="131"/>
      <c r="AJ50" s="131"/>
      <c r="AK50" s="131"/>
      <c r="AL50" s="131"/>
      <c r="AM50" s="131"/>
      <c r="AN50" s="131"/>
      <c r="AO50" s="131"/>
    </row>
    <row r="51" spans="1:49" x14ac:dyDescent="0.35">
      <c r="A51" s="131"/>
      <c r="B51" s="131"/>
      <c r="C51" s="131"/>
      <c r="D51" s="131"/>
      <c r="E51" s="131"/>
      <c r="F51" s="131"/>
      <c r="G51" s="131"/>
      <c r="H51" s="131"/>
      <c r="I51" s="131"/>
      <c r="J51" s="131"/>
      <c r="K51" s="131"/>
      <c r="L51" s="131"/>
      <c r="M51" s="131"/>
      <c r="N51" s="131"/>
      <c r="O51" s="131"/>
      <c r="P51" s="131"/>
      <c r="Q51" s="131"/>
      <c r="R51" s="131"/>
      <c r="S51" s="131"/>
      <c r="T51" s="131"/>
      <c r="U51" s="131"/>
      <c r="V51" s="131"/>
      <c r="W51" s="131"/>
      <c r="X51" s="131"/>
      <c r="Y51" s="131"/>
      <c r="Z51" s="131"/>
      <c r="AA51" s="131"/>
      <c r="AB51" s="131"/>
      <c r="AC51" s="131"/>
      <c r="AD51" s="131"/>
      <c r="AE51" s="131"/>
      <c r="AF51" s="131"/>
      <c r="AG51" s="131"/>
      <c r="AH51" s="131"/>
      <c r="AI51" s="131"/>
      <c r="AJ51" s="131"/>
      <c r="AK51" s="131"/>
      <c r="AL51" s="131"/>
      <c r="AM51" s="131"/>
      <c r="AN51" s="131"/>
      <c r="AO51" s="131"/>
    </row>
    <row r="52" spans="1:49" x14ac:dyDescent="0.35">
      <c r="A52" s="131"/>
      <c r="B52" s="131"/>
      <c r="C52" s="131"/>
      <c r="D52" s="131"/>
      <c r="E52" s="131"/>
      <c r="F52" s="131"/>
      <c r="G52" s="131"/>
      <c r="H52" s="131"/>
      <c r="I52" s="131"/>
      <c r="J52" s="131"/>
      <c r="K52" s="131"/>
      <c r="L52" s="131"/>
      <c r="M52" s="131"/>
      <c r="N52" s="131"/>
      <c r="O52" s="131"/>
      <c r="P52" s="131"/>
      <c r="Q52" s="131"/>
      <c r="R52" s="131"/>
      <c r="S52" s="131"/>
      <c r="T52" s="131"/>
      <c r="U52" s="131"/>
      <c r="V52" s="131"/>
      <c r="W52" s="131"/>
      <c r="X52" s="131"/>
      <c r="Y52" s="131"/>
      <c r="Z52" s="131"/>
      <c r="AA52" s="131"/>
      <c r="AB52" s="131"/>
      <c r="AC52" s="131"/>
      <c r="AD52" s="131"/>
      <c r="AE52" s="131"/>
      <c r="AF52" s="131"/>
      <c r="AG52" s="131"/>
      <c r="AH52" s="131"/>
      <c r="AI52" s="131"/>
      <c r="AJ52" s="131"/>
      <c r="AK52" s="131"/>
      <c r="AL52" s="131"/>
      <c r="AM52" s="131"/>
      <c r="AN52" s="131"/>
      <c r="AO52" s="131"/>
    </row>
    <row r="53" spans="1:49" x14ac:dyDescent="0.35">
      <c r="A53" s="131"/>
      <c r="B53" s="131"/>
      <c r="C53" s="131"/>
      <c r="D53" s="131"/>
      <c r="E53" s="131"/>
      <c r="F53" s="131"/>
      <c r="G53" s="131"/>
      <c r="H53" s="131"/>
      <c r="I53" s="131"/>
      <c r="J53" s="131"/>
      <c r="K53" s="131"/>
      <c r="L53" s="131"/>
      <c r="M53" s="131"/>
      <c r="N53" s="131"/>
      <c r="O53" s="131"/>
      <c r="P53" s="131"/>
      <c r="Q53" s="131"/>
      <c r="R53" s="131"/>
      <c r="S53" s="131"/>
      <c r="T53" s="131"/>
      <c r="U53" s="131"/>
      <c r="V53" s="131"/>
      <c r="W53" s="131"/>
      <c r="X53" s="131"/>
      <c r="Y53" s="131"/>
      <c r="Z53" s="131"/>
      <c r="AA53" s="131"/>
      <c r="AB53" s="131"/>
      <c r="AC53" s="131"/>
      <c r="AD53" s="131"/>
      <c r="AE53" s="131"/>
      <c r="AF53" s="131"/>
      <c r="AG53" s="131"/>
      <c r="AH53" s="131"/>
      <c r="AI53" s="131"/>
      <c r="AJ53" s="131"/>
      <c r="AK53" s="131"/>
      <c r="AL53" s="131"/>
      <c r="AM53" s="131"/>
      <c r="AN53" s="131"/>
      <c r="AO53" s="131"/>
      <c r="AP53" s="131"/>
      <c r="AQ53" s="131"/>
      <c r="AR53" s="131"/>
      <c r="AS53" s="131"/>
      <c r="AT53" s="131"/>
      <c r="AU53" s="131"/>
      <c r="AV53" s="131"/>
      <c r="AW53" s="131"/>
    </row>
    <row r="54" spans="1:49" x14ac:dyDescent="0.35">
      <c r="A54" s="131"/>
      <c r="B54" s="131"/>
      <c r="C54" s="131"/>
      <c r="D54" s="131"/>
      <c r="E54" s="131"/>
      <c r="F54" s="131"/>
      <c r="G54" s="131"/>
      <c r="H54" s="131"/>
      <c r="I54" s="131"/>
      <c r="J54" s="131"/>
      <c r="K54" s="131"/>
      <c r="L54" s="131"/>
      <c r="M54" s="131"/>
      <c r="N54" s="131"/>
      <c r="O54" s="131"/>
      <c r="P54" s="131"/>
      <c r="Q54" s="131"/>
      <c r="R54" s="131"/>
      <c r="S54" s="131"/>
      <c r="T54" s="131"/>
      <c r="U54" s="131"/>
      <c r="V54" s="131"/>
      <c r="W54" s="131"/>
      <c r="X54" s="131"/>
      <c r="Y54" s="131"/>
      <c r="Z54" s="131"/>
      <c r="AA54" s="131"/>
      <c r="AB54" s="131"/>
      <c r="AC54" s="131"/>
      <c r="AD54" s="131"/>
      <c r="AE54" s="131"/>
      <c r="AF54" s="131"/>
      <c r="AG54" s="131"/>
      <c r="AH54" s="131"/>
      <c r="AI54" s="131"/>
      <c r="AJ54" s="131"/>
      <c r="AK54" s="131"/>
      <c r="AL54" s="131"/>
      <c r="AM54" s="131"/>
      <c r="AN54" s="131"/>
      <c r="AO54" s="131"/>
      <c r="AP54" s="131"/>
      <c r="AQ54" s="131"/>
      <c r="AR54" s="131"/>
      <c r="AS54" s="131"/>
      <c r="AT54" s="131"/>
      <c r="AU54" s="131"/>
      <c r="AV54" s="131"/>
      <c r="AW54" s="131"/>
    </row>
    <row r="55" spans="1:49" x14ac:dyDescent="0.35">
      <c r="A55" s="131"/>
      <c r="B55" s="131"/>
      <c r="C55" s="131"/>
      <c r="D55" s="131"/>
      <c r="E55" s="131"/>
      <c r="F55" s="131"/>
      <c r="G55" s="131"/>
      <c r="H55" s="131"/>
      <c r="I55" s="131"/>
      <c r="J55" s="131"/>
      <c r="K55" s="131"/>
      <c r="L55" s="131"/>
      <c r="M55" s="131"/>
      <c r="N55" s="131"/>
      <c r="O55" s="131"/>
      <c r="P55" s="131"/>
      <c r="Q55" s="131"/>
      <c r="R55" s="131"/>
      <c r="S55" s="131"/>
      <c r="T55" s="131"/>
      <c r="U55" s="131"/>
      <c r="V55" s="131"/>
      <c r="W55" s="131"/>
      <c r="X55" s="131"/>
      <c r="Y55" s="131"/>
      <c r="Z55" s="131"/>
      <c r="AA55" s="131"/>
      <c r="AB55" s="131"/>
      <c r="AC55" s="131"/>
      <c r="AD55" s="131"/>
      <c r="AE55" s="131"/>
      <c r="AF55" s="131"/>
      <c r="AG55" s="131"/>
      <c r="AH55" s="131"/>
      <c r="AI55" s="131"/>
      <c r="AJ55" s="131"/>
      <c r="AK55" s="131"/>
      <c r="AL55" s="131"/>
      <c r="AM55" s="131"/>
      <c r="AN55" s="131"/>
      <c r="AO55" s="131"/>
      <c r="AP55" s="131"/>
      <c r="AQ55" s="131"/>
      <c r="AR55" s="131"/>
      <c r="AS55" s="131"/>
      <c r="AT55" s="131"/>
      <c r="AU55" s="131"/>
      <c r="AV55" s="131"/>
      <c r="AW55" s="131"/>
    </row>
    <row r="56" spans="1:49" x14ac:dyDescent="0.35">
      <c r="A56" s="131"/>
      <c r="B56" s="131"/>
      <c r="C56" s="131"/>
      <c r="D56" s="131"/>
      <c r="E56" s="131"/>
      <c r="F56" s="131"/>
      <c r="G56" s="131"/>
      <c r="H56" s="131"/>
      <c r="I56" s="131"/>
      <c r="J56" s="131"/>
      <c r="K56" s="131"/>
      <c r="L56" s="131"/>
      <c r="M56" s="131"/>
      <c r="N56" s="131"/>
      <c r="O56" s="131"/>
      <c r="P56" s="131"/>
      <c r="Q56" s="131"/>
      <c r="R56" s="131"/>
      <c r="S56" s="131"/>
      <c r="T56" s="131"/>
      <c r="U56" s="131"/>
      <c r="V56" s="131"/>
      <c r="W56" s="131"/>
      <c r="X56" s="131"/>
      <c r="Y56" s="131"/>
      <c r="Z56" s="131"/>
      <c r="AA56" s="131"/>
      <c r="AB56" s="131"/>
      <c r="AC56" s="131"/>
      <c r="AD56" s="131"/>
      <c r="AE56" s="131"/>
      <c r="AF56" s="131"/>
      <c r="AG56" s="131"/>
      <c r="AH56" s="131"/>
      <c r="AI56" s="131"/>
      <c r="AJ56" s="131"/>
      <c r="AK56" s="131"/>
      <c r="AL56" s="131"/>
      <c r="AM56" s="131"/>
      <c r="AN56" s="131"/>
      <c r="AO56" s="131"/>
      <c r="AP56" s="131"/>
      <c r="AQ56" s="131"/>
      <c r="AR56" s="131"/>
      <c r="AS56" s="131"/>
      <c r="AT56" s="131"/>
      <c r="AU56" s="131"/>
      <c r="AV56" s="131"/>
      <c r="AW56" s="131"/>
    </row>
    <row r="57" spans="1:49" x14ac:dyDescent="0.35">
      <c r="A57" s="131"/>
      <c r="B57" s="131"/>
      <c r="C57" s="131"/>
      <c r="D57" s="131"/>
      <c r="E57" s="131"/>
      <c r="F57" s="131"/>
      <c r="G57" s="131"/>
      <c r="H57" s="131"/>
      <c r="I57" s="131"/>
      <c r="J57" s="131"/>
      <c r="K57" s="131"/>
      <c r="L57" s="131"/>
      <c r="M57" s="131"/>
      <c r="N57" s="131"/>
      <c r="O57" s="131"/>
      <c r="P57" s="131"/>
      <c r="Q57" s="131"/>
      <c r="R57" s="131"/>
      <c r="S57" s="131"/>
      <c r="T57" s="131"/>
      <c r="U57" s="131"/>
      <c r="V57" s="131"/>
      <c r="W57" s="131"/>
      <c r="X57" s="131"/>
      <c r="Y57" s="131"/>
      <c r="Z57" s="131"/>
      <c r="AA57" s="131"/>
      <c r="AB57" s="131"/>
      <c r="AC57" s="131"/>
      <c r="AD57" s="131"/>
      <c r="AE57" s="131"/>
      <c r="AF57" s="131"/>
      <c r="AG57" s="131"/>
      <c r="AH57" s="131"/>
      <c r="AI57" s="131"/>
      <c r="AJ57" s="131"/>
      <c r="AK57" s="131"/>
      <c r="AL57" s="131"/>
      <c r="AM57" s="131"/>
      <c r="AN57" s="131"/>
      <c r="AO57" s="131"/>
      <c r="AP57" s="131"/>
      <c r="AQ57" s="131"/>
      <c r="AR57" s="131"/>
      <c r="AS57" s="131"/>
      <c r="AT57" s="131"/>
      <c r="AU57" s="131"/>
      <c r="AV57" s="131"/>
      <c r="AW57" s="131"/>
    </row>
    <row r="58" spans="1:49" x14ac:dyDescent="0.35">
      <c r="A58" s="131"/>
      <c r="B58" s="131"/>
      <c r="C58" s="131"/>
      <c r="D58" s="131"/>
      <c r="E58" s="131"/>
      <c r="F58" s="131"/>
      <c r="G58" s="131"/>
      <c r="H58" s="131"/>
      <c r="I58" s="131"/>
      <c r="J58" s="131"/>
      <c r="K58" s="131"/>
      <c r="L58" s="131"/>
      <c r="M58" s="131"/>
      <c r="N58" s="131"/>
      <c r="O58" s="131"/>
      <c r="P58" s="131"/>
      <c r="Q58" s="131"/>
      <c r="R58" s="131"/>
      <c r="S58" s="131"/>
      <c r="T58" s="131"/>
      <c r="U58" s="131"/>
      <c r="V58" s="131"/>
      <c r="W58" s="131"/>
      <c r="X58" s="131"/>
      <c r="Y58" s="131"/>
      <c r="Z58" s="131"/>
      <c r="AA58" s="131"/>
      <c r="AB58" s="131"/>
      <c r="AC58" s="131"/>
      <c r="AD58" s="131"/>
      <c r="AE58" s="131"/>
      <c r="AF58" s="131"/>
      <c r="AG58" s="131"/>
      <c r="AH58" s="131"/>
      <c r="AI58" s="131"/>
      <c r="AJ58" s="131"/>
      <c r="AK58" s="131"/>
      <c r="AL58" s="131"/>
      <c r="AM58" s="131"/>
      <c r="AN58" s="131"/>
      <c r="AO58" s="131"/>
      <c r="AP58" s="131"/>
      <c r="AQ58" s="131"/>
      <c r="AR58" s="131"/>
      <c r="AS58" s="131"/>
      <c r="AT58" s="131"/>
      <c r="AU58" s="131"/>
      <c r="AV58" s="131"/>
      <c r="AW58" s="131"/>
    </row>
    <row r="59" spans="1:49" x14ac:dyDescent="0.35">
      <c r="A59" s="131"/>
      <c r="B59" s="131"/>
      <c r="C59" s="131"/>
      <c r="D59" s="131"/>
      <c r="E59" s="131"/>
      <c r="F59" s="131"/>
      <c r="G59" s="131"/>
      <c r="H59" s="131"/>
      <c r="I59" s="131"/>
      <c r="J59" s="131"/>
      <c r="K59" s="131"/>
      <c r="L59" s="131"/>
      <c r="M59" s="131"/>
      <c r="N59" s="131"/>
      <c r="O59" s="131"/>
      <c r="P59" s="131"/>
      <c r="Q59" s="131"/>
      <c r="R59" s="131"/>
      <c r="S59" s="131"/>
      <c r="T59" s="131"/>
      <c r="U59" s="131"/>
      <c r="V59" s="131"/>
      <c r="W59" s="131"/>
      <c r="X59" s="131"/>
      <c r="Y59" s="131"/>
      <c r="Z59" s="131"/>
      <c r="AA59" s="131"/>
      <c r="AB59" s="131"/>
      <c r="AC59" s="131"/>
      <c r="AD59" s="131"/>
      <c r="AE59" s="131"/>
      <c r="AF59" s="131"/>
      <c r="AG59" s="131"/>
      <c r="AH59" s="131"/>
      <c r="AI59" s="131"/>
      <c r="AJ59" s="131"/>
      <c r="AK59" s="131"/>
      <c r="AL59" s="131"/>
      <c r="AM59" s="131"/>
      <c r="AN59" s="131"/>
      <c r="AO59" s="131"/>
      <c r="AP59" s="131"/>
      <c r="AQ59" s="131"/>
      <c r="AR59" s="131"/>
      <c r="AS59" s="131"/>
      <c r="AT59" s="131"/>
      <c r="AU59" s="131"/>
      <c r="AV59" s="131"/>
      <c r="AW59" s="131"/>
    </row>
    <row r="60" spans="1:49" x14ac:dyDescent="0.35">
      <c r="A60" s="131"/>
      <c r="B60" s="131"/>
      <c r="C60" s="131"/>
      <c r="D60" s="131"/>
      <c r="E60" s="131"/>
      <c r="F60" s="131"/>
      <c r="G60" s="131"/>
      <c r="H60" s="131"/>
      <c r="I60" s="131"/>
      <c r="J60" s="131"/>
      <c r="K60" s="131"/>
      <c r="L60" s="131"/>
      <c r="M60" s="131"/>
      <c r="N60" s="131"/>
      <c r="O60" s="131"/>
      <c r="P60" s="131"/>
      <c r="Q60" s="131"/>
      <c r="R60" s="131"/>
      <c r="S60" s="131"/>
      <c r="T60" s="131"/>
      <c r="U60" s="131"/>
      <c r="V60" s="131"/>
      <c r="W60" s="131"/>
      <c r="X60" s="131"/>
      <c r="Y60" s="131"/>
      <c r="Z60" s="131"/>
      <c r="AA60" s="131"/>
      <c r="AB60" s="131"/>
      <c r="AC60" s="131"/>
      <c r="AD60" s="131"/>
      <c r="AE60" s="131"/>
      <c r="AF60" s="131"/>
      <c r="AG60" s="131"/>
      <c r="AH60" s="131"/>
      <c r="AI60" s="131"/>
      <c r="AJ60" s="131"/>
      <c r="AK60" s="131"/>
      <c r="AL60" s="131"/>
      <c r="AM60" s="131"/>
      <c r="AN60" s="131"/>
      <c r="AO60" s="131"/>
      <c r="AP60" s="131"/>
      <c r="AQ60" s="131"/>
      <c r="AR60" s="131"/>
      <c r="AS60" s="131"/>
      <c r="AT60" s="131"/>
      <c r="AU60" s="131"/>
      <c r="AV60" s="131"/>
      <c r="AW60" s="131"/>
    </row>
    <row r="61" spans="1:49" x14ac:dyDescent="0.35">
      <c r="A61" s="131"/>
      <c r="B61" s="131"/>
      <c r="C61" s="131"/>
      <c r="D61" s="131"/>
      <c r="E61" s="131"/>
      <c r="F61" s="131"/>
      <c r="G61" s="131"/>
      <c r="H61" s="131"/>
      <c r="I61" s="131"/>
      <c r="J61" s="131"/>
      <c r="K61" s="131"/>
      <c r="L61" s="131"/>
      <c r="M61" s="131"/>
      <c r="N61" s="131"/>
      <c r="O61" s="131"/>
      <c r="P61" s="131"/>
      <c r="Q61" s="131"/>
      <c r="R61" s="131"/>
      <c r="S61" s="131"/>
      <c r="T61" s="131"/>
      <c r="U61" s="131"/>
      <c r="V61" s="131"/>
      <c r="W61" s="131"/>
      <c r="X61" s="131"/>
      <c r="Y61" s="131"/>
      <c r="Z61" s="131"/>
      <c r="AA61" s="131"/>
      <c r="AB61" s="131"/>
      <c r="AC61" s="131"/>
      <c r="AD61" s="131"/>
      <c r="AE61" s="131"/>
      <c r="AF61" s="131"/>
      <c r="AG61" s="131"/>
      <c r="AH61" s="131"/>
      <c r="AI61" s="131"/>
      <c r="AJ61" s="131"/>
      <c r="AK61" s="131"/>
      <c r="AL61" s="131"/>
      <c r="AM61" s="131"/>
      <c r="AN61" s="131"/>
      <c r="AO61" s="131"/>
      <c r="AP61" s="131"/>
      <c r="AQ61" s="131"/>
      <c r="AR61" s="131"/>
      <c r="AS61" s="131"/>
      <c r="AT61" s="131"/>
      <c r="AU61" s="131"/>
      <c r="AV61" s="131"/>
      <c r="AW61" s="131"/>
    </row>
    <row r="62" spans="1:49" x14ac:dyDescent="0.35">
      <c r="A62" s="131"/>
      <c r="B62" s="131"/>
      <c r="C62" s="131"/>
      <c r="D62" s="131"/>
      <c r="E62" s="131"/>
      <c r="F62" s="131"/>
      <c r="G62" s="131"/>
      <c r="H62" s="131"/>
      <c r="I62" s="131"/>
      <c r="J62" s="131"/>
      <c r="K62" s="131"/>
      <c r="L62" s="131"/>
      <c r="M62" s="131"/>
      <c r="N62" s="131"/>
      <c r="O62" s="131"/>
      <c r="P62" s="131"/>
      <c r="Q62" s="131"/>
      <c r="R62" s="131"/>
      <c r="S62" s="131"/>
      <c r="T62" s="131"/>
      <c r="U62" s="131"/>
      <c r="V62" s="131"/>
      <c r="W62" s="131"/>
      <c r="X62" s="131"/>
      <c r="Y62" s="131"/>
      <c r="Z62" s="131"/>
      <c r="AA62" s="131"/>
      <c r="AB62" s="131"/>
      <c r="AC62" s="131"/>
      <c r="AD62" s="131"/>
      <c r="AE62" s="131"/>
      <c r="AF62" s="131"/>
      <c r="AG62" s="131"/>
      <c r="AH62" s="131"/>
      <c r="AI62" s="131"/>
      <c r="AJ62" s="131"/>
      <c r="AK62" s="131"/>
      <c r="AL62" s="131"/>
      <c r="AM62" s="131"/>
      <c r="AN62" s="131"/>
      <c r="AO62" s="131"/>
      <c r="AP62" s="131"/>
      <c r="AQ62" s="131"/>
      <c r="AR62" s="131"/>
      <c r="AS62" s="131"/>
      <c r="AT62" s="131"/>
      <c r="AU62" s="131"/>
      <c r="AV62" s="131"/>
      <c r="AW62" s="131"/>
    </row>
    <row r="63" spans="1:49" x14ac:dyDescent="0.35">
      <c r="A63" s="131"/>
      <c r="B63" s="131"/>
      <c r="C63" s="131"/>
      <c r="D63" s="131"/>
      <c r="E63" s="131"/>
      <c r="F63" s="131"/>
      <c r="G63" s="131"/>
      <c r="H63" s="131"/>
      <c r="I63" s="131"/>
      <c r="J63" s="131"/>
      <c r="K63" s="131"/>
      <c r="L63" s="131"/>
      <c r="M63" s="131"/>
      <c r="N63" s="131"/>
      <c r="O63" s="131"/>
      <c r="P63" s="131"/>
      <c r="Q63" s="131"/>
      <c r="R63" s="131"/>
      <c r="S63" s="131"/>
      <c r="T63" s="131"/>
      <c r="U63" s="131"/>
      <c r="V63" s="131"/>
      <c r="W63" s="131"/>
      <c r="X63" s="131"/>
      <c r="Y63" s="131"/>
      <c r="Z63" s="131"/>
      <c r="AA63" s="131"/>
      <c r="AB63" s="131"/>
      <c r="AC63" s="131"/>
      <c r="AD63" s="131"/>
      <c r="AE63" s="131"/>
      <c r="AF63" s="131"/>
      <c r="AG63" s="131"/>
      <c r="AH63" s="131"/>
      <c r="AI63" s="131"/>
      <c r="AJ63" s="131"/>
      <c r="AK63" s="131"/>
      <c r="AL63" s="131"/>
      <c r="AM63" s="131"/>
      <c r="AN63" s="131"/>
      <c r="AO63" s="131"/>
      <c r="AP63" s="131"/>
      <c r="AQ63" s="131"/>
      <c r="AR63" s="131"/>
      <c r="AS63" s="131"/>
      <c r="AT63" s="131"/>
      <c r="AU63" s="131"/>
      <c r="AV63" s="131"/>
      <c r="AW63" s="131"/>
    </row>
    <row r="64" spans="1:49" x14ac:dyDescent="0.35">
      <c r="A64" s="131"/>
      <c r="B64" s="131"/>
      <c r="C64" s="131"/>
      <c r="D64" s="131"/>
      <c r="E64" s="131"/>
      <c r="F64" s="131"/>
      <c r="G64" s="131"/>
      <c r="H64" s="131"/>
      <c r="I64" s="131"/>
      <c r="J64" s="131"/>
      <c r="K64" s="131"/>
      <c r="L64" s="131"/>
      <c r="M64" s="131"/>
      <c r="N64" s="131"/>
      <c r="O64" s="131"/>
      <c r="P64" s="131"/>
      <c r="Q64" s="131"/>
      <c r="R64" s="131"/>
      <c r="S64" s="131"/>
      <c r="T64" s="131"/>
      <c r="U64" s="131"/>
      <c r="V64" s="131"/>
      <c r="W64" s="131"/>
      <c r="X64" s="131"/>
      <c r="Y64" s="131"/>
      <c r="Z64" s="131"/>
      <c r="AA64" s="131"/>
      <c r="AB64" s="131"/>
      <c r="AC64" s="131"/>
      <c r="AD64" s="131"/>
      <c r="AE64" s="131"/>
      <c r="AF64" s="131"/>
      <c r="AG64" s="131"/>
      <c r="AH64" s="131"/>
      <c r="AI64" s="131"/>
      <c r="AJ64" s="131"/>
      <c r="AK64" s="131"/>
      <c r="AL64" s="131"/>
      <c r="AM64" s="131"/>
      <c r="AN64" s="131"/>
      <c r="AO64" s="131"/>
      <c r="AP64" s="131"/>
      <c r="AQ64" s="131"/>
      <c r="AR64" s="131"/>
      <c r="AS64" s="131"/>
      <c r="AT64" s="131"/>
      <c r="AU64" s="131"/>
      <c r="AV64" s="131"/>
      <c r="AW64" s="131"/>
    </row>
    <row r="65" spans="1:49" x14ac:dyDescent="0.35">
      <c r="A65" s="131"/>
      <c r="B65" s="131"/>
      <c r="C65" s="131"/>
      <c r="D65" s="131"/>
      <c r="E65" s="131"/>
      <c r="F65" s="131"/>
      <c r="G65" s="131"/>
      <c r="H65" s="131"/>
      <c r="I65" s="131"/>
      <c r="J65" s="131"/>
      <c r="K65" s="131"/>
      <c r="L65" s="131"/>
      <c r="M65" s="131"/>
      <c r="N65" s="131"/>
      <c r="O65" s="131"/>
      <c r="P65" s="131"/>
      <c r="Q65" s="131"/>
      <c r="R65" s="131"/>
      <c r="S65" s="131"/>
      <c r="T65" s="131"/>
      <c r="U65" s="131"/>
      <c r="V65" s="131"/>
      <c r="W65" s="131"/>
      <c r="X65" s="131"/>
      <c r="Y65" s="131"/>
      <c r="Z65" s="131"/>
      <c r="AA65" s="131"/>
      <c r="AB65" s="131"/>
      <c r="AC65" s="131"/>
      <c r="AD65" s="131"/>
      <c r="AE65" s="131"/>
      <c r="AF65" s="131"/>
      <c r="AG65" s="131"/>
      <c r="AH65" s="131"/>
      <c r="AI65" s="131"/>
      <c r="AJ65" s="131"/>
      <c r="AK65" s="131"/>
      <c r="AL65" s="131"/>
      <c r="AM65" s="131"/>
      <c r="AN65" s="131"/>
      <c r="AO65" s="131"/>
      <c r="AP65" s="131"/>
      <c r="AQ65" s="131"/>
      <c r="AR65" s="131"/>
      <c r="AS65" s="131"/>
      <c r="AT65" s="131"/>
      <c r="AU65" s="131"/>
      <c r="AV65" s="131"/>
      <c r="AW65" s="131"/>
    </row>
    <row r="66" spans="1:49" x14ac:dyDescent="0.35">
      <c r="A66" s="131"/>
      <c r="B66" s="131"/>
      <c r="C66" s="131"/>
      <c r="D66" s="131"/>
      <c r="E66" s="131"/>
      <c r="F66" s="131"/>
      <c r="G66" s="131"/>
      <c r="H66" s="131"/>
      <c r="I66" s="131"/>
      <c r="J66" s="131"/>
      <c r="K66" s="131"/>
      <c r="L66" s="131"/>
      <c r="M66" s="131"/>
      <c r="N66" s="131"/>
      <c r="O66" s="131"/>
      <c r="P66" s="131"/>
      <c r="Q66" s="131"/>
      <c r="R66" s="131"/>
      <c r="S66" s="131"/>
      <c r="T66" s="131"/>
      <c r="U66" s="131"/>
      <c r="V66" s="131"/>
      <c r="W66" s="131"/>
      <c r="X66" s="131"/>
      <c r="Y66" s="131"/>
      <c r="Z66" s="131"/>
      <c r="AA66" s="131"/>
      <c r="AB66" s="131"/>
      <c r="AC66" s="131"/>
      <c r="AD66" s="131"/>
      <c r="AE66" s="131"/>
      <c r="AF66" s="131"/>
      <c r="AG66" s="131"/>
      <c r="AH66" s="131"/>
      <c r="AI66" s="131"/>
      <c r="AJ66" s="131"/>
      <c r="AK66" s="131"/>
      <c r="AL66" s="131"/>
      <c r="AM66" s="131"/>
      <c r="AN66" s="131"/>
      <c r="AO66" s="131"/>
      <c r="AP66" s="131"/>
      <c r="AQ66" s="131"/>
      <c r="AR66" s="131"/>
      <c r="AS66" s="131"/>
      <c r="AT66" s="131"/>
      <c r="AU66" s="131"/>
      <c r="AV66" s="131"/>
      <c r="AW66" s="131"/>
    </row>
    <row r="67" spans="1:49" x14ac:dyDescent="0.35">
      <c r="A67" s="131"/>
      <c r="B67" s="131"/>
      <c r="C67" s="131"/>
      <c r="D67" s="131"/>
      <c r="E67" s="131"/>
      <c r="F67" s="131"/>
      <c r="G67" s="131"/>
      <c r="H67" s="131"/>
      <c r="I67" s="131"/>
      <c r="J67" s="131"/>
      <c r="K67" s="131"/>
      <c r="L67" s="131"/>
      <c r="M67" s="131"/>
      <c r="N67" s="131"/>
      <c r="O67" s="131"/>
      <c r="P67" s="131"/>
      <c r="Q67" s="131"/>
      <c r="R67" s="131"/>
      <c r="S67" s="131"/>
      <c r="T67" s="131"/>
      <c r="U67" s="131"/>
      <c r="V67" s="131"/>
      <c r="W67" s="131"/>
      <c r="X67" s="131"/>
      <c r="Y67" s="131"/>
      <c r="Z67" s="131"/>
      <c r="AA67" s="131"/>
      <c r="AB67" s="131"/>
      <c r="AC67" s="131"/>
      <c r="AD67" s="131"/>
      <c r="AE67" s="131"/>
      <c r="AF67" s="131"/>
      <c r="AG67" s="131"/>
      <c r="AH67" s="131"/>
      <c r="AI67" s="131"/>
      <c r="AJ67" s="131"/>
      <c r="AK67" s="131"/>
      <c r="AL67" s="131"/>
      <c r="AM67" s="131"/>
      <c r="AN67" s="131"/>
      <c r="AO67" s="131"/>
      <c r="AP67" s="131"/>
      <c r="AQ67" s="131"/>
      <c r="AR67" s="131"/>
      <c r="AS67" s="131"/>
      <c r="AT67" s="131"/>
      <c r="AU67" s="131"/>
      <c r="AV67" s="131"/>
      <c r="AW67" s="131"/>
    </row>
    <row r="68" spans="1:49" x14ac:dyDescent="0.35">
      <c r="A68" s="131"/>
      <c r="B68" s="131"/>
      <c r="C68" s="131"/>
      <c r="D68" s="131"/>
      <c r="E68" s="131"/>
      <c r="F68" s="131"/>
      <c r="G68" s="131"/>
      <c r="H68" s="131"/>
      <c r="I68" s="131"/>
      <c r="J68" s="131"/>
      <c r="K68" s="131"/>
      <c r="L68" s="131"/>
      <c r="M68" s="131"/>
      <c r="N68" s="131"/>
      <c r="O68" s="131"/>
      <c r="P68" s="131"/>
      <c r="Q68" s="131"/>
      <c r="R68" s="131"/>
      <c r="S68" s="131"/>
      <c r="T68" s="131"/>
      <c r="U68" s="131"/>
      <c r="V68" s="131"/>
      <c r="W68" s="131"/>
      <c r="X68" s="131"/>
      <c r="Y68" s="131"/>
      <c r="Z68" s="131"/>
      <c r="AA68" s="131"/>
      <c r="AB68" s="131"/>
      <c r="AC68" s="131"/>
      <c r="AD68" s="131"/>
      <c r="AE68" s="131"/>
      <c r="AF68" s="131"/>
      <c r="AG68" s="131"/>
      <c r="AH68" s="131"/>
      <c r="AI68" s="131"/>
      <c r="AJ68" s="131"/>
      <c r="AK68" s="131"/>
      <c r="AL68" s="131"/>
      <c r="AM68" s="131"/>
      <c r="AN68" s="131"/>
      <c r="AO68" s="131"/>
      <c r="AP68" s="131"/>
      <c r="AQ68" s="131"/>
      <c r="AR68" s="131"/>
      <c r="AS68" s="131"/>
      <c r="AT68" s="131"/>
      <c r="AU68" s="131"/>
      <c r="AV68" s="131"/>
      <c r="AW68" s="131"/>
    </row>
    <row r="69" spans="1:49" x14ac:dyDescent="0.35">
      <c r="A69" s="131"/>
      <c r="B69" s="131"/>
      <c r="C69" s="131"/>
      <c r="D69" s="131"/>
      <c r="E69" s="131"/>
      <c r="F69" s="131"/>
      <c r="G69" s="131"/>
      <c r="H69" s="131"/>
      <c r="I69" s="131"/>
      <c r="J69" s="131"/>
      <c r="K69" s="131"/>
      <c r="L69" s="131"/>
      <c r="M69" s="131"/>
      <c r="N69" s="131"/>
      <c r="O69" s="131"/>
      <c r="P69" s="131"/>
      <c r="Q69" s="131"/>
      <c r="R69" s="131"/>
      <c r="S69" s="131"/>
      <c r="T69" s="131"/>
      <c r="U69" s="131"/>
      <c r="V69" s="131"/>
      <c r="W69" s="131"/>
      <c r="X69" s="131"/>
      <c r="Y69" s="131"/>
      <c r="Z69" s="131"/>
      <c r="AA69" s="131"/>
      <c r="AB69" s="131"/>
      <c r="AC69" s="131"/>
      <c r="AD69" s="131"/>
      <c r="AE69" s="131"/>
      <c r="AF69" s="131"/>
      <c r="AG69" s="131"/>
      <c r="AH69" s="131"/>
      <c r="AI69" s="131"/>
      <c r="AJ69" s="131"/>
      <c r="AK69" s="131"/>
      <c r="AL69" s="131"/>
      <c r="AM69" s="131"/>
      <c r="AN69" s="131"/>
      <c r="AO69" s="131"/>
      <c r="AP69" s="131"/>
      <c r="AQ69" s="131"/>
      <c r="AR69" s="131"/>
      <c r="AS69" s="131"/>
      <c r="AT69" s="131"/>
      <c r="AU69" s="131"/>
      <c r="AV69" s="131"/>
      <c r="AW69" s="131"/>
    </row>
    <row r="70" spans="1:49" x14ac:dyDescent="0.35">
      <c r="A70" s="131"/>
      <c r="B70" s="131"/>
      <c r="C70" s="131"/>
      <c r="D70" s="131"/>
      <c r="E70" s="131"/>
      <c r="F70" s="131"/>
      <c r="G70" s="131"/>
      <c r="H70" s="131"/>
      <c r="I70" s="131"/>
      <c r="J70" s="131"/>
      <c r="K70" s="131"/>
      <c r="L70" s="131"/>
      <c r="M70" s="131"/>
      <c r="N70" s="131"/>
      <c r="O70" s="131"/>
      <c r="P70" s="131"/>
      <c r="Q70" s="131"/>
      <c r="R70" s="131"/>
      <c r="S70" s="131"/>
      <c r="T70" s="131"/>
      <c r="U70" s="131"/>
      <c r="V70" s="131"/>
      <c r="W70" s="131"/>
      <c r="X70" s="131"/>
      <c r="Y70" s="131"/>
      <c r="Z70" s="131"/>
      <c r="AA70" s="131"/>
      <c r="AB70" s="131"/>
      <c r="AC70" s="131"/>
      <c r="AD70" s="131"/>
      <c r="AE70" s="131"/>
      <c r="AF70" s="131"/>
      <c r="AG70" s="131"/>
      <c r="AH70" s="131"/>
      <c r="AI70" s="131"/>
      <c r="AJ70" s="131"/>
      <c r="AK70" s="131"/>
      <c r="AL70" s="131"/>
      <c r="AM70" s="131"/>
      <c r="AN70" s="131"/>
      <c r="AO70" s="131"/>
      <c r="AP70" s="131"/>
      <c r="AQ70" s="131"/>
      <c r="AR70" s="131"/>
      <c r="AS70" s="131"/>
      <c r="AT70" s="131"/>
      <c r="AU70" s="131"/>
      <c r="AV70" s="131"/>
      <c r="AW70" s="131"/>
    </row>
    <row r="71" spans="1:49" x14ac:dyDescent="0.35">
      <c r="A71" s="131"/>
      <c r="B71" s="131"/>
      <c r="C71" s="131"/>
      <c r="D71" s="131"/>
      <c r="E71" s="131"/>
      <c r="F71" s="131"/>
      <c r="G71" s="131"/>
      <c r="H71" s="131"/>
      <c r="I71" s="131"/>
      <c r="J71" s="131"/>
      <c r="K71" s="131"/>
      <c r="L71" s="131"/>
      <c r="M71" s="131"/>
      <c r="N71" s="131"/>
      <c r="O71" s="131"/>
      <c r="P71" s="131"/>
      <c r="Q71" s="131"/>
      <c r="R71" s="131"/>
      <c r="S71" s="131"/>
      <c r="T71" s="131"/>
      <c r="U71" s="131"/>
      <c r="V71" s="131"/>
      <c r="W71" s="131"/>
      <c r="X71" s="131"/>
      <c r="Y71" s="131"/>
      <c r="Z71" s="131"/>
      <c r="AA71" s="131"/>
      <c r="AB71" s="131"/>
      <c r="AC71" s="131"/>
      <c r="AD71" s="131"/>
      <c r="AE71" s="131"/>
      <c r="AF71" s="131"/>
      <c r="AG71" s="131"/>
      <c r="AH71" s="131"/>
      <c r="AI71" s="131"/>
      <c r="AJ71" s="131"/>
      <c r="AK71" s="131"/>
      <c r="AL71" s="131"/>
      <c r="AM71" s="131"/>
      <c r="AN71" s="131"/>
      <c r="AO71" s="131"/>
      <c r="AP71" s="131"/>
      <c r="AQ71" s="131"/>
      <c r="AR71" s="131"/>
      <c r="AS71" s="131"/>
      <c r="AT71" s="131"/>
      <c r="AU71" s="131"/>
      <c r="AV71" s="131"/>
      <c r="AW71" s="131"/>
    </row>
    <row r="72" spans="1:49" x14ac:dyDescent="0.35">
      <c r="A72" s="131"/>
      <c r="B72" s="131"/>
      <c r="C72" s="131"/>
      <c r="D72" s="131"/>
      <c r="E72" s="131"/>
      <c r="F72" s="131"/>
      <c r="G72" s="131"/>
      <c r="H72" s="131"/>
      <c r="I72" s="131"/>
      <c r="J72" s="131"/>
      <c r="K72" s="131"/>
      <c r="L72" s="131"/>
      <c r="M72" s="131"/>
      <c r="N72" s="131"/>
      <c r="O72" s="131"/>
      <c r="P72" s="131"/>
      <c r="Q72" s="131"/>
      <c r="R72" s="131"/>
      <c r="S72" s="131"/>
      <c r="T72" s="131"/>
      <c r="U72" s="131"/>
      <c r="V72" s="131"/>
      <c r="W72" s="131"/>
      <c r="X72" s="131"/>
      <c r="Y72" s="131"/>
      <c r="Z72" s="131"/>
      <c r="AA72" s="131"/>
      <c r="AB72" s="131"/>
      <c r="AC72" s="131"/>
      <c r="AD72" s="131"/>
      <c r="AE72" s="131"/>
      <c r="AF72" s="131"/>
      <c r="AG72" s="131"/>
      <c r="AH72" s="131"/>
      <c r="AI72" s="131"/>
      <c r="AJ72" s="131"/>
      <c r="AK72" s="131"/>
      <c r="AL72" s="131"/>
      <c r="AM72" s="131"/>
      <c r="AN72" s="131"/>
      <c r="AO72" s="131"/>
      <c r="AP72" s="131"/>
      <c r="AQ72" s="131"/>
      <c r="AR72" s="131"/>
      <c r="AS72" s="131"/>
      <c r="AT72" s="131"/>
      <c r="AU72" s="131"/>
      <c r="AV72" s="131"/>
      <c r="AW72" s="131"/>
    </row>
    <row r="73" spans="1:49" x14ac:dyDescent="0.35">
      <c r="A73" s="131"/>
      <c r="B73" s="131"/>
      <c r="C73" s="131"/>
      <c r="D73" s="131"/>
      <c r="E73" s="131"/>
      <c r="F73" s="131"/>
      <c r="G73" s="131"/>
      <c r="H73" s="131"/>
      <c r="I73" s="131"/>
      <c r="J73" s="131"/>
      <c r="K73" s="131"/>
      <c r="L73" s="131"/>
      <c r="M73" s="131"/>
      <c r="N73" s="131"/>
      <c r="O73" s="131"/>
      <c r="P73" s="131"/>
      <c r="Q73" s="131"/>
      <c r="R73" s="131"/>
      <c r="S73" s="131"/>
      <c r="T73" s="131"/>
      <c r="U73" s="131"/>
      <c r="V73" s="131"/>
      <c r="W73" s="131"/>
      <c r="X73" s="131"/>
      <c r="Y73" s="131"/>
      <c r="Z73" s="131"/>
      <c r="AA73" s="131"/>
      <c r="AB73" s="131"/>
      <c r="AC73" s="131"/>
      <c r="AD73" s="131"/>
      <c r="AE73" s="131"/>
      <c r="AF73" s="131"/>
      <c r="AG73" s="131"/>
      <c r="AH73" s="131"/>
      <c r="AI73" s="131"/>
      <c r="AJ73" s="131"/>
      <c r="AK73" s="131"/>
      <c r="AL73" s="131"/>
      <c r="AM73" s="131"/>
      <c r="AN73" s="131"/>
      <c r="AO73" s="131"/>
      <c r="AP73" s="131"/>
      <c r="AQ73" s="131"/>
      <c r="AR73" s="131"/>
      <c r="AS73" s="131"/>
      <c r="AT73" s="131"/>
      <c r="AU73" s="131"/>
      <c r="AV73" s="131"/>
      <c r="AW73" s="131"/>
    </row>
    <row r="74" spans="1:49" x14ac:dyDescent="0.35">
      <c r="A74" s="131"/>
      <c r="B74" s="131"/>
      <c r="C74" s="131"/>
      <c r="D74" s="131"/>
      <c r="E74" s="131"/>
      <c r="F74" s="131"/>
      <c r="G74" s="131"/>
      <c r="H74" s="131"/>
      <c r="I74" s="131"/>
      <c r="J74" s="131"/>
      <c r="K74" s="131"/>
      <c r="L74" s="131"/>
      <c r="M74" s="131"/>
      <c r="N74" s="131"/>
      <c r="O74" s="131"/>
      <c r="P74" s="131"/>
      <c r="Q74" s="131"/>
      <c r="R74" s="131"/>
      <c r="S74" s="131"/>
      <c r="T74" s="131"/>
      <c r="U74" s="131"/>
      <c r="V74" s="131"/>
      <c r="W74" s="131"/>
      <c r="X74" s="131"/>
      <c r="Y74" s="131"/>
      <c r="Z74" s="131"/>
      <c r="AA74" s="131"/>
      <c r="AB74" s="131"/>
      <c r="AC74" s="131"/>
      <c r="AD74" s="131"/>
      <c r="AE74" s="131"/>
      <c r="AF74" s="131"/>
      <c r="AG74" s="131"/>
      <c r="AH74" s="131"/>
      <c r="AI74" s="131"/>
      <c r="AJ74" s="131"/>
      <c r="AK74" s="131"/>
      <c r="AL74" s="131"/>
      <c r="AM74" s="131"/>
      <c r="AN74" s="131"/>
      <c r="AO74" s="131"/>
      <c r="AP74" s="131"/>
      <c r="AQ74" s="131"/>
      <c r="AR74" s="131"/>
      <c r="AS74" s="131"/>
      <c r="AT74" s="131"/>
      <c r="AU74" s="131"/>
      <c r="AV74" s="131"/>
      <c r="AW74" s="131"/>
    </row>
    <row r="75" spans="1:49" x14ac:dyDescent="0.35">
      <c r="A75" s="131"/>
      <c r="B75" s="131"/>
      <c r="C75" s="131"/>
      <c r="D75" s="131"/>
      <c r="E75" s="131"/>
      <c r="F75" s="131"/>
      <c r="G75" s="131"/>
      <c r="H75" s="131"/>
      <c r="I75" s="131"/>
      <c r="J75" s="131"/>
      <c r="K75" s="131"/>
      <c r="L75" s="131"/>
      <c r="M75" s="131"/>
      <c r="N75" s="131"/>
      <c r="O75" s="131"/>
      <c r="P75" s="131"/>
      <c r="Q75" s="131"/>
      <c r="R75" s="131"/>
      <c r="S75" s="131"/>
      <c r="T75" s="131"/>
      <c r="U75" s="131"/>
      <c r="V75" s="131"/>
      <c r="W75" s="131"/>
      <c r="X75" s="131"/>
      <c r="Y75" s="131"/>
      <c r="Z75" s="131"/>
      <c r="AA75" s="131"/>
      <c r="AB75" s="131"/>
      <c r="AC75" s="131"/>
      <c r="AD75" s="131"/>
      <c r="AE75" s="131"/>
      <c r="AF75" s="131"/>
      <c r="AG75" s="131"/>
      <c r="AH75" s="131"/>
      <c r="AI75" s="131"/>
      <c r="AJ75" s="131"/>
      <c r="AK75" s="131"/>
      <c r="AL75" s="131"/>
      <c r="AM75" s="131"/>
      <c r="AN75" s="131"/>
      <c r="AO75" s="131"/>
      <c r="AP75" s="131"/>
      <c r="AQ75" s="131"/>
      <c r="AR75" s="131"/>
      <c r="AS75" s="131"/>
      <c r="AT75" s="131"/>
      <c r="AU75" s="131"/>
      <c r="AV75" s="131"/>
      <c r="AW75" s="131"/>
    </row>
    <row r="76" spans="1:49" x14ac:dyDescent="0.35">
      <c r="A76" s="131"/>
      <c r="B76" s="131"/>
      <c r="C76" s="131"/>
      <c r="D76" s="131"/>
      <c r="E76" s="131"/>
      <c r="F76" s="131"/>
      <c r="G76" s="131"/>
      <c r="H76" s="131"/>
      <c r="I76" s="131"/>
      <c r="J76" s="131"/>
      <c r="K76" s="131"/>
      <c r="L76" s="131"/>
      <c r="M76" s="131"/>
      <c r="N76" s="131"/>
      <c r="O76" s="131"/>
      <c r="P76" s="131"/>
      <c r="Q76" s="131"/>
      <c r="R76" s="131"/>
      <c r="S76" s="131"/>
      <c r="T76" s="131"/>
      <c r="U76" s="131"/>
      <c r="V76" s="131"/>
      <c r="W76" s="131"/>
      <c r="X76" s="131"/>
      <c r="Y76" s="131"/>
      <c r="Z76" s="131"/>
      <c r="AA76" s="131"/>
      <c r="AB76" s="131"/>
      <c r="AC76" s="131"/>
      <c r="AD76" s="131"/>
      <c r="AE76" s="131"/>
      <c r="AF76" s="131"/>
      <c r="AG76" s="131"/>
      <c r="AH76" s="131"/>
      <c r="AI76" s="131"/>
      <c r="AJ76" s="131"/>
      <c r="AK76" s="131"/>
      <c r="AL76" s="131"/>
      <c r="AM76" s="131"/>
      <c r="AN76" s="131"/>
      <c r="AO76" s="131"/>
      <c r="AP76" s="131"/>
      <c r="AQ76" s="131"/>
      <c r="AR76" s="131"/>
      <c r="AS76" s="131"/>
      <c r="AT76" s="131"/>
      <c r="AU76" s="131"/>
      <c r="AV76" s="131"/>
      <c r="AW76" s="131"/>
    </row>
    <row r="77" spans="1:49" x14ac:dyDescent="0.35">
      <c r="A77" s="131"/>
      <c r="B77" s="131"/>
      <c r="C77" s="131"/>
      <c r="D77" s="131"/>
      <c r="E77" s="131"/>
      <c r="F77" s="131"/>
      <c r="G77" s="131"/>
      <c r="H77" s="131"/>
      <c r="I77" s="131"/>
      <c r="J77" s="131"/>
      <c r="K77" s="131"/>
      <c r="L77" s="131"/>
      <c r="M77" s="131"/>
      <c r="N77" s="131"/>
      <c r="O77" s="131"/>
      <c r="P77" s="131"/>
      <c r="Q77" s="131"/>
      <c r="R77" s="131"/>
      <c r="S77" s="131"/>
      <c r="T77" s="131"/>
      <c r="U77" s="131"/>
      <c r="V77" s="131"/>
      <c r="W77" s="131"/>
      <c r="X77" s="131"/>
      <c r="Y77" s="131"/>
      <c r="Z77" s="131"/>
      <c r="AA77" s="131"/>
      <c r="AB77" s="131"/>
      <c r="AC77" s="131"/>
      <c r="AD77" s="131"/>
      <c r="AE77" s="131"/>
      <c r="AF77" s="131"/>
      <c r="AG77" s="131"/>
      <c r="AH77" s="131"/>
      <c r="AI77" s="131"/>
      <c r="AJ77" s="131"/>
      <c r="AK77" s="131"/>
      <c r="AL77" s="131"/>
      <c r="AM77" s="131"/>
      <c r="AN77" s="131"/>
      <c r="AO77" s="131"/>
      <c r="AP77" s="131"/>
      <c r="AQ77" s="131"/>
      <c r="AR77" s="131"/>
      <c r="AS77" s="131"/>
      <c r="AT77" s="131"/>
      <c r="AU77" s="131"/>
      <c r="AV77" s="131"/>
      <c r="AW77" s="131"/>
    </row>
    <row r="78" spans="1:49" x14ac:dyDescent="0.35">
      <c r="A78" s="131"/>
      <c r="B78" s="131"/>
      <c r="C78" s="131"/>
      <c r="D78" s="131"/>
      <c r="E78" s="131"/>
      <c r="F78" s="131"/>
      <c r="G78" s="131"/>
      <c r="H78" s="131"/>
      <c r="I78" s="131"/>
      <c r="J78" s="131"/>
      <c r="K78" s="131"/>
      <c r="L78" s="131"/>
      <c r="M78" s="131"/>
      <c r="N78" s="131"/>
      <c r="O78" s="131"/>
      <c r="P78" s="131"/>
      <c r="Q78" s="131"/>
      <c r="R78" s="131"/>
      <c r="S78" s="131"/>
      <c r="T78" s="131"/>
      <c r="U78" s="131"/>
      <c r="V78" s="131"/>
      <c r="W78" s="131"/>
      <c r="X78" s="131"/>
      <c r="Y78" s="131"/>
      <c r="Z78" s="131"/>
      <c r="AA78" s="131"/>
      <c r="AB78" s="131"/>
      <c r="AC78" s="131"/>
      <c r="AD78" s="131"/>
      <c r="AE78" s="131"/>
      <c r="AF78" s="131"/>
      <c r="AG78" s="131"/>
      <c r="AH78" s="131"/>
      <c r="AI78" s="131"/>
      <c r="AJ78" s="131"/>
      <c r="AK78" s="131"/>
      <c r="AL78" s="131"/>
      <c r="AM78" s="131"/>
      <c r="AN78" s="131"/>
      <c r="AO78" s="131"/>
      <c r="AP78" s="131"/>
      <c r="AQ78" s="131"/>
      <c r="AR78" s="131"/>
      <c r="AS78" s="131"/>
      <c r="AT78" s="131"/>
      <c r="AU78" s="131"/>
      <c r="AV78" s="131"/>
      <c r="AW78" s="131"/>
    </row>
    <row r="79" spans="1:49" x14ac:dyDescent="0.35">
      <c r="A79" s="131"/>
      <c r="B79" s="131"/>
      <c r="C79" s="131"/>
      <c r="D79" s="131"/>
      <c r="E79" s="131"/>
      <c r="F79" s="131"/>
      <c r="G79" s="131"/>
      <c r="H79" s="131"/>
      <c r="I79" s="131"/>
      <c r="J79" s="131"/>
      <c r="K79" s="131"/>
      <c r="L79" s="131"/>
      <c r="M79" s="131"/>
      <c r="N79" s="131"/>
      <c r="O79" s="131"/>
      <c r="P79" s="131"/>
      <c r="Q79" s="131"/>
      <c r="R79" s="131"/>
      <c r="S79" s="131"/>
      <c r="T79" s="131"/>
      <c r="U79" s="131"/>
      <c r="V79" s="131"/>
      <c r="W79" s="131"/>
      <c r="X79" s="131"/>
      <c r="Y79" s="131"/>
      <c r="Z79" s="131"/>
      <c r="AA79" s="131"/>
      <c r="AB79" s="131"/>
      <c r="AC79" s="131"/>
      <c r="AD79" s="131"/>
      <c r="AE79" s="131"/>
      <c r="AF79" s="131"/>
      <c r="AG79" s="131"/>
      <c r="AH79" s="131"/>
      <c r="AI79" s="131"/>
      <c r="AJ79" s="131"/>
      <c r="AK79" s="131"/>
      <c r="AL79" s="131"/>
      <c r="AM79" s="131"/>
      <c r="AN79" s="131"/>
      <c r="AO79" s="131"/>
      <c r="AP79" s="131"/>
      <c r="AQ79" s="131"/>
      <c r="AR79" s="131"/>
      <c r="AS79" s="131"/>
      <c r="AT79" s="131"/>
      <c r="AU79" s="131"/>
      <c r="AV79" s="131"/>
      <c r="AW79" s="131"/>
    </row>
    <row r="80" spans="1:49" x14ac:dyDescent="0.35">
      <c r="A80" s="131"/>
      <c r="B80" s="131"/>
      <c r="C80" s="131"/>
      <c r="D80" s="131"/>
      <c r="E80" s="131"/>
      <c r="F80" s="131"/>
      <c r="G80" s="131"/>
      <c r="H80" s="131"/>
      <c r="I80" s="131"/>
      <c r="J80" s="131"/>
      <c r="K80" s="131"/>
      <c r="L80" s="131"/>
      <c r="M80" s="131"/>
      <c r="N80" s="131"/>
      <c r="O80" s="131"/>
      <c r="P80" s="131"/>
      <c r="Q80" s="131"/>
      <c r="R80" s="131"/>
      <c r="S80" s="131"/>
      <c r="T80" s="131"/>
      <c r="U80" s="131"/>
      <c r="V80" s="131"/>
      <c r="W80" s="131"/>
      <c r="X80" s="131"/>
      <c r="Y80" s="131"/>
      <c r="Z80" s="131"/>
      <c r="AA80" s="131"/>
      <c r="AB80" s="131"/>
      <c r="AC80" s="131"/>
      <c r="AD80" s="131"/>
      <c r="AE80" s="131"/>
      <c r="AF80" s="131"/>
      <c r="AG80" s="131"/>
      <c r="AH80" s="131"/>
      <c r="AI80" s="131"/>
      <c r="AJ80" s="131"/>
      <c r="AK80" s="131"/>
      <c r="AL80" s="131"/>
      <c r="AM80" s="131"/>
      <c r="AN80" s="131"/>
      <c r="AO80" s="131"/>
      <c r="AP80" s="131"/>
      <c r="AQ80" s="131"/>
      <c r="AR80" s="131"/>
      <c r="AS80" s="131"/>
      <c r="AT80" s="131"/>
      <c r="AU80" s="131"/>
      <c r="AV80" s="131"/>
      <c r="AW80" s="131"/>
    </row>
    <row r="81" spans="1:49" x14ac:dyDescent="0.35">
      <c r="A81" s="131"/>
      <c r="B81" s="131"/>
      <c r="C81" s="131"/>
      <c r="D81" s="131"/>
      <c r="E81" s="131"/>
      <c r="F81" s="131"/>
      <c r="G81" s="131"/>
      <c r="H81" s="131"/>
      <c r="I81" s="131"/>
      <c r="J81" s="131"/>
      <c r="K81" s="131"/>
      <c r="L81" s="131"/>
      <c r="M81" s="131"/>
      <c r="N81" s="131"/>
      <c r="O81" s="131"/>
      <c r="P81" s="131"/>
      <c r="Q81" s="131"/>
      <c r="R81" s="131"/>
      <c r="S81" s="131"/>
      <c r="T81" s="131"/>
      <c r="U81" s="131"/>
      <c r="V81" s="131"/>
      <c r="W81" s="131"/>
      <c r="X81" s="131"/>
      <c r="Y81" s="131"/>
      <c r="Z81" s="131"/>
      <c r="AA81" s="131"/>
      <c r="AB81" s="131"/>
      <c r="AC81" s="131"/>
      <c r="AD81" s="131"/>
      <c r="AE81" s="131"/>
      <c r="AF81" s="131"/>
      <c r="AG81" s="131"/>
      <c r="AH81" s="131"/>
      <c r="AI81" s="131"/>
      <c r="AJ81" s="131"/>
      <c r="AK81" s="131"/>
      <c r="AL81" s="131"/>
      <c r="AM81" s="131"/>
      <c r="AN81" s="131"/>
      <c r="AO81" s="131"/>
      <c r="AP81" s="131"/>
      <c r="AQ81" s="131"/>
      <c r="AR81" s="131"/>
      <c r="AS81" s="131"/>
      <c r="AT81" s="131"/>
      <c r="AU81" s="131"/>
      <c r="AV81" s="131"/>
      <c r="AW81" s="131"/>
    </row>
    <row r="82" spans="1:49" x14ac:dyDescent="0.35">
      <c r="A82" s="131"/>
      <c r="B82" s="131"/>
      <c r="C82" s="131"/>
      <c r="D82" s="131"/>
      <c r="E82" s="131"/>
      <c r="F82" s="131"/>
      <c r="G82" s="131"/>
      <c r="H82" s="131"/>
      <c r="I82" s="131"/>
      <c r="J82" s="131"/>
      <c r="K82" s="131"/>
      <c r="L82" s="131"/>
      <c r="M82" s="131"/>
      <c r="N82" s="131"/>
      <c r="O82" s="131"/>
      <c r="P82" s="131"/>
      <c r="Q82" s="131"/>
      <c r="R82" s="131"/>
      <c r="S82" s="131"/>
      <c r="T82" s="131"/>
      <c r="U82" s="131"/>
      <c r="V82" s="131"/>
      <c r="W82" s="131"/>
      <c r="X82" s="131"/>
      <c r="Y82" s="131"/>
      <c r="Z82" s="131"/>
      <c r="AA82" s="131"/>
      <c r="AB82" s="131"/>
      <c r="AC82" s="131"/>
      <c r="AD82" s="131"/>
      <c r="AE82" s="131"/>
      <c r="AF82" s="131"/>
      <c r="AG82" s="131"/>
      <c r="AH82" s="131"/>
      <c r="AI82" s="131"/>
      <c r="AJ82" s="131"/>
      <c r="AK82" s="131"/>
      <c r="AL82" s="131"/>
      <c r="AM82" s="131"/>
      <c r="AN82" s="131"/>
      <c r="AO82" s="131"/>
      <c r="AP82" s="131"/>
      <c r="AQ82" s="131"/>
      <c r="AR82" s="131"/>
      <c r="AS82" s="131"/>
      <c r="AT82" s="131"/>
      <c r="AU82" s="131"/>
      <c r="AV82" s="131"/>
      <c r="AW82" s="131"/>
    </row>
    <row r="83" spans="1:49" x14ac:dyDescent="0.35">
      <c r="A83" s="131"/>
      <c r="B83" s="131"/>
      <c r="C83" s="131"/>
      <c r="D83" s="131"/>
      <c r="E83" s="131"/>
      <c r="F83" s="131"/>
      <c r="G83" s="131"/>
      <c r="H83" s="131"/>
      <c r="I83" s="131"/>
      <c r="J83" s="131"/>
      <c r="K83" s="131"/>
      <c r="L83" s="131"/>
      <c r="M83" s="131"/>
      <c r="N83" s="131"/>
      <c r="O83" s="131"/>
      <c r="P83" s="131"/>
      <c r="Q83" s="131"/>
      <c r="R83" s="131"/>
      <c r="S83" s="131"/>
      <c r="T83" s="131"/>
      <c r="U83" s="131"/>
      <c r="V83" s="131"/>
      <c r="W83" s="131"/>
      <c r="X83" s="131"/>
      <c r="Y83" s="131"/>
      <c r="Z83" s="131"/>
      <c r="AA83" s="131"/>
      <c r="AB83" s="131"/>
      <c r="AC83" s="131"/>
      <c r="AD83" s="131"/>
      <c r="AE83" s="131"/>
      <c r="AF83" s="131"/>
      <c r="AG83" s="131"/>
      <c r="AH83" s="131"/>
      <c r="AI83" s="131"/>
      <c r="AJ83" s="131"/>
      <c r="AK83" s="131"/>
      <c r="AL83" s="131"/>
      <c r="AM83" s="131"/>
      <c r="AN83" s="131"/>
      <c r="AO83" s="131"/>
      <c r="AP83" s="131"/>
      <c r="AQ83" s="131"/>
      <c r="AR83" s="131"/>
      <c r="AS83" s="131"/>
      <c r="AT83" s="131"/>
      <c r="AU83" s="131"/>
      <c r="AV83" s="131"/>
      <c r="AW83" s="131"/>
    </row>
    <row r="84" spans="1:49" x14ac:dyDescent="0.35">
      <c r="A84" s="131"/>
      <c r="B84" s="131"/>
      <c r="C84" s="131"/>
      <c r="D84" s="131"/>
      <c r="E84" s="131"/>
      <c r="F84" s="131"/>
      <c r="G84" s="131"/>
      <c r="H84" s="131"/>
      <c r="I84" s="131"/>
      <c r="J84" s="131"/>
      <c r="K84" s="131"/>
      <c r="L84" s="131"/>
      <c r="M84" s="131"/>
      <c r="N84" s="131"/>
      <c r="O84" s="131"/>
      <c r="P84" s="131"/>
      <c r="Q84" s="131"/>
      <c r="R84" s="131"/>
      <c r="S84" s="131"/>
      <c r="T84" s="131"/>
      <c r="U84" s="131"/>
      <c r="V84" s="131"/>
      <c r="W84" s="131"/>
      <c r="X84" s="131"/>
      <c r="Y84" s="131"/>
      <c r="Z84" s="131"/>
      <c r="AA84" s="131"/>
      <c r="AB84" s="131"/>
      <c r="AC84" s="131"/>
      <c r="AD84" s="131"/>
      <c r="AE84" s="131"/>
      <c r="AF84" s="131"/>
      <c r="AG84" s="131"/>
      <c r="AH84" s="131"/>
      <c r="AI84" s="131"/>
      <c r="AJ84" s="131"/>
      <c r="AK84" s="131"/>
      <c r="AL84" s="131"/>
      <c r="AM84" s="131"/>
      <c r="AN84" s="131"/>
      <c r="AO84" s="131"/>
      <c r="AP84" s="131"/>
      <c r="AQ84" s="131"/>
      <c r="AR84" s="131"/>
      <c r="AS84" s="131"/>
      <c r="AT84" s="131"/>
      <c r="AU84" s="131"/>
      <c r="AV84" s="131"/>
      <c r="AW84" s="131"/>
    </row>
    <row r="85" spans="1:49" x14ac:dyDescent="0.35">
      <c r="A85" s="131"/>
      <c r="B85" s="131"/>
      <c r="C85" s="131"/>
      <c r="D85" s="131"/>
      <c r="E85" s="131"/>
      <c r="F85" s="131"/>
      <c r="G85" s="131"/>
      <c r="H85" s="131"/>
      <c r="I85" s="131"/>
      <c r="J85" s="131"/>
      <c r="K85" s="131"/>
      <c r="L85" s="131"/>
      <c r="M85" s="131"/>
      <c r="N85" s="131"/>
      <c r="O85" s="131"/>
      <c r="P85" s="131"/>
      <c r="Q85" s="131"/>
      <c r="R85" s="131"/>
      <c r="S85" s="131"/>
      <c r="T85" s="131"/>
      <c r="U85" s="131"/>
      <c r="V85" s="131"/>
      <c r="W85" s="131"/>
      <c r="X85" s="131"/>
      <c r="Y85" s="131"/>
      <c r="Z85" s="131"/>
      <c r="AA85" s="131"/>
      <c r="AB85" s="131"/>
      <c r="AC85" s="131"/>
      <c r="AD85" s="131"/>
      <c r="AE85" s="131"/>
      <c r="AF85" s="131"/>
      <c r="AG85" s="131"/>
      <c r="AH85" s="131"/>
      <c r="AI85" s="131"/>
      <c r="AJ85" s="131"/>
      <c r="AK85" s="131"/>
      <c r="AL85" s="131"/>
      <c r="AM85" s="131"/>
      <c r="AN85" s="131"/>
      <c r="AO85" s="131"/>
      <c r="AP85" s="131"/>
      <c r="AQ85" s="131"/>
      <c r="AR85" s="131"/>
      <c r="AS85" s="131"/>
      <c r="AT85" s="131"/>
      <c r="AU85" s="131"/>
      <c r="AV85" s="131"/>
      <c r="AW85" s="131"/>
    </row>
    <row r="86" spans="1:49" x14ac:dyDescent="0.35">
      <c r="A86" s="131"/>
      <c r="B86" s="131"/>
      <c r="C86" s="131"/>
      <c r="D86" s="131"/>
      <c r="E86" s="131"/>
      <c r="F86" s="131"/>
      <c r="G86" s="131"/>
      <c r="H86" s="131"/>
      <c r="I86" s="131"/>
      <c r="J86" s="131"/>
      <c r="K86" s="131"/>
      <c r="L86" s="131"/>
      <c r="M86" s="131"/>
      <c r="N86" s="131"/>
      <c r="O86" s="131"/>
      <c r="P86" s="131"/>
      <c r="Q86" s="131"/>
      <c r="R86" s="131"/>
      <c r="S86" s="131"/>
      <c r="T86" s="131"/>
      <c r="U86" s="131"/>
      <c r="V86" s="131"/>
      <c r="W86" s="131"/>
      <c r="X86" s="131"/>
      <c r="Y86" s="131"/>
      <c r="Z86" s="131"/>
      <c r="AA86" s="131"/>
      <c r="AB86" s="131"/>
      <c r="AC86" s="131"/>
      <c r="AD86" s="131"/>
      <c r="AE86" s="131"/>
      <c r="AF86" s="131"/>
      <c r="AG86" s="131"/>
      <c r="AH86" s="131"/>
      <c r="AI86" s="131"/>
      <c r="AJ86" s="131"/>
      <c r="AK86" s="131"/>
      <c r="AL86" s="131"/>
      <c r="AM86" s="131"/>
      <c r="AN86" s="131"/>
      <c r="AO86" s="131"/>
      <c r="AP86" s="131"/>
      <c r="AQ86" s="131"/>
      <c r="AR86" s="131"/>
      <c r="AS86" s="131"/>
      <c r="AT86" s="131"/>
      <c r="AU86" s="131"/>
      <c r="AV86" s="131"/>
      <c r="AW86" s="131"/>
    </row>
    <row r="87" spans="1:49" x14ac:dyDescent="0.35">
      <c r="A87" s="131"/>
      <c r="B87" s="131"/>
      <c r="C87" s="131"/>
      <c r="D87" s="131"/>
      <c r="E87" s="131"/>
      <c r="F87" s="131"/>
      <c r="G87" s="131"/>
      <c r="H87" s="131"/>
      <c r="I87" s="131"/>
      <c r="J87" s="131"/>
      <c r="K87" s="131"/>
      <c r="L87" s="131"/>
      <c r="M87" s="131"/>
      <c r="N87" s="131"/>
      <c r="O87" s="131"/>
      <c r="P87" s="131"/>
      <c r="Q87" s="131"/>
      <c r="R87" s="131"/>
      <c r="S87" s="131"/>
      <c r="T87" s="131"/>
      <c r="U87" s="131"/>
      <c r="V87" s="131"/>
      <c r="W87" s="131"/>
      <c r="X87" s="131"/>
      <c r="Y87" s="131"/>
      <c r="Z87" s="131"/>
      <c r="AA87" s="131"/>
      <c r="AB87" s="131"/>
      <c r="AC87" s="131"/>
      <c r="AD87" s="131"/>
      <c r="AE87" s="131"/>
      <c r="AF87" s="131"/>
      <c r="AG87" s="131"/>
      <c r="AH87" s="131"/>
      <c r="AI87" s="131"/>
      <c r="AJ87" s="131"/>
      <c r="AK87" s="131"/>
      <c r="AL87" s="131"/>
      <c r="AM87" s="131"/>
      <c r="AN87" s="131"/>
      <c r="AO87" s="131"/>
      <c r="AP87" s="131"/>
      <c r="AQ87" s="131"/>
      <c r="AR87" s="131"/>
      <c r="AS87" s="131"/>
      <c r="AT87" s="131"/>
      <c r="AU87" s="131"/>
      <c r="AV87" s="131"/>
      <c r="AW87" s="131"/>
    </row>
    <row r="88" spans="1:49" x14ac:dyDescent="0.35">
      <c r="A88" s="131"/>
      <c r="B88" s="131"/>
      <c r="C88" s="131"/>
      <c r="D88" s="131"/>
      <c r="E88" s="131"/>
      <c r="F88" s="131"/>
      <c r="G88" s="131"/>
      <c r="H88" s="131"/>
      <c r="I88" s="131"/>
      <c r="J88" s="131"/>
      <c r="K88" s="131"/>
      <c r="L88" s="131"/>
      <c r="M88" s="131"/>
      <c r="N88" s="131"/>
      <c r="O88" s="131"/>
      <c r="P88" s="131"/>
      <c r="Q88" s="131"/>
      <c r="R88" s="131"/>
      <c r="S88" s="131"/>
      <c r="T88" s="131"/>
      <c r="U88" s="131"/>
      <c r="V88" s="131"/>
      <c r="W88" s="131"/>
      <c r="X88" s="131"/>
      <c r="Y88" s="131"/>
      <c r="Z88" s="131"/>
      <c r="AA88" s="131"/>
      <c r="AB88" s="131"/>
      <c r="AC88" s="131"/>
      <c r="AD88" s="131"/>
      <c r="AE88" s="131"/>
      <c r="AF88" s="131"/>
      <c r="AG88" s="131"/>
      <c r="AH88" s="131"/>
      <c r="AI88" s="131"/>
      <c r="AJ88" s="131"/>
      <c r="AK88" s="131"/>
      <c r="AL88" s="131"/>
      <c r="AM88" s="131"/>
      <c r="AN88" s="131"/>
      <c r="AO88" s="131"/>
      <c r="AP88" s="131"/>
      <c r="AQ88" s="131"/>
      <c r="AR88" s="131"/>
      <c r="AS88" s="131"/>
      <c r="AT88" s="131"/>
      <c r="AU88" s="131"/>
      <c r="AV88" s="131"/>
      <c r="AW88" s="131"/>
    </row>
    <row r="89" spans="1:49" x14ac:dyDescent="0.35">
      <c r="A89" s="131"/>
      <c r="B89" s="131"/>
      <c r="C89" s="131"/>
      <c r="D89" s="131"/>
      <c r="E89" s="131"/>
      <c r="F89" s="131"/>
      <c r="G89" s="131"/>
      <c r="H89" s="131"/>
      <c r="I89" s="131"/>
      <c r="J89" s="131"/>
      <c r="K89" s="131"/>
      <c r="L89" s="131"/>
      <c r="M89" s="131"/>
      <c r="N89" s="131"/>
      <c r="O89" s="131"/>
      <c r="P89" s="131"/>
      <c r="Q89" s="131"/>
      <c r="R89" s="131"/>
      <c r="S89" s="131"/>
      <c r="T89" s="131"/>
      <c r="U89" s="131"/>
      <c r="V89" s="131"/>
      <c r="W89" s="131"/>
      <c r="X89" s="131"/>
      <c r="Y89" s="131"/>
      <c r="Z89" s="131"/>
      <c r="AA89" s="131"/>
      <c r="AB89" s="131"/>
      <c r="AC89" s="131"/>
      <c r="AD89" s="131"/>
      <c r="AE89" s="131"/>
      <c r="AF89" s="131"/>
      <c r="AG89" s="131"/>
      <c r="AH89" s="131"/>
      <c r="AI89" s="131"/>
      <c r="AJ89" s="131"/>
      <c r="AK89" s="131"/>
      <c r="AL89" s="131"/>
      <c r="AM89" s="131"/>
      <c r="AN89" s="131"/>
      <c r="AO89" s="131"/>
      <c r="AP89" s="131"/>
      <c r="AQ89" s="131"/>
      <c r="AR89" s="131"/>
      <c r="AS89" s="131"/>
      <c r="AT89" s="131"/>
      <c r="AU89" s="131"/>
      <c r="AV89" s="131"/>
      <c r="AW89" s="131"/>
    </row>
    <row r="90" spans="1:49" x14ac:dyDescent="0.35">
      <c r="A90" s="131"/>
      <c r="B90" s="131"/>
      <c r="C90" s="131"/>
      <c r="D90" s="131"/>
      <c r="E90" s="131"/>
      <c r="F90" s="131"/>
      <c r="G90" s="131"/>
      <c r="H90" s="131"/>
      <c r="I90" s="131"/>
      <c r="J90" s="131"/>
      <c r="K90" s="131"/>
      <c r="L90" s="131"/>
      <c r="M90" s="131"/>
      <c r="N90" s="131"/>
      <c r="O90" s="131"/>
      <c r="P90" s="131"/>
      <c r="Q90" s="131"/>
      <c r="R90" s="131"/>
      <c r="S90" s="131"/>
      <c r="T90" s="131"/>
      <c r="U90" s="131"/>
      <c r="V90" s="131"/>
      <c r="W90" s="131"/>
      <c r="X90" s="131"/>
      <c r="Y90" s="131"/>
      <c r="Z90" s="131"/>
      <c r="AA90" s="131"/>
      <c r="AB90" s="131"/>
      <c r="AC90" s="131"/>
      <c r="AD90" s="131"/>
      <c r="AE90" s="131"/>
      <c r="AF90" s="131"/>
      <c r="AG90" s="131"/>
      <c r="AH90" s="131"/>
      <c r="AI90" s="131"/>
      <c r="AJ90" s="131"/>
      <c r="AK90" s="131"/>
      <c r="AL90" s="131"/>
      <c r="AM90" s="131"/>
      <c r="AN90" s="131"/>
      <c r="AO90" s="131"/>
      <c r="AP90" s="131"/>
      <c r="AQ90" s="131"/>
      <c r="AR90" s="131"/>
      <c r="AS90" s="131"/>
      <c r="AT90" s="131"/>
      <c r="AU90" s="131"/>
      <c r="AV90" s="131"/>
      <c r="AW90" s="131"/>
    </row>
    <row r="91" spans="1:49" x14ac:dyDescent="0.35">
      <c r="A91" s="131"/>
      <c r="B91" s="131"/>
      <c r="C91" s="131"/>
      <c r="D91" s="131"/>
      <c r="E91" s="131"/>
      <c r="F91" s="131"/>
      <c r="G91" s="131"/>
      <c r="H91" s="131"/>
      <c r="I91" s="131"/>
      <c r="J91" s="131"/>
      <c r="K91" s="131"/>
      <c r="L91" s="131"/>
      <c r="M91" s="131"/>
      <c r="N91" s="131"/>
      <c r="O91" s="131"/>
      <c r="P91" s="131"/>
      <c r="Q91" s="131"/>
      <c r="R91" s="131"/>
      <c r="S91" s="131"/>
      <c r="T91" s="131"/>
      <c r="U91" s="131"/>
      <c r="V91" s="131"/>
      <c r="W91" s="131"/>
      <c r="X91" s="131"/>
      <c r="Y91" s="131"/>
      <c r="Z91" s="131"/>
      <c r="AA91" s="131"/>
      <c r="AB91" s="131"/>
      <c r="AC91" s="131"/>
      <c r="AD91" s="131"/>
      <c r="AE91" s="131"/>
      <c r="AF91" s="131"/>
      <c r="AG91" s="131"/>
      <c r="AH91" s="131"/>
      <c r="AI91" s="131"/>
      <c r="AJ91" s="131"/>
      <c r="AK91" s="131"/>
      <c r="AL91" s="131"/>
      <c r="AM91" s="131"/>
      <c r="AN91" s="131"/>
      <c r="AO91" s="131"/>
      <c r="AP91" s="131"/>
      <c r="AQ91" s="131"/>
      <c r="AR91" s="131"/>
      <c r="AS91" s="131"/>
      <c r="AT91" s="131"/>
      <c r="AU91" s="131"/>
      <c r="AV91" s="131"/>
      <c r="AW91" s="131"/>
    </row>
    <row r="92" spans="1:49" x14ac:dyDescent="0.35">
      <c r="A92" s="131"/>
      <c r="B92" s="131"/>
      <c r="C92" s="131"/>
      <c r="D92" s="131"/>
      <c r="E92" s="131"/>
      <c r="F92" s="131"/>
      <c r="G92" s="131"/>
      <c r="H92" s="131"/>
      <c r="I92" s="131"/>
      <c r="J92" s="131"/>
      <c r="K92" s="131"/>
      <c r="L92" s="131"/>
      <c r="M92" s="131"/>
      <c r="N92" s="131"/>
      <c r="O92" s="131"/>
      <c r="P92" s="131"/>
      <c r="Q92" s="131"/>
      <c r="R92" s="131"/>
      <c r="S92" s="131"/>
      <c r="T92" s="131"/>
      <c r="U92" s="131"/>
      <c r="V92" s="131"/>
      <c r="W92" s="131"/>
      <c r="X92" s="131"/>
      <c r="Y92" s="131"/>
      <c r="Z92" s="131"/>
      <c r="AA92" s="131"/>
      <c r="AB92" s="131"/>
      <c r="AC92" s="131"/>
      <c r="AD92" s="131"/>
      <c r="AE92" s="131"/>
      <c r="AF92" s="131"/>
      <c r="AG92" s="131"/>
      <c r="AH92" s="131"/>
      <c r="AI92" s="131"/>
      <c r="AJ92" s="131"/>
      <c r="AK92" s="131"/>
      <c r="AL92" s="131"/>
      <c r="AM92" s="131"/>
      <c r="AN92" s="131"/>
      <c r="AO92" s="131"/>
      <c r="AP92" s="131"/>
      <c r="AQ92" s="131"/>
      <c r="AR92" s="131"/>
      <c r="AS92" s="131"/>
      <c r="AT92" s="131"/>
      <c r="AU92" s="131"/>
      <c r="AV92" s="131"/>
      <c r="AW92" s="131"/>
    </row>
  </sheetData>
  <sheetProtection algorithmName="SHA-512" hashValue="bL5E4EwzTeZE9sPak+jPW8zkAO35bvTuauPe+Gk7Cmvgfj4Fg9YoIUlb1sST5GFJvS33IP/LOHPLrdSCtAtOcg==" saltValue="UET1ICobF/jF7bIxpBDRVQ==" spinCount="100000" sheet="1" objects="1" scenarios="1" selectLockedCells="1" selectUnlockedCells="1"/>
  <customSheetViews>
    <customSheetView guid="{33CCADFA-0D48-46A6-8927-2B2144029216}" showGridLines="0" showRowCol="0" outlineSymbols="0" zeroValues="0">
      <pane ySplit="4" topLeftCell="A5" activePane="bottomLeft" state="frozen"/>
      <selection pane="bottomLeft" activeCell="C19" sqref="C19"/>
      <pageMargins left="0.75" right="0.75" top="1" bottom="1" header="0.5" footer="0.5"/>
      <pageSetup paperSize="9" orientation="portrait" blackAndWhite="1" r:id="rId1"/>
      <headerFooter alignWithMargins="0"/>
    </customSheetView>
  </customSheetViews>
  <mergeCells count="1">
    <mergeCell ref="D32:K36"/>
  </mergeCells>
  <phoneticPr fontId="29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Drop Down 2">
              <controlPr defaultSize="0" print="0" autoLine="0" autoPict="0" macro="[0]!MedicatieIV_Vervolgkeuzelijst2_BijWijzigen">
                <anchor moveWithCells="1">
                  <from>
                    <xdr:col>2</xdr:col>
                    <xdr:colOff>28725</xdr:colOff>
                    <xdr:row>8</xdr:row>
                    <xdr:rowOff>47874</xdr:rowOff>
                  </from>
                  <to>
                    <xdr:col>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print="0" autoLine="0" autoPict="0" macro="[0]!MedicatieIV_Vervolgkeuzelijst3_BijWijzigen">
                <anchor moveWithCells="1">
                  <from>
                    <xdr:col>2</xdr:col>
                    <xdr:colOff>28725</xdr:colOff>
                    <xdr:row>9</xdr:row>
                    <xdr:rowOff>47874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print="0" autoLine="0" autoPict="0" macro="[0]!MedicatieIV_Vervolgkeuzelijst4_BijWijzigen">
                <anchor moveWithCells="1">
                  <from>
                    <xdr:col>2</xdr:col>
                    <xdr:colOff>28725</xdr:colOff>
                    <xdr:row>10</xdr:row>
                    <xdr:rowOff>47874</xdr:rowOff>
                  </from>
                  <to>
                    <xdr:col>3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 macro="[0]!MedicatieIV_Vervolgkeuzelijst5_BijWijzigen">
                <anchor moveWithCells="1">
                  <from>
                    <xdr:col>2</xdr:col>
                    <xdr:colOff>28725</xdr:colOff>
                    <xdr:row>11</xdr:row>
                    <xdr:rowOff>47874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Drop Down 6">
              <controlPr defaultSize="0" autoLine="0" autoPict="0" macro="[0]!MedicatieIV_Vervolgkeuzelijst6_BijWijzigen">
                <anchor moveWithCells="1">
                  <from>
                    <xdr:col>2</xdr:col>
                    <xdr:colOff>28725</xdr:colOff>
                    <xdr:row>12</xdr:row>
                    <xdr:rowOff>47874</xdr:rowOff>
                  </from>
                  <to>
                    <xdr:col>3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Drop Down 7">
              <controlPr defaultSize="0" autoLine="0" autoPict="0" macro="[0]!MedicatieIV_Vervolgkeuzelijst7_BijWijzigen">
                <anchor moveWithCells="1">
                  <from>
                    <xdr:col>2</xdr:col>
                    <xdr:colOff>28725</xdr:colOff>
                    <xdr:row>13</xdr:row>
                    <xdr:rowOff>47874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Drop Down 8">
              <controlPr defaultSize="0" autoLine="0" autoPict="0" macro="[0]!Vervolgkeuzelijst8_BijWijzigen">
                <anchor moveWithCells="1">
                  <from>
                    <xdr:col>2</xdr:col>
                    <xdr:colOff>28725</xdr:colOff>
                    <xdr:row>14</xdr:row>
                    <xdr:rowOff>47874</xdr:rowOff>
                  </from>
                  <to>
                    <xdr:col>3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Drop Down 9">
              <controlPr defaultSize="0" autoLine="0" autoPict="0" macro="[0]!Vervolgkeuzelijst9_BijWijzigen">
                <anchor moveWithCells="1">
                  <from>
                    <xdr:col>2</xdr:col>
                    <xdr:colOff>28725</xdr:colOff>
                    <xdr:row>15</xdr:row>
                    <xdr:rowOff>47874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Drop Down 10">
              <controlPr defaultSize="0" autoLine="0" autoPict="0" macro="[0]!Vervolgkeuzelijst10_BijWijzigen">
                <anchor moveWithCells="1">
                  <from>
                    <xdr:col>2</xdr:col>
                    <xdr:colOff>28725</xdr:colOff>
                    <xdr:row>16</xdr:row>
                    <xdr:rowOff>47874</xdr:rowOff>
                  </from>
                  <to>
                    <xdr:col>3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4" name="Drop Down 16">
              <controlPr defaultSize="0" print="0" autoLine="0" autoPict="0">
                <anchor moveWithCells="1">
                  <from>
                    <xdr:col>5</xdr:col>
                    <xdr:colOff>19150</xdr:colOff>
                    <xdr:row>8</xdr:row>
                    <xdr:rowOff>19150</xdr:rowOff>
                  </from>
                  <to>
                    <xdr:col>5</xdr:col>
                    <xdr:colOff>722903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Drop Down 28">
              <controlPr defaultSize="0" autoLine="0" autoPict="0">
                <anchor moveWithCells="1">
                  <from>
                    <xdr:col>5</xdr:col>
                    <xdr:colOff>19150</xdr:colOff>
                    <xdr:row>9</xdr:row>
                    <xdr:rowOff>19150</xdr:rowOff>
                  </from>
                  <to>
                    <xdr:col>5</xdr:col>
                    <xdr:colOff>722903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Drop Down 29">
              <controlPr defaultSize="0" autoLine="0" autoPict="0">
                <anchor moveWithCells="1">
                  <from>
                    <xdr:col>5</xdr:col>
                    <xdr:colOff>19150</xdr:colOff>
                    <xdr:row>10</xdr:row>
                    <xdr:rowOff>19150</xdr:rowOff>
                  </from>
                  <to>
                    <xdr:col>5</xdr:col>
                    <xdr:colOff>722903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Drop Down 30">
              <controlPr defaultSize="0" autoLine="0" autoPict="0">
                <anchor moveWithCells="1">
                  <from>
                    <xdr:col>5</xdr:col>
                    <xdr:colOff>19150</xdr:colOff>
                    <xdr:row>11</xdr:row>
                    <xdr:rowOff>19150</xdr:rowOff>
                  </from>
                  <to>
                    <xdr:col>5</xdr:col>
                    <xdr:colOff>722903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Drop Down 31">
              <controlPr defaultSize="0" print="0" autoLine="0" autoPict="0">
                <anchor moveWithCells="1">
                  <from>
                    <xdr:col>5</xdr:col>
                    <xdr:colOff>19150</xdr:colOff>
                    <xdr:row>12</xdr:row>
                    <xdr:rowOff>19150</xdr:rowOff>
                  </from>
                  <to>
                    <xdr:col>5</xdr:col>
                    <xdr:colOff>722903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Drop Down 32">
              <controlPr defaultSize="0" autoLine="0" autoPict="0">
                <anchor moveWithCells="1">
                  <from>
                    <xdr:col>5</xdr:col>
                    <xdr:colOff>19150</xdr:colOff>
                    <xdr:row>13</xdr:row>
                    <xdr:rowOff>19150</xdr:rowOff>
                  </from>
                  <to>
                    <xdr:col>5</xdr:col>
                    <xdr:colOff>722903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Drop Down 33">
              <controlPr defaultSize="0" autoLine="0" autoPict="0">
                <anchor moveWithCells="1">
                  <from>
                    <xdr:col>5</xdr:col>
                    <xdr:colOff>19150</xdr:colOff>
                    <xdr:row>14</xdr:row>
                    <xdr:rowOff>19150</xdr:rowOff>
                  </from>
                  <to>
                    <xdr:col>5</xdr:col>
                    <xdr:colOff>722903</xdr:colOff>
                    <xdr:row>14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Drop Down 34">
              <controlPr defaultSize="0" autoLine="0" autoPict="0">
                <anchor moveWithCells="1">
                  <from>
                    <xdr:col>5</xdr:col>
                    <xdr:colOff>19150</xdr:colOff>
                    <xdr:row>15</xdr:row>
                    <xdr:rowOff>19150</xdr:rowOff>
                  </from>
                  <to>
                    <xdr:col>5</xdr:col>
                    <xdr:colOff>722903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Drop Down 35">
              <controlPr defaultSize="0" autoLine="0" autoPict="0">
                <anchor moveWithCells="1">
                  <from>
                    <xdr:col>5</xdr:col>
                    <xdr:colOff>19150</xdr:colOff>
                    <xdr:row>16</xdr:row>
                    <xdr:rowOff>19150</xdr:rowOff>
                  </from>
                  <to>
                    <xdr:col>5</xdr:col>
                    <xdr:colOff>722903</xdr:colOff>
                    <xdr:row>16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Drop Down 36">
              <controlPr defaultSize="0" autoLine="0" autoPict="0">
                <anchor moveWithCells="1">
                  <from>
                    <xdr:col>4</xdr:col>
                    <xdr:colOff>703753</xdr:colOff>
                    <xdr:row>21</xdr:row>
                    <xdr:rowOff>0</xdr:rowOff>
                  </from>
                  <to>
                    <xdr:col>5</xdr:col>
                    <xdr:colOff>665453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24" name="Drop Down 37">
              <controlPr defaultSize="0" autoLine="0" autoPict="0">
                <anchor moveWithCells="1">
                  <from>
                    <xdr:col>4</xdr:col>
                    <xdr:colOff>703753</xdr:colOff>
                    <xdr:row>22</xdr:row>
                    <xdr:rowOff>0</xdr:rowOff>
                  </from>
                  <to>
                    <xdr:col>5</xdr:col>
                    <xdr:colOff>665453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25" name="Drop Down 38">
              <controlPr defaultSize="0" autoLine="0" autoPict="0">
                <anchor moveWithCells="1">
                  <from>
                    <xdr:col>4</xdr:col>
                    <xdr:colOff>703753</xdr:colOff>
                    <xdr:row>23</xdr:row>
                    <xdr:rowOff>0</xdr:rowOff>
                  </from>
                  <to>
                    <xdr:col>5</xdr:col>
                    <xdr:colOff>665453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6" name="Spinner 60">
              <controlPr defaultSize="0" autoPict="0">
                <anchor moveWithCells="1" sizeWithCells="1">
                  <from>
                    <xdr:col>4</xdr:col>
                    <xdr:colOff>502681</xdr:colOff>
                    <xdr:row>21</xdr:row>
                    <xdr:rowOff>28725</xdr:rowOff>
                  </from>
                  <to>
                    <xdr:col>4</xdr:col>
                    <xdr:colOff>646304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7" name="Drop Down 63">
              <controlPr defaultSize="0" autoLine="0" autoPict="0">
                <anchor moveWithCells="1">
                  <from>
                    <xdr:col>4</xdr:col>
                    <xdr:colOff>703753</xdr:colOff>
                    <xdr:row>22</xdr:row>
                    <xdr:rowOff>0</xdr:rowOff>
                  </from>
                  <to>
                    <xdr:col>5</xdr:col>
                    <xdr:colOff>665453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8" name="Spinner 64">
              <controlPr defaultSize="0" autoPict="0">
                <anchor moveWithCells="1" sizeWithCells="1">
                  <from>
                    <xdr:col>4</xdr:col>
                    <xdr:colOff>502681</xdr:colOff>
                    <xdr:row>22</xdr:row>
                    <xdr:rowOff>28725</xdr:rowOff>
                  </from>
                  <to>
                    <xdr:col>4</xdr:col>
                    <xdr:colOff>646304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9" name="Drop Down 65">
              <controlPr defaultSize="0" autoLine="0" autoPict="0">
                <anchor moveWithCells="1">
                  <from>
                    <xdr:col>4</xdr:col>
                    <xdr:colOff>703753</xdr:colOff>
                    <xdr:row>23</xdr:row>
                    <xdr:rowOff>0</xdr:rowOff>
                  </from>
                  <to>
                    <xdr:col>5</xdr:col>
                    <xdr:colOff>665453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30" name="Spinner 66">
              <controlPr defaultSize="0" autoPict="0">
                <anchor moveWithCells="1" sizeWithCells="1">
                  <from>
                    <xdr:col>4</xdr:col>
                    <xdr:colOff>502681</xdr:colOff>
                    <xdr:row>23</xdr:row>
                    <xdr:rowOff>28725</xdr:rowOff>
                  </from>
                  <to>
                    <xdr:col>4</xdr:col>
                    <xdr:colOff>646304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31" name="Spinner 67">
              <controlPr defaultSize="0" autoPict="0">
                <anchor moveWithCells="1" sizeWithCells="1">
                  <from>
                    <xdr:col>6</xdr:col>
                    <xdr:colOff>818651</xdr:colOff>
                    <xdr:row>21</xdr:row>
                    <xdr:rowOff>19150</xdr:rowOff>
                  </from>
                  <to>
                    <xdr:col>6</xdr:col>
                    <xdr:colOff>962274</xdr:colOff>
                    <xdr:row>21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2" name="Spinner 68">
              <controlPr defaultSize="0" autoPict="0">
                <anchor moveWithCells="1" sizeWithCells="1">
                  <from>
                    <xdr:col>6</xdr:col>
                    <xdr:colOff>818651</xdr:colOff>
                    <xdr:row>22</xdr:row>
                    <xdr:rowOff>19150</xdr:rowOff>
                  </from>
                  <to>
                    <xdr:col>6</xdr:col>
                    <xdr:colOff>962274</xdr:colOff>
                    <xdr:row>22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3" name="Spinner 69">
              <controlPr defaultSize="0" autoPict="0">
                <anchor moveWithCells="1" sizeWithCells="1">
                  <from>
                    <xdr:col>6</xdr:col>
                    <xdr:colOff>818651</xdr:colOff>
                    <xdr:row>23</xdr:row>
                    <xdr:rowOff>19150</xdr:rowOff>
                  </from>
                  <to>
                    <xdr:col>6</xdr:col>
                    <xdr:colOff>962274</xdr:colOff>
                    <xdr:row>23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4" name="Drop Down 70">
              <controlPr defaultSize="0" autoLine="0" autoPict="0">
                <anchor moveWithCells="1">
                  <from>
                    <xdr:col>4</xdr:col>
                    <xdr:colOff>703753</xdr:colOff>
                    <xdr:row>19</xdr:row>
                    <xdr:rowOff>0</xdr:rowOff>
                  </from>
                  <to>
                    <xdr:col>5</xdr:col>
                    <xdr:colOff>665453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5" name="Spinner 71">
              <controlPr defaultSize="0" autoPict="0">
                <anchor moveWithCells="1" sizeWithCells="1">
                  <from>
                    <xdr:col>4</xdr:col>
                    <xdr:colOff>502681</xdr:colOff>
                    <xdr:row>19</xdr:row>
                    <xdr:rowOff>28725</xdr:rowOff>
                  </from>
                  <to>
                    <xdr:col>4</xdr:col>
                    <xdr:colOff>646304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6" name="Spinner 72">
              <controlPr defaultSize="0" autoPict="0">
                <anchor moveWithCells="1" sizeWithCells="1">
                  <from>
                    <xdr:col>6</xdr:col>
                    <xdr:colOff>818651</xdr:colOff>
                    <xdr:row>19</xdr:row>
                    <xdr:rowOff>19150</xdr:rowOff>
                  </from>
                  <to>
                    <xdr:col>6</xdr:col>
                    <xdr:colOff>962274</xdr:colOff>
                    <xdr:row>19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7" name="Drop Down 73">
              <controlPr defaultSize="0" autoLine="0" autoPict="0">
                <anchor moveWithCells="1">
                  <from>
                    <xdr:col>4</xdr:col>
                    <xdr:colOff>703753</xdr:colOff>
                    <xdr:row>20</xdr:row>
                    <xdr:rowOff>0</xdr:rowOff>
                  </from>
                  <to>
                    <xdr:col>5</xdr:col>
                    <xdr:colOff>665453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8" name="Spinner 74">
              <controlPr defaultSize="0" autoPict="0">
                <anchor moveWithCells="1" sizeWithCells="1">
                  <from>
                    <xdr:col>4</xdr:col>
                    <xdr:colOff>502681</xdr:colOff>
                    <xdr:row>20</xdr:row>
                    <xdr:rowOff>28725</xdr:rowOff>
                  </from>
                  <to>
                    <xdr:col>4</xdr:col>
                    <xdr:colOff>646304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9" name="Spinner 75">
              <controlPr defaultSize="0" autoPict="0">
                <anchor moveWithCells="1" sizeWithCells="1">
                  <from>
                    <xdr:col>6</xdr:col>
                    <xdr:colOff>818651</xdr:colOff>
                    <xdr:row>20</xdr:row>
                    <xdr:rowOff>19150</xdr:rowOff>
                  </from>
                  <to>
                    <xdr:col>6</xdr:col>
                    <xdr:colOff>962274</xdr:colOff>
                    <xdr:row>20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40" name="Drop Down 76">
              <controlPr defaultSize="0" autoLine="0" autoPict="0" macro="[0]!Vervolgkeuzelijst76_BijWijzigen">
                <anchor moveWithCells="1">
                  <from>
                    <xdr:col>2</xdr:col>
                    <xdr:colOff>28725</xdr:colOff>
                    <xdr:row>17</xdr:row>
                    <xdr:rowOff>47874</xdr:rowOff>
                  </from>
                  <to>
                    <xdr:col>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41" name="Drop Down 77">
              <controlPr defaultSize="0" autoLine="0" autoPict="0">
                <anchor moveWithCells="1">
                  <from>
                    <xdr:col>5</xdr:col>
                    <xdr:colOff>19150</xdr:colOff>
                    <xdr:row>17</xdr:row>
                    <xdr:rowOff>19150</xdr:rowOff>
                  </from>
                  <to>
                    <xdr:col>5</xdr:col>
                    <xdr:colOff>722903</xdr:colOff>
                    <xdr:row>17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2" name="Spinner 79">
              <controlPr defaultSize="0" autoPict="0">
                <anchor moveWithCells="1" sizeWithCells="1">
                  <from>
                    <xdr:col>6</xdr:col>
                    <xdr:colOff>1000574</xdr:colOff>
                    <xdr:row>9</xdr:row>
                    <xdr:rowOff>9575</xdr:rowOff>
                  </from>
                  <to>
                    <xdr:col>7</xdr:col>
                    <xdr:colOff>0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3" name="Spinner 80">
              <controlPr defaultSize="0" autoPict="0">
                <anchor moveWithCells="1" sizeWithCells="1">
                  <from>
                    <xdr:col>6</xdr:col>
                    <xdr:colOff>1000574</xdr:colOff>
                    <xdr:row>10</xdr:row>
                    <xdr:rowOff>9575</xdr:rowOff>
                  </from>
                  <to>
                    <xdr:col>7</xdr:col>
                    <xdr:colOff>0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4" name="Spinner 81">
              <controlPr defaultSize="0" autoPict="0">
                <anchor moveWithCells="1" sizeWithCells="1">
                  <from>
                    <xdr:col>6</xdr:col>
                    <xdr:colOff>1000574</xdr:colOff>
                    <xdr:row>11</xdr:row>
                    <xdr:rowOff>9575</xdr:rowOff>
                  </from>
                  <to>
                    <xdr:col>7</xdr:col>
                    <xdr:colOff>0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5" name="Spinner 82">
              <controlPr defaultSize="0" autoPict="0">
                <anchor moveWithCells="1" sizeWithCells="1">
                  <from>
                    <xdr:col>6</xdr:col>
                    <xdr:colOff>1000574</xdr:colOff>
                    <xdr:row>12</xdr:row>
                    <xdr:rowOff>9575</xdr:rowOff>
                  </from>
                  <to>
                    <xdr:col>7</xdr:col>
                    <xdr:colOff>0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6" name="Spinner 83">
              <controlPr defaultSize="0" autoPict="0">
                <anchor moveWithCells="1" sizeWithCells="1">
                  <from>
                    <xdr:col>6</xdr:col>
                    <xdr:colOff>1000574</xdr:colOff>
                    <xdr:row>13</xdr:row>
                    <xdr:rowOff>9575</xdr:rowOff>
                  </from>
                  <to>
                    <xdr:col>7</xdr:col>
                    <xdr:colOff>0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7" name="Spinner 84">
              <controlPr defaultSize="0" autoPict="0">
                <anchor moveWithCells="1" sizeWithCells="1">
                  <from>
                    <xdr:col>6</xdr:col>
                    <xdr:colOff>1000574</xdr:colOff>
                    <xdr:row>14</xdr:row>
                    <xdr:rowOff>9575</xdr:rowOff>
                  </from>
                  <to>
                    <xdr:col>7</xdr:col>
                    <xdr:colOff>0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8" name="Spinner 85">
              <controlPr defaultSize="0" autoPict="0">
                <anchor moveWithCells="1" sizeWithCells="1">
                  <from>
                    <xdr:col>6</xdr:col>
                    <xdr:colOff>1000574</xdr:colOff>
                    <xdr:row>15</xdr:row>
                    <xdr:rowOff>9575</xdr:rowOff>
                  </from>
                  <to>
                    <xdr:col>7</xdr:col>
                    <xdr:colOff>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9" name="Spinner 86">
              <controlPr defaultSize="0" autoPict="0">
                <anchor moveWithCells="1" sizeWithCells="1">
                  <from>
                    <xdr:col>6</xdr:col>
                    <xdr:colOff>1000574</xdr:colOff>
                    <xdr:row>16</xdr:row>
                    <xdr:rowOff>9575</xdr:rowOff>
                  </from>
                  <to>
                    <xdr:col>7</xdr:col>
                    <xdr:colOff>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50" name="Spinner 87">
              <controlPr defaultSize="0" autoPict="0">
                <anchor moveWithCells="1" sizeWithCells="1">
                  <from>
                    <xdr:col>6</xdr:col>
                    <xdr:colOff>1000574</xdr:colOff>
                    <xdr:row>17</xdr:row>
                    <xdr:rowOff>9575</xdr:rowOff>
                  </from>
                  <to>
                    <xdr:col>7</xdr:col>
                    <xdr:colOff>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" r:id="rId51" name="Spinner 112">
              <controlPr defaultSize="0" autoPict="0">
                <anchor moveWithCells="1" sizeWithCells="1">
                  <from>
                    <xdr:col>10</xdr:col>
                    <xdr:colOff>636729</xdr:colOff>
                    <xdr:row>2</xdr:row>
                    <xdr:rowOff>57449</xdr:rowOff>
                  </from>
                  <to>
                    <xdr:col>10</xdr:col>
                    <xdr:colOff>799502</xdr:colOff>
                    <xdr:row>3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2" name="Spinner 114">
              <controlPr defaultSize="0" autoPict="0">
                <anchor moveWithCells="1" sizeWithCells="1">
                  <from>
                    <xdr:col>4</xdr:col>
                    <xdr:colOff>608004</xdr:colOff>
                    <xdr:row>9</xdr:row>
                    <xdr:rowOff>9575</xdr:rowOff>
                  </from>
                  <to>
                    <xdr:col>5</xdr:col>
                    <xdr:colOff>0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53" name="Spinner 115">
              <controlPr defaultSize="0" autoPict="0">
                <anchor moveWithCells="1" sizeWithCells="1">
                  <from>
                    <xdr:col>4</xdr:col>
                    <xdr:colOff>608004</xdr:colOff>
                    <xdr:row>10</xdr:row>
                    <xdr:rowOff>9575</xdr:rowOff>
                  </from>
                  <to>
                    <xdr:col>5</xdr:col>
                    <xdr:colOff>0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54" name="Spinner 116">
              <controlPr defaultSize="0" autoPict="0">
                <anchor moveWithCells="1" sizeWithCells="1">
                  <from>
                    <xdr:col>4</xdr:col>
                    <xdr:colOff>608004</xdr:colOff>
                    <xdr:row>11</xdr:row>
                    <xdr:rowOff>9575</xdr:rowOff>
                  </from>
                  <to>
                    <xdr:col>5</xdr:col>
                    <xdr:colOff>0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" r:id="rId55" name="Spinner 117">
              <controlPr defaultSize="0" autoPict="0">
                <anchor moveWithCells="1" sizeWithCells="1">
                  <from>
                    <xdr:col>4</xdr:col>
                    <xdr:colOff>608004</xdr:colOff>
                    <xdr:row>12</xdr:row>
                    <xdr:rowOff>9575</xdr:rowOff>
                  </from>
                  <to>
                    <xdr:col>5</xdr:col>
                    <xdr:colOff>0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56" name="Spinner 118">
              <controlPr defaultSize="0" autoPict="0">
                <anchor moveWithCells="1" sizeWithCells="1">
                  <from>
                    <xdr:col>4</xdr:col>
                    <xdr:colOff>608004</xdr:colOff>
                    <xdr:row>13</xdr:row>
                    <xdr:rowOff>9575</xdr:rowOff>
                  </from>
                  <to>
                    <xdr:col>5</xdr:col>
                    <xdr:colOff>0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57" name="Spinner 119">
              <controlPr defaultSize="0" autoPict="0">
                <anchor moveWithCells="1" sizeWithCells="1">
                  <from>
                    <xdr:col>4</xdr:col>
                    <xdr:colOff>608004</xdr:colOff>
                    <xdr:row>14</xdr:row>
                    <xdr:rowOff>9575</xdr:rowOff>
                  </from>
                  <to>
                    <xdr:col>5</xdr:col>
                    <xdr:colOff>0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58" name="Spinner 120">
              <controlPr defaultSize="0" autoPict="0">
                <anchor moveWithCells="1" sizeWithCells="1">
                  <from>
                    <xdr:col>4</xdr:col>
                    <xdr:colOff>608004</xdr:colOff>
                    <xdr:row>15</xdr:row>
                    <xdr:rowOff>9575</xdr:rowOff>
                  </from>
                  <to>
                    <xdr:col>5</xdr:col>
                    <xdr:colOff>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9" name="Spinner 121">
              <controlPr defaultSize="0" autoPict="0">
                <anchor moveWithCells="1" sizeWithCells="1">
                  <from>
                    <xdr:col>4</xdr:col>
                    <xdr:colOff>608004</xdr:colOff>
                    <xdr:row>16</xdr:row>
                    <xdr:rowOff>9575</xdr:rowOff>
                  </from>
                  <to>
                    <xdr:col>5</xdr:col>
                    <xdr:colOff>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60" name="Spinner 122">
              <controlPr defaultSize="0" autoPict="0">
                <anchor moveWithCells="1" sizeWithCells="1">
                  <from>
                    <xdr:col>4</xdr:col>
                    <xdr:colOff>608004</xdr:colOff>
                    <xdr:row>17</xdr:row>
                    <xdr:rowOff>9575</xdr:rowOff>
                  </from>
                  <to>
                    <xdr:col>5</xdr:col>
                    <xdr:colOff>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61" name="Spinner 126">
              <controlPr defaultSize="0" autoPict="0">
                <anchor moveWithCells="1" sizeWithCells="1">
                  <from>
                    <xdr:col>3</xdr:col>
                    <xdr:colOff>789927</xdr:colOff>
                    <xdr:row>11</xdr:row>
                    <xdr:rowOff>28725</xdr:rowOff>
                  </from>
                  <to>
                    <xdr:col>4</xdr:col>
                    <xdr:colOff>0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62" name="Spinner 127">
              <controlPr defaultSize="0" autoPict="0">
                <anchor moveWithCells="1" sizeWithCells="1">
                  <from>
                    <xdr:col>3</xdr:col>
                    <xdr:colOff>789927</xdr:colOff>
                    <xdr:row>12</xdr:row>
                    <xdr:rowOff>28725</xdr:rowOff>
                  </from>
                  <to>
                    <xdr:col>4</xdr:col>
                    <xdr:colOff>0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63" name="Spinner 128">
              <controlPr defaultSize="0" autoPict="0">
                <anchor moveWithCells="1" sizeWithCells="1">
                  <from>
                    <xdr:col>3</xdr:col>
                    <xdr:colOff>789927</xdr:colOff>
                    <xdr:row>13</xdr:row>
                    <xdr:rowOff>28725</xdr:rowOff>
                  </from>
                  <to>
                    <xdr:col>4</xdr:col>
                    <xdr:colOff>0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64" name="Spinner 129">
              <controlPr defaultSize="0" autoPict="0">
                <anchor moveWithCells="1" sizeWithCells="1">
                  <from>
                    <xdr:col>3</xdr:col>
                    <xdr:colOff>789927</xdr:colOff>
                    <xdr:row>14</xdr:row>
                    <xdr:rowOff>28725</xdr:rowOff>
                  </from>
                  <to>
                    <xdr:col>4</xdr:col>
                    <xdr:colOff>0</xdr:colOff>
                    <xdr:row>14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65" name="Spinner 130">
              <controlPr defaultSize="0" autoPict="0">
                <anchor moveWithCells="1" sizeWithCells="1">
                  <from>
                    <xdr:col>3</xdr:col>
                    <xdr:colOff>789927</xdr:colOff>
                    <xdr:row>15</xdr:row>
                    <xdr:rowOff>28725</xdr:rowOff>
                  </from>
                  <to>
                    <xdr:col>4</xdr:col>
                    <xdr:colOff>0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66" name="Spinner 131">
              <controlPr defaultSize="0" autoPict="0">
                <anchor moveWithCells="1" sizeWithCells="1">
                  <from>
                    <xdr:col>3</xdr:col>
                    <xdr:colOff>789927</xdr:colOff>
                    <xdr:row>16</xdr:row>
                    <xdr:rowOff>28725</xdr:rowOff>
                  </from>
                  <to>
                    <xdr:col>4</xdr:col>
                    <xdr:colOff>0</xdr:colOff>
                    <xdr:row>16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67" name="Spinner 132">
              <controlPr defaultSize="0" autoPict="0">
                <anchor moveWithCells="1" sizeWithCells="1">
                  <from>
                    <xdr:col>3</xdr:col>
                    <xdr:colOff>789927</xdr:colOff>
                    <xdr:row>17</xdr:row>
                    <xdr:rowOff>28725</xdr:rowOff>
                  </from>
                  <to>
                    <xdr:col>4</xdr:col>
                    <xdr:colOff>0</xdr:colOff>
                    <xdr:row>17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8" name="Spinner 113">
              <controlPr defaultSize="0" autoPict="0">
                <anchor moveWithCells="1" sizeWithCells="1">
                  <from>
                    <xdr:col>4</xdr:col>
                    <xdr:colOff>608004</xdr:colOff>
                    <xdr:row>8</xdr:row>
                    <xdr:rowOff>9575</xdr:rowOff>
                  </from>
                  <to>
                    <xdr:col>5</xdr:col>
                    <xdr:colOff>0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69" name="Spinner 123">
              <controlPr defaultSize="0" autoPict="0">
                <anchor moveWithCells="1" sizeWithCells="1">
                  <from>
                    <xdr:col>3</xdr:col>
                    <xdr:colOff>789927</xdr:colOff>
                    <xdr:row>8</xdr:row>
                    <xdr:rowOff>28725</xdr:rowOff>
                  </from>
                  <to>
                    <xdr:col>4</xdr:col>
                    <xdr:colOff>0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70" name="Spinner 78">
              <controlPr defaultSize="0" autoPict="0">
                <anchor moveWithCells="1" sizeWithCells="1">
                  <from>
                    <xdr:col>6</xdr:col>
                    <xdr:colOff>1000574</xdr:colOff>
                    <xdr:row>8</xdr:row>
                    <xdr:rowOff>9575</xdr:rowOff>
                  </from>
                  <to>
                    <xdr:col>7</xdr:col>
                    <xdr:colOff>0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71" name="Spinner 124">
              <controlPr defaultSize="0" autoPict="0">
                <anchor moveWithCells="1" sizeWithCells="1">
                  <from>
                    <xdr:col>3</xdr:col>
                    <xdr:colOff>789927</xdr:colOff>
                    <xdr:row>9</xdr:row>
                    <xdr:rowOff>28725</xdr:rowOff>
                  </from>
                  <to>
                    <xdr:col>4</xdr:col>
                    <xdr:colOff>0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72" name="Spinner 125">
              <controlPr defaultSize="0" autoPict="0">
                <anchor moveWithCells="1" sizeWithCells="1">
                  <from>
                    <xdr:col>3</xdr:col>
                    <xdr:colOff>789927</xdr:colOff>
                    <xdr:row>10</xdr:row>
                    <xdr:rowOff>28725</xdr:rowOff>
                  </from>
                  <to>
                    <xdr:col>4</xdr:col>
                    <xdr:colOff>0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73" name="Button 133">
              <controlPr defaultSize="0" print="0" autoFill="0" autoPict="0" macro="[0]!MedicatieIV_Vervolgkeuzelijst2_BijWijzigen">
                <anchor moveWithCells="1" sizeWithCells="1">
                  <from>
                    <xdr:col>0</xdr:col>
                    <xdr:colOff>67024</xdr:colOff>
                    <xdr:row>8</xdr:row>
                    <xdr:rowOff>57449</xdr:rowOff>
                  </from>
                  <to>
                    <xdr:col>1</xdr:col>
                    <xdr:colOff>28725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74" name="Button 134">
              <controlPr defaultSize="0" print="0" autoFill="0" autoPict="0" macro="[0]!MedicatieIV_Vervolgkeuzelijst3_BijWijzigen">
                <anchor moveWithCells="1" sizeWithCells="1">
                  <from>
                    <xdr:col>0</xdr:col>
                    <xdr:colOff>67024</xdr:colOff>
                    <xdr:row>9</xdr:row>
                    <xdr:rowOff>47874</xdr:rowOff>
                  </from>
                  <to>
                    <xdr:col>1</xdr:col>
                    <xdr:colOff>28725</xdr:colOff>
                    <xdr:row>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75" name="Button 135">
              <controlPr defaultSize="0" print="0" autoFill="0" autoPict="0" macro="[0]!MedicatieIV_Vervolgkeuzelijst4_BijWijzigen">
                <anchor moveWithCells="1" sizeWithCells="1">
                  <from>
                    <xdr:col>0</xdr:col>
                    <xdr:colOff>67024</xdr:colOff>
                    <xdr:row>10</xdr:row>
                    <xdr:rowOff>57449</xdr:rowOff>
                  </from>
                  <to>
                    <xdr:col>1</xdr:col>
                    <xdr:colOff>28725</xdr:colOff>
                    <xdr:row>10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76" name="Button 136">
              <controlPr defaultSize="0" print="0" autoFill="0" autoPict="0" macro="[0]!MedicatieIV_Vervolgkeuzelijst5_BijWijzigen">
                <anchor moveWithCells="1" sizeWithCells="1">
                  <from>
                    <xdr:col>0</xdr:col>
                    <xdr:colOff>67024</xdr:colOff>
                    <xdr:row>11</xdr:row>
                    <xdr:rowOff>57449</xdr:rowOff>
                  </from>
                  <to>
                    <xdr:col>1</xdr:col>
                    <xdr:colOff>28725</xdr:colOff>
                    <xdr:row>11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77" name="Button 137">
              <controlPr defaultSize="0" print="0" autoFill="0" autoPict="0" macro="[0]!MedicatieIV_Vervolgkeuzelijst6_BijWijzigen">
                <anchor moveWithCells="1" sizeWithCells="1">
                  <from>
                    <xdr:col>0</xdr:col>
                    <xdr:colOff>67024</xdr:colOff>
                    <xdr:row>12</xdr:row>
                    <xdr:rowOff>57449</xdr:rowOff>
                  </from>
                  <to>
                    <xdr:col>1</xdr:col>
                    <xdr:colOff>28725</xdr:colOff>
                    <xdr:row>12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78" name="Button 138">
              <controlPr defaultSize="0" print="0" autoFill="0" autoPict="0" macro="[0]!MedicatieIV_Vervolgkeuzelijst7_BijWijzigen">
                <anchor moveWithCells="1" sizeWithCells="1">
                  <from>
                    <xdr:col>0</xdr:col>
                    <xdr:colOff>67024</xdr:colOff>
                    <xdr:row>13</xdr:row>
                    <xdr:rowOff>57449</xdr:rowOff>
                  </from>
                  <to>
                    <xdr:col>1</xdr:col>
                    <xdr:colOff>28725</xdr:colOff>
                    <xdr:row>13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79" name="Button 139">
              <controlPr defaultSize="0" print="0" autoFill="0" autoPict="0" macro="[0]!Vervolgkeuzelijst8_BijWijzigen">
                <anchor moveWithCells="1" sizeWithCells="1">
                  <from>
                    <xdr:col>0</xdr:col>
                    <xdr:colOff>67024</xdr:colOff>
                    <xdr:row>14</xdr:row>
                    <xdr:rowOff>57449</xdr:rowOff>
                  </from>
                  <to>
                    <xdr:col>1</xdr:col>
                    <xdr:colOff>28725</xdr:colOff>
                    <xdr:row>14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80" name="Button 140">
              <controlPr defaultSize="0" print="0" autoFill="0" autoPict="0" macro="[0]!Vervolgkeuzelijst9_BijWijzigen">
                <anchor moveWithCells="1" sizeWithCells="1">
                  <from>
                    <xdr:col>0</xdr:col>
                    <xdr:colOff>67024</xdr:colOff>
                    <xdr:row>15</xdr:row>
                    <xdr:rowOff>57449</xdr:rowOff>
                  </from>
                  <to>
                    <xdr:col>1</xdr:col>
                    <xdr:colOff>28725</xdr:colOff>
                    <xdr:row>15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81" name="Button 141">
              <controlPr defaultSize="0" print="0" autoFill="0" autoPict="0" macro="[0]!Vervolgkeuzelijst10_BijWijzigen">
                <anchor moveWithCells="1" sizeWithCells="1">
                  <from>
                    <xdr:col>0</xdr:col>
                    <xdr:colOff>67024</xdr:colOff>
                    <xdr:row>16</xdr:row>
                    <xdr:rowOff>57449</xdr:rowOff>
                  </from>
                  <to>
                    <xdr:col>1</xdr:col>
                    <xdr:colOff>28725</xdr:colOff>
                    <xdr:row>16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82" name="Button 142">
              <controlPr defaultSize="0" print="0" autoFill="0" autoPict="0" macro="[0]!Vervolgkeuzelijst76_BijWijzigen">
                <anchor moveWithCells="1" sizeWithCells="1">
                  <from>
                    <xdr:col>0</xdr:col>
                    <xdr:colOff>67024</xdr:colOff>
                    <xdr:row>17</xdr:row>
                    <xdr:rowOff>57449</xdr:rowOff>
                  </from>
                  <to>
                    <xdr:col>1</xdr:col>
                    <xdr:colOff>28725</xdr:colOff>
                    <xdr:row>17</xdr:row>
                    <xdr:rowOff>210647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1" stopIfTrue="1" id="{ABA217F0-E6FE-4538-B727-27A66C400466}">
            <xm:f>IF(C9&lt;&gt;0,IF(H9&gt;=INDEX(tblMedicationContIV,ber_IVmed!$B3,21),TRUE,FALSE),FALSE)</xm:f>
            <x14:dxf>
              <fill>
                <patternFill>
                  <bgColor rgb="FFFF0000"/>
                </patternFill>
              </fill>
            </x14:dxf>
          </x14:cfRule>
          <x14:cfRule type="expression" priority="32" id="{F43BEC40-487F-48BF-A57F-2A457EBC2412}">
            <xm:f>IF(C9&lt;&gt;0,IF(AND(H9&gt;=INDEX(tblMedicationContIV,ber_IVmed!$B3,19),H9&lt;=INDEX(tblMedicationContIV,ber_IVmed!$B3,20)),TRUE,FALSE),TRUE)=FALSE</xm:f>
            <x14:dxf>
              <fill>
                <patternFill patternType="solid">
                  <bgColor rgb="FFFFFF66"/>
                </patternFill>
              </fill>
              <border>
                <left/>
                <right/>
                <top/>
                <bottom/>
              </border>
            </x14:dxf>
          </x14:cfRule>
          <xm:sqref>H9:H18</xm:sqref>
        </x14:conditionalFormatting>
        <x14:conditionalFormatting xmlns:xm="http://schemas.microsoft.com/office/excel/2006/main">
          <x14:cfRule type="expression" priority="20" id="{2CF69B56-ACCB-4090-A0A4-BA7162ACE445}">
            <xm:f>AND(INDEX(tblBerMedContIV,2,3)&gt;0,INDEX(tblBerMedContIV,2,3)&lt;&gt;INDEX(tblMedicationContIV,ber_IVmed!$B3,11))</xm:f>
            <x14:dxf>
              <fill>
                <patternFill>
                  <bgColor theme="3" tint="0.59996337778862885"/>
                </patternFill>
              </fill>
            </x14:dxf>
          </x14:cfRule>
          <xm:sqref>D9</xm:sqref>
        </x14:conditionalFormatting>
        <x14:conditionalFormatting xmlns:xm="http://schemas.microsoft.com/office/excel/2006/main">
          <x14:cfRule type="expression" priority="19" id="{E02ECBA0-CED2-411F-8FCA-199FA8FD845C}">
            <xm:f>AND(INDEX(tblBerMedContIV,3,3)&gt;0,INDEX(tblBerMedContIV,3,3)&lt;&gt;INDEX(tblMedicationContIV,ber_IVmed!$B4,11))</xm:f>
            <x14:dxf>
              <fill>
                <patternFill>
                  <bgColor theme="3" tint="0.59996337778862885"/>
                </patternFill>
              </fill>
            </x14:dxf>
          </x14:cfRule>
          <xm:sqref>D10</xm:sqref>
        </x14:conditionalFormatting>
        <x14:conditionalFormatting xmlns:xm="http://schemas.microsoft.com/office/excel/2006/main">
          <x14:cfRule type="expression" priority="18" id="{9864253C-6AD4-4565-B9F5-31E2518C1F67}">
            <xm:f>AND(INDEX(tblBerMedContIV,4,3)&gt;0,INDEX(tblBerMedContIV,4,3)&lt;&gt;INDEX(tblMedicationContIV,ber_IVmed!$B5,11))</xm:f>
            <x14:dxf>
              <fill>
                <patternFill>
                  <bgColor theme="3" tint="0.59996337778862885"/>
                </patternFill>
              </fill>
            </x14:dxf>
          </x14:cfRule>
          <xm:sqref>D11</xm:sqref>
        </x14:conditionalFormatting>
        <x14:conditionalFormatting xmlns:xm="http://schemas.microsoft.com/office/excel/2006/main">
          <x14:cfRule type="expression" priority="17" id="{BA3533CC-B411-45ED-90D8-08818A88B91F}">
            <xm:f>AND(INDEX(tblBerMedContIV,5,3)&gt;0,INDEX(tblBerMedContIV,5,3)&lt;&gt;INDEX(tblMedicationContIV,ber_IVmed!$B6,11))</xm:f>
            <x14:dxf>
              <fill>
                <patternFill>
                  <bgColor theme="3" tint="0.59996337778862885"/>
                </patternFill>
              </fill>
            </x14:dxf>
          </x14:cfRule>
          <xm:sqref>D12</xm:sqref>
        </x14:conditionalFormatting>
        <x14:conditionalFormatting xmlns:xm="http://schemas.microsoft.com/office/excel/2006/main">
          <x14:cfRule type="expression" priority="16" id="{E54AF02B-5FA2-46BA-B43D-258013272E9E}">
            <xm:f>AND(INDEX(tblBerMedContIV,6,3)&gt;0,INDEX(tblBerMedContIV,6,3)&lt;&gt;INDEX(tblMedicationContIV,ber_IVmed!$B7,11))</xm:f>
            <x14:dxf>
              <fill>
                <patternFill>
                  <bgColor theme="3" tint="0.59996337778862885"/>
                </patternFill>
              </fill>
            </x14:dxf>
          </x14:cfRule>
          <xm:sqref>D13</xm:sqref>
        </x14:conditionalFormatting>
        <x14:conditionalFormatting xmlns:xm="http://schemas.microsoft.com/office/excel/2006/main">
          <x14:cfRule type="expression" priority="15" id="{D7883C89-27AA-4CE4-B473-0370B77D917F}">
            <xm:f>AND(INDEX(tblBerMedContIV,7,3)&gt;0,INDEX(tblBerMedContIV,7,3)&lt;&gt;INDEX(tblMedicationContIV,ber_IVmed!$B8,11))</xm:f>
            <x14:dxf>
              <fill>
                <patternFill>
                  <bgColor theme="3" tint="0.59996337778862885"/>
                </patternFill>
              </fill>
            </x14:dxf>
          </x14:cfRule>
          <xm:sqref>D14</xm:sqref>
        </x14:conditionalFormatting>
        <x14:conditionalFormatting xmlns:xm="http://schemas.microsoft.com/office/excel/2006/main">
          <x14:cfRule type="expression" priority="14" id="{0B4189D0-CEC9-4ED1-B0CA-5BF1776981CC}">
            <xm:f>AND(INDEX(tblBerMedContIV,8,3)&gt;0,INDEX(tblBerMedContIV,8,3)&lt;&gt;INDEX(tblMedicationContIV,ber_IVmed!$B9,11))</xm:f>
            <x14:dxf>
              <fill>
                <patternFill>
                  <bgColor theme="3" tint="0.59996337778862885"/>
                </patternFill>
              </fill>
            </x14:dxf>
          </x14:cfRule>
          <xm:sqref>D15</xm:sqref>
        </x14:conditionalFormatting>
        <x14:conditionalFormatting xmlns:xm="http://schemas.microsoft.com/office/excel/2006/main">
          <x14:cfRule type="expression" priority="13" id="{BD897F85-13FF-4751-B48B-0E7CBF98E47D}">
            <xm:f>AND(INDEX(tblBerMedContIV,9,3)&gt;0,INDEX(tblBerMedContIV,9,3)&lt;&gt;INDEX(tblMedicationContIV,ber_IVmed!$B10,11))</xm:f>
            <x14:dxf>
              <fill>
                <patternFill>
                  <bgColor theme="3" tint="0.59996337778862885"/>
                </patternFill>
              </fill>
            </x14:dxf>
          </x14:cfRule>
          <xm:sqref>D16</xm:sqref>
        </x14:conditionalFormatting>
        <x14:conditionalFormatting xmlns:xm="http://schemas.microsoft.com/office/excel/2006/main">
          <x14:cfRule type="expression" priority="12" id="{1E6D53EC-786E-4251-8956-C7E7249DA22E}">
            <xm:f>AND(INDEX(tblBerMedContIV,10,3)&gt;0,INDEX(tblBerMedContIV,10,3)&lt;&gt;INDEX(tblMedicationContIV,ber_IVmed!$B11,11))</xm:f>
            <x14:dxf>
              <fill>
                <patternFill>
                  <bgColor theme="3" tint="0.59996337778862885"/>
                </patternFill>
              </fill>
            </x14:dxf>
          </x14:cfRule>
          <xm:sqref>D17</xm:sqref>
        </x14:conditionalFormatting>
        <x14:conditionalFormatting xmlns:xm="http://schemas.microsoft.com/office/excel/2006/main">
          <x14:cfRule type="expression" priority="11" id="{2E59F284-E8F1-4F11-8CA1-43131A066A8D}">
            <xm:f>AND(INDEX(tblBerMedContIV,11,3)&gt;0,INDEX(tblBerMedContIV,11,3)&lt;&gt;INDEX(tblMedicationContIV,ber_IVmed!$B12,11))</xm:f>
            <x14:dxf>
              <fill>
                <patternFill>
                  <bgColor theme="3" tint="0.59996337778862885"/>
                </patternFill>
              </fill>
            </x14:dxf>
          </x14:cfRule>
          <xm:sqref>D18</xm:sqref>
        </x14:conditionalFormatting>
        <x14:conditionalFormatting xmlns:xm="http://schemas.microsoft.com/office/excel/2006/main">
          <x14:cfRule type="expression" priority="10" id="{03B938E8-7A28-4ECD-823F-861875FD93E6}">
            <xm:f>AND(INDEX(tblBerMedContIV,2,4)&gt;0,INDEX(tblBerMedContIV,2,4)&lt;&gt;INDEX(tblMedicationContIV,ber_IVmed!$B3,12))</xm:f>
            <x14:dxf>
              <fill>
                <patternFill>
                  <bgColor theme="4" tint="0.59996337778862885"/>
                </patternFill>
              </fill>
            </x14:dxf>
          </x14:cfRule>
          <xm:sqref>E9</xm:sqref>
        </x14:conditionalFormatting>
        <x14:conditionalFormatting xmlns:xm="http://schemas.microsoft.com/office/excel/2006/main">
          <x14:cfRule type="expression" priority="9" id="{7CCED440-0B84-426D-9481-1B1DBE34164F}">
            <xm:f>AND(INDEX(tblBerMedContIV,3,4)&gt;0,INDEX(tblBerMedContIV,3,4)&lt;&gt;INDEX(tblMedicationContIV,ber_IVmed!$B4,12))</xm:f>
            <x14:dxf>
              <fill>
                <patternFill>
                  <bgColor theme="4" tint="0.59996337778862885"/>
                </patternFill>
              </fill>
            </x14:dxf>
          </x14:cfRule>
          <xm:sqref>E10</xm:sqref>
        </x14:conditionalFormatting>
        <x14:conditionalFormatting xmlns:xm="http://schemas.microsoft.com/office/excel/2006/main">
          <x14:cfRule type="expression" priority="8" id="{B9C7EC82-45A2-48EF-B3F9-5D6CFA603B21}">
            <xm:f>AND(INDEX(tblBerMedContIV,4,4)&gt;0,INDEX(tblBerMedContIV,4,4)&lt;&gt;INDEX(tblMedicationContIV,ber_IVmed!$B5,12))</xm:f>
            <x14:dxf>
              <fill>
                <patternFill>
                  <bgColor theme="4" tint="0.59996337778862885"/>
                </patternFill>
              </fill>
            </x14:dxf>
          </x14:cfRule>
          <xm:sqref>E11</xm:sqref>
        </x14:conditionalFormatting>
        <x14:conditionalFormatting xmlns:xm="http://schemas.microsoft.com/office/excel/2006/main">
          <x14:cfRule type="expression" priority="7" id="{02F53408-04A7-4D2E-80D0-B012B719C16B}">
            <xm:f>AND(INDEX(tblBerMedContIV,5,4)&gt;0,INDEX(tblBerMedContIV,5,4)&lt;&gt;INDEX(tblMedicationContIV,ber_IVmed!$B6,12))</xm:f>
            <x14:dxf>
              <fill>
                <patternFill>
                  <bgColor theme="4" tint="0.59996337778862885"/>
                </patternFill>
              </fill>
            </x14:dxf>
          </x14:cfRule>
          <xm:sqref>E12</xm:sqref>
        </x14:conditionalFormatting>
        <x14:conditionalFormatting xmlns:xm="http://schemas.microsoft.com/office/excel/2006/main">
          <x14:cfRule type="expression" priority="6" id="{0B06190E-CA79-4443-A050-C5D1C3310F86}">
            <xm:f>AND(INDEX(tblBerMedContIV,6,4)&gt;0,INDEX(tblBerMedContIV,6,4)&lt;&gt;INDEX(tblMedicationContIV,ber_IVmed!$B7,12))</xm:f>
            <x14:dxf>
              <fill>
                <patternFill>
                  <bgColor theme="4" tint="0.59996337778862885"/>
                </patternFill>
              </fill>
            </x14:dxf>
          </x14:cfRule>
          <xm:sqref>E13</xm:sqref>
        </x14:conditionalFormatting>
        <x14:conditionalFormatting xmlns:xm="http://schemas.microsoft.com/office/excel/2006/main">
          <x14:cfRule type="expression" priority="5" id="{5CF3589E-AEB4-490F-BD5A-1439F330F711}">
            <xm:f>AND(INDEX(tblBerMedContIV,7,4)&gt;0,INDEX(tblBerMedContIV,7,4)&lt;&gt;INDEX(tblMedicationContIV,ber_IVmed!$B8,12))</xm:f>
            <x14:dxf>
              <fill>
                <patternFill>
                  <bgColor theme="4" tint="0.59996337778862885"/>
                </patternFill>
              </fill>
            </x14:dxf>
          </x14:cfRule>
          <xm:sqref>E14</xm:sqref>
        </x14:conditionalFormatting>
        <x14:conditionalFormatting xmlns:xm="http://schemas.microsoft.com/office/excel/2006/main">
          <x14:cfRule type="expression" priority="4" id="{4E85F310-DCA3-4442-A473-473DBDA6FEAD}">
            <xm:f>AND(INDEX(tblBerMedContIV,8,4)&gt;0,INDEX(tblBerMedContIV,8,4)&lt;&gt;INDEX(tblMedicationContIV,ber_IVmed!$B9,12))</xm:f>
            <x14:dxf>
              <fill>
                <patternFill>
                  <bgColor theme="4" tint="0.59996337778862885"/>
                </patternFill>
              </fill>
            </x14:dxf>
          </x14:cfRule>
          <xm:sqref>E15</xm:sqref>
        </x14:conditionalFormatting>
        <x14:conditionalFormatting xmlns:xm="http://schemas.microsoft.com/office/excel/2006/main">
          <x14:cfRule type="expression" priority="3" id="{B3726956-A752-4FD4-AEDB-8A3A08315510}">
            <xm:f>AND(INDEX(tblBerMedContIV,9,4)&gt;0,INDEX(tblBerMedContIV,9,4)&lt;&gt;INDEX(tblMedicationContIV,ber_IVmed!$B10,12))</xm:f>
            <x14:dxf>
              <fill>
                <patternFill>
                  <bgColor theme="4" tint="0.59996337778862885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2" id="{9366E3CA-6DB1-4D80-9849-BA787A8C3330}">
            <xm:f>AND(INDEX(tblBerMedContIV,10,4)&gt;0,INDEX(tblBerMedContIV,10,4)&lt;&gt;INDEX(tblMedicationContIV,ber_IVmed!$B11,12))</xm:f>
            <x14:dxf>
              <fill>
                <patternFill>
                  <bgColor theme="4" tint="0.59996337778862885"/>
                </patternFill>
              </fill>
            </x14:dxf>
          </x14:cfRule>
          <xm:sqref>E17</xm:sqref>
        </x14:conditionalFormatting>
        <x14:conditionalFormatting xmlns:xm="http://schemas.microsoft.com/office/excel/2006/main">
          <x14:cfRule type="expression" priority="1" id="{2FE6E869-C9C1-41D4-B697-2199A02797D2}">
            <xm:f>AND(INDEX(tblBerMedContIV,11,4)&gt;0,INDEX(tblBerMedContIV,11,4)&lt;&gt;INDEX(tblMedicationContIV,ber_IVmed!$B12,12))</xm:f>
            <x14:dxf>
              <fill>
                <patternFill>
                  <bgColor theme="3" tint="0.79998168889431442"/>
                </patternFill>
              </fill>
            </x14:dxf>
          </x14:cfRule>
          <xm:sqref>E18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IVMed">
    <tabColor rgb="FF92D050"/>
  </sheetPr>
  <dimension ref="A1:V27"/>
  <sheetViews>
    <sheetView workbookViewId="0">
      <selection activeCell="G25" sqref="G25"/>
    </sheetView>
  </sheetViews>
  <sheetFormatPr defaultColWidth="9.1328125" defaultRowHeight="12.85" x14ac:dyDescent="0.35"/>
  <cols>
    <col min="1" max="2" width="7.265625" customWidth="1"/>
    <col min="3" max="3" width="13.3984375" customWidth="1"/>
    <col min="4" max="4" width="11.33203125" customWidth="1"/>
    <col min="5" max="5" width="9" customWidth="1"/>
    <col min="6" max="7" width="9.73046875" style="517" bestFit="1" customWidth="1"/>
    <col min="8" max="8" width="7.265625" style="517" customWidth="1"/>
    <col min="9" max="19" width="7.265625" customWidth="1"/>
    <col min="20" max="20" width="9.86328125" bestFit="1" customWidth="1"/>
  </cols>
  <sheetData>
    <row r="1" spans="1:22" s="25" customFormat="1" ht="25.65" x14ac:dyDescent="0.35">
      <c r="A1" s="588" t="s">
        <v>968</v>
      </c>
      <c r="B1" s="25" t="s">
        <v>508</v>
      </c>
      <c r="C1" s="25" t="s">
        <v>962</v>
      </c>
      <c r="D1" s="25" t="s">
        <v>440</v>
      </c>
      <c r="E1" s="264" t="s">
        <v>963</v>
      </c>
      <c r="F1" s="264" t="s">
        <v>2636</v>
      </c>
      <c r="G1" s="264" t="s">
        <v>2637</v>
      </c>
      <c r="H1" s="264" t="s">
        <v>2638</v>
      </c>
      <c r="I1" s="264" t="s">
        <v>964</v>
      </c>
      <c r="J1" s="264" t="s">
        <v>96</v>
      </c>
      <c r="K1" s="264" t="s">
        <v>965</v>
      </c>
      <c r="L1" s="264" t="s">
        <v>966</v>
      </c>
      <c r="M1" s="264" t="s">
        <v>967</v>
      </c>
      <c r="N1" s="25" t="s">
        <v>578</v>
      </c>
      <c r="O1" s="25" t="s">
        <v>472</v>
      </c>
      <c r="P1" s="25" t="s">
        <v>473</v>
      </c>
      <c r="Q1" s="25" t="s">
        <v>839</v>
      </c>
      <c r="R1" s="25" t="s">
        <v>466</v>
      </c>
      <c r="T1" s="25" t="s">
        <v>423</v>
      </c>
    </row>
    <row r="2" spans="1:22" x14ac:dyDescent="0.35">
      <c r="A2">
        <v>0</v>
      </c>
      <c r="B2" s="834">
        <v>0</v>
      </c>
      <c r="C2" s="834">
        <v>1</v>
      </c>
      <c r="D2" s="834">
        <v>0</v>
      </c>
      <c r="E2" s="834">
        <v>0</v>
      </c>
      <c r="F2" s="834"/>
      <c r="G2" s="834"/>
      <c r="H2" s="834" t="str">
        <f t="shared" ref="H2:H12" si="0">IF(B2&gt;1,ROUND(INDEX(tblMedicationContIV,B2,18)*J2/10,3),"")</f>
        <v/>
      </c>
    </row>
    <row r="3" spans="1:22" x14ac:dyDescent="0.35">
      <c r="A3">
        <v>1</v>
      </c>
      <c r="B3" s="834">
        <v>1</v>
      </c>
      <c r="C3" s="834">
        <v>2</v>
      </c>
      <c r="D3" s="834"/>
      <c r="E3" s="834"/>
      <c r="F3" s="834" t="str">
        <f t="shared" ref="F3:F12" si="1">IF(B3&gt;1,IF(D3&gt;0,D3,INDEX(tblMedicationContIV,B3,11)),"")</f>
        <v/>
      </c>
      <c r="G3" s="834" t="str">
        <f t="shared" ref="G3:G12" si="2">IF(B3&gt;1,IF(E3&gt;0,E3,INDEX(tblMedicationContIV,B3,12)),"")</f>
        <v/>
      </c>
      <c r="H3" s="834" t="str">
        <f t="shared" si="0"/>
        <v/>
      </c>
      <c r="I3">
        <v>1</v>
      </c>
      <c r="J3">
        <v>1</v>
      </c>
      <c r="K3">
        <f>IF(MedicatieIV!C9&lt;&gt;0,24*J3/10,0)</f>
        <v>0</v>
      </c>
      <c r="L3">
        <f>IF(ber_IVmed!$I3=3,ber_IVmed!K3*0.05,0)</f>
        <v>0</v>
      </c>
      <c r="M3">
        <f>IF(ber_IVmed!$I3=4,ber_IVmed!K3*0.1,0)</f>
        <v>0</v>
      </c>
      <c r="N3">
        <f>IF(ber_IVmed!$I3=2,ber_IVmed!K3*0.155,0)</f>
        <v>0</v>
      </c>
      <c r="O3">
        <f t="shared" ref="O3:O17" si="3">IF(OR($B3=24),0.5*$K3,IF(B3=4,K3*145/1000,0))</f>
        <v>0</v>
      </c>
      <c r="P3">
        <f>IF(OR($B3=19),0,0)</f>
        <v>0</v>
      </c>
      <c r="Q3">
        <f t="shared" ref="Q3:Q17" si="4">IF(OR($B3=4),0.2*$K3,0)</f>
        <v>0</v>
      </c>
      <c r="R3">
        <f t="shared" ref="R3:R17" si="5">IF(OR(B3=20,B3=21),0.1*K3,0)</f>
        <v>0</v>
      </c>
    </row>
    <row r="4" spans="1:22" x14ac:dyDescent="0.35">
      <c r="A4">
        <v>2</v>
      </c>
      <c r="B4" s="834">
        <v>1</v>
      </c>
      <c r="C4" s="834">
        <v>3</v>
      </c>
      <c r="D4" s="834"/>
      <c r="E4" s="834"/>
      <c r="F4" s="834" t="str">
        <f t="shared" si="1"/>
        <v/>
      </c>
      <c r="G4" s="834" t="str">
        <f t="shared" si="2"/>
        <v/>
      </c>
      <c r="H4" s="834" t="str">
        <f t="shared" si="0"/>
        <v/>
      </c>
      <c r="I4">
        <v>1</v>
      </c>
      <c r="K4">
        <f>IF(MedicatieIV!C10&lt;&gt;0,24*J4/10,0)</f>
        <v>0</v>
      </c>
      <c r="L4">
        <f>IF(ber_IVmed!$I4=3,ber_IVmed!K4*0.05,0)</f>
        <v>0</v>
      </c>
      <c r="M4">
        <f>IF(ber_IVmed!$I4=4,ber_IVmed!K4*0.1,0)</f>
        <v>0</v>
      </c>
      <c r="N4">
        <f>IF(ber_IVmed!$I4=2,ber_IVmed!K4*0.155,0)</f>
        <v>0</v>
      </c>
      <c r="O4">
        <f t="shared" si="3"/>
        <v>0</v>
      </c>
      <c r="P4">
        <f t="shared" ref="P4:P17" si="6">IF(OR($B4=19),0,0)</f>
        <v>0</v>
      </c>
      <c r="Q4">
        <f t="shared" si="4"/>
        <v>0</v>
      </c>
      <c r="R4">
        <f t="shared" si="5"/>
        <v>0</v>
      </c>
      <c r="T4" t="s">
        <v>2244</v>
      </c>
    </row>
    <row r="5" spans="1:22" x14ac:dyDescent="0.35">
      <c r="A5">
        <v>3</v>
      </c>
      <c r="B5" s="834">
        <v>1</v>
      </c>
      <c r="C5" s="834">
        <v>4</v>
      </c>
      <c r="D5" s="834"/>
      <c r="E5" s="834"/>
      <c r="F5" s="834" t="str">
        <f t="shared" si="1"/>
        <v/>
      </c>
      <c r="G5" s="834" t="str">
        <f t="shared" si="2"/>
        <v/>
      </c>
      <c r="H5" s="834" t="str">
        <f t="shared" si="0"/>
        <v/>
      </c>
      <c r="I5">
        <v>1</v>
      </c>
      <c r="K5">
        <f>IF(MedicatieIV!C11&lt;&gt;0,24*J5/10,0)</f>
        <v>0</v>
      </c>
      <c r="L5">
        <f>IF(ber_IVmed!$I5=3,ber_IVmed!K5*0.05,0)</f>
        <v>0</v>
      </c>
      <c r="M5">
        <f>IF(ber_IVmed!$I5=4,ber_IVmed!K5*0.1,0)</f>
        <v>0</v>
      </c>
      <c r="N5">
        <f>IF(ber_IVmed!$I5=2,ber_IVmed!K5*0.155,0)</f>
        <v>0</v>
      </c>
      <c r="O5">
        <f t="shared" si="3"/>
        <v>0</v>
      </c>
      <c r="P5">
        <f t="shared" si="6"/>
        <v>0</v>
      </c>
      <c r="Q5">
        <f t="shared" si="4"/>
        <v>0</v>
      </c>
      <c r="R5">
        <f t="shared" si="5"/>
        <v>0</v>
      </c>
      <c r="T5" t="s">
        <v>579</v>
      </c>
    </row>
    <row r="6" spans="1:22" x14ac:dyDescent="0.35">
      <c r="A6" s="577">
        <v>4</v>
      </c>
      <c r="B6" s="834">
        <v>1</v>
      </c>
      <c r="C6" s="834">
        <v>5</v>
      </c>
      <c r="D6" s="834"/>
      <c r="E6" s="834"/>
      <c r="F6" s="834" t="str">
        <f t="shared" si="1"/>
        <v/>
      </c>
      <c r="G6" s="834" t="str">
        <f t="shared" si="2"/>
        <v/>
      </c>
      <c r="H6" s="834" t="str">
        <f t="shared" si="0"/>
        <v/>
      </c>
      <c r="I6">
        <v>1</v>
      </c>
      <c r="K6">
        <f>IF(MedicatieIV!C12&lt;&gt;0,24*J6/10,0)</f>
        <v>0</v>
      </c>
      <c r="L6">
        <f>IF(ber_IVmed!$I6=3,ber_IVmed!K6*0.05,0)</f>
        <v>0</v>
      </c>
      <c r="M6">
        <f>IF(ber_IVmed!$I6=4,ber_IVmed!K6*0.1,0)</f>
        <v>0</v>
      </c>
      <c r="N6">
        <f>IF(ber_IVmed!$I6=2,ber_IVmed!K6*0.155,0)</f>
        <v>0</v>
      </c>
      <c r="O6">
        <f t="shared" si="3"/>
        <v>0</v>
      </c>
      <c r="P6">
        <f t="shared" si="6"/>
        <v>0</v>
      </c>
      <c r="Q6">
        <f t="shared" si="4"/>
        <v>0</v>
      </c>
      <c r="R6">
        <f t="shared" si="5"/>
        <v>0</v>
      </c>
      <c r="T6" t="s">
        <v>580</v>
      </c>
    </row>
    <row r="7" spans="1:22" x14ac:dyDescent="0.35">
      <c r="A7">
        <v>5</v>
      </c>
      <c r="B7" s="834">
        <v>1</v>
      </c>
      <c r="C7" s="834">
        <v>6</v>
      </c>
      <c r="D7" s="834"/>
      <c r="E7" s="834"/>
      <c r="F7" s="834" t="str">
        <f t="shared" si="1"/>
        <v/>
      </c>
      <c r="G7" s="834" t="str">
        <f t="shared" si="2"/>
        <v/>
      </c>
      <c r="H7" s="834" t="str">
        <f t="shared" si="0"/>
        <v/>
      </c>
      <c r="I7">
        <v>1</v>
      </c>
      <c r="K7">
        <f>IF(MedicatieIV!C13&lt;&gt;0,24*J7/10,0)</f>
        <v>0</v>
      </c>
      <c r="L7">
        <f>IF(ber_IVmed!$I7=3,ber_IVmed!K7*0.05,0)</f>
        <v>0</v>
      </c>
      <c r="M7">
        <f>IF(ber_IVmed!$I7=4,ber_IVmed!K7*0.1,0)</f>
        <v>0</v>
      </c>
      <c r="N7">
        <f>IF(ber_IVmed!$I7=2,ber_IVmed!K7*0.155,0)</f>
        <v>0</v>
      </c>
      <c r="O7">
        <f t="shared" si="3"/>
        <v>0</v>
      </c>
      <c r="P7">
        <f t="shared" si="6"/>
        <v>0</v>
      </c>
      <c r="Q7">
        <f t="shared" si="4"/>
        <v>0</v>
      </c>
      <c r="R7">
        <f t="shared" si="5"/>
        <v>0</v>
      </c>
    </row>
    <row r="8" spans="1:22" x14ac:dyDescent="0.35">
      <c r="A8">
        <v>6</v>
      </c>
      <c r="B8" s="834">
        <v>1</v>
      </c>
      <c r="C8" s="834">
        <v>7</v>
      </c>
      <c r="D8" s="834"/>
      <c r="E8" s="834"/>
      <c r="F8" s="834" t="str">
        <f t="shared" si="1"/>
        <v/>
      </c>
      <c r="G8" s="834" t="str">
        <f t="shared" si="2"/>
        <v/>
      </c>
      <c r="H8" s="834" t="str">
        <f t="shared" si="0"/>
        <v/>
      </c>
      <c r="I8">
        <v>1</v>
      </c>
      <c r="K8">
        <f>IF(MedicatieIV!C14&lt;&gt;0,24*J8/10,0)</f>
        <v>0</v>
      </c>
      <c r="L8">
        <f>IF(ber_IVmed!$I8=3,ber_IVmed!K8*0.05,0)</f>
        <v>0</v>
      </c>
      <c r="M8">
        <f>IF(ber_IVmed!$I8=4,ber_IVmed!K8*0.1,0)</f>
        <v>0</v>
      </c>
      <c r="N8">
        <f>IF(ber_IVmed!$I8=2,ber_IVmed!K8*0.155,0)</f>
        <v>0</v>
      </c>
      <c r="O8">
        <f t="shared" si="3"/>
        <v>0</v>
      </c>
      <c r="P8">
        <f t="shared" si="6"/>
        <v>0</v>
      </c>
      <c r="Q8">
        <f t="shared" si="4"/>
        <v>0</v>
      </c>
      <c r="R8">
        <f t="shared" si="5"/>
        <v>0</v>
      </c>
    </row>
    <row r="9" spans="1:22" x14ac:dyDescent="0.35">
      <c r="A9">
        <v>7</v>
      </c>
      <c r="B9" s="834">
        <v>1</v>
      </c>
      <c r="C9" s="834">
        <v>8</v>
      </c>
      <c r="D9" s="834"/>
      <c r="E9" s="834"/>
      <c r="F9" s="834" t="str">
        <f t="shared" si="1"/>
        <v/>
      </c>
      <c r="G9" s="834" t="str">
        <f t="shared" si="2"/>
        <v/>
      </c>
      <c r="H9" s="834" t="str">
        <f t="shared" si="0"/>
        <v/>
      </c>
      <c r="I9">
        <v>1</v>
      </c>
      <c r="K9">
        <f>IF(MedicatieIV!C15&lt;&gt;0,24*J9/10,0)</f>
        <v>0</v>
      </c>
      <c r="L9">
        <f>IF(ber_IVmed!$I9=3,ber_IVmed!K9*0.05,0)</f>
        <v>0</v>
      </c>
      <c r="M9">
        <f>IF(ber_IVmed!$I9=4,ber_IVmed!K9*0.1,0)</f>
        <v>0</v>
      </c>
      <c r="N9">
        <f>IF(ber_IVmed!$I9=2,ber_IVmed!K9*0.155,0)</f>
        <v>0</v>
      </c>
      <c r="O9">
        <f t="shared" si="3"/>
        <v>0</v>
      </c>
      <c r="P9">
        <f t="shared" si="6"/>
        <v>0</v>
      </c>
      <c r="Q9">
        <f t="shared" si="4"/>
        <v>0</v>
      </c>
      <c r="R9">
        <f t="shared" si="5"/>
        <v>0</v>
      </c>
    </row>
    <row r="10" spans="1:22" x14ac:dyDescent="0.35">
      <c r="A10">
        <v>8</v>
      </c>
      <c r="B10" s="834">
        <v>1</v>
      </c>
      <c r="C10" s="834">
        <v>9</v>
      </c>
      <c r="D10" s="834"/>
      <c r="E10" s="834"/>
      <c r="F10" s="834" t="str">
        <f t="shared" si="1"/>
        <v/>
      </c>
      <c r="G10" s="834" t="str">
        <f t="shared" si="2"/>
        <v/>
      </c>
      <c r="H10" s="834" t="str">
        <f t="shared" si="0"/>
        <v/>
      </c>
      <c r="I10">
        <v>1</v>
      </c>
      <c r="K10">
        <f>IF(MedicatieIV!C16&lt;&gt;0,24*J10/10,0)</f>
        <v>0</v>
      </c>
      <c r="L10">
        <f>IF(ber_IVmed!$I10=3,ber_IVmed!K10*0.05,0)</f>
        <v>0</v>
      </c>
      <c r="M10">
        <f>IF(ber_IVmed!$I10=4,ber_IVmed!K10*0.1,0)</f>
        <v>0</v>
      </c>
      <c r="N10">
        <f>IF(ber_IVmed!$I10=2,ber_IVmed!K10*0.155,0)</f>
        <v>0</v>
      </c>
      <c r="O10">
        <f t="shared" si="3"/>
        <v>0</v>
      </c>
      <c r="P10">
        <f t="shared" si="6"/>
        <v>0</v>
      </c>
      <c r="Q10">
        <f t="shared" si="4"/>
        <v>0</v>
      </c>
      <c r="R10">
        <f t="shared" si="5"/>
        <v>0</v>
      </c>
    </row>
    <row r="11" spans="1:22" x14ac:dyDescent="0.35">
      <c r="A11">
        <v>9</v>
      </c>
      <c r="B11" s="834">
        <v>1</v>
      </c>
      <c r="C11" s="834">
        <v>10</v>
      </c>
      <c r="D11" s="834"/>
      <c r="E11" s="834"/>
      <c r="F11" s="834" t="str">
        <f t="shared" si="1"/>
        <v/>
      </c>
      <c r="G11" s="834" t="str">
        <f t="shared" si="2"/>
        <v/>
      </c>
      <c r="H11" s="834" t="str">
        <f t="shared" si="0"/>
        <v/>
      </c>
      <c r="I11">
        <v>1</v>
      </c>
      <c r="K11">
        <f>IF(MedicatieIV!C17&lt;&gt;0,24*J11/10,0)</f>
        <v>0</v>
      </c>
      <c r="L11">
        <f>IF(ber_IVmed!$I11=3,ber_IVmed!K11*0.05,0)</f>
        <v>0</v>
      </c>
      <c r="M11">
        <f>IF(ber_IVmed!$I11=4,ber_IVmed!K11*0.1,0)</f>
        <v>0</v>
      </c>
      <c r="N11">
        <f>IF(ber_IVmed!$I11=2,ber_IVmed!K11*0.155,0)</f>
        <v>0</v>
      </c>
      <c r="O11">
        <f t="shared" si="3"/>
        <v>0</v>
      </c>
      <c r="P11">
        <f t="shared" si="6"/>
        <v>0</v>
      </c>
      <c r="Q11">
        <f t="shared" si="4"/>
        <v>0</v>
      </c>
      <c r="R11">
        <f t="shared" si="5"/>
        <v>0</v>
      </c>
    </row>
    <row r="12" spans="1:22" x14ac:dyDescent="0.35">
      <c r="A12">
        <v>10</v>
      </c>
      <c r="B12" s="834">
        <v>1</v>
      </c>
      <c r="C12" s="834">
        <v>11</v>
      </c>
      <c r="D12" s="834"/>
      <c r="E12" s="834"/>
      <c r="F12" s="834" t="str">
        <f t="shared" si="1"/>
        <v/>
      </c>
      <c r="G12" s="834" t="str">
        <f t="shared" si="2"/>
        <v/>
      </c>
      <c r="H12" s="834" t="str">
        <f t="shared" si="0"/>
        <v/>
      </c>
      <c r="I12">
        <v>1</v>
      </c>
      <c r="K12">
        <f>IF(MedicatieIV!C18&lt;&gt;0,24*J12/10,0)</f>
        <v>0</v>
      </c>
      <c r="L12">
        <f>IF(ber_IVmed!$I12=3,ber_IVmed!K12*0.05,0)</f>
        <v>0</v>
      </c>
      <c r="M12">
        <f>IF(ber_IVmed!$I12=4,ber_IVmed!K12*0.1,0)</f>
        <v>0</v>
      </c>
      <c r="N12">
        <f>IF(ber_IVmed!$I12=2,ber_IVmed!K12*0.155,0)</f>
        <v>0</v>
      </c>
      <c r="O12">
        <f t="shared" si="3"/>
        <v>0</v>
      </c>
      <c r="P12">
        <f t="shared" si="6"/>
        <v>0</v>
      </c>
      <c r="Q12">
        <f t="shared" si="4"/>
        <v>0</v>
      </c>
      <c r="R12">
        <f t="shared" si="5"/>
        <v>0</v>
      </c>
    </row>
    <row r="13" spans="1:22" x14ac:dyDescent="0.35">
      <c r="A13">
        <v>11</v>
      </c>
      <c r="D13" s="518"/>
      <c r="H13" s="834" t="str">
        <f>IFERROR(ROUND((J13/10)*U13/MedIVMlOpl_11/(Gewicht/10),3)&amp;" "&amp;V13&amp;"/kg/uur "&amp;"("&amp;ROUND((J13/10/60)*U13/MedIVMlOpl_11/(Gewicht/10),3)&amp;" "&amp;V13&amp;"/kg/min)","")</f>
        <v/>
      </c>
      <c r="I13">
        <v>1</v>
      </c>
      <c r="K13">
        <f>IF(MedicatieIV!C20&lt;&gt;"",J13/10*24,0)</f>
        <v>0</v>
      </c>
      <c r="L13">
        <f>IF(ber_IVmed!$I13=3,ber_IVmed!K13*0.05,0)</f>
        <v>0</v>
      </c>
      <c r="M13">
        <f>IF(ber_IVmed!$I13=4,ber_IVmed!K13*0.1,0)</f>
        <v>0</v>
      </c>
      <c r="N13">
        <f>IF(ber_IVmed!$I13=2,ber_IVmed!K13*0.155,0)</f>
        <v>0</v>
      </c>
      <c r="O13">
        <f t="shared" si="3"/>
        <v>0</v>
      </c>
      <c r="P13">
        <f t="shared" si="6"/>
        <v>0</v>
      </c>
      <c r="Q13">
        <f t="shared" si="4"/>
        <v>0</v>
      </c>
      <c r="R13">
        <f t="shared" si="5"/>
        <v>0</v>
      </c>
      <c r="U13" s="517" t="e">
        <f>LEFT(D13,FIND(" ",D13))</f>
        <v>#VALUE!</v>
      </c>
      <c r="V13" s="517" t="e">
        <f>MID(D13, FIND(" ",D13), LEN(D13) - FIND(" ",D13) + 1)</f>
        <v>#VALUE!</v>
      </c>
    </row>
    <row r="14" spans="1:22" x14ac:dyDescent="0.35">
      <c r="A14">
        <v>12</v>
      </c>
      <c r="H14" s="834" t="str">
        <f>IFERROR(ROUND((J14/10)*U14/MedIVMlOpl_11/(Gewicht/10),3)&amp;" "&amp;V14&amp;"/kg/uur "&amp;"("&amp;ROUND((J14/10/60)*U14/MedIVMlOpl_11/(Gewicht/10),3)&amp;" "&amp;V14&amp;"/kg/min)","")</f>
        <v/>
      </c>
      <c r="I14">
        <v>1</v>
      </c>
      <c r="K14">
        <f>IF(MedicatieIV!C21&lt;&gt;"",J14/10*24,0)</f>
        <v>0</v>
      </c>
      <c r="L14">
        <f>IF(ber_IVmed!$I14=3,ber_IVmed!K14*0.05,0)</f>
        <v>0</v>
      </c>
      <c r="M14">
        <f>IF(ber_IVmed!$I14=4,ber_IVmed!K14*0.1,0)</f>
        <v>0</v>
      </c>
      <c r="N14">
        <f>IF(ber_IVmed!$I14=2,ber_IVmed!K14*0.155,0)</f>
        <v>0</v>
      </c>
      <c r="O14">
        <f t="shared" si="3"/>
        <v>0</v>
      </c>
      <c r="P14">
        <f t="shared" si="6"/>
        <v>0</v>
      </c>
      <c r="Q14">
        <f t="shared" si="4"/>
        <v>0</v>
      </c>
      <c r="R14">
        <f t="shared" si="5"/>
        <v>0</v>
      </c>
      <c r="U14" s="517" t="e">
        <f t="shared" ref="U14:U18" si="7">LEFT(D14,FIND(" ",D14))</f>
        <v>#VALUE!</v>
      </c>
      <c r="V14" s="517" t="e">
        <f t="shared" ref="V14:V18" si="8">MID(D14, FIND(" ",D14), LEN(D14) - FIND(" ",D14) + 1)</f>
        <v>#VALUE!</v>
      </c>
    </row>
    <row r="15" spans="1:22" x14ac:dyDescent="0.35">
      <c r="A15">
        <v>13</v>
      </c>
      <c r="H15" s="834" t="str">
        <f>IFERROR(ROUND((J15/10)*U15/MedIVMlOpl_11/(Gewicht/10),3)&amp;" "&amp;V15&amp;"/kg/uur "&amp;"("&amp;ROUND((J15/10/60)*U15/MedIVMlOpl_11/(Gewicht/10),3)&amp;" "&amp;V15&amp;"/kg/min)","")</f>
        <v/>
      </c>
      <c r="I15">
        <v>1</v>
      </c>
      <c r="K15">
        <f>IF(MedicatieIV!C22&lt;&gt;"",J15/10*24,0)</f>
        <v>0</v>
      </c>
      <c r="L15">
        <f>IF(ber_IVmed!$I15=3,ber_IVmed!K15*0.05,0)</f>
        <v>0</v>
      </c>
      <c r="M15">
        <f>IF(ber_IVmed!$I15=4,ber_IVmed!K15*0.1,0)</f>
        <v>0</v>
      </c>
      <c r="N15">
        <f>IF(ber_IVmed!$I15=2,ber_IVmed!K15*0.155,0)</f>
        <v>0</v>
      </c>
      <c r="O15">
        <f t="shared" si="3"/>
        <v>0</v>
      </c>
      <c r="P15">
        <f t="shared" si="6"/>
        <v>0</v>
      </c>
      <c r="Q15">
        <f t="shared" si="4"/>
        <v>0</v>
      </c>
      <c r="R15">
        <f t="shared" si="5"/>
        <v>0</v>
      </c>
      <c r="U15" s="517" t="e">
        <f t="shared" si="7"/>
        <v>#VALUE!</v>
      </c>
      <c r="V15" s="517" t="e">
        <f t="shared" si="8"/>
        <v>#VALUE!</v>
      </c>
    </row>
    <row r="16" spans="1:22" x14ac:dyDescent="0.35">
      <c r="A16">
        <v>14</v>
      </c>
      <c r="H16" s="834" t="str">
        <f>IFERROR(ROUND((J16/10)*U16/MedIVMlOpl_11/(Gewicht/10),3)&amp;" "&amp;V16&amp;"/kg/uur "&amp;"("&amp;ROUND((J16/10/60)*U16/MedIVMlOpl_11/(Gewicht/10),3)&amp;" "&amp;V16&amp;"/kg/min)","")</f>
        <v/>
      </c>
      <c r="I16">
        <v>1</v>
      </c>
      <c r="K16">
        <f>IF(MedicatieIV!C23&lt;&gt;"",J16/10*24,0)</f>
        <v>0</v>
      </c>
      <c r="L16">
        <f>IF(ber_IVmed!$I16=3,ber_IVmed!K16*0.05,0)</f>
        <v>0</v>
      </c>
      <c r="M16">
        <f>IF(ber_IVmed!$I16=4,ber_IVmed!K16*0.1,0)</f>
        <v>0</v>
      </c>
      <c r="N16">
        <f>IF(ber_IVmed!$I16=2,ber_IVmed!K16*0.155,0)</f>
        <v>0</v>
      </c>
      <c r="O16">
        <f t="shared" si="3"/>
        <v>0</v>
      </c>
      <c r="P16">
        <f t="shared" si="6"/>
        <v>0</v>
      </c>
      <c r="Q16">
        <f t="shared" si="4"/>
        <v>0</v>
      </c>
      <c r="R16">
        <f t="shared" si="5"/>
        <v>0</v>
      </c>
      <c r="U16" s="517" t="e">
        <f t="shared" si="7"/>
        <v>#VALUE!</v>
      </c>
      <c r="V16" s="517" t="e">
        <f t="shared" si="8"/>
        <v>#VALUE!</v>
      </c>
    </row>
    <row r="17" spans="1:22" x14ac:dyDescent="0.35">
      <c r="A17">
        <v>15</v>
      </c>
      <c r="H17" s="834" t="str">
        <f>IFERROR(ROUND((J17/10)*U17/MedIVMlOpl_11/(Gewicht/10),3)&amp;" "&amp;V17&amp;"/kg/uur "&amp;"("&amp;ROUND((J17/10/60)*U17/MedIVMlOpl_11/(Gewicht/10),3)&amp;" "&amp;V17&amp;"/kg/min)","")</f>
        <v/>
      </c>
      <c r="I17">
        <v>1</v>
      </c>
      <c r="K17">
        <f>IF(MedicatieIV!C24&lt;&gt;"",J17/10*24,0)</f>
        <v>0</v>
      </c>
      <c r="L17">
        <f>IF(ber_IVmed!$I17=3,ber_IVmed!K17*0.05,0)</f>
        <v>0</v>
      </c>
      <c r="M17">
        <f>IF(ber_IVmed!$I17=4,ber_IVmed!K17*0.1,0)</f>
        <v>0</v>
      </c>
      <c r="N17">
        <f>IF(ber_IVmed!$I17=2,ber_IVmed!K17*0.155,0)</f>
        <v>0</v>
      </c>
      <c r="O17">
        <f t="shared" si="3"/>
        <v>0</v>
      </c>
      <c r="P17">
        <f t="shared" si="6"/>
        <v>0</v>
      </c>
      <c r="Q17">
        <f t="shared" si="4"/>
        <v>0</v>
      </c>
      <c r="R17">
        <f t="shared" si="5"/>
        <v>0</v>
      </c>
      <c r="U17" s="517" t="e">
        <f t="shared" si="7"/>
        <v>#VALUE!</v>
      </c>
      <c r="V17" s="517" t="e">
        <f t="shared" si="8"/>
        <v>#VALUE!</v>
      </c>
    </row>
    <row r="18" spans="1:22" x14ac:dyDescent="0.35">
      <c r="K18">
        <f>SUM(K3:K17)</f>
        <v>0</v>
      </c>
      <c r="L18">
        <f>SUM(L3:L17)</f>
        <v>0</v>
      </c>
      <c r="M18">
        <f>SUM(M3:M17)</f>
        <v>0</v>
      </c>
      <c r="O18">
        <f>SUM(O3:O17)+SUM(N3:N17)</f>
        <v>0</v>
      </c>
      <c r="P18">
        <f>SUM(P3:P17)</f>
        <v>0</v>
      </c>
      <c r="Q18">
        <f>SUM(Q3:Q17)</f>
        <v>0</v>
      </c>
      <c r="R18">
        <f>SUM(R3:R17)</f>
        <v>0</v>
      </c>
      <c r="U18" s="517" t="e">
        <f t="shared" si="7"/>
        <v>#VALUE!</v>
      </c>
      <c r="V18" s="517" t="e">
        <f t="shared" si="8"/>
        <v>#VALUE!</v>
      </c>
    </row>
    <row r="23" spans="1:22" x14ac:dyDescent="0.35">
      <c r="B23" t="s">
        <v>2635</v>
      </c>
    </row>
    <row r="26" spans="1:22" x14ac:dyDescent="0.35">
      <c r="B26" s="518" t="s">
        <v>2647</v>
      </c>
      <c r="C26" t="str">
        <f>LEFT(B26,FIND(" ",B26))</f>
        <v xml:space="preserve">100 </v>
      </c>
      <c r="D26" t="str">
        <f>MID(B26, FIND(" ",B26), LEN(B26) - FIND(" ",B26) + 1)</f>
        <v xml:space="preserve"> mcg</v>
      </c>
    </row>
    <row r="27" spans="1:22" x14ac:dyDescent="0.35">
      <c r="D27" s="518"/>
    </row>
  </sheetData>
  <customSheetViews>
    <customSheetView guid="{33CCADFA-0D48-46A6-8927-2B2144029216}" state="veryHidden">
      <selection activeCell="D13" sqref="D13"/>
      <pageMargins left="0.53" right="0.22" top="1.06" bottom="1" header="0.5" footer="0.5"/>
      <printOptions gridLines="1"/>
      <pageSetup paperSize="9" orientation="landscape" r:id="rId1"/>
      <headerFooter alignWithMargins="0"/>
    </customSheetView>
  </customSheetViews>
  <phoneticPr fontId="29" type="noConversion"/>
  <printOptions gridLines="1"/>
  <pageMargins left="0.53" right="0.22" top="1.06" bottom="1" header="0.5" footer="0.5"/>
  <pageSetup paperSize="9" orientation="landscape" r:id="rId2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blMedicatieIV">
    <tabColor rgb="FFFFC000"/>
  </sheetPr>
  <dimension ref="A1:W35"/>
  <sheetViews>
    <sheetView workbookViewId="0">
      <pane xSplit="2" ySplit="2" topLeftCell="J3" activePane="bottomRight" state="frozen"/>
      <selection activeCell="A6" sqref="A6"/>
      <selection pane="topRight" activeCell="A6" sqref="A6"/>
      <selection pane="bottomLeft" activeCell="A6" sqref="A6"/>
      <selection pane="bottomRight" activeCell="S28" sqref="S28"/>
    </sheetView>
  </sheetViews>
  <sheetFormatPr defaultColWidth="9.1328125" defaultRowHeight="12.85" x14ac:dyDescent="0.35"/>
  <cols>
    <col min="1" max="1" width="5" style="518" customWidth="1"/>
    <col min="2" max="2" width="23.1328125" style="518" customWidth="1"/>
    <col min="3" max="3" width="13.3984375" style="518" customWidth="1"/>
    <col min="4" max="4" width="23.59765625" style="518" customWidth="1"/>
    <col min="5" max="5" width="7.265625" style="518" customWidth="1"/>
    <col min="6" max="11" width="7.73046875" style="518" customWidth="1"/>
    <col min="12" max="19" width="8.73046875" style="518" customWidth="1"/>
    <col min="20" max="20" width="14.1328125" style="518" bestFit="1" customWidth="1"/>
    <col min="21" max="21" width="14.73046875" style="518" bestFit="1" customWidth="1"/>
    <col min="22" max="22" width="17.265625" style="518" bestFit="1" customWidth="1"/>
    <col min="23" max="23" width="9.86328125" style="518" bestFit="1" customWidth="1"/>
    <col min="24" max="16384" width="9.1328125" style="518"/>
  </cols>
  <sheetData>
    <row r="1" spans="1:23" x14ac:dyDescent="0.35">
      <c r="A1" s="583"/>
      <c r="F1" s="518" t="s">
        <v>939</v>
      </c>
      <c r="H1" s="518" t="s">
        <v>940</v>
      </c>
      <c r="J1" s="263" t="s">
        <v>941</v>
      </c>
      <c r="L1" s="518" t="s">
        <v>957</v>
      </c>
      <c r="N1" s="518" t="s">
        <v>958</v>
      </c>
      <c r="P1" s="518" t="s">
        <v>959</v>
      </c>
    </row>
    <row r="2" spans="1:23" x14ac:dyDescent="0.35">
      <c r="B2" s="518" t="s">
        <v>942</v>
      </c>
      <c r="C2" s="518" t="s">
        <v>943</v>
      </c>
      <c r="D2" s="518" t="s">
        <v>944</v>
      </c>
      <c r="E2" s="518" t="s">
        <v>945</v>
      </c>
      <c r="F2" s="518" t="s">
        <v>946</v>
      </c>
      <c r="G2" s="518" t="s">
        <v>947</v>
      </c>
      <c r="H2" s="518" t="s">
        <v>946</v>
      </c>
      <c r="I2" s="518" t="s">
        <v>947</v>
      </c>
      <c r="J2" s="518" t="s">
        <v>946</v>
      </c>
      <c r="K2" s="518" t="s">
        <v>947</v>
      </c>
      <c r="L2" s="518" t="s">
        <v>946</v>
      </c>
      <c r="M2" s="518" t="s">
        <v>947</v>
      </c>
      <c r="N2" s="518" t="s">
        <v>946</v>
      </c>
      <c r="O2" s="518" t="s">
        <v>947</v>
      </c>
      <c r="P2" s="518" t="s">
        <v>946</v>
      </c>
      <c r="Q2" s="518" t="s">
        <v>947</v>
      </c>
      <c r="R2" s="518" t="s">
        <v>955</v>
      </c>
      <c r="S2" s="518" t="s">
        <v>956</v>
      </c>
      <c r="T2" s="518" t="s">
        <v>999</v>
      </c>
      <c r="U2" s="518" t="s">
        <v>1000</v>
      </c>
      <c r="V2" s="518" t="s">
        <v>2254</v>
      </c>
      <c r="W2" s="518" t="s">
        <v>2270</v>
      </c>
    </row>
    <row r="3" spans="1:23" x14ac:dyDescent="0.35">
      <c r="A3" s="518">
        <v>1</v>
      </c>
      <c r="W3" s="518">
        <v>1</v>
      </c>
    </row>
    <row r="4" spans="1:23" x14ac:dyDescent="0.35">
      <c r="A4" s="518">
        <v>2</v>
      </c>
      <c r="B4" s="518" t="s">
        <v>453</v>
      </c>
      <c r="C4" s="263" t="s">
        <v>891</v>
      </c>
      <c r="D4" s="263" t="str">
        <f>CONCATENATE(T4,"-",U4," ",C4)</f>
        <v>0,05-0,5 mcg/kg/min</v>
      </c>
      <c r="E4" s="263" t="s">
        <v>364</v>
      </c>
      <c r="F4" s="518">
        <v>1</v>
      </c>
      <c r="G4" s="518">
        <v>50</v>
      </c>
      <c r="H4" s="518">
        <v>2</v>
      </c>
      <c r="I4" s="518">
        <v>50</v>
      </c>
      <c r="J4" s="706">
        <v>5</v>
      </c>
      <c r="K4" s="706">
        <v>50</v>
      </c>
      <c r="L4" s="518">
        <f t="shared" ref="L4:L34" si="0">IF(Gewicht/10&lt;6,F4,IF(Gewicht/10&lt;11,H4,J4))</f>
        <v>2</v>
      </c>
      <c r="M4" s="518">
        <f t="shared" ref="M4:M34" si="1">IF(Gewicht/10&lt;6,G4,IF(Gewicht/10&lt;11,I4,K4))</f>
        <v>50</v>
      </c>
      <c r="N4" s="518">
        <f t="shared" ref="N4" si="2">INDEX(tblBerMedContIV,IFERROR(VLOOKUP(A4,tblBerMedContIV,2,FALSE),1),3)</f>
        <v>0</v>
      </c>
      <c r="O4" s="518">
        <f t="shared" ref="O4" si="3">INDEX(tblBerMedContIV,IFERROR(VLOOKUP(A4,tblBerMedContIV,2,FALSE),1),4)</f>
        <v>0</v>
      </c>
      <c r="P4" s="518">
        <f>IF(N4&gt;0,N4,L4)</f>
        <v>2</v>
      </c>
      <c r="Q4" s="518">
        <f>IF(O4&gt;0,O4,M4)</f>
        <v>50</v>
      </c>
      <c r="R4" s="518">
        <v>10</v>
      </c>
      <c r="S4" s="518">
        <f>IF(Q4&gt;0,ROUND(1000*R4/10*(P4/Q4)/(Gewicht/10)/60,3),0)</f>
        <v>6.7000000000000004E-2</v>
      </c>
      <c r="T4" s="263">
        <v>0.05</v>
      </c>
      <c r="U4" s="263">
        <v>0.5</v>
      </c>
      <c r="V4" s="518">
        <v>1</v>
      </c>
      <c r="W4" s="518">
        <v>1</v>
      </c>
    </row>
    <row r="5" spans="1:23" x14ac:dyDescent="0.35">
      <c r="A5" s="518">
        <v>3</v>
      </c>
      <c r="B5" s="263" t="s">
        <v>249</v>
      </c>
      <c r="C5" s="263" t="s">
        <v>738</v>
      </c>
      <c r="D5" s="263" t="str">
        <f t="shared" ref="D5:D10" si="4">CONCATENATE(T5,"-",U5," ",C5)</f>
        <v>1-2 gram/kg/dag</v>
      </c>
      <c r="E5" s="263" t="s">
        <v>130</v>
      </c>
      <c r="F5" s="518">
        <v>0.2</v>
      </c>
      <c r="G5" s="518">
        <v>1</v>
      </c>
      <c r="H5" s="518">
        <v>0.2</v>
      </c>
      <c r="I5" s="518">
        <v>1</v>
      </c>
      <c r="J5" s="706">
        <v>0.2</v>
      </c>
      <c r="K5" s="706">
        <v>1</v>
      </c>
      <c r="L5" s="518">
        <f t="shared" si="0"/>
        <v>0.2</v>
      </c>
      <c r="M5" s="518">
        <f t="shared" si="1"/>
        <v>1</v>
      </c>
      <c r="N5" s="518">
        <f t="shared" ref="N5:N34" si="5">INDEX(tblBerMedContIV,IFERROR(VLOOKUP(A5,tblBerMedContIV,2,FALSE),1),3)</f>
        <v>0</v>
      </c>
      <c r="O5" s="518">
        <f>INDEX(tblBerMedContIV,IFERROR(VLOOKUP(A5,tblBerMedContIV,2,FALSE),1),4)</f>
        <v>0</v>
      </c>
      <c r="P5" s="518">
        <f t="shared" ref="P5:P34" si="6">IF(N5&gt;0,N5,L5)</f>
        <v>0.2</v>
      </c>
      <c r="Q5" s="518">
        <f t="shared" ref="Q5:Q34" si="7">IF(O5&gt;0,O5,M5)</f>
        <v>1</v>
      </c>
      <c r="R5" s="518">
        <v>10</v>
      </c>
      <c r="S5" s="518">
        <f>IF(Q5&gt;0,ROUND(24*(R5/10)*(P5/Q5)/(Gewicht/10),3),0)</f>
        <v>0.48</v>
      </c>
      <c r="T5" s="518">
        <v>1</v>
      </c>
      <c r="U5" s="518">
        <v>2</v>
      </c>
      <c r="V5" s="518">
        <v>4</v>
      </c>
      <c r="W5" s="518">
        <v>1</v>
      </c>
    </row>
    <row r="6" spans="1:23" x14ac:dyDescent="0.35">
      <c r="A6" s="583">
        <v>4</v>
      </c>
      <c r="B6" s="263" t="s">
        <v>326</v>
      </c>
      <c r="C6" s="263" t="s">
        <v>892</v>
      </c>
      <c r="D6" s="263" t="str">
        <f t="shared" si="4"/>
        <v>10-50 nanog/kg/min</v>
      </c>
      <c r="E6" s="518" t="s">
        <v>364</v>
      </c>
      <c r="F6" s="518">
        <v>0.2</v>
      </c>
      <c r="G6" s="518">
        <v>50</v>
      </c>
      <c r="L6" s="518">
        <f t="shared" si="0"/>
        <v>0</v>
      </c>
      <c r="M6" s="518">
        <f t="shared" si="1"/>
        <v>0</v>
      </c>
      <c r="N6" s="518">
        <f t="shared" si="5"/>
        <v>0</v>
      </c>
      <c r="O6" s="518">
        <f t="shared" ref="O6:O34" si="8">INDEX(tblBerMedContIV,IFERROR(VLOOKUP(A6,tblBerMedContIV,2,FALSE),1),4)</f>
        <v>0</v>
      </c>
      <c r="P6" s="518">
        <f t="shared" si="6"/>
        <v>0</v>
      </c>
      <c r="Q6" s="518">
        <f t="shared" si="7"/>
        <v>0</v>
      </c>
      <c r="R6" s="518">
        <v>10</v>
      </c>
      <c r="S6" s="518">
        <f>IF(Q6&gt;0,ROUND(1000*1000*R6/10*(P6/Q6)/(Gewicht/10)/60,3),0)</f>
        <v>0</v>
      </c>
      <c r="T6" s="518">
        <v>10</v>
      </c>
      <c r="U6" s="518">
        <v>50</v>
      </c>
      <c r="V6" s="518">
        <v>100</v>
      </c>
      <c r="W6" s="518">
        <v>1</v>
      </c>
    </row>
    <row r="7" spans="1:23" x14ac:dyDescent="0.35">
      <c r="A7" s="518">
        <v>5</v>
      </c>
      <c r="B7" s="518" t="s">
        <v>906</v>
      </c>
      <c r="C7" s="263" t="s">
        <v>891</v>
      </c>
      <c r="D7" s="263" t="str">
        <f t="shared" si="4"/>
        <v>5-15 mcg/kg/min</v>
      </c>
      <c r="E7" s="263" t="s">
        <v>364</v>
      </c>
      <c r="F7" s="518">
        <v>50</v>
      </c>
      <c r="G7" s="518">
        <v>50</v>
      </c>
      <c r="H7" s="518">
        <v>150</v>
      </c>
      <c r="I7" s="518">
        <v>50</v>
      </c>
      <c r="J7" s="706">
        <v>300</v>
      </c>
      <c r="K7" s="706">
        <v>50</v>
      </c>
      <c r="L7" s="518">
        <f t="shared" si="0"/>
        <v>150</v>
      </c>
      <c r="M7" s="518">
        <f t="shared" si="1"/>
        <v>50</v>
      </c>
      <c r="N7" s="518">
        <f t="shared" si="5"/>
        <v>0</v>
      </c>
      <c r="O7" s="518">
        <f t="shared" si="8"/>
        <v>0</v>
      </c>
      <c r="P7" s="518">
        <f t="shared" si="6"/>
        <v>150</v>
      </c>
      <c r="Q7" s="518">
        <f t="shared" si="7"/>
        <v>50</v>
      </c>
      <c r="R7" s="518">
        <v>10</v>
      </c>
      <c r="S7" s="518">
        <f>IF(Q7&gt;0,ROUND(1000*R7/10*(P7/Q7)/(Gewicht/10)/60,3),0)</f>
        <v>5</v>
      </c>
      <c r="T7" s="518">
        <v>5</v>
      </c>
      <c r="U7" s="518">
        <v>15</v>
      </c>
      <c r="V7" s="518">
        <v>25</v>
      </c>
      <c r="W7" s="518">
        <v>1</v>
      </c>
    </row>
    <row r="8" spans="1:23" x14ac:dyDescent="0.35">
      <c r="A8" s="518">
        <v>6</v>
      </c>
      <c r="B8" s="518" t="s">
        <v>85</v>
      </c>
      <c r="C8" s="263" t="s">
        <v>424</v>
      </c>
      <c r="D8" s="263" t="str">
        <f t="shared" si="4"/>
        <v>0,25-2 mcg/kg/uur</v>
      </c>
      <c r="E8" s="263" t="s">
        <v>364</v>
      </c>
      <c r="F8" s="518">
        <v>0.15</v>
      </c>
      <c r="G8" s="263">
        <v>50</v>
      </c>
      <c r="H8" s="518">
        <v>0.3</v>
      </c>
      <c r="I8" s="518">
        <v>50</v>
      </c>
      <c r="J8" s="706">
        <v>0.6</v>
      </c>
      <c r="K8" s="706">
        <v>50</v>
      </c>
      <c r="L8" s="518">
        <f t="shared" si="0"/>
        <v>0.3</v>
      </c>
      <c r="M8" s="518">
        <f t="shared" si="1"/>
        <v>50</v>
      </c>
      <c r="N8" s="518">
        <f t="shared" si="5"/>
        <v>0</v>
      </c>
      <c r="O8" s="518">
        <f t="shared" si="8"/>
        <v>0</v>
      </c>
      <c r="P8" s="518">
        <f t="shared" si="6"/>
        <v>0.3</v>
      </c>
      <c r="Q8" s="518">
        <f t="shared" si="7"/>
        <v>50</v>
      </c>
      <c r="R8" s="518">
        <v>10</v>
      </c>
      <c r="S8" s="518">
        <f>IF(Q8&gt;0,ROUND(1000*R8/10*(P8/Q8)/(Gewicht/10),3),0)</f>
        <v>0.6</v>
      </c>
      <c r="T8" s="518">
        <v>0.25</v>
      </c>
      <c r="U8" s="518">
        <v>2</v>
      </c>
      <c r="V8" s="518">
        <v>3</v>
      </c>
      <c r="W8" s="518">
        <v>2</v>
      </c>
    </row>
    <row r="9" spans="1:23" x14ac:dyDescent="0.35">
      <c r="A9" s="518">
        <v>7</v>
      </c>
      <c r="B9" s="263" t="s">
        <v>683</v>
      </c>
      <c r="C9" s="263" t="s">
        <v>891</v>
      </c>
      <c r="D9" s="263" t="str">
        <f t="shared" si="4"/>
        <v>1-20 mcg/kg/min</v>
      </c>
      <c r="E9" s="263" t="s">
        <v>364</v>
      </c>
      <c r="F9" s="518">
        <v>80</v>
      </c>
      <c r="G9" s="518">
        <v>50</v>
      </c>
      <c r="H9" s="518">
        <v>200</v>
      </c>
      <c r="I9" s="518">
        <v>50</v>
      </c>
      <c r="J9" s="706">
        <v>400</v>
      </c>
      <c r="K9" s="706">
        <v>50</v>
      </c>
      <c r="L9" s="518">
        <f t="shared" si="0"/>
        <v>200</v>
      </c>
      <c r="M9" s="518">
        <f t="shared" si="1"/>
        <v>50</v>
      </c>
      <c r="N9" s="518">
        <f t="shared" si="5"/>
        <v>0</v>
      </c>
      <c r="O9" s="518">
        <f t="shared" si="8"/>
        <v>0</v>
      </c>
      <c r="P9" s="518">
        <f t="shared" si="6"/>
        <v>200</v>
      </c>
      <c r="Q9" s="518">
        <f t="shared" si="7"/>
        <v>50</v>
      </c>
      <c r="R9" s="518">
        <v>10</v>
      </c>
      <c r="S9" s="518">
        <f>IF(Q9&gt;0,ROUND(1000*R9/10*(P9/Q9)/(Gewicht/10)/60,3),0)</f>
        <v>6.6669999999999998</v>
      </c>
      <c r="T9" s="518">
        <v>1</v>
      </c>
      <c r="U9" s="518">
        <v>20</v>
      </c>
      <c r="V9" s="518">
        <v>30</v>
      </c>
      <c r="W9" s="518">
        <v>1</v>
      </c>
    </row>
    <row r="10" spans="1:23" x14ac:dyDescent="0.35">
      <c r="A10" s="518">
        <v>8</v>
      </c>
      <c r="B10" s="518" t="s">
        <v>619</v>
      </c>
      <c r="C10" s="263" t="s">
        <v>891</v>
      </c>
      <c r="D10" s="263" t="str">
        <f t="shared" si="4"/>
        <v>1-20 mcg/kg/min</v>
      </c>
      <c r="E10" s="263" t="s">
        <v>364</v>
      </c>
      <c r="F10" s="518">
        <v>80</v>
      </c>
      <c r="G10" s="518">
        <v>50</v>
      </c>
      <c r="H10" s="518">
        <v>200</v>
      </c>
      <c r="I10" s="518">
        <v>50</v>
      </c>
      <c r="J10" s="706">
        <v>400</v>
      </c>
      <c r="K10" s="706">
        <v>50</v>
      </c>
      <c r="L10" s="518">
        <f t="shared" si="0"/>
        <v>200</v>
      </c>
      <c r="M10" s="518">
        <f t="shared" si="1"/>
        <v>50</v>
      </c>
      <c r="N10" s="518">
        <f t="shared" si="5"/>
        <v>0</v>
      </c>
      <c r="O10" s="518">
        <f t="shared" si="8"/>
        <v>0</v>
      </c>
      <c r="P10" s="518">
        <f t="shared" si="6"/>
        <v>200</v>
      </c>
      <c r="Q10" s="518">
        <f t="shared" si="7"/>
        <v>50</v>
      </c>
      <c r="R10" s="518">
        <v>10</v>
      </c>
      <c r="S10" s="518">
        <f>IF(Q10&gt;0,ROUND(1000*R10/10*(P10/Q10)/(Gewicht/10)/60,3),0)</f>
        <v>6.6669999999999998</v>
      </c>
      <c r="T10" s="518">
        <v>1</v>
      </c>
      <c r="U10" s="518">
        <v>20</v>
      </c>
      <c r="V10" s="518">
        <v>30</v>
      </c>
      <c r="W10" s="518">
        <v>1</v>
      </c>
    </row>
    <row r="11" spans="1:23" x14ac:dyDescent="0.35">
      <c r="A11" s="518">
        <v>9</v>
      </c>
      <c r="B11" s="518" t="s">
        <v>975</v>
      </c>
      <c r="C11" s="263" t="s">
        <v>920</v>
      </c>
      <c r="D11" s="263" t="s">
        <v>976</v>
      </c>
      <c r="E11" s="263" t="s">
        <v>365</v>
      </c>
      <c r="F11" s="518">
        <f>IF(Gewicht/10&gt;48,48,Gewicht/10)</f>
        <v>10</v>
      </c>
      <c r="G11" s="518">
        <v>24</v>
      </c>
      <c r="H11" s="518">
        <f>IF(Gewicht/10&gt;48,48,Gewicht/10)</f>
        <v>10</v>
      </c>
      <c r="I11" s="518">
        <v>48</v>
      </c>
      <c r="J11" s="518">
        <f>IF(Gewicht/10&gt;48,48,Gewicht/10)</f>
        <v>10</v>
      </c>
      <c r="K11" s="706">
        <v>48</v>
      </c>
      <c r="L11" s="518">
        <f>IF(Gewicht/10&lt;6,F11,IF(Gewicht/10&lt;11,H11,J11))</f>
        <v>10</v>
      </c>
      <c r="M11" s="518">
        <f>IF(Gewicht/10&lt;6,G11,IF(Gewicht/10&lt;11,I11,K11))</f>
        <v>48</v>
      </c>
      <c r="N11" s="518">
        <f>INDEX(tblBerMedContIV,IFERROR(VLOOKUP(A11,tblBerMedContIV,2,FALSE),1),3)</f>
        <v>0</v>
      </c>
      <c r="O11" s="518">
        <f>INDEX(tblBerMedContIV,IFERROR(VLOOKUP(A11,tblBerMedContIV,2,FALSE),1),4)</f>
        <v>0</v>
      </c>
      <c r="P11" s="518">
        <f>IF(N11&gt;0,N11,L11)</f>
        <v>10</v>
      </c>
      <c r="Q11" s="518">
        <f>IF(O11&gt;0,O11,M11)</f>
        <v>48</v>
      </c>
      <c r="R11" s="518">
        <v>10</v>
      </c>
      <c r="S11" s="518">
        <f>R11/10</f>
        <v>1</v>
      </c>
      <c r="T11" s="518">
        <v>1</v>
      </c>
      <c r="U11" s="518">
        <v>8</v>
      </c>
      <c r="V11" s="518">
        <v>8</v>
      </c>
      <c r="W11" s="518">
        <v>1</v>
      </c>
    </row>
    <row r="12" spans="1:23" x14ac:dyDescent="0.35">
      <c r="A12" s="518">
        <v>10</v>
      </c>
      <c r="B12" s="263" t="s">
        <v>974</v>
      </c>
      <c r="C12" s="263" t="s">
        <v>920</v>
      </c>
      <c r="D12" s="263" t="s">
        <v>976</v>
      </c>
      <c r="E12" s="263" t="s">
        <v>365</v>
      </c>
      <c r="F12" s="518">
        <f>IF(Gewicht/10&gt;48,48,Gewicht/10)</f>
        <v>10</v>
      </c>
      <c r="G12" s="518">
        <v>24</v>
      </c>
      <c r="H12" s="518">
        <f>IF(Gewicht/10&gt;48,48,Gewicht/10)</f>
        <v>10</v>
      </c>
      <c r="I12" s="518">
        <v>48</v>
      </c>
      <c r="J12" s="518">
        <f>IF(Gewicht/10&gt;48,48,Gewicht/10)</f>
        <v>10</v>
      </c>
      <c r="K12" s="706">
        <v>48</v>
      </c>
      <c r="L12" s="518">
        <f t="shared" si="0"/>
        <v>10</v>
      </c>
      <c r="M12" s="518">
        <f t="shared" si="1"/>
        <v>48</v>
      </c>
      <c r="N12" s="518">
        <f t="shared" si="5"/>
        <v>0</v>
      </c>
      <c r="O12" s="518">
        <f t="shared" si="8"/>
        <v>0</v>
      </c>
      <c r="P12" s="518">
        <f t="shared" si="6"/>
        <v>10</v>
      </c>
      <c r="Q12" s="518">
        <f t="shared" si="7"/>
        <v>48</v>
      </c>
      <c r="R12" s="518">
        <v>10</v>
      </c>
      <c r="S12" s="518">
        <f>R12/10</f>
        <v>1</v>
      </c>
      <c r="T12" s="518">
        <v>1</v>
      </c>
      <c r="U12" s="518">
        <v>8</v>
      </c>
      <c r="V12" s="518">
        <v>8</v>
      </c>
      <c r="W12" s="518">
        <v>1</v>
      </c>
    </row>
    <row r="13" spans="1:23" x14ac:dyDescent="0.35">
      <c r="A13" s="518">
        <v>11</v>
      </c>
      <c r="B13" s="263" t="s">
        <v>196</v>
      </c>
      <c r="C13" s="263" t="s">
        <v>892</v>
      </c>
      <c r="D13" s="263" t="str">
        <f>CONCATENATE(T13,"-",U13," ",C13)</f>
        <v>0,5-50 nanog/kg/min</v>
      </c>
      <c r="E13" s="263" t="s">
        <v>364</v>
      </c>
      <c r="F13" s="518">
        <v>0.2</v>
      </c>
      <c r="G13" s="518">
        <v>50</v>
      </c>
      <c r="H13" s="518">
        <v>0.4</v>
      </c>
      <c r="I13" s="518">
        <v>50</v>
      </c>
      <c r="J13" s="706">
        <v>0.8</v>
      </c>
      <c r="K13" s="706">
        <v>50</v>
      </c>
      <c r="L13" s="518">
        <f t="shared" si="0"/>
        <v>0.4</v>
      </c>
      <c r="M13" s="518">
        <f t="shared" si="1"/>
        <v>50</v>
      </c>
      <c r="N13" s="518">
        <f t="shared" si="5"/>
        <v>0</v>
      </c>
      <c r="O13" s="518">
        <f t="shared" si="8"/>
        <v>0</v>
      </c>
      <c r="P13" s="518">
        <f t="shared" si="6"/>
        <v>0.4</v>
      </c>
      <c r="Q13" s="518">
        <f t="shared" si="7"/>
        <v>50</v>
      </c>
      <c r="R13" s="518">
        <v>10</v>
      </c>
      <c r="S13" s="518">
        <f>IF(Q13&gt;0,ROUND(1000*1000*R13/10*(P13/Q13)/(Gewicht/10)/60,3),0)</f>
        <v>13.333</v>
      </c>
      <c r="T13" s="518">
        <v>0.5</v>
      </c>
      <c r="U13" s="518">
        <v>50</v>
      </c>
      <c r="V13" s="518">
        <v>50</v>
      </c>
      <c r="W13" s="518">
        <v>2</v>
      </c>
    </row>
    <row r="14" spans="1:23" x14ac:dyDescent="0.35">
      <c r="A14" s="518">
        <v>12</v>
      </c>
      <c r="B14" s="518" t="s">
        <v>281</v>
      </c>
      <c r="C14" s="263" t="s">
        <v>736</v>
      </c>
      <c r="D14" s="263" t="str">
        <f t="shared" ref="D14:D33" si="9">CONCATENATE(T14,"-",U14," ",C14)</f>
        <v>0,5-1 mg/kg/uur</v>
      </c>
      <c r="E14" s="263" t="s">
        <v>364</v>
      </c>
      <c r="F14" s="518">
        <v>100</v>
      </c>
      <c r="G14" s="263">
        <v>50</v>
      </c>
      <c r="H14" s="518">
        <v>250</v>
      </c>
      <c r="I14" s="518">
        <v>50</v>
      </c>
      <c r="J14" s="706">
        <v>250</v>
      </c>
      <c r="K14" s="706">
        <v>50</v>
      </c>
      <c r="L14" s="518">
        <f t="shared" si="0"/>
        <v>250</v>
      </c>
      <c r="M14" s="518">
        <f t="shared" si="1"/>
        <v>50</v>
      </c>
      <c r="N14" s="518">
        <f t="shared" si="5"/>
        <v>0</v>
      </c>
      <c r="O14" s="518">
        <f t="shared" si="8"/>
        <v>0</v>
      </c>
      <c r="P14" s="518">
        <f t="shared" si="6"/>
        <v>250</v>
      </c>
      <c r="Q14" s="518">
        <f t="shared" si="7"/>
        <v>50</v>
      </c>
      <c r="R14" s="518">
        <v>10</v>
      </c>
      <c r="S14" s="518">
        <f>IF(Q14&gt;0,ROUND(R14/10*(P14/Q14)/(Gewicht/10),3),0)</f>
        <v>0.5</v>
      </c>
      <c r="T14" s="518">
        <v>0.5</v>
      </c>
      <c r="U14" s="518">
        <v>1</v>
      </c>
      <c r="V14" s="518">
        <v>2</v>
      </c>
      <c r="W14" s="518">
        <v>1</v>
      </c>
    </row>
    <row r="15" spans="1:23" x14ac:dyDescent="0.35">
      <c r="A15" s="518">
        <v>13</v>
      </c>
      <c r="B15" s="518" t="s">
        <v>948</v>
      </c>
      <c r="C15" s="263" t="s">
        <v>961</v>
      </c>
      <c r="D15" s="263" t="str">
        <f t="shared" si="9"/>
        <v>0,1-1 mg/kg/min</v>
      </c>
      <c r="E15" s="263" t="s">
        <v>364</v>
      </c>
      <c r="F15" s="518">
        <v>500</v>
      </c>
      <c r="G15" s="518">
        <v>50</v>
      </c>
      <c r="H15" s="518">
        <v>500</v>
      </c>
      <c r="I15" s="518">
        <v>50</v>
      </c>
      <c r="J15" s="706">
        <v>500</v>
      </c>
      <c r="K15" s="706">
        <v>50</v>
      </c>
      <c r="L15" s="518">
        <f t="shared" si="0"/>
        <v>500</v>
      </c>
      <c r="M15" s="518">
        <f t="shared" si="1"/>
        <v>50</v>
      </c>
      <c r="N15" s="518">
        <f t="shared" si="5"/>
        <v>0</v>
      </c>
      <c r="O15" s="518">
        <f t="shared" si="8"/>
        <v>0</v>
      </c>
      <c r="P15" s="518">
        <f t="shared" si="6"/>
        <v>500</v>
      </c>
      <c r="Q15" s="518">
        <f t="shared" si="7"/>
        <v>50</v>
      </c>
      <c r="R15" s="518">
        <v>10</v>
      </c>
      <c r="S15" s="518">
        <f>IF(Q15&gt;0,ROUND(R15/10*(P15/Q15)/(Gewicht/10)/60,3),0)</f>
        <v>1.7000000000000001E-2</v>
      </c>
      <c r="T15" s="518">
        <v>0.1</v>
      </c>
      <c r="U15" s="518">
        <v>1</v>
      </c>
      <c r="V15" s="518">
        <v>2</v>
      </c>
      <c r="W15" s="518">
        <v>1</v>
      </c>
    </row>
    <row r="16" spans="1:23" x14ac:dyDescent="0.35">
      <c r="A16" s="518">
        <v>14</v>
      </c>
      <c r="B16" s="518" t="s">
        <v>973</v>
      </c>
      <c r="C16" s="263" t="s">
        <v>424</v>
      </c>
      <c r="D16" s="263" t="str">
        <f t="shared" si="9"/>
        <v>1-5 mcg/kg/uur</v>
      </c>
      <c r="E16" s="263" t="s">
        <v>364</v>
      </c>
      <c r="F16" s="518">
        <v>0.5</v>
      </c>
      <c r="G16" s="518">
        <v>50</v>
      </c>
      <c r="H16" s="518">
        <v>1</v>
      </c>
      <c r="I16" s="518">
        <v>50</v>
      </c>
      <c r="J16" s="706">
        <v>5</v>
      </c>
      <c r="K16" s="706">
        <v>50</v>
      </c>
      <c r="L16" s="518">
        <f>IF(Gewicht/10&lt;6,F16,IF(Gewicht/10&lt;11,H16,J16))</f>
        <v>1</v>
      </c>
      <c r="M16" s="518">
        <f>IF(Gewicht/10&lt;6,G16,IF(Gewicht/10&lt;11,I16,K16))</f>
        <v>50</v>
      </c>
      <c r="N16" s="518">
        <f>INDEX(tblBerMedContIV,IFERROR(VLOOKUP(A16,tblBerMedContIV,2,FALSE),1),3)</f>
        <v>0</v>
      </c>
      <c r="O16" s="518">
        <f>INDEX(tblBerMedContIV,IFERROR(VLOOKUP(A16,tblBerMedContIV,2,FALSE),1),4)</f>
        <v>0</v>
      </c>
      <c r="P16" s="518">
        <f>IF(N16&gt;0,N16,L16)</f>
        <v>1</v>
      </c>
      <c r="Q16" s="518">
        <f>IF(O16&gt;0,O16,M16)</f>
        <v>50</v>
      </c>
      <c r="R16" s="518">
        <v>10</v>
      </c>
      <c r="S16" s="518">
        <f>IF(Q16&gt;0,ROUND(1000*R16/10*(P16/Q16)/(Gewicht/10),3),0)</f>
        <v>2</v>
      </c>
      <c r="T16" s="518">
        <v>1</v>
      </c>
      <c r="U16" s="518">
        <v>5</v>
      </c>
      <c r="V16" s="518">
        <v>10</v>
      </c>
      <c r="W16" s="518">
        <v>1</v>
      </c>
    </row>
    <row r="17" spans="1:23" x14ac:dyDescent="0.35">
      <c r="A17" s="518">
        <v>15</v>
      </c>
      <c r="B17" s="518" t="s">
        <v>949</v>
      </c>
      <c r="C17" s="263" t="s">
        <v>891</v>
      </c>
      <c r="D17" s="263" t="str">
        <f t="shared" si="9"/>
        <v>0,05-5 mcg/kg/min</v>
      </c>
      <c r="E17" s="263" t="s">
        <v>364</v>
      </c>
      <c r="F17" s="518">
        <v>0.2</v>
      </c>
      <c r="G17" s="518">
        <v>20</v>
      </c>
      <c r="H17" s="518">
        <v>0.4</v>
      </c>
      <c r="I17" s="518">
        <v>20</v>
      </c>
      <c r="J17" s="706">
        <v>0.8</v>
      </c>
      <c r="K17" s="706">
        <v>20</v>
      </c>
      <c r="L17" s="518">
        <f t="shared" si="0"/>
        <v>0.4</v>
      </c>
      <c r="M17" s="518">
        <f t="shared" si="1"/>
        <v>20</v>
      </c>
      <c r="N17" s="518">
        <f t="shared" si="5"/>
        <v>0</v>
      </c>
      <c r="O17" s="518">
        <f t="shared" si="8"/>
        <v>0</v>
      </c>
      <c r="P17" s="518">
        <f t="shared" si="6"/>
        <v>0.4</v>
      </c>
      <c r="Q17" s="518">
        <f t="shared" si="7"/>
        <v>20</v>
      </c>
      <c r="R17" s="518">
        <v>10</v>
      </c>
      <c r="S17" s="518">
        <f>IF(Q17&gt;0,ROUND(1000*R17/10*(P17/Q17)/(Gewicht/10)/60,3),0)</f>
        <v>3.3000000000000002E-2</v>
      </c>
      <c r="T17" s="518">
        <v>0.05</v>
      </c>
      <c r="U17" s="518">
        <v>5</v>
      </c>
      <c r="V17" s="518">
        <v>10</v>
      </c>
      <c r="W17" s="518">
        <v>1</v>
      </c>
    </row>
    <row r="18" spans="1:23" x14ac:dyDescent="0.35">
      <c r="A18" s="518">
        <v>16</v>
      </c>
      <c r="B18" s="518" t="s">
        <v>382</v>
      </c>
      <c r="C18" s="263" t="s">
        <v>737</v>
      </c>
      <c r="D18" s="263" t="str">
        <f t="shared" si="9"/>
        <v>1-4 mg/kg/dag</v>
      </c>
      <c r="E18" s="263" t="s">
        <v>364</v>
      </c>
      <c r="F18" s="518">
        <v>10</v>
      </c>
      <c r="G18" s="518">
        <v>50</v>
      </c>
      <c r="H18" s="518">
        <v>20</v>
      </c>
      <c r="I18" s="518">
        <v>50</v>
      </c>
      <c r="J18" s="706">
        <v>40</v>
      </c>
      <c r="K18" s="706">
        <v>50</v>
      </c>
      <c r="L18" s="518">
        <f t="shared" si="0"/>
        <v>20</v>
      </c>
      <c r="M18" s="518">
        <f t="shared" si="1"/>
        <v>50</v>
      </c>
      <c r="N18" s="518">
        <f t="shared" si="5"/>
        <v>0</v>
      </c>
      <c r="O18" s="518">
        <f t="shared" si="8"/>
        <v>0</v>
      </c>
      <c r="P18" s="518">
        <f t="shared" si="6"/>
        <v>20</v>
      </c>
      <c r="Q18" s="518">
        <f t="shared" si="7"/>
        <v>50</v>
      </c>
      <c r="R18" s="518">
        <v>10</v>
      </c>
      <c r="S18" s="518">
        <f>IF(Q18&gt;0,ROUND(24*R18/10*(P18/Q18)/(Gewicht/10),3),0)</f>
        <v>0.96</v>
      </c>
      <c r="T18" s="518">
        <v>1</v>
      </c>
      <c r="U18" s="518">
        <v>4</v>
      </c>
      <c r="V18" s="518">
        <v>6</v>
      </c>
      <c r="W18" s="518">
        <v>1</v>
      </c>
    </row>
    <row r="19" spans="1:23" x14ac:dyDescent="0.35">
      <c r="A19" s="518">
        <v>17</v>
      </c>
      <c r="B19" s="518" t="s">
        <v>421</v>
      </c>
      <c r="C19" s="263" t="s">
        <v>422</v>
      </c>
      <c r="D19" s="263" t="str">
        <f t="shared" si="9"/>
        <v>10-20 IE/kg/uur</v>
      </c>
      <c r="E19" s="263" t="s">
        <v>950</v>
      </c>
      <c r="F19" s="518">
        <v>5000</v>
      </c>
      <c r="G19" s="518">
        <v>50</v>
      </c>
      <c r="H19" s="518">
        <v>10000</v>
      </c>
      <c r="I19" s="518">
        <v>50</v>
      </c>
      <c r="J19" s="706">
        <v>20000</v>
      </c>
      <c r="K19" s="706">
        <v>50</v>
      </c>
      <c r="L19" s="518">
        <f t="shared" si="0"/>
        <v>10000</v>
      </c>
      <c r="M19" s="518">
        <f t="shared" si="1"/>
        <v>50</v>
      </c>
      <c r="N19" s="518">
        <f t="shared" si="5"/>
        <v>0</v>
      </c>
      <c r="O19" s="518">
        <f t="shared" si="8"/>
        <v>0</v>
      </c>
      <c r="P19" s="518">
        <f t="shared" si="6"/>
        <v>10000</v>
      </c>
      <c r="Q19" s="518">
        <f t="shared" si="7"/>
        <v>50</v>
      </c>
      <c r="R19" s="518">
        <v>10</v>
      </c>
      <c r="S19" s="518">
        <f>IF(Q19&gt;0,ROUND(R19/10*(P19/Q19)/(Gewicht/10),3),0)</f>
        <v>20</v>
      </c>
      <c r="T19" s="518">
        <v>10</v>
      </c>
      <c r="U19" s="518">
        <v>20</v>
      </c>
      <c r="V19" s="518">
        <v>50</v>
      </c>
      <c r="W19" s="518">
        <v>1</v>
      </c>
    </row>
    <row r="20" spans="1:23" x14ac:dyDescent="0.35">
      <c r="A20" s="518">
        <v>18</v>
      </c>
      <c r="B20" s="518" t="s">
        <v>951</v>
      </c>
      <c r="C20" s="263" t="s">
        <v>128</v>
      </c>
      <c r="D20" s="263" t="str">
        <f t="shared" si="9"/>
        <v>0,02-0,125 E/kg/uur</v>
      </c>
      <c r="E20" s="263" t="s">
        <v>950</v>
      </c>
      <c r="F20" s="518">
        <v>10</v>
      </c>
      <c r="G20" s="518">
        <v>50</v>
      </c>
      <c r="H20" s="518">
        <v>10</v>
      </c>
      <c r="I20" s="518">
        <v>50</v>
      </c>
      <c r="J20" s="706">
        <v>50</v>
      </c>
      <c r="K20" s="706">
        <v>50</v>
      </c>
      <c r="L20" s="518">
        <f t="shared" si="0"/>
        <v>10</v>
      </c>
      <c r="M20" s="518">
        <f t="shared" si="1"/>
        <v>50</v>
      </c>
      <c r="N20" s="518">
        <f t="shared" si="5"/>
        <v>0</v>
      </c>
      <c r="O20" s="518">
        <f t="shared" si="8"/>
        <v>0</v>
      </c>
      <c r="P20" s="518">
        <f t="shared" si="6"/>
        <v>10</v>
      </c>
      <c r="Q20" s="518">
        <f t="shared" si="7"/>
        <v>50</v>
      </c>
      <c r="R20" s="518">
        <v>10</v>
      </c>
      <c r="S20" s="518">
        <f>IF(Q20&gt;0,ROUND(R20/10*(P20/Q20)/(Gewicht/10),3),0)</f>
        <v>0.02</v>
      </c>
      <c r="T20" s="518">
        <v>0.02</v>
      </c>
      <c r="U20" s="518">
        <v>0.125</v>
      </c>
      <c r="V20" s="518">
        <v>2</v>
      </c>
      <c r="W20" s="518">
        <v>1</v>
      </c>
    </row>
    <row r="21" spans="1:23" x14ac:dyDescent="0.35">
      <c r="A21" s="518">
        <v>19</v>
      </c>
      <c r="B21" s="518" t="s">
        <v>847</v>
      </c>
      <c r="C21" s="263" t="s">
        <v>891</v>
      </c>
      <c r="D21" s="263" t="str">
        <f t="shared" si="9"/>
        <v>0,01-1,5 mcg/kg/min</v>
      </c>
      <c r="E21" s="263" t="s">
        <v>364</v>
      </c>
      <c r="F21" s="518">
        <v>2</v>
      </c>
      <c r="G21" s="518">
        <v>50</v>
      </c>
      <c r="H21" s="518">
        <v>2</v>
      </c>
      <c r="I21" s="518">
        <v>50</v>
      </c>
      <c r="J21" s="706">
        <v>2</v>
      </c>
      <c r="K21" s="706">
        <v>50</v>
      </c>
      <c r="L21" s="518">
        <f t="shared" si="0"/>
        <v>2</v>
      </c>
      <c r="M21" s="518">
        <f t="shared" si="1"/>
        <v>50</v>
      </c>
      <c r="N21" s="518">
        <f t="shared" si="5"/>
        <v>0</v>
      </c>
      <c r="O21" s="518">
        <f t="shared" si="8"/>
        <v>0</v>
      </c>
      <c r="P21" s="518">
        <f t="shared" si="6"/>
        <v>2</v>
      </c>
      <c r="Q21" s="518">
        <f t="shared" si="7"/>
        <v>50</v>
      </c>
      <c r="R21" s="518">
        <v>10</v>
      </c>
      <c r="S21" s="518">
        <f>IF(Q21&gt;0,ROUND(1000*R21/10*(P21/Q21)/(Gewicht/10)/60,3),0)</f>
        <v>6.7000000000000004E-2</v>
      </c>
      <c r="T21" s="518">
        <v>0.01</v>
      </c>
      <c r="U21" s="518">
        <v>1.5</v>
      </c>
      <c r="V21" s="518">
        <v>3</v>
      </c>
      <c r="W21" s="518">
        <v>1</v>
      </c>
    </row>
    <row r="22" spans="1:23" x14ac:dyDescent="0.35">
      <c r="A22" s="518">
        <v>20</v>
      </c>
      <c r="B22" s="518" t="s">
        <v>952</v>
      </c>
      <c r="C22" s="263" t="s">
        <v>736</v>
      </c>
      <c r="D22" s="263" t="str">
        <f t="shared" si="9"/>
        <v>0,25-3 mg/kg/uur</v>
      </c>
      <c r="E22" s="263" t="s">
        <v>364</v>
      </c>
      <c r="F22" s="518">
        <v>250</v>
      </c>
      <c r="G22" s="518">
        <v>50</v>
      </c>
      <c r="H22" s="518">
        <v>250</v>
      </c>
      <c r="I22" s="518">
        <v>50</v>
      </c>
      <c r="J22" s="706">
        <v>250</v>
      </c>
      <c r="K22" s="706">
        <v>50</v>
      </c>
      <c r="L22" s="518">
        <f t="shared" si="0"/>
        <v>250</v>
      </c>
      <c r="M22" s="518">
        <f t="shared" si="1"/>
        <v>50</v>
      </c>
      <c r="N22" s="518">
        <f t="shared" si="5"/>
        <v>0</v>
      </c>
      <c r="O22" s="518">
        <f t="shared" si="8"/>
        <v>0</v>
      </c>
      <c r="P22" s="518">
        <f t="shared" si="6"/>
        <v>250</v>
      </c>
      <c r="Q22" s="518">
        <f t="shared" si="7"/>
        <v>50</v>
      </c>
      <c r="R22" s="518">
        <v>10</v>
      </c>
      <c r="S22" s="518">
        <f>IF(Q22&gt;0,ROUND(R22/10*(P22/Q22)/(Gewicht/10),3),0)</f>
        <v>0.5</v>
      </c>
      <c r="T22" s="518">
        <v>0.25</v>
      </c>
      <c r="U22" s="518">
        <v>3</v>
      </c>
      <c r="V22" s="518">
        <v>4</v>
      </c>
      <c r="W22" s="518">
        <v>1</v>
      </c>
    </row>
    <row r="23" spans="1:23" x14ac:dyDescent="0.35">
      <c r="A23" s="518">
        <v>21</v>
      </c>
      <c r="B23" s="518" t="s">
        <v>953</v>
      </c>
      <c r="C23" s="263" t="s">
        <v>736</v>
      </c>
      <c r="D23" s="263" t="s">
        <v>971</v>
      </c>
      <c r="E23" s="263" t="s">
        <v>364</v>
      </c>
      <c r="F23" s="518">
        <v>500</v>
      </c>
      <c r="G23" s="518">
        <v>50</v>
      </c>
      <c r="H23" s="518">
        <v>1000</v>
      </c>
      <c r="I23" s="518">
        <v>50</v>
      </c>
      <c r="J23" s="706">
        <v>2000</v>
      </c>
      <c r="K23" s="706">
        <v>50</v>
      </c>
      <c r="L23" s="518">
        <f t="shared" si="0"/>
        <v>1000</v>
      </c>
      <c r="M23" s="518">
        <f t="shared" si="1"/>
        <v>50</v>
      </c>
      <c r="N23" s="518">
        <f t="shared" si="5"/>
        <v>0</v>
      </c>
      <c r="O23" s="518">
        <f t="shared" si="8"/>
        <v>0</v>
      </c>
      <c r="P23" s="518">
        <f t="shared" si="6"/>
        <v>1000</v>
      </c>
      <c r="Q23" s="518">
        <f t="shared" si="7"/>
        <v>50</v>
      </c>
      <c r="R23" s="518">
        <v>10</v>
      </c>
      <c r="S23" s="518">
        <f>IF(Q23&gt;0,ROUND(R23/10*(P23/Q23)/(Gewicht/10),3),0)</f>
        <v>2</v>
      </c>
      <c r="T23" s="518">
        <v>3</v>
      </c>
      <c r="U23" s="518">
        <v>20</v>
      </c>
      <c r="V23" s="518">
        <v>25</v>
      </c>
      <c r="W23" s="518">
        <v>1</v>
      </c>
    </row>
    <row r="24" spans="1:23" x14ac:dyDescent="0.35">
      <c r="A24" s="518">
        <v>22</v>
      </c>
      <c r="B24" s="518" t="s">
        <v>730</v>
      </c>
      <c r="C24" s="263" t="s">
        <v>736</v>
      </c>
      <c r="D24" s="263" t="str">
        <f t="shared" si="9"/>
        <v>0,05-0,5 mg/kg/uur</v>
      </c>
      <c r="E24" s="263" t="s">
        <v>364</v>
      </c>
      <c r="F24" s="518">
        <v>25</v>
      </c>
      <c r="G24" s="263">
        <v>50</v>
      </c>
      <c r="H24" s="518">
        <v>50</v>
      </c>
      <c r="I24" s="518">
        <v>50</v>
      </c>
      <c r="J24" s="706">
        <v>50</v>
      </c>
      <c r="K24" s="706">
        <v>50</v>
      </c>
      <c r="L24" s="518">
        <f t="shared" si="0"/>
        <v>50</v>
      </c>
      <c r="M24" s="518">
        <f t="shared" si="1"/>
        <v>50</v>
      </c>
      <c r="N24" s="518">
        <f t="shared" si="5"/>
        <v>0</v>
      </c>
      <c r="O24" s="518">
        <f t="shared" si="8"/>
        <v>0</v>
      </c>
      <c r="P24" s="518">
        <f t="shared" si="6"/>
        <v>50</v>
      </c>
      <c r="Q24" s="518">
        <f t="shared" si="7"/>
        <v>50</v>
      </c>
      <c r="R24" s="518">
        <v>10</v>
      </c>
      <c r="S24" s="518">
        <f>IF(Q24&gt;0,ROUND(R24/10*(P24/Q24)/(Gewicht/10),3),0)</f>
        <v>0.1</v>
      </c>
      <c r="T24" s="518">
        <v>0.05</v>
      </c>
      <c r="U24" s="518">
        <v>0.5</v>
      </c>
      <c r="V24" s="518">
        <v>1</v>
      </c>
      <c r="W24" s="518">
        <v>1</v>
      </c>
    </row>
    <row r="25" spans="1:23" x14ac:dyDescent="0.35">
      <c r="A25" s="518">
        <v>23</v>
      </c>
      <c r="B25" s="518" t="s">
        <v>954</v>
      </c>
      <c r="C25" s="263" t="s">
        <v>891</v>
      </c>
      <c r="D25" s="263" t="str">
        <f t="shared" si="9"/>
        <v>0,15-0,5 mcg/kg/min</v>
      </c>
      <c r="E25" s="263" t="s">
        <v>364</v>
      </c>
      <c r="F25" s="518">
        <v>5</v>
      </c>
      <c r="G25" s="518">
        <v>50</v>
      </c>
      <c r="H25" s="518">
        <v>10</v>
      </c>
      <c r="I25" s="518">
        <v>50</v>
      </c>
      <c r="J25" s="706">
        <v>20</v>
      </c>
      <c r="K25" s="706">
        <v>50</v>
      </c>
      <c r="L25" s="518">
        <f t="shared" si="0"/>
        <v>10</v>
      </c>
      <c r="M25" s="518">
        <f t="shared" si="1"/>
        <v>50</v>
      </c>
      <c r="N25" s="518">
        <f t="shared" si="5"/>
        <v>0</v>
      </c>
      <c r="O25" s="518">
        <f t="shared" si="8"/>
        <v>0</v>
      </c>
      <c r="P25" s="518">
        <f t="shared" si="6"/>
        <v>10</v>
      </c>
      <c r="Q25" s="518">
        <f t="shared" si="7"/>
        <v>50</v>
      </c>
      <c r="R25" s="518">
        <v>10</v>
      </c>
      <c r="S25" s="518">
        <f>IF(Q25&gt;0,ROUND(1000*R25/10*(P25/Q25)/(Gewicht/10)/60,3),0)</f>
        <v>0.33300000000000002</v>
      </c>
      <c r="T25" s="518">
        <v>0.15</v>
      </c>
      <c r="U25" s="518">
        <v>0.5</v>
      </c>
      <c r="V25" s="518">
        <v>0.75</v>
      </c>
      <c r="W25" s="518">
        <v>1</v>
      </c>
    </row>
    <row r="26" spans="1:23" x14ac:dyDescent="0.35">
      <c r="A26" s="518">
        <v>24</v>
      </c>
      <c r="B26" s="518" t="s">
        <v>248</v>
      </c>
      <c r="C26" s="263" t="s">
        <v>737</v>
      </c>
      <c r="D26" s="263" t="str">
        <f t="shared" si="9"/>
        <v>0,1-0,5 mg/kg/dag</v>
      </c>
      <c r="E26" s="263" t="s">
        <v>364</v>
      </c>
      <c r="F26" s="518">
        <v>2</v>
      </c>
      <c r="G26" s="263">
        <v>50</v>
      </c>
      <c r="H26" s="518">
        <v>5</v>
      </c>
      <c r="I26" s="518">
        <v>50</v>
      </c>
      <c r="J26" s="706">
        <v>10</v>
      </c>
      <c r="K26" s="706">
        <v>50</v>
      </c>
      <c r="L26" s="518">
        <f t="shared" si="0"/>
        <v>5</v>
      </c>
      <c r="M26" s="518">
        <f t="shared" si="1"/>
        <v>50</v>
      </c>
      <c r="N26" s="518">
        <f t="shared" si="5"/>
        <v>0</v>
      </c>
      <c r="O26" s="518">
        <f t="shared" si="8"/>
        <v>0</v>
      </c>
      <c r="P26" s="518">
        <f>IF(N26&gt;0,N26,L26)</f>
        <v>5</v>
      </c>
      <c r="Q26" s="518">
        <f t="shared" si="7"/>
        <v>50</v>
      </c>
      <c r="R26" s="518">
        <v>10</v>
      </c>
      <c r="S26" s="518">
        <f>IF(Q26&gt;0,ROUND(24*(R26/10)*(P26/Q26)/(Gewicht/10),3),0)</f>
        <v>0.24</v>
      </c>
      <c r="T26" s="518">
        <v>0.1</v>
      </c>
      <c r="U26" s="518">
        <v>0.5</v>
      </c>
      <c r="V26" s="518">
        <v>1</v>
      </c>
      <c r="W26" s="518">
        <v>1</v>
      </c>
    </row>
    <row r="27" spans="1:23" x14ac:dyDescent="0.35">
      <c r="A27" s="518">
        <v>25</v>
      </c>
      <c r="B27" s="263" t="s">
        <v>688</v>
      </c>
      <c r="C27" s="263" t="s">
        <v>838</v>
      </c>
      <c r="D27" s="263" t="str">
        <f t="shared" si="9"/>
        <v>2-4 mmol/kg/dag</v>
      </c>
      <c r="E27" s="263" t="s">
        <v>972</v>
      </c>
      <c r="F27" s="518">
        <v>25</v>
      </c>
      <c r="G27" s="263">
        <v>50</v>
      </c>
      <c r="H27" s="518">
        <v>25</v>
      </c>
      <c r="I27" s="518">
        <v>50</v>
      </c>
      <c r="J27" s="706">
        <v>25</v>
      </c>
      <c r="K27" s="706">
        <v>50</v>
      </c>
      <c r="L27" s="518">
        <f t="shared" si="0"/>
        <v>25</v>
      </c>
      <c r="M27" s="518">
        <f t="shared" si="1"/>
        <v>50</v>
      </c>
      <c r="N27" s="518">
        <f t="shared" si="5"/>
        <v>0</v>
      </c>
      <c r="O27" s="518">
        <f t="shared" si="8"/>
        <v>0</v>
      </c>
      <c r="P27" s="518">
        <f t="shared" si="6"/>
        <v>25</v>
      </c>
      <c r="Q27" s="518">
        <f t="shared" si="7"/>
        <v>50</v>
      </c>
      <c r="R27" s="518">
        <v>10</v>
      </c>
      <c r="S27" s="518">
        <f>IF(Q27&gt;0,ROUND(24*(R27/10)*(P27/Q27)/(Gewicht/10),3),0)</f>
        <v>1.2</v>
      </c>
      <c r="T27" s="518">
        <v>2</v>
      </c>
      <c r="U27" s="518">
        <v>4</v>
      </c>
      <c r="V27" s="518">
        <v>6</v>
      </c>
      <c r="W27" s="518">
        <v>1</v>
      </c>
    </row>
    <row r="28" spans="1:23" x14ac:dyDescent="0.35">
      <c r="A28" s="518">
        <v>26</v>
      </c>
      <c r="B28" s="518" t="s">
        <v>102</v>
      </c>
      <c r="C28" s="263" t="s">
        <v>891</v>
      </c>
      <c r="D28" s="263" t="str">
        <f t="shared" si="9"/>
        <v>0,5-8 mcg/kg/min</v>
      </c>
      <c r="E28" s="263" t="s">
        <v>364</v>
      </c>
      <c r="F28" s="518">
        <v>10</v>
      </c>
      <c r="G28" s="518">
        <v>50</v>
      </c>
      <c r="H28" s="518">
        <v>20</v>
      </c>
      <c r="I28" s="518">
        <v>50</v>
      </c>
      <c r="J28" s="706">
        <v>40</v>
      </c>
      <c r="K28" s="706">
        <v>50</v>
      </c>
      <c r="L28" s="518">
        <f t="shared" si="0"/>
        <v>20</v>
      </c>
      <c r="M28" s="518">
        <f t="shared" si="1"/>
        <v>50</v>
      </c>
      <c r="N28" s="518">
        <f t="shared" si="5"/>
        <v>0</v>
      </c>
      <c r="O28" s="518">
        <f t="shared" si="8"/>
        <v>0</v>
      </c>
      <c r="P28" s="518">
        <f t="shared" si="6"/>
        <v>20</v>
      </c>
      <c r="Q28" s="518">
        <f t="shared" si="7"/>
        <v>50</v>
      </c>
      <c r="R28" s="518">
        <v>10</v>
      </c>
      <c r="S28" s="518">
        <f>IF(Q28&gt;0,ROUND(1000*R28/10*(P28/Q28)/(Gewicht/10)/60,3),0)</f>
        <v>0.66700000000000004</v>
      </c>
      <c r="T28" s="518">
        <v>0.5</v>
      </c>
      <c r="U28" s="518">
        <v>8</v>
      </c>
      <c r="V28" s="518">
        <v>10</v>
      </c>
      <c r="W28" s="518">
        <v>1</v>
      </c>
    </row>
    <row r="29" spans="1:23" x14ac:dyDescent="0.35">
      <c r="A29" s="518">
        <v>27</v>
      </c>
      <c r="B29" s="518" t="s">
        <v>836</v>
      </c>
      <c r="C29" s="263" t="s">
        <v>891</v>
      </c>
      <c r="D29" s="263" t="str">
        <f t="shared" si="9"/>
        <v>0,05-0,5 mcg/kg/min</v>
      </c>
      <c r="E29" s="263" t="s">
        <v>364</v>
      </c>
      <c r="F29" s="518">
        <v>1</v>
      </c>
      <c r="G29" s="518">
        <v>50</v>
      </c>
      <c r="H29" s="518">
        <v>2</v>
      </c>
      <c r="I29" s="518">
        <v>50</v>
      </c>
      <c r="J29" s="706">
        <v>5</v>
      </c>
      <c r="K29" s="706">
        <v>50</v>
      </c>
      <c r="L29" s="518">
        <f t="shared" si="0"/>
        <v>2</v>
      </c>
      <c r="M29" s="518">
        <f t="shared" si="1"/>
        <v>50</v>
      </c>
      <c r="N29" s="518">
        <f t="shared" si="5"/>
        <v>0</v>
      </c>
      <c r="O29" s="518">
        <f t="shared" si="8"/>
        <v>0</v>
      </c>
      <c r="P29" s="518">
        <f t="shared" si="6"/>
        <v>2</v>
      </c>
      <c r="Q29" s="518">
        <f t="shared" si="7"/>
        <v>50</v>
      </c>
      <c r="R29" s="518">
        <v>10</v>
      </c>
      <c r="S29" s="518">
        <f>IF(Q29&gt;0,ROUND(1000*R29/10*(P29/Q29)/(Gewicht/10)/60,3),0)</f>
        <v>6.7000000000000004E-2</v>
      </c>
      <c r="T29" s="518">
        <v>0.05</v>
      </c>
      <c r="U29" s="518">
        <v>0.5</v>
      </c>
      <c r="V29" s="518">
        <v>1</v>
      </c>
      <c r="W29" s="518">
        <v>1</v>
      </c>
    </row>
    <row r="30" spans="1:23" x14ac:dyDescent="0.35">
      <c r="A30" s="518">
        <v>28</v>
      </c>
      <c r="B30" s="263" t="s">
        <v>656</v>
      </c>
      <c r="C30" s="263" t="s">
        <v>736</v>
      </c>
      <c r="D30" s="263" t="str">
        <f t="shared" si="9"/>
        <v>1-4 mg/kg/uur</v>
      </c>
      <c r="E30" s="263" t="s">
        <v>364</v>
      </c>
      <c r="F30" s="518">
        <v>10</v>
      </c>
      <c r="G30" s="518">
        <v>1</v>
      </c>
      <c r="H30" s="518">
        <v>10</v>
      </c>
      <c r="I30" s="518">
        <v>1</v>
      </c>
      <c r="J30" s="706">
        <v>10</v>
      </c>
      <c r="K30" s="706">
        <v>1</v>
      </c>
      <c r="L30" s="518">
        <f t="shared" si="0"/>
        <v>10</v>
      </c>
      <c r="M30" s="518">
        <f t="shared" si="1"/>
        <v>1</v>
      </c>
      <c r="N30" s="518">
        <f t="shared" si="5"/>
        <v>0</v>
      </c>
      <c r="O30" s="518">
        <f t="shared" si="8"/>
        <v>0</v>
      </c>
      <c r="P30" s="518">
        <f t="shared" si="6"/>
        <v>10</v>
      </c>
      <c r="Q30" s="518">
        <f t="shared" si="7"/>
        <v>1</v>
      </c>
      <c r="R30" s="518">
        <v>10</v>
      </c>
      <c r="S30" s="518">
        <f>IF(Q30&gt;0,ROUND(R30/10*(P30/Q30)/(Gewicht/10),3),0)</f>
        <v>1</v>
      </c>
      <c r="T30" s="518">
        <v>1</v>
      </c>
      <c r="U30" s="518">
        <v>4</v>
      </c>
      <c r="V30" s="518">
        <v>4</v>
      </c>
      <c r="W30" s="518">
        <v>1</v>
      </c>
    </row>
    <row r="31" spans="1:23" x14ac:dyDescent="0.35">
      <c r="A31" s="518">
        <v>29</v>
      </c>
      <c r="B31" s="263" t="s">
        <v>657</v>
      </c>
      <c r="C31" s="263" t="s">
        <v>736</v>
      </c>
      <c r="D31" s="263" t="str">
        <f t="shared" si="9"/>
        <v>1-4 mg/kg/uur</v>
      </c>
      <c r="E31" s="263" t="s">
        <v>364</v>
      </c>
      <c r="F31" s="518">
        <v>20</v>
      </c>
      <c r="G31" s="518">
        <v>1</v>
      </c>
      <c r="H31" s="518">
        <v>20</v>
      </c>
      <c r="I31" s="518">
        <v>1</v>
      </c>
      <c r="J31" s="706">
        <v>20</v>
      </c>
      <c r="K31" s="706">
        <v>1</v>
      </c>
      <c r="L31" s="518">
        <f t="shared" si="0"/>
        <v>20</v>
      </c>
      <c r="M31" s="518">
        <f t="shared" si="1"/>
        <v>1</v>
      </c>
      <c r="N31" s="518">
        <f t="shared" si="5"/>
        <v>0</v>
      </c>
      <c r="O31" s="518">
        <f t="shared" si="8"/>
        <v>0</v>
      </c>
      <c r="P31" s="518">
        <f t="shared" si="6"/>
        <v>20</v>
      </c>
      <c r="Q31" s="518">
        <f t="shared" si="7"/>
        <v>1</v>
      </c>
      <c r="R31" s="518">
        <v>10</v>
      </c>
      <c r="S31" s="518">
        <f>IF(Q31&gt;0,ROUND(R31/10*(P31/Q31)/(Gewicht/10),3),0)</f>
        <v>2</v>
      </c>
      <c r="T31" s="518">
        <v>1</v>
      </c>
      <c r="U31" s="518">
        <v>4</v>
      </c>
      <c r="V31" s="518">
        <v>4</v>
      </c>
      <c r="W31" s="518">
        <v>1</v>
      </c>
    </row>
    <row r="32" spans="1:23" x14ac:dyDescent="0.35">
      <c r="A32" s="518">
        <v>30</v>
      </c>
      <c r="B32" s="518" t="s">
        <v>571</v>
      </c>
      <c r="C32" s="263" t="s">
        <v>736</v>
      </c>
      <c r="D32" s="263" t="str">
        <f t="shared" si="9"/>
        <v>0,6-1,2 mg/kg/uur</v>
      </c>
      <c r="E32" s="263" t="s">
        <v>364</v>
      </c>
      <c r="F32" s="518">
        <v>50</v>
      </c>
      <c r="G32" s="518">
        <v>50</v>
      </c>
      <c r="H32" s="518">
        <v>100</v>
      </c>
      <c r="I32" s="518">
        <v>50</v>
      </c>
      <c r="J32" s="706">
        <v>200</v>
      </c>
      <c r="K32" s="706">
        <v>50</v>
      </c>
      <c r="L32" s="518">
        <f t="shared" si="0"/>
        <v>100</v>
      </c>
      <c r="M32" s="518">
        <f t="shared" si="1"/>
        <v>50</v>
      </c>
      <c r="N32" s="518">
        <f t="shared" si="5"/>
        <v>0</v>
      </c>
      <c r="O32" s="518">
        <f t="shared" si="8"/>
        <v>0</v>
      </c>
      <c r="P32" s="518">
        <f t="shared" si="6"/>
        <v>100</v>
      </c>
      <c r="Q32" s="518">
        <f t="shared" si="7"/>
        <v>50</v>
      </c>
      <c r="R32" s="518">
        <v>10</v>
      </c>
      <c r="S32" s="518">
        <f>IF(Q32&gt;0,ROUND(R32/10*(P32/Q32)/(Gewicht/10),3),0)</f>
        <v>0.2</v>
      </c>
      <c r="T32" s="518">
        <v>0.6</v>
      </c>
      <c r="U32" s="518">
        <v>1.2</v>
      </c>
      <c r="V32" s="518">
        <v>2</v>
      </c>
      <c r="W32" s="518">
        <v>1</v>
      </c>
    </row>
    <row r="33" spans="1:23" x14ac:dyDescent="0.35">
      <c r="A33" s="518">
        <v>31</v>
      </c>
      <c r="B33" s="518" t="s">
        <v>51</v>
      </c>
      <c r="C33" s="263" t="s">
        <v>891</v>
      </c>
      <c r="D33" s="263" t="str">
        <f t="shared" si="9"/>
        <v>0,1-10 mcg/kg/min</v>
      </c>
      <c r="E33" s="263" t="s">
        <v>364</v>
      </c>
      <c r="F33" s="518">
        <v>5</v>
      </c>
      <c r="G33" s="518">
        <v>50</v>
      </c>
      <c r="H33" s="518">
        <v>10</v>
      </c>
      <c r="I33" s="518">
        <v>50</v>
      </c>
      <c r="J33" s="706">
        <v>20</v>
      </c>
      <c r="K33" s="706">
        <v>50</v>
      </c>
      <c r="L33" s="518">
        <f t="shared" si="0"/>
        <v>10</v>
      </c>
      <c r="M33" s="518">
        <f t="shared" si="1"/>
        <v>50</v>
      </c>
      <c r="N33" s="518">
        <f t="shared" si="5"/>
        <v>0</v>
      </c>
      <c r="O33" s="518">
        <f t="shared" si="8"/>
        <v>0</v>
      </c>
      <c r="P33" s="518">
        <f t="shared" si="6"/>
        <v>10</v>
      </c>
      <c r="Q33" s="518">
        <f t="shared" si="7"/>
        <v>50</v>
      </c>
      <c r="R33" s="518">
        <v>10</v>
      </c>
      <c r="S33" s="518">
        <f>IF(Q33&gt;0,ROUND(1000*R33/10*(P33/Q33)/(Gewicht/10)/60,3),0)</f>
        <v>0.33300000000000002</v>
      </c>
      <c r="T33" s="518">
        <v>0.1</v>
      </c>
      <c r="U33" s="518">
        <v>10</v>
      </c>
      <c r="V33" s="518">
        <v>15</v>
      </c>
      <c r="W33" s="518">
        <v>1</v>
      </c>
    </row>
    <row r="34" spans="1:23" x14ac:dyDescent="0.35">
      <c r="A34" s="518">
        <v>32</v>
      </c>
      <c r="B34" s="518" t="s">
        <v>727</v>
      </c>
      <c r="C34" s="263" t="s">
        <v>736</v>
      </c>
      <c r="D34" s="263" t="s">
        <v>917</v>
      </c>
      <c r="E34" s="263" t="s">
        <v>364</v>
      </c>
      <c r="F34" s="518">
        <v>1000</v>
      </c>
      <c r="G34" s="518">
        <v>50</v>
      </c>
      <c r="H34" s="518">
        <v>2000</v>
      </c>
      <c r="I34" s="518">
        <v>50</v>
      </c>
      <c r="J34" s="706">
        <v>4000</v>
      </c>
      <c r="K34" s="706">
        <v>50</v>
      </c>
      <c r="L34" s="518">
        <f t="shared" si="0"/>
        <v>2000</v>
      </c>
      <c r="M34" s="518">
        <f t="shared" si="1"/>
        <v>50</v>
      </c>
      <c r="N34" s="518">
        <f t="shared" si="5"/>
        <v>0</v>
      </c>
      <c r="O34" s="518">
        <f t="shared" si="8"/>
        <v>0</v>
      </c>
      <c r="P34" s="518">
        <f t="shared" si="6"/>
        <v>2000</v>
      </c>
      <c r="Q34" s="518">
        <f t="shared" si="7"/>
        <v>50</v>
      </c>
      <c r="R34" s="518">
        <v>10</v>
      </c>
      <c r="S34" s="518">
        <f>IF(Q34&gt;0,ROUND(R34/10*(P34/Q34)/(Gewicht/10),3),0)</f>
        <v>4</v>
      </c>
      <c r="T34" s="518">
        <v>5</v>
      </c>
      <c r="U34" s="518">
        <v>10</v>
      </c>
      <c r="V34" s="518">
        <v>20</v>
      </c>
      <c r="W34" s="518">
        <v>1</v>
      </c>
    </row>
    <row r="35" spans="1:23" x14ac:dyDescent="0.35">
      <c r="B35" s="518">
        <v>1</v>
      </c>
      <c r="C35" s="518">
        <v>2</v>
      </c>
      <c r="D35" s="518">
        <v>3</v>
      </c>
      <c r="E35" s="518">
        <v>4</v>
      </c>
      <c r="F35" s="518">
        <v>5</v>
      </c>
      <c r="G35" s="518">
        <v>6</v>
      </c>
      <c r="H35" s="518">
        <v>7</v>
      </c>
      <c r="I35" s="518">
        <v>8</v>
      </c>
      <c r="J35" s="518">
        <v>9</v>
      </c>
      <c r="K35" s="518">
        <v>10</v>
      </c>
      <c r="L35" s="518">
        <v>11</v>
      </c>
      <c r="M35" s="518">
        <v>12</v>
      </c>
      <c r="N35" s="518">
        <v>13</v>
      </c>
      <c r="O35" s="518">
        <v>14</v>
      </c>
      <c r="P35" s="518">
        <v>15</v>
      </c>
      <c r="Q35" s="518">
        <v>16</v>
      </c>
      <c r="R35" s="518">
        <v>17</v>
      </c>
      <c r="S35" s="518">
        <v>18</v>
      </c>
      <c r="T35" s="518">
        <v>19</v>
      </c>
      <c r="U35" s="518">
        <v>20</v>
      </c>
      <c r="V35" s="518">
        <v>21</v>
      </c>
      <c r="W35" s="518">
        <v>22</v>
      </c>
    </row>
  </sheetData>
  <customSheetViews>
    <customSheetView guid="{33CCADFA-0D48-46A6-8927-2B2144029216}" showGridLines="0" showRowCol="0" outlineSymbols="0" zeroValues="0">
      <pane xSplit="2" ySplit="2" topLeftCell="C3" activePane="bottomRight" state="frozen"/>
      <selection pane="bottomRight" activeCell="Q41" sqref="Q41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MedDisc">
    <tabColor rgb="FF7030A0"/>
  </sheetPr>
  <dimension ref="A1:BL108"/>
  <sheetViews>
    <sheetView workbookViewId="0">
      <pane ySplit="4" topLeftCell="A5" activePane="bottomLeft" state="frozenSplit"/>
      <selection activeCell="A6" sqref="A6"/>
      <selection pane="bottomLeft" activeCell="C6" sqref="C6"/>
    </sheetView>
  </sheetViews>
  <sheetFormatPr defaultColWidth="9.1328125" defaultRowHeight="12.85" x14ac:dyDescent="0.35"/>
  <cols>
    <col min="1" max="1" width="1.73046875" style="2" customWidth="1"/>
    <col min="2" max="2" width="4.3984375" style="2" customWidth="1"/>
    <col min="3" max="3" width="9.3984375" style="2" customWidth="1"/>
    <col min="4" max="4" width="9.1328125" style="2"/>
    <col min="5" max="5" width="9.59765625" style="2" customWidth="1"/>
    <col min="6" max="7" width="9.1328125" style="2"/>
    <col min="8" max="8" width="10" style="2" bestFit="1" customWidth="1"/>
    <col min="9" max="9" width="9.1328125" style="2"/>
    <col min="10" max="10" width="11.3984375" style="2" customWidth="1"/>
    <col min="11" max="11" width="9.1328125" style="2" customWidth="1"/>
    <col min="12" max="12" width="8.73046875" style="2" customWidth="1"/>
    <col min="13" max="13" width="9.73046875" style="2" customWidth="1"/>
    <col min="14" max="16384" width="9.1328125" style="2"/>
  </cols>
  <sheetData>
    <row r="1" spans="1:64" ht="6.8" customHeight="1" x14ac:dyDescent="0.35">
      <c r="A1" s="589"/>
      <c r="B1" s="108"/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  <c r="P1" s="108"/>
      <c r="Q1" s="108"/>
      <c r="R1" s="108"/>
      <c r="S1" s="108"/>
      <c r="T1" s="108"/>
      <c r="U1" s="108"/>
      <c r="V1" s="108"/>
      <c r="W1" s="108"/>
      <c r="X1" s="108"/>
      <c r="Y1" s="108"/>
      <c r="Z1" s="108"/>
      <c r="AA1" s="108"/>
      <c r="AB1" s="108"/>
      <c r="AC1" s="108"/>
      <c r="AD1" s="108"/>
      <c r="AE1" s="108"/>
      <c r="AF1" s="108"/>
      <c r="AG1" s="108"/>
      <c r="AH1" s="108"/>
      <c r="AI1" s="108"/>
      <c r="AJ1" s="108"/>
      <c r="AK1" s="108"/>
      <c r="AL1" s="108"/>
      <c r="AM1" s="108"/>
      <c r="AN1" s="108"/>
      <c r="AO1" s="108"/>
      <c r="AP1" s="108"/>
      <c r="AQ1" s="108"/>
      <c r="AR1" s="108"/>
      <c r="AS1" s="108"/>
      <c r="AT1" s="108"/>
      <c r="AU1" s="108"/>
      <c r="AV1" s="108"/>
      <c r="AW1" s="108"/>
      <c r="AX1" s="108"/>
      <c r="AY1" s="108"/>
      <c r="AZ1" s="108"/>
      <c r="BA1" s="108"/>
      <c r="BB1" s="108"/>
      <c r="BC1" s="108"/>
      <c r="BD1" s="108"/>
      <c r="BE1" s="108"/>
      <c r="BF1" s="108"/>
      <c r="BG1" s="108"/>
      <c r="BH1" s="108"/>
      <c r="BI1" s="108"/>
      <c r="BJ1" s="108"/>
      <c r="BK1" s="108"/>
    </row>
    <row r="2" spans="1:64" s="31" customFormat="1" ht="17.25" customHeight="1" x14ac:dyDescent="0.4">
      <c r="A2" s="108"/>
      <c r="B2" s="108"/>
      <c r="C2" s="109" t="s">
        <v>623</v>
      </c>
      <c r="D2" s="108"/>
      <c r="E2" s="110" t="e">
        <f ca="1">AfspraakDatum</f>
        <v>#NAME?</v>
      </c>
      <c r="F2" s="111"/>
      <c r="G2" s="108"/>
      <c r="H2" s="109" t="s">
        <v>624</v>
      </c>
      <c r="I2" s="108"/>
      <c r="J2" s="112">
        <f>OpnDatum</f>
        <v>42370</v>
      </c>
      <c r="K2" s="109" t="e">
        <f ca="1">"ICU-dag: "&amp;AfspraakDatum-OpnDatum+1</f>
        <v>#NAME?</v>
      </c>
      <c r="L2" s="108"/>
      <c r="M2" s="109"/>
      <c r="N2" s="109" t="s">
        <v>1002</v>
      </c>
      <c r="O2" s="269">
        <f>BedNummer</f>
        <v>0</v>
      </c>
      <c r="P2" s="108"/>
      <c r="Q2" s="108"/>
      <c r="R2" s="108"/>
      <c r="S2" s="108"/>
      <c r="T2" s="108"/>
      <c r="U2" s="108"/>
      <c r="V2" s="108"/>
      <c r="W2" s="108"/>
      <c r="X2" s="108"/>
      <c r="Y2" s="108"/>
      <c r="Z2" s="108"/>
      <c r="AA2" s="108"/>
      <c r="AB2" s="108"/>
      <c r="AC2" s="108"/>
      <c r="AD2" s="108"/>
      <c r="AE2" s="108"/>
      <c r="AF2" s="108"/>
      <c r="AG2" s="108"/>
      <c r="AH2" s="108"/>
      <c r="AI2" s="108"/>
      <c r="AJ2" s="108"/>
      <c r="AK2" s="108"/>
      <c r="AL2" s="108"/>
      <c r="AM2" s="108"/>
      <c r="AN2" s="108"/>
      <c r="AO2" s="108"/>
      <c r="AP2" s="108"/>
      <c r="AQ2" s="108"/>
      <c r="AR2" s="108"/>
      <c r="AS2" s="108"/>
      <c r="AT2" s="108"/>
      <c r="AU2" s="108"/>
      <c r="AV2" s="108"/>
      <c r="AW2" s="108"/>
      <c r="AX2" s="108"/>
      <c r="AY2" s="108"/>
      <c r="AZ2" s="108"/>
      <c r="BA2" s="108"/>
      <c r="BB2" s="108"/>
      <c r="BC2" s="108"/>
      <c r="BD2" s="108"/>
      <c r="BE2" s="108"/>
      <c r="BF2" s="108"/>
      <c r="BG2" s="108"/>
      <c r="BH2" s="108"/>
      <c r="BI2" s="108"/>
      <c r="BJ2" s="108"/>
      <c r="BK2" s="108"/>
    </row>
    <row r="3" spans="1:64" s="31" customFormat="1" ht="17.25" customHeight="1" x14ac:dyDescent="0.4">
      <c r="A3" s="108"/>
      <c r="B3" s="108"/>
      <c r="C3" s="109" t="s">
        <v>54</v>
      </c>
      <c r="D3" s="108"/>
      <c r="E3" s="113" t="str">
        <f>_AchterNaam&amp;", "&amp;_VoorNaam</f>
        <v>Achternaam, Voornaam</v>
      </c>
      <c r="F3" s="113"/>
      <c r="G3" s="108"/>
      <c r="H3" s="109" t="s">
        <v>638</v>
      </c>
      <c r="I3" s="108"/>
      <c r="J3" s="112">
        <f>GebDatum</f>
        <v>42370</v>
      </c>
      <c r="K3" s="114" t="str">
        <f>"Gewicht: "&amp;Gewicht/10&amp;" kg"</f>
        <v>Gewicht: 10 kg</v>
      </c>
      <c r="L3" s="109"/>
      <c r="M3" s="108"/>
      <c r="N3" s="114" t="str">
        <f>"Lengte: "&amp;Lengte&amp;" cm"</f>
        <v>Lengte: 80 cm</v>
      </c>
      <c r="O3" s="109"/>
      <c r="P3" s="108"/>
      <c r="Q3" s="108"/>
      <c r="R3" s="108"/>
      <c r="S3" s="108"/>
      <c r="T3" s="108"/>
      <c r="U3" s="108"/>
      <c r="V3" s="108"/>
      <c r="W3" s="108"/>
      <c r="X3" s="108"/>
      <c r="Y3" s="108"/>
      <c r="Z3" s="108"/>
      <c r="AA3" s="108"/>
      <c r="AB3" s="108"/>
      <c r="AC3" s="108"/>
      <c r="AD3" s="108"/>
      <c r="AE3" s="108"/>
      <c r="AF3" s="108"/>
      <c r="AG3" s="108"/>
      <c r="AH3" s="108"/>
      <c r="AI3" s="108"/>
      <c r="AJ3" s="108"/>
      <c r="AK3" s="108"/>
      <c r="AL3" s="108"/>
      <c r="AM3" s="108"/>
      <c r="AN3" s="108"/>
      <c r="AO3" s="108"/>
      <c r="AP3" s="108"/>
      <c r="AQ3" s="108"/>
      <c r="AR3" s="108"/>
      <c r="AS3" s="108"/>
      <c r="AT3" s="108"/>
      <c r="AU3" s="108"/>
      <c r="AV3" s="108"/>
      <c r="AW3" s="108"/>
      <c r="AX3" s="108"/>
      <c r="AY3" s="108"/>
      <c r="AZ3" s="108"/>
      <c r="BA3" s="108"/>
      <c r="BB3" s="108"/>
      <c r="BC3" s="108"/>
      <c r="BD3" s="108"/>
      <c r="BE3" s="108"/>
      <c r="BF3" s="108"/>
      <c r="BG3" s="108"/>
      <c r="BH3" s="108"/>
      <c r="BI3" s="108"/>
      <c r="BJ3" s="108"/>
      <c r="BK3" s="108"/>
    </row>
    <row r="4" spans="1:64" s="31" customFormat="1" ht="17.25" customHeight="1" x14ac:dyDescent="0.4">
      <c r="A4" s="108"/>
      <c r="B4" s="108"/>
      <c r="C4" s="109" t="s">
        <v>707</v>
      </c>
      <c r="D4" s="115"/>
      <c r="E4" s="114">
        <f>PatNummer</f>
        <v>0</v>
      </c>
      <c r="F4" s="111"/>
      <c r="G4" s="115"/>
      <c r="H4" s="109" t="s">
        <v>573</v>
      </c>
      <c r="I4" s="115"/>
      <c r="J4" s="116" t="e">
        <f ca="1">TRUNC((AfspraakDatum-GebDatum)/365,0)&amp;" jaar en "&amp;TRUNC(((AfspraakDatum-GebDatum)-365*TRUNC((AfspraakDatum-GebDatum)/365,0))/30,0)&amp;" maand(-en)"</f>
        <v>#NAME?</v>
      </c>
      <c r="K4" s="109"/>
      <c r="L4" s="115"/>
      <c r="M4" s="109" t="str">
        <f>"Lichamelijk oppervlak: "&amp;ROUND(POWER(Gewicht/10,0.424)*POWER(((Lengte/100)*100),0.724)*0.007184,2)&amp;" m2"</f>
        <v>Lichamelijk oppervlak: 0,46 m2</v>
      </c>
      <c r="N4" s="109"/>
      <c r="O4" s="115"/>
      <c r="P4" s="115"/>
      <c r="Q4" s="115"/>
      <c r="R4" s="108"/>
      <c r="S4" s="108"/>
      <c r="T4" s="108"/>
      <c r="U4" s="108"/>
      <c r="V4" s="108"/>
      <c r="W4" s="108"/>
      <c r="X4" s="108"/>
      <c r="Y4" s="108"/>
      <c r="Z4" s="108"/>
      <c r="AA4" s="108"/>
      <c r="AB4" s="108"/>
      <c r="AC4" s="108"/>
      <c r="AD4" s="108"/>
      <c r="AE4" s="108"/>
      <c r="AF4" s="108"/>
      <c r="AG4" s="108"/>
      <c r="AH4" s="108"/>
      <c r="AI4" s="108"/>
      <c r="AJ4" s="108"/>
      <c r="AK4" s="108"/>
      <c r="AL4" s="108"/>
      <c r="AM4" s="108"/>
      <c r="AN4" s="108"/>
      <c r="AO4" s="108"/>
      <c r="AP4" s="108"/>
      <c r="AQ4" s="108"/>
      <c r="AR4" s="108"/>
      <c r="AS4" s="108"/>
      <c r="AT4" s="108"/>
      <c r="AU4" s="108"/>
      <c r="AV4" s="108"/>
      <c r="AW4" s="108"/>
      <c r="AX4" s="108"/>
      <c r="AY4" s="108"/>
      <c r="AZ4" s="108"/>
      <c r="BA4" s="108"/>
      <c r="BB4" s="108"/>
      <c r="BC4" s="108"/>
      <c r="BD4" s="108"/>
      <c r="BE4" s="108"/>
      <c r="BF4" s="108"/>
      <c r="BG4" s="108"/>
      <c r="BH4" s="108"/>
      <c r="BI4" s="108"/>
      <c r="BJ4" s="108"/>
      <c r="BK4" s="108"/>
    </row>
    <row r="5" spans="1:64" s="246" customFormat="1" x14ac:dyDescent="0.35">
      <c r="A5" s="117"/>
      <c r="B5" s="117"/>
      <c r="C5" s="117"/>
      <c r="D5" s="118"/>
      <c r="E5" s="118"/>
      <c r="F5" s="118"/>
      <c r="G5" s="118"/>
      <c r="H5" s="118"/>
      <c r="I5" s="118"/>
      <c r="J5" s="118"/>
      <c r="K5" s="118"/>
      <c r="L5" s="118"/>
      <c r="M5" s="118"/>
      <c r="N5" s="118"/>
      <c r="O5" s="117"/>
      <c r="P5" s="117"/>
      <c r="Q5" s="117"/>
      <c r="R5" s="117"/>
      <c r="S5" s="117"/>
      <c r="T5" s="117"/>
      <c r="U5" s="117"/>
      <c r="V5" s="117"/>
    </row>
    <row r="6" spans="1:64" s="246" customFormat="1" ht="19.55" customHeight="1" x14ac:dyDescent="0.4">
      <c r="A6" s="600"/>
      <c r="B6" s="119">
        <v>1</v>
      </c>
      <c r="C6" s="120"/>
      <c r="D6" s="870">
        <f>ber_Med_disc!C2</f>
        <v>0</v>
      </c>
      <c r="E6" s="870"/>
      <c r="F6" s="870"/>
      <c r="G6" s="870"/>
      <c r="H6" s="121" t="str">
        <f>IF(INDEX(tblMedDiscTijdenValues,ber_Med_disc!I2,1)=0,"",INDEX(tblMedDiscTijdenValues,ber_Med_disc!I2,1))</f>
        <v/>
      </c>
      <c r="I6" s="122" t="str">
        <f>IF(ber_Med_disc!C2&gt;1,ber_Med_disc!H2,"")</f>
        <v/>
      </c>
      <c r="J6" s="123" t="str">
        <f>IF(ber_Med_disc!C2&gt;1,ber_Med_disc!F2,"")</f>
        <v/>
      </c>
      <c r="K6" s="124">
        <f>ber_Med_disc!L2</f>
        <v>0</v>
      </c>
      <c r="L6" s="117" t="str">
        <f>IF(AND(ber_Med_disc!C2&gt;1,ber_Med_disc!O2&gt;1),ber_Med_disc!N2,"")</f>
        <v/>
      </c>
      <c r="M6" s="117" t="str">
        <f>IF(AND(ber_Med_disc!C2&gt;1,L6&lt;&gt;0,ber_Med_disc!O2&gt;1),"ml","")</f>
        <v/>
      </c>
      <c r="N6" s="117"/>
      <c r="O6" s="117" t="str">
        <f>IF(AND(L6&lt;&gt;"",ber_Med_disc!Q2&gt;0),ber_Med_disc!Q2&amp;" min","")</f>
        <v/>
      </c>
      <c r="P6" s="117"/>
      <c r="Q6" s="117"/>
      <c r="R6" s="117"/>
      <c r="S6" s="117"/>
      <c r="T6" s="117"/>
      <c r="U6" s="117"/>
      <c r="V6" s="117"/>
    </row>
    <row r="7" spans="1:64" s="246" customFormat="1" ht="19.55" customHeight="1" x14ac:dyDescent="0.35">
      <c r="A7" s="118"/>
      <c r="B7" s="125" t="s">
        <v>596</v>
      </c>
      <c r="C7" s="126"/>
      <c r="D7" s="128">
        <f>ber_Opm!C16</f>
        <v>0</v>
      </c>
      <c r="E7" s="128"/>
      <c r="F7" s="128"/>
      <c r="G7" s="128"/>
      <c r="H7" s="127" t="str">
        <f>IF(ber_Med_disc!C2&gt;1,"Dosering/kg/dag: ","")</f>
        <v/>
      </c>
      <c r="I7" s="126"/>
      <c r="J7" s="128" t="str">
        <f>IF(ber_Med_disc!C2&gt;1,ber_Med_disc!M2,"")</f>
        <v/>
      </c>
      <c r="K7" s="126" t="str">
        <f>IF(AND(ber_Med_disc!C2&gt;1),J6&amp;"/kg/dag ","")</f>
        <v/>
      </c>
      <c r="L7" s="126"/>
      <c r="M7" s="126" t="str">
        <f>IF(AND(ber_Med_disc!C2&gt;1,ber_Med_disc!O2&gt;1,ber_Med_disc!N2&gt;0),"Oplossing:","")</f>
        <v/>
      </c>
      <c r="N7" s="126" t="str">
        <f>IF(AND(ber_Med_disc!C2&gt;1,ber_Med_disc!O2&gt;1,ber_Med_disc!N2&gt;0),ROUND(ber_Med_disc!H2/ber_Med_disc!N2,2)&amp;" "&amp;ber_Med_disc!F2&amp;"/ml","")</f>
        <v/>
      </c>
      <c r="O7" s="126"/>
      <c r="P7" s="126"/>
      <c r="Q7" s="117"/>
      <c r="R7" s="117"/>
      <c r="S7" s="117"/>
      <c r="T7" s="117"/>
      <c r="U7" s="117"/>
      <c r="V7" s="117"/>
    </row>
    <row r="8" spans="1:64" s="246" customFormat="1" ht="19.55" customHeight="1" x14ac:dyDescent="0.4">
      <c r="A8" s="117"/>
      <c r="B8" s="119">
        <v>2</v>
      </c>
      <c r="C8" s="120"/>
      <c r="D8" s="870">
        <f>ber_Med_disc!C3</f>
        <v>0</v>
      </c>
      <c r="E8" s="870"/>
      <c r="F8" s="870"/>
      <c r="G8" s="870"/>
      <c r="H8" s="121" t="str">
        <f>IF(INDEX(tblMedDiscTijdenValues,ber_Med_disc!I3,1)=0,"",INDEX(tblMedDiscTijdenValues,ber_Med_disc!I3,1))</f>
        <v/>
      </c>
      <c r="I8" s="122" t="str">
        <f>IF(ber_Med_disc!C3&gt;1,ber_Med_disc!H3,"")</f>
        <v/>
      </c>
      <c r="J8" s="123" t="str">
        <f>IF(ber_Med_disc!C3&gt;1,ber_Med_disc!F3,"")</f>
        <v/>
      </c>
      <c r="K8" s="124">
        <f>ber_Med_disc!L3</f>
        <v>0</v>
      </c>
      <c r="L8" s="117" t="str">
        <f>IF(AND(ber_Med_disc!C3&gt;1,ber_Med_disc!O3&gt;1,H8&lt;&gt;"STOP"),ber_Med_disc!N3,"")</f>
        <v/>
      </c>
      <c r="M8" s="117" t="str">
        <f>IF(AND(ber_Med_disc!C3&gt;1,L8&lt;&gt;0,ber_Med_disc!O3&gt;1,H8&lt;&gt;"STOP"),"ml","")</f>
        <v/>
      </c>
      <c r="N8" s="117"/>
      <c r="O8" s="117" t="str">
        <f>IF(AND(L8&lt;&gt;"",ber_Med_disc!Q3&gt;0,H8&lt;&gt;"STOP"),ber_Med_disc!Q3&amp;" min","")</f>
        <v/>
      </c>
      <c r="P8" s="117"/>
      <c r="Q8" s="117"/>
      <c r="R8" s="117"/>
      <c r="S8" s="117"/>
      <c r="T8" s="117"/>
      <c r="U8" s="117"/>
      <c r="V8" s="117"/>
    </row>
    <row r="9" spans="1:64" s="246" customFormat="1" ht="19.55" customHeight="1" x14ac:dyDescent="0.35">
      <c r="A9" s="117"/>
      <c r="B9" s="125" t="s">
        <v>596</v>
      </c>
      <c r="C9" s="126"/>
      <c r="D9" s="128">
        <f>ber_Opm!C17</f>
        <v>0</v>
      </c>
      <c r="E9" s="128"/>
      <c r="F9" s="128"/>
      <c r="G9" s="128"/>
      <c r="H9" s="127" t="str">
        <f>IF(AND(ber_Med_disc!C3&gt;1,H8&lt;&gt;"STOP"),"Dosering/kg/dag: ","")</f>
        <v/>
      </c>
      <c r="I9" s="126"/>
      <c r="J9" s="128" t="str">
        <f>IF(ber_Med_disc!C3&gt;1,ber_Med_disc!M3,"")</f>
        <v/>
      </c>
      <c r="K9" s="126" t="str">
        <f>IF(AND(ber_Med_disc!C3&gt;1,H8&lt;&gt;"STOP"),J8&amp;"/kg/dag ","")</f>
        <v/>
      </c>
      <c r="L9" s="126"/>
      <c r="M9" s="126" t="str">
        <f>IF(AND(ber_Med_disc!C3&gt;1,ber_Med_disc!O3&gt;1,ber_Med_disc!N3&gt;0,H8&lt;&gt;"STOP"),"Oplossing:","")</f>
        <v/>
      </c>
      <c r="N9" s="126" t="str">
        <f>IF(AND(ber_Med_disc!C3&gt;1,ber_Med_disc!O3&gt;1,ber_Med_disc!N3&gt;0,H8&lt;&gt;"STOP"),ROUND(ber_Med_disc!H3/ber_Med_disc!N3,2)&amp;" "&amp;ber_Med_disc!F3&amp;"/ml","")</f>
        <v/>
      </c>
      <c r="O9" s="126"/>
      <c r="P9" s="126"/>
      <c r="Q9" s="117"/>
      <c r="R9" s="117"/>
      <c r="S9" s="117"/>
      <c r="T9" s="117"/>
      <c r="U9" s="117"/>
      <c r="V9" s="117"/>
    </row>
    <row r="10" spans="1:64" s="246" customFormat="1" ht="19.55" customHeight="1" x14ac:dyDescent="0.4">
      <c r="A10" s="117"/>
      <c r="B10" s="119">
        <v>3</v>
      </c>
      <c r="C10" s="120"/>
      <c r="D10" s="870">
        <f>ber_Med_disc!C4</f>
        <v>0</v>
      </c>
      <c r="E10" s="870"/>
      <c r="F10" s="870"/>
      <c r="G10" s="870"/>
      <c r="H10" s="121" t="str">
        <f>IF(INDEX(tblMedDiscTijdenValues,ber_Med_disc!I4,1)=0,"",INDEX(tblMedDiscTijdenValues,ber_Med_disc!I4,1))</f>
        <v/>
      </c>
      <c r="I10" s="122" t="str">
        <f>IF(ber_Med_disc!C4&gt;1,ber_Med_disc!H4,"")</f>
        <v/>
      </c>
      <c r="J10" s="123" t="str">
        <f>IF(ber_Med_disc!C4&gt;1,ber_Med_disc!F4,"")</f>
        <v/>
      </c>
      <c r="K10" s="124">
        <f>ber_Med_disc!L4</f>
        <v>0</v>
      </c>
      <c r="L10" s="117" t="str">
        <f>IF(AND(ber_Med_disc!C4&gt;1,ber_Med_disc!O4&gt;1,H10&lt;&gt;"STOP"),ber_Med_disc!N4,"")</f>
        <v/>
      </c>
      <c r="M10" s="117" t="str">
        <f>IF(AND(ber_Med_disc!C4&gt;1,L10&lt;&gt;0,ber_Med_disc!O4&gt;1,H10&lt;&gt;"STOP"),"ml","")</f>
        <v/>
      </c>
      <c r="N10" s="117"/>
      <c r="O10" s="117" t="str">
        <f>IF(AND(L10&lt;&gt;"",ber_Med_disc!Q4&gt;0,H10&lt;&gt;"STOP"),ber_Med_disc!Q4&amp;" min","")</f>
        <v/>
      </c>
      <c r="P10" s="117"/>
      <c r="Q10" s="117"/>
      <c r="R10" s="117"/>
      <c r="S10" s="117"/>
      <c r="T10" s="117"/>
      <c r="U10" s="117"/>
      <c r="V10" s="117"/>
    </row>
    <row r="11" spans="1:64" s="246" customFormat="1" ht="19.55" customHeight="1" x14ac:dyDescent="0.35">
      <c r="A11" s="117"/>
      <c r="B11" s="125" t="s">
        <v>596</v>
      </c>
      <c r="C11" s="126"/>
      <c r="D11" s="128">
        <f>ber_Opm!C18</f>
        <v>0</v>
      </c>
      <c r="E11" s="128"/>
      <c r="F11" s="128"/>
      <c r="G11" s="128"/>
      <c r="H11" s="127" t="str">
        <f>IF(AND(ber_Med_disc!C4&gt;1,H10&lt;&gt;"STOP"),"Dosering/kg/dag: ","")</f>
        <v/>
      </c>
      <c r="I11" s="126"/>
      <c r="J11" s="128" t="str">
        <f>IF(ber_Med_disc!C4&gt;1,ber_Med_disc!M4,"")</f>
        <v/>
      </c>
      <c r="K11" s="126" t="str">
        <f>IF(AND(ber_Med_disc!C4&gt;1,H10&lt;&gt;"STOP"),J10&amp;"/kg/dag ","")</f>
        <v/>
      </c>
      <c r="L11" s="126"/>
      <c r="M11" s="126" t="str">
        <f>IF(AND(ber_Med_disc!C4&gt;1,ber_Med_disc!O4&gt;1,ber_Med_disc!N4&gt;0,H10&lt;&gt;"STOP"),"Oplossing:","")</f>
        <v/>
      </c>
      <c r="N11" s="126" t="str">
        <f>IF(AND(ber_Med_disc!C4&gt;1,ber_Med_disc!O4&gt;1,ber_Med_disc!N4&gt;0,H10&lt;&gt;"STOP"),ROUND(ber_Med_disc!H4/ber_Med_disc!N4,2)&amp;" "&amp;ber_Med_disc!F4&amp;"/ml","")</f>
        <v/>
      </c>
      <c r="O11" s="126"/>
      <c r="P11" s="126"/>
      <c r="Q11" s="117"/>
      <c r="R11" s="117"/>
      <c r="S11" s="117"/>
      <c r="T11" s="117"/>
      <c r="U11" s="117"/>
      <c r="V11" s="117"/>
    </row>
    <row r="12" spans="1:64" s="246" customFormat="1" ht="19.55" customHeight="1" x14ac:dyDescent="0.4">
      <c r="A12" s="117"/>
      <c r="B12" s="119">
        <v>4</v>
      </c>
      <c r="C12" s="120"/>
      <c r="D12" s="870">
        <f>ber_Med_disc!C5</f>
        <v>0</v>
      </c>
      <c r="E12" s="870"/>
      <c r="F12" s="870"/>
      <c r="G12" s="870"/>
      <c r="H12" s="121" t="str">
        <f>IF(INDEX(tblMedDiscTijdenValues,ber_Med_disc!I5,1)=0,"",INDEX(tblMedDiscTijdenValues,ber_Med_disc!I5,1))</f>
        <v/>
      </c>
      <c r="I12" s="122" t="str">
        <f>IF(ber_Med_disc!C5&gt;1,ber_Med_disc!H5,"")</f>
        <v/>
      </c>
      <c r="J12" s="123" t="str">
        <f>IF(ber_Med_disc!C5&gt;1,ber_Med_disc!F5,"")</f>
        <v/>
      </c>
      <c r="K12" s="124">
        <f>ber_Med_disc!L5</f>
        <v>0</v>
      </c>
      <c r="L12" s="117" t="str">
        <f>IF(AND(ber_Med_disc!C5&gt;1,ber_Med_disc!O5&gt;1,H12&lt;&gt;"STOP"),ber_Med_disc!N5,"")</f>
        <v/>
      </c>
      <c r="M12" s="117" t="str">
        <f>IF(AND(ber_Med_disc!C5&gt;1,L12&lt;&gt;0,ber_Med_disc!O5&gt;1,H12&lt;&gt;"STOP"),"ml","")</f>
        <v/>
      </c>
      <c r="N12" s="117"/>
      <c r="O12" s="117" t="str">
        <f>IF(AND(L12&lt;&gt;"",ber_Med_disc!Q5&gt;0,H12&lt;&gt;"STOP"),ber_Med_disc!Q5&amp;" min","")</f>
        <v/>
      </c>
      <c r="P12" s="117"/>
      <c r="Q12" s="117"/>
      <c r="R12" s="117"/>
      <c r="S12" s="117"/>
      <c r="T12" s="117"/>
      <c r="U12" s="117"/>
      <c r="V12" s="117"/>
    </row>
    <row r="13" spans="1:64" s="246" customFormat="1" ht="19.55" customHeight="1" x14ac:dyDescent="0.35">
      <c r="A13" s="117"/>
      <c r="B13" s="125" t="s">
        <v>596</v>
      </c>
      <c r="C13" s="126"/>
      <c r="D13" s="128">
        <f>ber_Opm!C19</f>
        <v>0</v>
      </c>
      <c r="E13" s="128"/>
      <c r="F13" s="128"/>
      <c r="G13" s="128"/>
      <c r="H13" s="127" t="str">
        <f>IF(AND(ber_Med_disc!C5&gt;1,H12&lt;&gt;"STOP"),"Dosering/kg/dag: ","")</f>
        <v/>
      </c>
      <c r="I13" s="126"/>
      <c r="J13" s="128" t="str">
        <f>IF(ber_Med_disc!C5&gt;1,ber_Med_disc!M5,"")</f>
        <v/>
      </c>
      <c r="K13" s="126" t="str">
        <f>IF(AND(ber_Med_disc!C5&gt;1,H12&lt;&gt;"STOP"),J12&amp;"/kg/dag ","")</f>
        <v/>
      </c>
      <c r="L13" s="126"/>
      <c r="M13" s="126" t="str">
        <f>IF(AND(ber_Med_disc!C5&gt;1,ber_Med_disc!O5&gt;1,ber_Med_disc!N5&gt;0,H12&lt;&gt;"STOP"),"Oplossing:","")</f>
        <v/>
      </c>
      <c r="N13" s="126" t="str">
        <f>IF(AND(ber_Med_disc!C5&gt;1,ber_Med_disc!O5&gt;1,ber_Med_disc!N5&gt;0,H12&lt;&gt;"STOP"),ROUND(ber_Med_disc!H5/ber_Med_disc!N5,2)&amp;" "&amp;ber_Med_disc!F5&amp;"/ml","")</f>
        <v/>
      </c>
      <c r="O13" s="126"/>
      <c r="P13" s="126"/>
      <c r="Q13" s="117"/>
      <c r="R13" s="129"/>
      <c r="S13" s="129"/>
      <c r="T13" s="129"/>
      <c r="U13" s="129"/>
      <c r="V13" s="129"/>
      <c r="W13" s="247"/>
      <c r="X13" s="247"/>
      <c r="Y13" s="247"/>
      <c r="Z13" s="247"/>
      <c r="AA13" s="247"/>
      <c r="AB13" s="247"/>
      <c r="AC13" s="247"/>
      <c r="AD13" s="247"/>
      <c r="AE13" s="247"/>
      <c r="AF13" s="247"/>
      <c r="AG13" s="247"/>
      <c r="AH13" s="247"/>
      <c r="AI13" s="247"/>
      <c r="AJ13" s="247"/>
      <c r="AK13" s="247"/>
      <c r="AL13" s="247"/>
      <c r="AM13" s="247"/>
      <c r="AN13" s="247"/>
      <c r="AO13" s="247"/>
      <c r="AP13" s="247"/>
      <c r="AQ13" s="247"/>
      <c r="AR13" s="247"/>
      <c r="AS13" s="247"/>
      <c r="AT13" s="247"/>
      <c r="AU13" s="247"/>
      <c r="AV13" s="247"/>
      <c r="AW13" s="247"/>
      <c r="AX13" s="247"/>
      <c r="AY13" s="247"/>
      <c r="AZ13" s="247"/>
      <c r="BA13" s="247"/>
      <c r="BB13" s="247"/>
      <c r="BC13" s="247"/>
      <c r="BD13" s="247"/>
      <c r="BE13" s="247"/>
      <c r="BF13" s="247"/>
      <c r="BG13" s="247"/>
      <c r="BH13" s="247"/>
      <c r="BI13" s="247"/>
      <c r="BJ13" s="247"/>
      <c r="BK13" s="247"/>
      <c r="BL13" s="247"/>
    </row>
    <row r="14" spans="1:64" s="247" customFormat="1" ht="19.55" customHeight="1" x14ac:dyDescent="0.4">
      <c r="A14" s="117"/>
      <c r="B14" s="119">
        <v>5</v>
      </c>
      <c r="C14" s="120"/>
      <c r="D14" s="870">
        <f>ber_Med_disc!C6</f>
        <v>0</v>
      </c>
      <c r="E14" s="870"/>
      <c r="F14" s="870"/>
      <c r="G14" s="870"/>
      <c r="H14" s="121" t="str">
        <f>IF(INDEX(tblMedDiscTijdenValues,ber_Med_disc!I6,1)=0,"",INDEX(tblMedDiscTijdenValues,ber_Med_disc!I6,1))</f>
        <v/>
      </c>
      <c r="I14" s="122" t="str">
        <f>IF(ber_Med_disc!C6&gt;1,ber_Med_disc!H6,"")</f>
        <v/>
      </c>
      <c r="J14" s="123" t="str">
        <f>IF(ber_Med_disc!C6&gt;1,ber_Med_disc!F6,"")</f>
        <v/>
      </c>
      <c r="K14" s="124">
        <f>ber_Med_disc!L6</f>
        <v>0</v>
      </c>
      <c r="L14" s="117" t="str">
        <f>IF(AND(ber_Med_disc!C6&gt;1,ber_Med_disc!O6&gt;1,H14&lt;&gt;"STOP"),ber_Med_disc!N6,"")</f>
        <v/>
      </c>
      <c r="M14" s="117" t="str">
        <f>IF(AND(ber_Med_disc!C6&gt;1,L14&lt;&gt;0,ber_Med_disc!O6&gt;1,H14&lt;&gt;"STOP"),"ml","")</f>
        <v/>
      </c>
      <c r="N14" s="117"/>
      <c r="O14" s="117" t="str">
        <f>IF(AND(L14&lt;&gt;"",ber_Med_disc!Q6&gt;0,H14&lt;&gt;"STOP"),ber_Med_disc!Q6&amp;" min","")</f>
        <v/>
      </c>
      <c r="P14" s="117"/>
      <c r="Q14" s="117"/>
      <c r="R14" s="117"/>
      <c r="S14" s="117"/>
      <c r="T14" s="117"/>
      <c r="U14" s="117"/>
      <c r="V14" s="117"/>
      <c r="W14" s="246"/>
      <c r="X14" s="246"/>
      <c r="Y14" s="246"/>
      <c r="Z14" s="246"/>
      <c r="AA14" s="246"/>
      <c r="AB14" s="246"/>
      <c r="AC14" s="246"/>
      <c r="AD14" s="246"/>
      <c r="AE14" s="246"/>
      <c r="AF14" s="246"/>
      <c r="AG14" s="246"/>
      <c r="AH14" s="246"/>
      <c r="AI14" s="246"/>
      <c r="AJ14" s="246"/>
      <c r="AK14" s="246"/>
      <c r="AL14" s="246"/>
      <c r="AM14" s="246"/>
      <c r="AN14" s="246"/>
      <c r="AO14" s="246"/>
      <c r="AP14" s="246"/>
      <c r="AQ14" s="246"/>
      <c r="AR14" s="246"/>
      <c r="AS14" s="246"/>
      <c r="AT14" s="246"/>
      <c r="AU14" s="246"/>
      <c r="AV14" s="246"/>
      <c r="AW14" s="246"/>
      <c r="AX14" s="246"/>
      <c r="AY14" s="246"/>
      <c r="AZ14" s="246"/>
      <c r="BA14" s="246"/>
      <c r="BB14" s="246"/>
      <c r="BC14" s="246"/>
      <c r="BD14" s="246"/>
      <c r="BE14" s="246"/>
      <c r="BF14" s="246"/>
      <c r="BG14" s="246"/>
      <c r="BH14" s="246"/>
      <c r="BI14" s="246"/>
      <c r="BJ14" s="246"/>
      <c r="BK14" s="246"/>
      <c r="BL14" s="246"/>
    </row>
    <row r="15" spans="1:64" s="246" customFormat="1" ht="19.55" customHeight="1" x14ac:dyDescent="0.35">
      <c r="A15" s="117"/>
      <c r="B15" s="125" t="s">
        <v>596</v>
      </c>
      <c r="C15" s="126"/>
      <c r="D15" s="128">
        <f>ber_Opm!C20</f>
        <v>0</v>
      </c>
      <c r="E15" s="128"/>
      <c r="F15" s="128"/>
      <c r="G15" s="128"/>
      <c r="H15" s="127" t="str">
        <f>IF(AND(ber_Med_disc!C6&gt;1,H14&lt;&gt;"STOP"),"Dosering/kg/dag: ","")</f>
        <v/>
      </c>
      <c r="I15" s="126"/>
      <c r="J15" s="128" t="str">
        <f>IF(ber_Med_disc!C6&gt;1,ber_Med_disc!M6,"")</f>
        <v/>
      </c>
      <c r="K15" s="126" t="str">
        <f>IF(AND(ber_Med_disc!C6&gt;1,H14&lt;&gt;"STOP"),J14&amp;"/kg/dag ","")</f>
        <v/>
      </c>
      <c r="L15" s="126"/>
      <c r="M15" s="126" t="str">
        <f>IF(AND(ber_Med_disc!C6&gt;1,ber_Med_disc!O6&gt;1,ber_Med_disc!N6&gt;0,H14&lt;&gt;"STOP"),"Oplossing:","")</f>
        <v/>
      </c>
      <c r="N15" s="126" t="str">
        <f>IF(AND(ber_Med_disc!C6&gt;1,ber_Med_disc!O6&gt;1,ber_Med_disc!N6&gt;0,H14&lt;&gt;"STOP"),ROUND(ber_Med_disc!H6/ber_Med_disc!N6,2)&amp;" "&amp;ber_Med_disc!F6&amp;"/ml","")</f>
        <v/>
      </c>
      <c r="O15" s="126"/>
      <c r="P15" s="126"/>
      <c r="Q15" s="117"/>
      <c r="R15" s="117"/>
      <c r="S15" s="117"/>
      <c r="T15" s="117"/>
      <c r="U15" s="117"/>
      <c r="V15" s="117"/>
    </row>
    <row r="16" spans="1:64" s="246" customFormat="1" ht="19.55" customHeight="1" x14ac:dyDescent="0.4">
      <c r="A16" s="117"/>
      <c r="B16" s="119">
        <v>6</v>
      </c>
      <c r="C16" s="120"/>
      <c r="D16" s="870">
        <f>ber_Med_disc!C7</f>
        <v>0</v>
      </c>
      <c r="E16" s="870"/>
      <c r="F16" s="870"/>
      <c r="G16" s="870"/>
      <c r="H16" s="121" t="str">
        <f>IF(INDEX(tblMedDiscTijdenValues,ber_Med_disc!I7,1)=0,"",INDEX(tblMedDiscTijdenValues,ber_Med_disc!I7,1))</f>
        <v/>
      </c>
      <c r="I16" s="122" t="str">
        <f>IF(ber_Med_disc!C7&gt;1,ber_Med_disc!H7,"")</f>
        <v/>
      </c>
      <c r="J16" s="123" t="str">
        <f>IF(ber_Med_disc!C7&gt;1,ber_Med_disc!F7,"")</f>
        <v/>
      </c>
      <c r="K16" s="124">
        <f>ber_Med_disc!L7</f>
        <v>0</v>
      </c>
      <c r="L16" s="117" t="str">
        <f>IF(AND(ber_Med_disc!C7&gt;1,ber_Med_disc!O7&gt;1,H16&lt;&gt;"STOP"),ber_Med_disc!N7,"")</f>
        <v/>
      </c>
      <c r="M16" s="117" t="str">
        <f>IF(AND(ber_Med_disc!C7&gt;1,L16&lt;&gt;0,ber_Med_disc!O7&gt;1,H16&lt;&gt;"STOP"),"ml","")</f>
        <v/>
      </c>
      <c r="N16" s="117"/>
      <c r="O16" s="117" t="str">
        <f>IF(AND(L16&lt;&gt;"",ber_Med_disc!Q7&gt;0,H16&lt;&gt;"STOP"),ber_Med_disc!Q7&amp;" min","")</f>
        <v/>
      </c>
      <c r="P16" s="117"/>
      <c r="Q16" s="117"/>
      <c r="R16" s="117"/>
      <c r="S16" s="117"/>
      <c r="T16" s="117"/>
      <c r="U16" s="117"/>
      <c r="V16" s="117"/>
    </row>
    <row r="17" spans="1:22" s="246" customFormat="1" ht="19.55" customHeight="1" x14ac:dyDescent="0.35">
      <c r="A17" s="117"/>
      <c r="B17" s="125" t="s">
        <v>596</v>
      </c>
      <c r="C17" s="126"/>
      <c r="D17" s="128">
        <f>ber_Opm!C21</f>
        <v>0</v>
      </c>
      <c r="E17" s="128"/>
      <c r="F17" s="128"/>
      <c r="G17" s="128"/>
      <c r="H17" s="127" t="str">
        <f>IF(AND(ber_Med_disc!C7&gt;1,H16&lt;&gt;"STOP"),"Dosering/kg/dag: ","")</f>
        <v/>
      </c>
      <c r="I17" s="126"/>
      <c r="J17" s="128" t="str">
        <f>IF(ber_Med_disc!C7&gt;1,ber_Med_disc!M7,"")</f>
        <v/>
      </c>
      <c r="K17" s="126" t="str">
        <f>IF(AND(ber_Med_disc!C7&gt;1,H16&lt;&gt;"STOP"),J16&amp;"/kg/dag ","")</f>
        <v/>
      </c>
      <c r="L17" s="126"/>
      <c r="M17" s="126" t="str">
        <f>IF(AND(ber_Med_disc!C7&gt;1,ber_Med_disc!O7&gt;1,ber_Med_disc!N7&gt;0,H16&lt;&gt;"STOP"),"Oplossing:","")</f>
        <v/>
      </c>
      <c r="N17" s="126" t="str">
        <f>IF(AND(ber_Med_disc!C7&gt;1,ber_Med_disc!O7&gt;1,ber_Med_disc!N7&gt;0,H16&lt;&gt;"STOP"),ROUND(ber_Med_disc!H7/ber_Med_disc!N7,2)&amp;" "&amp;ber_Med_disc!F7&amp;"/ml","")</f>
        <v/>
      </c>
      <c r="O17" s="126"/>
      <c r="P17" s="126"/>
      <c r="Q17" s="117"/>
      <c r="R17" s="117"/>
      <c r="S17" s="117"/>
      <c r="T17" s="117"/>
      <c r="U17" s="117"/>
      <c r="V17" s="117"/>
    </row>
    <row r="18" spans="1:22" s="246" customFormat="1" ht="19.55" customHeight="1" x14ac:dyDescent="0.4">
      <c r="A18" s="117"/>
      <c r="B18" s="119">
        <v>7</v>
      </c>
      <c r="C18" s="120"/>
      <c r="D18" s="870">
        <f>ber_Med_disc!C8</f>
        <v>0</v>
      </c>
      <c r="E18" s="870"/>
      <c r="F18" s="870"/>
      <c r="G18" s="870"/>
      <c r="H18" s="121" t="str">
        <f>IF(INDEX(tblMedDiscTijdenValues,ber_Med_disc!I8,1)=0,"",INDEX(tblMedDiscTijdenValues,ber_Med_disc!I8,1))</f>
        <v/>
      </c>
      <c r="I18" s="122" t="str">
        <f>IF(ber_Med_disc!C8&gt;1,ber_Med_disc!H8,"")</f>
        <v/>
      </c>
      <c r="J18" s="123" t="str">
        <f>IF(ber_Med_disc!C8&gt;1,ber_Med_disc!F8,"")</f>
        <v/>
      </c>
      <c r="K18" s="124">
        <f>ber_Med_disc!L8</f>
        <v>0</v>
      </c>
      <c r="L18" s="117" t="str">
        <f>IF(AND(ber_Med_disc!C8&gt;1,ber_Med_disc!O8&gt;1,H18&lt;&gt;"STOP"),ber_Med_disc!N8,"")</f>
        <v/>
      </c>
      <c r="M18" s="117" t="str">
        <f>IF(AND(ber_Med_disc!C8&gt;1,L18&lt;&gt;0,ber_Med_disc!O8&gt;1,H18&lt;&gt;"STOP"),"ml","")</f>
        <v/>
      </c>
      <c r="N18" s="117"/>
      <c r="O18" s="117" t="str">
        <f>IF(AND(L18&lt;&gt;"",ber_Med_disc!Q8&gt;0,H18&lt;&gt;"STOP"),ber_Med_disc!Q8&amp;" min","")</f>
        <v/>
      </c>
      <c r="P18" s="117"/>
      <c r="Q18" s="117"/>
      <c r="R18" s="117"/>
      <c r="S18" s="117"/>
      <c r="T18" s="117"/>
      <c r="U18" s="117"/>
      <c r="V18" s="117"/>
    </row>
    <row r="19" spans="1:22" s="246" customFormat="1" ht="19.55" customHeight="1" x14ac:dyDescent="0.35">
      <c r="A19" s="117"/>
      <c r="B19" s="125" t="s">
        <v>596</v>
      </c>
      <c r="C19" s="126"/>
      <c r="D19" s="128">
        <f>ber_Opm!C22</f>
        <v>0</v>
      </c>
      <c r="E19" s="128"/>
      <c r="F19" s="128"/>
      <c r="G19" s="128"/>
      <c r="H19" s="127" t="str">
        <f>IF(AND(ber_Med_disc!C8&gt;1,H18&lt;&gt;"STOP"),"Dosering/kg/dag: ","")</f>
        <v/>
      </c>
      <c r="I19" s="126"/>
      <c r="J19" s="128" t="str">
        <f>IF(ber_Med_disc!C8&gt;1,ber_Med_disc!M8,"")</f>
        <v/>
      </c>
      <c r="K19" s="126" t="str">
        <f>IF(AND(ber_Med_disc!C8&gt;1,H18&lt;&gt;"STOP"),J18&amp;"/kg/dag ","")</f>
        <v/>
      </c>
      <c r="L19" s="126"/>
      <c r="M19" s="126" t="str">
        <f>IF(AND(ber_Med_disc!C8&gt;1,ber_Med_disc!O8&gt;1,ber_Med_disc!N8&gt;0,H18&lt;&gt;"STOP"),"Oplossing:","")</f>
        <v/>
      </c>
      <c r="N19" s="126" t="str">
        <f>IF(AND(ber_Med_disc!C8&gt;1,ber_Med_disc!O8&gt;1,ber_Med_disc!N8&gt;0,H18&lt;&gt;"STOP"),ROUND(ber_Med_disc!H8/ber_Med_disc!N8,2)&amp;" "&amp;ber_Med_disc!F8&amp;"/ml","")</f>
        <v/>
      </c>
      <c r="O19" s="126"/>
      <c r="P19" s="126"/>
      <c r="Q19" s="117"/>
      <c r="R19" s="117"/>
      <c r="S19" s="117"/>
      <c r="T19" s="117"/>
      <c r="U19" s="117"/>
      <c r="V19" s="117"/>
    </row>
    <row r="20" spans="1:22" s="246" customFormat="1" ht="19.55" customHeight="1" x14ac:dyDescent="0.4">
      <c r="A20" s="117"/>
      <c r="B20" s="119">
        <v>8</v>
      </c>
      <c r="C20" s="120"/>
      <c r="D20" s="870">
        <f>ber_Med_disc!C9</f>
        <v>0</v>
      </c>
      <c r="E20" s="870"/>
      <c r="F20" s="870"/>
      <c r="G20" s="870"/>
      <c r="H20" s="121" t="str">
        <f>IF(INDEX(tblMedDiscTijdenValues,ber_Med_disc!I9,1)=0,"",INDEX(tblMedDiscTijdenValues,ber_Med_disc!I9,1))</f>
        <v/>
      </c>
      <c r="I20" s="122" t="str">
        <f>IF(ber_Med_disc!C9&gt;1,ber_Med_disc!H9,"")</f>
        <v/>
      </c>
      <c r="J20" s="123" t="str">
        <f>IF(ber_Med_disc!C9&gt;1,ber_Med_disc!F9,"")</f>
        <v/>
      </c>
      <c r="K20" s="124">
        <f>ber_Med_disc!L9</f>
        <v>0</v>
      </c>
      <c r="L20" s="117" t="str">
        <f>IF(AND(ber_Med_disc!C9&gt;1,ber_Med_disc!O9&gt;1,H20&lt;&gt;"STOP"),ber_Med_disc!N9,"")</f>
        <v/>
      </c>
      <c r="M20" s="117" t="str">
        <f>IF(AND(ber_Med_disc!C9&gt;1,L20&lt;&gt;0,ber_Med_disc!O9&gt;1,H20&lt;&gt;"STOP"),"ml","")</f>
        <v/>
      </c>
      <c r="N20" s="117"/>
      <c r="O20" s="117" t="str">
        <f>IF(AND(L20&lt;&gt;"",ber_Med_disc!Q9&gt;0,H20&lt;&gt;"STOP"),ber_Med_disc!Q9&amp;" min","")</f>
        <v/>
      </c>
      <c r="P20" s="117"/>
      <c r="Q20" s="117"/>
      <c r="R20" s="117"/>
      <c r="S20" s="117"/>
      <c r="T20" s="117"/>
      <c r="U20" s="117"/>
      <c r="V20" s="117"/>
    </row>
    <row r="21" spans="1:22" s="246" customFormat="1" ht="19.55" customHeight="1" x14ac:dyDescent="0.35">
      <c r="A21" s="117"/>
      <c r="B21" s="125" t="s">
        <v>596</v>
      </c>
      <c r="C21" s="126"/>
      <c r="D21" s="128">
        <f>ber_Opm!C23</f>
        <v>0</v>
      </c>
      <c r="E21" s="128"/>
      <c r="F21" s="128"/>
      <c r="G21" s="128"/>
      <c r="H21" s="127" t="str">
        <f>IF(AND(ber_Med_disc!C9&gt;1,H20&lt;&gt;"STOP"),"Dosering/kg/dag: ","")</f>
        <v/>
      </c>
      <c r="I21" s="126"/>
      <c r="J21" s="128" t="str">
        <f>IF(ber_Med_disc!C9&gt;1,ber_Med_disc!M9,"")</f>
        <v/>
      </c>
      <c r="K21" s="126" t="str">
        <f>IF(AND(ber_Med_disc!C9&gt;1,H20&lt;&gt;"STOP"),J20&amp;"/kg/dag ","")</f>
        <v/>
      </c>
      <c r="L21" s="126"/>
      <c r="M21" s="126" t="str">
        <f>IF(AND(ber_Med_disc!C9&gt;1,ber_Med_disc!O9&gt;1,ber_Med_disc!N9&gt;0,H20&lt;&gt;"STOP"),"Oplossing:","")</f>
        <v/>
      </c>
      <c r="N21" s="126" t="str">
        <f>IF(AND(ber_Med_disc!C9&gt;1,ber_Med_disc!O9&gt;1,ber_Med_disc!N9&gt;0,H20&lt;&gt;"STOP"),ROUND(ber_Med_disc!H9/ber_Med_disc!N9,2)&amp;" "&amp;ber_Med_disc!F9&amp;"/ml","")</f>
        <v/>
      </c>
      <c r="O21" s="126"/>
      <c r="P21" s="126"/>
      <c r="Q21" s="117"/>
      <c r="R21" s="117"/>
      <c r="S21" s="117"/>
      <c r="T21" s="117"/>
      <c r="U21" s="117"/>
      <c r="V21" s="117"/>
    </row>
    <row r="22" spans="1:22" s="246" customFormat="1" ht="19.55" customHeight="1" x14ac:dyDescent="0.4">
      <c r="A22" s="117"/>
      <c r="B22" s="119">
        <v>9</v>
      </c>
      <c r="C22" s="120"/>
      <c r="D22" s="870">
        <f>ber_Med_disc!C10</f>
        <v>0</v>
      </c>
      <c r="E22" s="870"/>
      <c r="F22" s="870"/>
      <c r="G22" s="870"/>
      <c r="H22" s="121" t="str">
        <f>IF(INDEX(tblMedDiscTijdenValues,ber_Med_disc!I10,1)=0,"",INDEX(tblMedDiscTijdenValues,ber_Med_disc!I10,1))</f>
        <v/>
      </c>
      <c r="I22" s="122" t="str">
        <f>IF(ber_Med_disc!C10&gt;1,ber_Med_disc!H10,"")</f>
        <v/>
      </c>
      <c r="J22" s="123" t="str">
        <f>IF(ber_Med_disc!C10&gt;1,ber_Med_disc!F10,"")</f>
        <v/>
      </c>
      <c r="K22" s="124">
        <f>ber_Med_disc!L10</f>
        <v>0</v>
      </c>
      <c r="L22" s="117" t="str">
        <f>IF(AND(ber_Med_disc!C10&gt;1,ber_Med_disc!O10&gt;1,H22&lt;&gt;"STOP"),ber_Med_disc!N10,"")</f>
        <v/>
      </c>
      <c r="M22" s="117" t="str">
        <f>IF(AND(ber_Med_disc!C10&gt;1,L22&lt;&gt;0,ber_Med_disc!O10&gt;1,H22&lt;&gt;"STOP"),"ml","")</f>
        <v/>
      </c>
      <c r="N22" s="117"/>
      <c r="O22" s="117" t="str">
        <f>IF(AND(L22&lt;&gt;"",ber_Med_disc!Q10&gt;0,H22&lt;&gt;"STOP"),ber_Med_disc!Q10&amp;" min","")</f>
        <v/>
      </c>
      <c r="P22" s="117"/>
      <c r="Q22" s="117"/>
      <c r="R22" s="117"/>
      <c r="S22" s="117"/>
      <c r="T22" s="117"/>
      <c r="U22" s="117"/>
      <c r="V22" s="117"/>
    </row>
    <row r="23" spans="1:22" s="246" customFormat="1" ht="19.55" customHeight="1" x14ac:dyDescent="0.35">
      <c r="A23" s="117"/>
      <c r="B23" s="125" t="s">
        <v>596</v>
      </c>
      <c r="C23" s="126"/>
      <c r="D23" s="128">
        <f>ber_Opm!C24</f>
        <v>0</v>
      </c>
      <c r="E23" s="128"/>
      <c r="F23" s="128"/>
      <c r="G23" s="128"/>
      <c r="H23" s="127" t="str">
        <f>IF(AND(ber_Med_disc!C10&gt;1,H22&lt;&gt;"STOP"),"Dosering/kg/dag: ","")</f>
        <v/>
      </c>
      <c r="I23" s="126"/>
      <c r="J23" s="128" t="str">
        <f>IF(ber_Med_disc!C10&gt;1,ber_Med_disc!M10,"")</f>
        <v/>
      </c>
      <c r="K23" s="126" t="str">
        <f>IF(AND(ber_Med_disc!C10&gt;1,H22&lt;&gt;"STOP"),J22&amp;"/kg/dag ","")</f>
        <v/>
      </c>
      <c r="L23" s="126"/>
      <c r="M23" s="126" t="str">
        <f>IF(AND(ber_Med_disc!C10&gt;1,ber_Med_disc!O10&gt;1,ber_Med_disc!N10&gt;0,H22&lt;&gt;"STOP"),"Oplossing:","")</f>
        <v/>
      </c>
      <c r="N23" s="126" t="str">
        <f>IF(AND(ber_Med_disc!C10&gt;1,ber_Med_disc!O10&gt;1,ber_Med_disc!N10&gt;0,H22&lt;&gt;"STOP"),ROUND(ber_Med_disc!H10/ber_Med_disc!N10,2)&amp;" "&amp;ber_Med_disc!F10&amp;"/ml","")</f>
        <v/>
      </c>
      <c r="O23" s="126"/>
      <c r="P23" s="126"/>
      <c r="Q23" s="117"/>
      <c r="R23" s="117"/>
      <c r="S23" s="117"/>
      <c r="T23" s="117"/>
      <c r="U23" s="117"/>
      <c r="V23" s="117"/>
    </row>
    <row r="24" spans="1:22" s="246" customFormat="1" ht="19.55" customHeight="1" x14ac:dyDescent="0.4">
      <c r="A24" s="117"/>
      <c r="B24" s="119">
        <v>10</v>
      </c>
      <c r="C24" s="120"/>
      <c r="D24" s="870">
        <f>ber_Med_disc!C11</f>
        <v>0</v>
      </c>
      <c r="E24" s="870"/>
      <c r="F24" s="870"/>
      <c r="G24" s="870"/>
      <c r="H24" s="121" t="str">
        <f>IF(INDEX(tblMedDiscTijdenValues,ber_Med_disc!I11,1)=0,"",INDEX(tblMedDiscTijdenValues,ber_Med_disc!I11,1))</f>
        <v/>
      </c>
      <c r="I24" s="122" t="str">
        <f>IF(ber_Med_disc!C11&gt;1,ber_Med_disc!H11,"")</f>
        <v/>
      </c>
      <c r="J24" s="123" t="str">
        <f>IF(ber_Med_disc!C11&gt;1,ber_Med_disc!F11,"")</f>
        <v/>
      </c>
      <c r="K24" s="124">
        <f>ber_Med_disc!L11</f>
        <v>0</v>
      </c>
      <c r="L24" s="117" t="str">
        <f>IF(AND(ber_Med_disc!C11&gt;1,ber_Med_disc!O11&gt;1,H23&lt;&gt;"STOP"),ber_Med_disc!N11,"")</f>
        <v/>
      </c>
      <c r="M24" s="117" t="str">
        <f>IF(AND(ber_Med_disc!C11&gt;1,L23&lt;&gt;0,ber_Med_disc!O11&gt;1,H23&lt;&gt;"STOP"),"ml","")</f>
        <v/>
      </c>
      <c r="N24" s="117"/>
      <c r="O24" s="117" t="str">
        <f>IF(AND(L23&lt;&gt;"",ber_Med_disc!Q11&gt;0,H23&lt;&gt;"STOP"),ber_Med_disc!Q11&amp;" min","")</f>
        <v/>
      </c>
      <c r="P24" s="117"/>
      <c r="Q24" s="117"/>
      <c r="R24" s="117"/>
      <c r="S24" s="117"/>
      <c r="T24" s="117"/>
      <c r="U24" s="117"/>
      <c r="V24" s="117"/>
    </row>
    <row r="25" spans="1:22" s="246" customFormat="1" ht="19.55" customHeight="1" x14ac:dyDescent="0.35">
      <c r="A25" s="117"/>
      <c r="B25" s="125" t="s">
        <v>596</v>
      </c>
      <c r="C25" s="126"/>
      <c r="D25" s="128">
        <f>ber_Opm!C25</f>
        <v>0</v>
      </c>
      <c r="E25" s="128"/>
      <c r="F25" s="128"/>
      <c r="G25" s="128"/>
      <c r="H25" s="127" t="str">
        <f>IF(AND(ber_Med_disc!C11&gt;1,H23&lt;&gt;"STOP"),"Dosering/kg/dag: ","")</f>
        <v/>
      </c>
      <c r="I25" s="126"/>
      <c r="J25" s="128" t="str">
        <f>IF(ber_Med_disc!C11&gt;1,ber_Med_disc!M11,"")</f>
        <v/>
      </c>
      <c r="K25" s="126" t="str">
        <f>IF(AND(ber_Med_disc!C11&gt;1,H24&lt;&gt;"STOP"),J24&amp;"/kg/dag ","")</f>
        <v/>
      </c>
      <c r="L25" s="126"/>
      <c r="M25" s="126" t="str">
        <f>IF(AND(ber_Med_disc!C11&gt;1,ber_Med_disc!O11&gt;1,ber_Med_disc!N11&gt;0,H23&lt;&gt;"STOP"),"Oplossing:","")</f>
        <v/>
      </c>
      <c r="N25" s="126" t="str">
        <f>IF(AND(ber_Med_disc!C11&gt;1,ber_Med_disc!O11&gt;1,ber_Med_disc!N11&gt;0,H23&lt;&gt;"STOP"),ROUND(ber_Med_disc!H11/ber_Med_disc!N11,2)&amp;" "&amp;ber_Med_disc!F11&amp;"/ml","")</f>
        <v/>
      </c>
      <c r="O25" s="126"/>
      <c r="P25" s="126"/>
      <c r="Q25" s="117"/>
      <c r="R25" s="117"/>
      <c r="S25" s="117"/>
      <c r="T25" s="117"/>
      <c r="U25" s="117"/>
      <c r="V25" s="117"/>
    </row>
    <row r="26" spans="1:22" s="246" customFormat="1" ht="19.55" customHeight="1" x14ac:dyDescent="0.4">
      <c r="A26" s="117"/>
      <c r="B26" s="119">
        <v>11</v>
      </c>
      <c r="C26" s="120"/>
      <c r="D26" s="870">
        <f>ber_Med_disc!C12</f>
        <v>0</v>
      </c>
      <c r="E26" s="870"/>
      <c r="F26" s="870"/>
      <c r="G26" s="870"/>
      <c r="H26" s="121" t="str">
        <f>IF(INDEX(tblMedDiscTijdenValues,ber_Med_disc!I12,1)=0,"",INDEX(tblMedDiscTijdenValues,ber_Med_disc!I12,1))</f>
        <v/>
      </c>
      <c r="I26" s="122" t="str">
        <f>IF(ber_Med_disc!C12&gt;1,ber_Med_disc!H12,"")</f>
        <v/>
      </c>
      <c r="J26" s="123" t="str">
        <f>IF(ber_Med_disc!C12&gt;1,ber_Med_disc!F12,"")</f>
        <v/>
      </c>
      <c r="K26" s="124">
        <f>ber_Med_disc!L12</f>
        <v>0</v>
      </c>
      <c r="L26" s="117" t="str">
        <f>IF(AND(ber_Med_disc!C12&gt;1,ber_Med_disc!O12&gt;1,H26&lt;&gt;"STOP"),ber_Med_disc!N12,"")</f>
        <v/>
      </c>
      <c r="M26" s="117" t="str">
        <f>IF(AND(ber_Med_disc!C12&gt;1,L26&lt;&gt;0,ber_Med_disc!O12&gt;1,H26&lt;&gt;"STOP"),"ml","")</f>
        <v/>
      </c>
      <c r="N26" s="117"/>
      <c r="O26" s="117" t="str">
        <f>IF(AND(L26&lt;&gt;"",ber_Med_disc!Q12&gt;0,H26&lt;&gt;"STOP"),ber_Med_disc!Q12&amp;" min","")</f>
        <v/>
      </c>
      <c r="P26" s="117"/>
      <c r="Q26" s="117"/>
      <c r="R26" s="117"/>
      <c r="S26" s="117"/>
      <c r="T26" s="117"/>
      <c r="U26" s="117"/>
      <c r="V26" s="117"/>
    </row>
    <row r="27" spans="1:22" s="246" customFormat="1" ht="19.55" customHeight="1" x14ac:dyDescent="0.35">
      <c r="A27" s="117"/>
      <c r="B27" s="125" t="s">
        <v>596</v>
      </c>
      <c r="C27" s="126"/>
      <c r="D27" s="128">
        <f>ber_Opm!C26</f>
        <v>0</v>
      </c>
      <c r="E27" s="128"/>
      <c r="F27" s="128"/>
      <c r="G27" s="128"/>
      <c r="H27" s="127" t="str">
        <f>IF(AND(ber_Med_disc!C12&gt;1,H26&lt;&gt;"STOP"),"Dosering/kg/dag: ","")</f>
        <v/>
      </c>
      <c r="I27" s="126"/>
      <c r="J27" s="128" t="str">
        <f>IF(ber_Med_disc!C12&gt;1,ber_Med_disc!M12,"")</f>
        <v/>
      </c>
      <c r="K27" s="126" t="str">
        <f>IF(AND(ber_Med_disc!C12&gt;1,H26&lt;&gt;"STOP"),J26&amp;"/kg/dag ","")</f>
        <v/>
      </c>
      <c r="L27" s="126"/>
      <c r="M27" s="126" t="str">
        <f>IF(AND(ber_Med_disc!C12&gt;1,ber_Med_disc!O12&gt;1,ber_Med_disc!N12&gt;0,H26&lt;&gt;"STOP"),"Oplossing:","")</f>
        <v/>
      </c>
      <c r="N27" s="126" t="str">
        <f>IF(AND(ber_Med_disc!C12&gt;1,ber_Med_disc!O12&gt;1,ber_Med_disc!N12&gt;0,H26&lt;&gt;"STOP"),ROUND(ber_Med_disc!H12/ber_Med_disc!N12,2)&amp;" "&amp;ber_Med_disc!F12&amp;"/ml","")</f>
        <v/>
      </c>
      <c r="O27" s="126"/>
      <c r="P27" s="126"/>
      <c r="Q27" s="117"/>
      <c r="R27" s="117"/>
      <c r="S27" s="117"/>
      <c r="T27" s="117"/>
      <c r="U27" s="117"/>
      <c r="V27" s="117"/>
    </row>
    <row r="28" spans="1:22" s="246" customFormat="1" ht="19.55" customHeight="1" x14ac:dyDescent="0.4">
      <c r="A28" s="117"/>
      <c r="B28" s="119">
        <v>12</v>
      </c>
      <c r="C28" s="120"/>
      <c r="D28" s="870">
        <f>ber_Med_disc!C13</f>
        <v>0</v>
      </c>
      <c r="E28" s="870"/>
      <c r="F28" s="870"/>
      <c r="G28" s="870"/>
      <c r="H28" s="121" t="str">
        <f>IF(INDEX(tblMedDiscTijdenValues,ber_Med_disc!I13,1)=0,"",INDEX(tblMedDiscTijdenValues,ber_Med_disc!I13,1))</f>
        <v/>
      </c>
      <c r="I28" s="122" t="str">
        <f>IF(ber_Med_disc!C13&gt;1,ber_Med_disc!H13,"")</f>
        <v/>
      </c>
      <c r="J28" s="123" t="str">
        <f>IF(ber_Med_disc!C13&gt;1,ber_Med_disc!F13,"")</f>
        <v/>
      </c>
      <c r="K28" s="124">
        <f>ber_Med_disc!L13</f>
        <v>0</v>
      </c>
      <c r="L28" s="117" t="str">
        <f>IF(AND(ber_Med_disc!C13&gt;1,ber_Med_disc!O13&gt;1,H28&lt;&gt;"STOP"),ber_Med_disc!N13,"")</f>
        <v/>
      </c>
      <c r="M28" s="117" t="str">
        <f>IF(AND(ber_Med_disc!C13&gt;1,L28&lt;&gt;0,ber_Med_disc!O13&gt;1,H28&lt;&gt;"STOP"),"ml","")</f>
        <v/>
      </c>
      <c r="N28" s="117"/>
      <c r="O28" s="117" t="str">
        <f>IF(AND(L28&lt;&gt;"",ber_Med_disc!Q13&gt;0,H28&lt;&gt;"STOP"),ber_Med_disc!Q13&amp;" min","")</f>
        <v/>
      </c>
      <c r="P28" s="117"/>
      <c r="Q28" s="117"/>
      <c r="R28" s="117"/>
      <c r="S28" s="117"/>
      <c r="T28" s="117"/>
      <c r="U28" s="117"/>
      <c r="V28" s="117"/>
    </row>
    <row r="29" spans="1:22" s="246" customFormat="1" ht="19.55" customHeight="1" x14ac:dyDescent="0.35">
      <c r="A29" s="117"/>
      <c r="B29" s="125" t="s">
        <v>596</v>
      </c>
      <c r="C29" s="126"/>
      <c r="D29" s="128">
        <f>ber_Opm!C27</f>
        <v>0</v>
      </c>
      <c r="E29" s="128"/>
      <c r="F29" s="128"/>
      <c r="G29" s="128"/>
      <c r="H29" s="127" t="str">
        <f>IF(AND(ber_Med_disc!C13&gt;1,H28&lt;&gt;"STOP"),"Dosering/kg/dag: ","")</f>
        <v/>
      </c>
      <c r="I29" s="126"/>
      <c r="J29" s="128" t="str">
        <f>IF(ber_Med_disc!C13&gt;1,ber_Med_disc!M13,"")</f>
        <v/>
      </c>
      <c r="K29" s="126" t="str">
        <f>IF(AND(ber_Med_disc!C13&gt;1,H28&lt;&gt;"STOP"),J28&amp;"/kg/dag ","")</f>
        <v/>
      </c>
      <c r="L29" s="126"/>
      <c r="M29" s="126" t="str">
        <f>IF(AND(ber_Med_disc!C13&gt;1,ber_Med_disc!O13&gt;1,ber_Med_disc!N13&gt;0,H28&lt;&gt;"STOP"),"Oplossing:","")</f>
        <v/>
      </c>
      <c r="N29" s="126" t="str">
        <f>IF(AND(ber_Med_disc!C13&gt;1,ber_Med_disc!O13&gt;1,ber_Med_disc!N13&gt;0,H28&lt;&gt;"STOP"),ROUND(ber_Med_disc!H13/ber_Med_disc!N13,2)&amp;" "&amp;ber_Med_disc!F13&amp;"/ml","")</f>
        <v/>
      </c>
      <c r="O29" s="126"/>
      <c r="P29" s="126"/>
      <c r="Q29" s="117"/>
      <c r="R29" s="117"/>
      <c r="S29" s="117"/>
      <c r="T29" s="117"/>
      <c r="U29" s="117"/>
      <c r="V29" s="117"/>
    </row>
    <row r="30" spans="1:22" s="246" customFormat="1" ht="19.55" customHeight="1" x14ac:dyDescent="0.4">
      <c r="A30" s="117"/>
      <c r="B30" s="119">
        <v>13</v>
      </c>
      <c r="C30" s="120"/>
      <c r="D30" s="870">
        <f>ber_Med_disc!C14</f>
        <v>0</v>
      </c>
      <c r="E30" s="870"/>
      <c r="F30" s="870"/>
      <c r="G30" s="870"/>
      <c r="H30" s="121" t="str">
        <f>IF(INDEX(tblMedDiscTijdenValues,ber_Med_disc!I14,1)=0,"",INDEX(tblMedDiscTijdenValues,ber_Med_disc!I14,1))</f>
        <v/>
      </c>
      <c r="I30" s="122" t="str">
        <f>IF(ber_Med_disc!C14&gt;1,ber_Med_disc!H14,"")</f>
        <v/>
      </c>
      <c r="J30" s="123" t="str">
        <f>IF(ber_Med_disc!C14&gt;1,ber_Med_disc!F14,"")</f>
        <v/>
      </c>
      <c r="K30" s="124">
        <f>ber_Med_disc!L14</f>
        <v>0</v>
      </c>
      <c r="L30" s="117" t="str">
        <f>IF(AND(ber_Med_disc!C14&gt;1,ber_Med_disc!O14&gt;1,H30&lt;&gt;"STOP"),ber_Med_disc!N14,"")</f>
        <v/>
      </c>
      <c r="M30" s="117" t="str">
        <f>IF(AND(ber_Med_disc!C14&gt;1,L30&lt;&gt;0,ber_Med_disc!O14&gt;1,H30&lt;&gt;"STOP"),"ml","")</f>
        <v/>
      </c>
      <c r="N30" s="117"/>
      <c r="O30" s="117" t="str">
        <f>IF(AND(L30&lt;&gt;"",ber_Med_disc!Q14&gt;0,H30&lt;&gt;"STOP"),ber_Med_disc!Q14&amp;" min","")</f>
        <v/>
      </c>
      <c r="P30" s="117"/>
      <c r="Q30" s="117"/>
      <c r="R30" s="117"/>
      <c r="S30" s="117"/>
      <c r="T30" s="117"/>
      <c r="U30" s="117"/>
      <c r="V30" s="117"/>
    </row>
    <row r="31" spans="1:22" s="246" customFormat="1" ht="19.55" customHeight="1" x14ac:dyDescent="0.35">
      <c r="A31" s="117"/>
      <c r="B31" s="125" t="s">
        <v>596</v>
      </c>
      <c r="C31" s="126"/>
      <c r="D31" s="128">
        <f>ber_Opm!C28</f>
        <v>0</v>
      </c>
      <c r="E31" s="128"/>
      <c r="F31" s="128"/>
      <c r="G31" s="128"/>
      <c r="H31" s="127" t="str">
        <f>IF(AND(ber_Med_disc!C14&gt;1,H30&lt;&gt;"STOP"),"Dosering/kg/dag: ","")</f>
        <v/>
      </c>
      <c r="I31" s="126"/>
      <c r="J31" s="128" t="str">
        <f>IF(ber_Med_disc!C14&gt;1,ber_Med_disc!M14,"")</f>
        <v/>
      </c>
      <c r="K31" s="126" t="str">
        <f>IF(AND(ber_Med_disc!C14&gt;1,H30&lt;&gt;"STOP"),J30&amp;"/kg/dag ","")</f>
        <v/>
      </c>
      <c r="L31" s="126"/>
      <c r="M31" s="126" t="str">
        <f>IF(AND(ber_Med_disc!C14&gt;1,ber_Med_disc!O14&gt;1,ber_Med_disc!N14&gt;0,H30&lt;&gt;"STOP"),"Oplossing:","")</f>
        <v/>
      </c>
      <c r="N31" s="126" t="str">
        <f>IF(AND(ber_Med_disc!C14&gt;1,ber_Med_disc!O14&gt;1,ber_Med_disc!N14&gt;0,H30&lt;&gt;"STOP"),ROUND(ber_Med_disc!H14/ber_Med_disc!N14,2)&amp;" "&amp;ber_Med_disc!F14&amp;"/ml","")</f>
        <v/>
      </c>
      <c r="O31" s="126"/>
      <c r="P31" s="126"/>
      <c r="Q31" s="117"/>
      <c r="R31" s="117"/>
      <c r="S31" s="117"/>
      <c r="T31" s="117"/>
      <c r="U31" s="117"/>
      <c r="V31" s="117"/>
    </row>
    <row r="32" spans="1:22" s="246" customFormat="1" ht="19.55" customHeight="1" x14ac:dyDescent="0.4">
      <c r="A32" s="117"/>
      <c r="B32" s="119">
        <v>14</v>
      </c>
      <c r="C32" s="120"/>
      <c r="D32" s="870">
        <f>ber_Med_disc!C15</f>
        <v>0</v>
      </c>
      <c r="E32" s="870"/>
      <c r="F32" s="870"/>
      <c r="G32" s="870"/>
      <c r="H32" s="121" t="str">
        <f>IF(INDEX(tblMedDiscTijdenValues,ber_Med_disc!I15,1)=0,"",INDEX(tblMedDiscTijdenValues,ber_Med_disc!I15,1))</f>
        <v/>
      </c>
      <c r="I32" s="122" t="str">
        <f>IF(ber_Med_disc!C15&gt;1,ber_Med_disc!H15,"")</f>
        <v/>
      </c>
      <c r="J32" s="123" t="str">
        <f>IF(ber_Med_disc!C15&gt;1,ber_Med_disc!F15,"")</f>
        <v/>
      </c>
      <c r="K32" s="124">
        <f>ber_Med_disc!L15</f>
        <v>0</v>
      </c>
      <c r="L32" s="117" t="str">
        <f>IF(AND(ber_Med_disc!C15&gt;1,ber_Med_disc!O15&gt;1,H32&lt;&gt;"STOP"),ber_Med_disc!N15,"")</f>
        <v/>
      </c>
      <c r="M32" s="117" t="str">
        <f>IF(AND(ber_Med_disc!C15&gt;1,L32&lt;&gt;0,ber_Med_disc!O15&gt;1,H32&lt;&gt;"STOP"),"ml","")</f>
        <v/>
      </c>
      <c r="N32" s="117"/>
      <c r="O32" s="117" t="str">
        <f>IF(AND(L32&lt;&gt;"",ber_Med_disc!Q15&gt;0,H32&lt;&gt;"STOP"),ber_Med_disc!Q15&amp;" min","")</f>
        <v/>
      </c>
      <c r="P32" s="117"/>
      <c r="Q32" s="117"/>
      <c r="R32" s="117"/>
      <c r="S32" s="117"/>
      <c r="T32" s="117"/>
      <c r="U32" s="117"/>
      <c r="V32" s="117"/>
    </row>
    <row r="33" spans="1:22" s="246" customFormat="1" ht="19.55" customHeight="1" x14ac:dyDescent="0.35">
      <c r="A33" s="117"/>
      <c r="B33" s="125" t="s">
        <v>596</v>
      </c>
      <c r="C33" s="126"/>
      <c r="D33" s="128">
        <f>ber_Opm!C29</f>
        <v>0</v>
      </c>
      <c r="E33" s="128"/>
      <c r="F33" s="128"/>
      <c r="G33" s="128"/>
      <c r="H33" s="127" t="str">
        <f>IF(AND(ber_Med_disc!C15&gt;1,H32&lt;&gt;"STOP"),"Dosering/kg/dag: ","")</f>
        <v/>
      </c>
      <c r="I33" s="126"/>
      <c r="J33" s="128" t="str">
        <f>IF(ber_Med_disc!C15&gt;1,ber_Med_disc!M15,"")</f>
        <v/>
      </c>
      <c r="K33" s="126" t="str">
        <f>IF(AND(ber_Med_disc!C15&gt;1,H32&lt;&gt;"STOP"),J32&amp;"/kg/dag ","")</f>
        <v/>
      </c>
      <c r="L33" s="126"/>
      <c r="M33" s="126" t="str">
        <f>IF(AND(ber_Med_disc!C15&gt;1,ber_Med_disc!O15&gt;1,ber_Med_disc!N15&gt;0,H32&lt;&gt;"STOP"),"Oplossing:","")</f>
        <v/>
      </c>
      <c r="N33" s="126" t="str">
        <f>IF(AND(ber_Med_disc!C15&gt;1,ber_Med_disc!O15&gt;1,ber_Med_disc!N15&gt;0,H32&lt;&gt;"STOP"),ROUND(ber_Med_disc!H15/ber_Med_disc!N15,2)&amp;" "&amp;ber_Med_disc!F15&amp;"/ml","")</f>
        <v/>
      </c>
      <c r="O33" s="126"/>
      <c r="P33" s="126"/>
      <c r="Q33" s="117"/>
      <c r="R33" s="117"/>
      <c r="S33" s="117"/>
      <c r="T33" s="117"/>
      <c r="U33" s="117"/>
      <c r="V33" s="117"/>
    </row>
    <row r="34" spans="1:22" s="246" customFormat="1" ht="19.55" customHeight="1" x14ac:dyDescent="0.4">
      <c r="A34" s="117"/>
      <c r="B34" s="119">
        <v>15</v>
      </c>
      <c r="C34" s="120"/>
      <c r="D34" s="870">
        <f>ber_Med_disc!C16</f>
        <v>0</v>
      </c>
      <c r="E34" s="870"/>
      <c r="F34" s="870"/>
      <c r="G34" s="870"/>
      <c r="H34" s="121" t="str">
        <f>IF(INDEX(tblMedDiscTijdenValues,ber_Med_disc!I16,1)=0,"",INDEX(tblMedDiscTijdenValues,ber_Med_disc!I16,1))</f>
        <v/>
      </c>
      <c r="I34" s="122" t="str">
        <f>IF(ber_Med_disc!C16&gt;1,ber_Med_disc!H16,"")</f>
        <v/>
      </c>
      <c r="J34" s="123" t="str">
        <f>IF(ber_Med_disc!C16&gt;1,ber_Med_disc!F16,"")</f>
        <v/>
      </c>
      <c r="K34" s="124">
        <f>ber_Med_disc!L16</f>
        <v>0</v>
      </c>
      <c r="L34" s="117" t="str">
        <f>IF(AND(ber_Med_disc!C16&gt;1,ber_Med_disc!O16&gt;1,H34&lt;&gt;"STOP"),ber_Med_disc!N16,"")</f>
        <v/>
      </c>
      <c r="M34" s="117" t="str">
        <f>IF(AND(ber_Med_disc!C16&gt;1,L34&lt;&gt;0,ber_Med_disc!O16&gt;1,H34&lt;&gt;"STOP"),"ml","")</f>
        <v/>
      </c>
      <c r="N34" s="117"/>
      <c r="O34" s="117" t="str">
        <f>IF(AND(L34&lt;&gt;"",ber_Med_disc!Q16&gt;0,H34&lt;&gt;"STOP"),ber_Med_disc!Q16&amp;" min","")</f>
        <v/>
      </c>
      <c r="P34" s="117"/>
      <c r="Q34" s="117"/>
      <c r="R34" s="117"/>
      <c r="S34" s="117"/>
      <c r="T34" s="117"/>
      <c r="U34" s="117"/>
      <c r="V34" s="117"/>
    </row>
    <row r="35" spans="1:22" s="246" customFormat="1" ht="19.55" customHeight="1" x14ac:dyDescent="0.35">
      <c r="A35" s="117"/>
      <c r="B35" s="125" t="s">
        <v>596</v>
      </c>
      <c r="C35" s="126"/>
      <c r="D35" s="128">
        <f>ber_Opm!C30</f>
        <v>0</v>
      </c>
      <c r="E35" s="128"/>
      <c r="F35" s="128"/>
      <c r="G35" s="128"/>
      <c r="H35" s="127" t="str">
        <f>IF(AND(ber_Med_disc!C16&gt;1,H34&lt;&gt;"STOP"),"Dosering/kg/dag: ","")</f>
        <v/>
      </c>
      <c r="I35" s="126"/>
      <c r="J35" s="128" t="str">
        <f>IF(ber_Med_disc!C16&gt;1,ber_Med_disc!M16,"")</f>
        <v/>
      </c>
      <c r="K35" s="126" t="str">
        <f>IF(AND(ber_Med_disc!C16&gt;1,H34&lt;&gt;"STOP"),J34&amp;"/kg/dag ","")</f>
        <v/>
      </c>
      <c r="L35" s="126"/>
      <c r="M35" s="126" t="str">
        <f>IF(AND(ber_Med_disc!C16&gt;1,ber_Med_disc!O16&gt;1,ber_Med_disc!N16&gt;0,H34&lt;&gt;"STOP"),"Oplossing:","")</f>
        <v/>
      </c>
      <c r="N35" s="126" t="str">
        <f>IF(AND(ber_Med_disc!C16&gt;1,ber_Med_disc!O16&gt;1,ber_Med_disc!N16&gt;0,H34&lt;&gt;"STOP"),ROUND(ber_Med_disc!H16/ber_Med_disc!N16,2)&amp;" "&amp;ber_Med_disc!F16&amp;"/ml","")</f>
        <v/>
      </c>
      <c r="O35" s="126"/>
      <c r="P35" s="126"/>
      <c r="Q35" s="117"/>
      <c r="R35" s="117"/>
      <c r="S35" s="117"/>
      <c r="T35" s="117"/>
      <c r="U35" s="117"/>
      <c r="V35" s="117"/>
    </row>
    <row r="36" spans="1:22" s="246" customFormat="1" ht="19.55" customHeight="1" x14ac:dyDescent="0.4">
      <c r="A36" s="117"/>
      <c r="B36" s="119">
        <v>16</v>
      </c>
      <c r="C36" s="120"/>
      <c r="D36" s="870">
        <f>ber_Med_disc!C17</f>
        <v>0</v>
      </c>
      <c r="E36" s="870"/>
      <c r="F36" s="870"/>
      <c r="G36" s="870"/>
      <c r="H36" s="121" t="str">
        <f>IF(INDEX(tblMedDiscTijdenValues,ber_Med_disc!I17,1)=0,"",INDEX(tblMedDiscTijdenValues,ber_Med_disc!I17,1))</f>
        <v/>
      </c>
      <c r="I36" s="122" t="str">
        <f>IF(ber_Med_disc!C17&gt;1,ber_Med_disc!H17,"")</f>
        <v/>
      </c>
      <c r="J36" s="123" t="str">
        <f>IF(ber_Med_disc!C17&gt;1,ber_Med_disc!F17,"")</f>
        <v/>
      </c>
      <c r="K36" s="124">
        <f>ber_Med_disc!L17</f>
        <v>0</v>
      </c>
      <c r="L36" s="117" t="str">
        <f>IF(AND(ber_Med_disc!C17&gt;1,ber_Med_disc!O17&gt;1),ber_Med_disc!N17,"")</f>
        <v/>
      </c>
      <c r="M36" s="117" t="str">
        <f>IF(AND(ber_Med_disc!C17&gt;1,L36&lt;&gt;0,ber_Med_disc!O17&gt;1),"ml","")</f>
        <v/>
      </c>
      <c r="N36" s="117"/>
      <c r="O36" s="117" t="str">
        <f>IF(AND(L36&lt;&gt;"",ber_Med_disc!Q17&gt;0),ber_Med_disc!Q17&amp;" min","")</f>
        <v/>
      </c>
      <c r="P36" s="117"/>
      <c r="Q36" s="117"/>
      <c r="R36" s="117"/>
      <c r="S36" s="117"/>
      <c r="T36" s="117"/>
      <c r="U36" s="117"/>
      <c r="V36" s="117"/>
    </row>
    <row r="37" spans="1:22" s="246" customFormat="1" ht="19.55" customHeight="1" x14ac:dyDescent="0.35">
      <c r="A37" s="117"/>
      <c r="B37" s="125" t="s">
        <v>596</v>
      </c>
      <c r="C37" s="126"/>
      <c r="D37" s="128">
        <f>ber_Opm!C31</f>
        <v>0</v>
      </c>
      <c r="E37" s="128"/>
      <c r="F37" s="128"/>
      <c r="G37" s="128"/>
      <c r="H37" s="127" t="str">
        <f>IF(ber_Med_disc!C17&gt;1,"Dosering/kg/dag: ","")</f>
        <v/>
      </c>
      <c r="I37" s="126"/>
      <c r="J37" s="128" t="str">
        <f>IF(ber_Med_disc!C17&gt;1,ber_Med_disc!M17,"")</f>
        <v/>
      </c>
      <c r="K37" s="126" t="str">
        <f>IF(AND(ber_Med_disc!C17&gt;1,H36&lt;&gt;"STOP"),J36&amp;"/kg/dag ","")</f>
        <v/>
      </c>
      <c r="L37" s="126"/>
      <c r="M37" s="126" t="str">
        <f>IF(AND(ber_Med_disc!C17&gt;1,ber_Med_disc!O17&gt;1,ber_Med_disc!N17&gt;0),"Oplossing:","")</f>
        <v/>
      </c>
      <c r="N37" s="126" t="str">
        <f>IF(AND(ber_Med_disc!C17&gt;1,ber_Med_disc!O17&gt;1,ber_Med_disc!N17&gt;0),ROUND(ber_Med_disc!H17/ber_Med_disc!N17,2)&amp;" "&amp;ber_Med_disc!F17&amp;"/ml","")</f>
        <v/>
      </c>
      <c r="O37" s="126"/>
      <c r="P37" s="126"/>
      <c r="Q37" s="117"/>
      <c r="R37" s="117"/>
      <c r="S37" s="117"/>
      <c r="T37" s="117"/>
      <c r="U37" s="117"/>
      <c r="V37" s="117"/>
    </row>
    <row r="38" spans="1:22" s="246" customFormat="1" ht="19.55" customHeight="1" x14ac:dyDescent="0.4">
      <c r="A38" s="117"/>
      <c r="B38" s="119">
        <v>17</v>
      </c>
      <c r="C38" s="120"/>
      <c r="D38" s="870">
        <f>ber_Med_disc!C18</f>
        <v>0</v>
      </c>
      <c r="E38" s="870"/>
      <c r="F38" s="870"/>
      <c r="G38" s="870"/>
      <c r="H38" s="121" t="str">
        <f>IF(INDEX(tblMedDiscTijdenValues,ber_Med_disc!I18,1)=0,"",INDEX(tblMedDiscTijdenValues,ber_Med_disc!I18,1))</f>
        <v/>
      </c>
      <c r="I38" s="122" t="str">
        <f>IF(ber_Med_disc!C18&gt;1,ber_Med_disc!H18,"")</f>
        <v/>
      </c>
      <c r="J38" s="123" t="str">
        <f>IF(ber_Med_disc!C18&gt;1,ber_Med_disc!F18,"")</f>
        <v/>
      </c>
      <c r="K38" s="124">
        <f>ber_Med_disc!L18</f>
        <v>0</v>
      </c>
      <c r="L38" s="117" t="str">
        <f>IF(AND(ber_Med_disc!C18&gt;1,ber_Med_disc!O18&gt;1),ber_Med_disc!N18,"")</f>
        <v/>
      </c>
      <c r="M38" s="117" t="str">
        <f>IF(AND(ber_Med_disc!C18&gt;1,L38&lt;&gt;0,ber_Med_disc!O18&gt;1),"ml","")</f>
        <v/>
      </c>
      <c r="N38" s="117"/>
      <c r="O38" s="117" t="str">
        <f>IF(AND(L38&lt;&gt;"",ber_Med_disc!Q18&gt;0),ber_Med_disc!Q18&amp;" min","")</f>
        <v/>
      </c>
      <c r="P38" s="117"/>
      <c r="Q38" s="117"/>
      <c r="R38" s="117"/>
      <c r="S38" s="117"/>
      <c r="T38" s="117"/>
      <c r="U38" s="117"/>
      <c r="V38" s="117"/>
    </row>
    <row r="39" spans="1:22" s="246" customFormat="1" ht="19.55" customHeight="1" x14ac:dyDescent="0.35">
      <c r="A39" s="117"/>
      <c r="B39" s="125" t="s">
        <v>596</v>
      </c>
      <c r="C39" s="126"/>
      <c r="D39" s="128">
        <f>ber_Opm!C32</f>
        <v>0</v>
      </c>
      <c r="E39" s="128"/>
      <c r="F39" s="128"/>
      <c r="G39" s="128"/>
      <c r="H39" s="127" t="str">
        <f>IF(ber_Med_disc!C18&gt;1,"Dosering/kg/dag: ","")</f>
        <v/>
      </c>
      <c r="I39" s="126"/>
      <c r="J39" s="128" t="str">
        <f>IF(ber_Med_disc!C18&gt;1,ber_Med_disc!M18,"")</f>
        <v/>
      </c>
      <c r="K39" s="126" t="str">
        <f>IF(AND(ber_Med_disc!C18&gt;1,H38&lt;&gt;"STOP"),J38&amp;"/kg/dag ","")</f>
        <v/>
      </c>
      <c r="L39" s="126"/>
      <c r="M39" s="126" t="str">
        <f>IF(AND(ber_Med_disc!C18&gt;1,ber_Med_disc!O18&gt;1,ber_Med_disc!N18&gt;0),"Oplossing:","")</f>
        <v/>
      </c>
      <c r="N39" s="126" t="str">
        <f>IF(AND(ber_Med_disc!C18&gt;1,ber_Med_disc!O18&gt;1,ber_Med_disc!N18&gt;0),ROUND(ber_Med_disc!H18/ber_Med_disc!N18,2)&amp;" "&amp;ber_Med_disc!F18&amp;"/ml","")</f>
        <v/>
      </c>
      <c r="O39" s="126"/>
      <c r="P39" s="126"/>
      <c r="Q39" s="117"/>
      <c r="R39" s="117"/>
      <c r="S39" s="117"/>
      <c r="T39" s="117"/>
      <c r="U39" s="117"/>
      <c r="V39" s="117"/>
    </row>
    <row r="40" spans="1:22" s="246" customFormat="1" ht="19.55" customHeight="1" x14ac:dyDescent="0.4">
      <c r="A40" s="117"/>
      <c r="B40" s="119">
        <v>18</v>
      </c>
      <c r="C40" s="120"/>
      <c r="D40" s="870">
        <f>ber_Med_disc!C19</f>
        <v>0</v>
      </c>
      <c r="E40" s="870"/>
      <c r="F40" s="870"/>
      <c r="G40" s="870"/>
      <c r="H40" s="121" t="str">
        <f>IF(INDEX(tblMedDiscTijdenValues,ber_Med_disc!I19,1)=0,"",INDEX(tblMedDiscTijdenValues,ber_Med_disc!I19,1))</f>
        <v/>
      </c>
      <c r="I40" s="122" t="str">
        <f>IF(ber_Med_disc!C19&gt;1,ber_Med_disc!H19,"")</f>
        <v/>
      </c>
      <c r="J40" s="123" t="str">
        <f>IF(ber_Med_disc!C19&gt;1,ber_Med_disc!F19,"")</f>
        <v/>
      </c>
      <c r="K40" s="124">
        <f>ber_Med_disc!L19</f>
        <v>0</v>
      </c>
      <c r="L40" s="117" t="str">
        <f>IF(AND(ber_Med_disc!C19&gt;1,ber_Med_disc!O19&gt;1),ber_Med_disc!N19,"")</f>
        <v/>
      </c>
      <c r="M40" s="117" t="str">
        <f>IF(AND(ber_Med_disc!C19&gt;1,L40&lt;&gt;0,ber_Med_disc!O19&gt;1),"ml","")</f>
        <v/>
      </c>
      <c r="N40" s="117"/>
      <c r="O40" s="117" t="str">
        <f>IF(AND(L40&lt;&gt;"",ber_Med_disc!Q19&gt;0),ber_Med_disc!Q19&amp;" min","")</f>
        <v/>
      </c>
      <c r="P40" s="117"/>
      <c r="Q40" s="117"/>
      <c r="R40" s="117"/>
      <c r="S40" s="117"/>
      <c r="T40" s="117"/>
      <c r="U40" s="117"/>
      <c r="V40" s="117"/>
    </row>
    <row r="41" spans="1:22" s="246" customFormat="1" ht="19.55" customHeight="1" x14ac:dyDescent="0.35">
      <c r="A41" s="117"/>
      <c r="B41" s="125" t="s">
        <v>596</v>
      </c>
      <c r="C41" s="126"/>
      <c r="D41" s="128">
        <f>ber_Opm!C33</f>
        <v>0</v>
      </c>
      <c r="E41" s="128"/>
      <c r="F41" s="128"/>
      <c r="G41" s="128"/>
      <c r="H41" s="127" t="str">
        <f>IF(ber_Med_disc!C19&gt;1,"Dosering/kg/dag: ","")</f>
        <v/>
      </c>
      <c r="I41" s="126"/>
      <c r="J41" s="128" t="str">
        <f>IF(ber_Med_disc!C19&gt;1,ber_Med_disc!M19,"")</f>
        <v/>
      </c>
      <c r="K41" s="126" t="str">
        <f>IF(AND(ber_Med_disc!C19&gt;1,H40&lt;&gt;"STOP"),J40&amp;"/kg/dag ","")</f>
        <v/>
      </c>
      <c r="L41" s="126"/>
      <c r="M41" s="126" t="str">
        <f>IF(AND(ber_Med_disc!C19&gt;1,ber_Med_disc!O19&gt;1,ber_Med_disc!N19&gt;0),"Oplossing:","")</f>
        <v/>
      </c>
      <c r="N41" s="126" t="str">
        <f>IF(AND(ber_Med_disc!C19&gt;1,ber_Med_disc!O19&gt;1,ber_Med_disc!N19&gt;0),ROUND(ber_Med_disc!H19/ber_Med_disc!N19,2)&amp;" "&amp;ber_Med_disc!F19&amp;"/ml","")</f>
        <v/>
      </c>
      <c r="O41" s="126"/>
      <c r="P41" s="126"/>
      <c r="Q41" s="117"/>
      <c r="R41" s="117"/>
      <c r="S41" s="117"/>
      <c r="T41" s="117"/>
      <c r="U41" s="117"/>
      <c r="V41" s="117"/>
    </row>
    <row r="42" spans="1:22" s="246" customFormat="1" ht="19.55" customHeight="1" x14ac:dyDescent="0.4">
      <c r="A42" s="117"/>
      <c r="B42" s="119">
        <v>19</v>
      </c>
      <c r="C42" s="120"/>
      <c r="D42" s="870">
        <f>ber_Med_disc!C20</f>
        <v>0</v>
      </c>
      <c r="E42" s="870"/>
      <c r="F42" s="870"/>
      <c r="G42" s="870"/>
      <c r="H42" s="121" t="str">
        <f>IF(INDEX(tblMedDiscTijdenValues,ber_Med_disc!I20,1)=0,"",INDEX(tblMedDiscTijdenValues,ber_Med_disc!I20,1))</f>
        <v/>
      </c>
      <c r="I42" s="122" t="str">
        <f>IF(ber_Med_disc!C20&gt;1,ber_Med_disc!H20,"")</f>
        <v/>
      </c>
      <c r="J42" s="123" t="str">
        <f>IF(ber_Med_disc!C20&gt;1,ber_Med_disc!F20,"")</f>
        <v/>
      </c>
      <c r="K42" s="124">
        <f>ber_Med_disc!L20</f>
        <v>0</v>
      </c>
      <c r="L42" s="117" t="str">
        <f>IF(AND(ber_Med_disc!C20&gt;1,ber_Med_disc!O20&gt;1),ber_Med_disc!N20,"")</f>
        <v/>
      </c>
      <c r="M42" s="117" t="str">
        <f>IF(AND(ber_Med_disc!C20&gt;1,L42&lt;&gt;0,ber_Med_disc!O20&gt;1),"ml","")</f>
        <v/>
      </c>
      <c r="N42" s="117"/>
      <c r="O42" s="117" t="str">
        <f>IF(AND(L42&lt;&gt;"",ber_Med_disc!Q20&gt;0),ber_Med_disc!Q20&amp;" min","")</f>
        <v/>
      </c>
      <c r="P42" s="117"/>
      <c r="Q42" s="117"/>
      <c r="R42" s="117"/>
      <c r="S42" s="117"/>
      <c r="T42" s="117"/>
      <c r="U42" s="117"/>
      <c r="V42" s="117"/>
    </row>
    <row r="43" spans="1:22" s="246" customFormat="1" ht="19.55" customHeight="1" x14ac:dyDescent="0.35">
      <c r="A43" s="117"/>
      <c r="B43" s="125" t="s">
        <v>596</v>
      </c>
      <c r="C43" s="126"/>
      <c r="D43" s="128">
        <f>ber_Opm!C34</f>
        <v>0</v>
      </c>
      <c r="E43" s="128"/>
      <c r="F43" s="128"/>
      <c r="G43" s="128"/>
      <c r="H43" s="127" t="str">
        <f>IF(ber_Med_disc!C20&gt;1,"Dosering/kg/dag: ","")</f>
        <v/>
      </c>
      <c r="I43" s="126"/>
      <c r="J43" s="128" t="str">
        <f>IF(ber_Med_disc!C20&gt;1,ber_Med_disc!M20,"")</f>
        <v/>
      </c>
      <c r="K43" s="126" t="str">
        <f>IF(AND(ber_Med_disc!C20&gt;1,H42&lt;&gt;"STOP"),J42&amp;"/kg/dag ","")</f>
        <v/>
      </c>
      <c r="L43" s="126"/>
      <c r="M43" s="126" t="str">
        <f>IF(AND(ber_Med_disc!C20&gt;1,ber_Med_disc!O20&gt;1,ber_Med_disc!N20&gt;0),"Oplossing:","")</f>
        <v/>
      </c>
      <c r="N43" s="126" t="str">
        <f>IF(AND(ber_Med_disc!C20&gt;1,ber_Med_disc!O20&gt;1,ber_Med_disc!N20&gt;0),ROUND(ber_Med_disc!H20/ber_Med_disc!N20,2)&amp;" "&amp;ber_Med_disc!F20&amp;"/ml","")</f>
        <v/>
      </c>
      <c r="O43" s="126"/>
      <c r="P43" s="126"/>
      <c r="Q43" s="117"/>
      <c r="R43" s="117"/>
      <c r="S43" s="117"/>
      <c r="T43" s="117"/>
      <c r="U43" s="117"/>
      <c r="V43" s="117"/>
    </row>
    <row r="44" spans="1:22" s="246" customFormat="1" ht="19.55" customHeight="1" x14ac:dyDescent="0.4">
      <c r="A44" s="117"/>
      <c r="B44" s="119">
        <v>20</v>
      </c>
      <c r="C44" s="130"/>
      <c r="D44" s="870">
        <f>ber_Med_disc!C21</f>
        <v>0</v>
      </c>
      <c r="E44" s="870"/>
      <c r="F44" s="870"/>
      <c r="G44" s="870"/>
      <c r="H44" s="121" t="str">
        <f>IF(INDEX(tblMedDiscTijdenValues,ber_Med_disc!I21,1)=0,"",INDEX(tblMedDiscTijdenValues,ber_Med_disc!I21,1))</f>
        <v/>
      </c>
      <c r="I44" s="122" t="str">
        <f>IF(ber_Med_disc!C21&gt;1,ber_Med_disc!H21,"")</f>
        <v/>
      </c>
      <c r="J44" s="123" t="str">
        <f>IF(ber_Med_disc!C21&gt;1,ber_Med_disc!F21,"")</f>
        <v/>
      </c>
      <c r="K44" s="124">
        <f>ber_Med_disc!L21</f>
        <v>0</v>
      </c>
      <c r="L44" s="117" t="str">
        <f>IF(AND(ber_Med_disc!C21&gt;1,ber_Med_disc!O21&gt;1),ber_Med_disc!N21,"")</f>
        <v/>
      </c>
      <c r="M44" s="117" t="str">
        <f>IF(AND(ber_Med_disc!C21&gt;1,L44&lt;&gt;0,ber_Med_disc!O21&gt;1),"ml","")</f>
        <v/>
      </c>
      <c r="N44" s="117"/>
      <c r="O44" s="117" t="str">
        <f>IF(AND(L44&lt;&gt;"",ber_Med_disc!Q21&gt;0),ber_Med_disc!Q21&amp;" min","")</f>
        <v/>
      </c>
      <c r="P44" s="117"/>
      <c r="Q44" s="117"/>
      <c r="R44" s="117"/>
      <c r="S44" s="117"/>
      <c r="T44" s="117"/>
      <c r="U44" s="117"/>
      <c r="V44" s="117"/>
    </row>
    <row r="45" spans="1:22" s="246" customFormat="1" ht="19.55" customHeight="1" x14ac:dyDescent="0.35">
      <c r="A45" s="117"/>
      <c r="B45" s="125" t="s">
        <v>596</v>
      </c>
      <c r="C45" s="126"/>
      <c r="D45" s="128">
        <f>ber_Opm!C35</f>
        <v>0</v>
      </c>
      <c r="E45" s="128"/>
      <c r="F45" s="128"/>
      <c r="G45" s="128"/>
      <c r="H45" s="127" t="str">
        <f>IF(ber_Med_disc!C21&gt;1,"Dosering/kg/dag: ","")</f>
        <v/>
      </c>
      <c r="I45" s="126"/>
      <c r="J45" s="128" t="str">
        <f>IF(ber_Med_disc!C21&gt;1,ber_Med_disc!M21,"")</f>
        <v/>
      </c>
      <c r="K45" s="126" t="str">
        <f>IF(AND(ber_Med_disc!C21&gt;1,H44&lt;&gt;"STOP"),J44&amp;"/kg/dag ","")</f>
        <v/>
      </c>
      <c r="L45" s="126"/>
      <c r="M45" s="126" t="str">
        <f>IF(AND(ber_Med_disc!C21&gt;1,ber_Med_disc!O21&gt;1,ber_Med_disc!N21&gt;0),"Oplossing:","")</f>
        <v/>
      </c>
      <c r="N45" s="126" t="str">
        <f>IF(AND(ber_Med_disc!C21&gt;1,ber_Med_disc!O21&gt;1,ber_Med_disc!N21&gt;0),ROUND(ber_Med_disc!H21/ber_Med_disc!N21,2)&amp;" "&amp;ber_Med_disc!F21&amp;"/ml","")</f>
        <v/>
      </c>
      <c r="O45" s="126"/>
      <c r="P45" s="126"/>
      <c r="Q45" s="117"/>
      <c r="R45" s="117"/>
      <c r="S45" s="117"/>
      <c r="T45" s="117"/>
      <c r="U45" s="117"/>
      <c r="V45" s="117"/>
    </row>
    <row r="46" spans="1:22" s="246" customFormat="1" ht="19.55" customHeight="1" x14ac:dyDescent="0.4">
      <c r="A46" s="117"/>
      <c r="B46" s="119">
        <v>21</v>
      </c>
      <c r="C46" s="130"/>
      <c r="D46" s="870">
        <f>ber_Med_disc!C22</f>
        <v>0</v>
      </c>
      <c r="E46" s="870"/>
      <c r="F46" s="870"/>
      <c r="G46" s="870"/>
      <c r="H46" s="121" t="str">
        <f>IF(INDEX(tblMedDiscTijdenValues,ber_Med_disc!I22,1)=0,"",INDEX(tblMedDiscTijdenValues,ber_Med_disc!I22,1))</f>
        <v/>
      </c>
      <c r="I46" s="122" t="str">
        <f>IF(ber_Med_disc!C22&gt;1,ber_Med_disc!H22,"")</f>
        <v/>
      </c>
      <c r="J46" s="123" t="str">
        <f>IF(ber_Med_disc!C22&gt;1,ber_Med_disc!F22,"")</f>
        <v/>
      </c>
      <c r="K46" s="124">
        <f>ber_Med_disc!L22</f>
        <v>0</v>
      </c>
      <c r="L46" s="117" t="str">
        <f>IF(AND(ber_Med_disc!C22&gt;1,ber_Med_disc!O22&gt;1),ber_Med_disc!N22,"")</f>
        <v/>
      </c>
      <c r="M46" s="117" t="str">
        <f>IF(AND(ber_Med_disc!C22&gt;1,L46&lt;&gt;0,ber_Med_disc!O22&gt;1),"ml","")</f>
        <v/>
      </c>
      <c r="N46" s="117"/>
      <c r="O46" s="117" t="str">
        <f>IF(AND(L46&lt;&gt;"",ber_Med_disc!Q22&gt;0),ber_Med_disc!Q22&amp;" min","")</f>
        <v/>
      </c>
      <c r="P46" s="117"/>
      <c r="Q46" s="117"/>
      <c r="R46" s="117"/>
      <c r="S46" s="117"/>
      <c r="T46" s="117"/>
      <c r="U46" s="117"/>
      <c r="V46" s="117"/>
    </row>
    <row r="47" spans="1:22" s="246" customFormat="1" ht="19.55" customHeight="1" x14ac:dyDescent="0.35">
      <c r="A47" s="117"/>
      <c r="B47" s="125" t="s">
        <v>596</v>
      </c>
      <c r="C47" s="126"/>
      <c r="D47" s="128">
        <f>ber_Opm!C37</f>
        <v>0</v>
      </c>
      <c r="E47" s="128"/>
      <c r="F47" s="128"/>
      <c r="G47" s="128"/>
      <c r="H47" s="127" t="str">
        <f>IF(ber_Med_disc!C22&gt;1,"Dosering/kg/dag: ","")</f>
        <v/>
      </c>
      <c r="I47" s="126"/>
      <c r="J47" s="128" t="str">
        <f>IF(ber_Med_disc!C22&gt;1,ber_Med_disc!M22,"")</f>
        <v/>
      </c>
      <c r="K47" s="126" t="str">
        <f>IF(AND(ber_Med_disc!C22&gt;1,H46&lt;&gt;"STOP"),J46&amp;"/kg/dag ","")</f>
        <v/>
      </c>
      <c r="L47" s="126"/>
      <c r="M47" s="126" t="str">
        <f>IF(AND(ber_Med_disc!C22&gt;1,ber_Med_disc!O22&gt;1,ber_Med_disc!N22&gt;0),"Oplossing:","")</f>
        <v/>
      </c>
      <c r="N47" s="126" t="str">
        <f>IF(AND(ber_Med_disc!C22&gt;1,ber_Med_disc!O22&gt;1,ber_Med_disc!N22&gt;0),ROUND(ber_Med_disc!H22/ber_Med_disc!N22,2)&amp;" "&amp;ber_Med_disc!F22&amp;"/ml","")</f>
        <v/>
      </c>
      <c r="O47" s="126"/>
      <c r="P47" s="126"/>
      <c r="Q47" s="117"/>
      <c r="R47" s="117"/>
      <c r="S47" s="117"/>
      <c r="T47" s="117"/>
      <c r="U47" s="117"/>
      <c r="V47" s="117"/>
    </row>
    <row r="48" spans="1:22" s="246" customFormat="1" ht="19.55" customHeight="1" x14ac:dyDescent="0.4">
      <c r="A48" s="117"/>
      <c r="B48" s="119">
        <v>22</v>
      </c>
      <c r="C48" s="130"/>
      <c r="D48" s="870">
        <f>ber_Med_disc!C23</f>
        <v>0</v>
      </c>
      <c r="E48" s="870"/>
      <c r="F48" s="870"/>
      <c r="G48" s="870"/>
      <c r="H48" s="121" t="str">
        <f>IF(INDEX(tblMedDiscTijdenValues,ber_Med_disc!I23,1)=0,"",INDEX(tblMedDiscTijdenValues,ber_Med_disc!I23,1))</f>
        <v/>
      </c>
      <c r="I48" s="122" t="str">
        <f>IF(ber_Med_disc!C23&gt;1,ber_Med_disc!H23,"")</f>
        <v/>
      </c>
      <c r="J48" s="123" t="str">
        <f>IF(ber_Med_disc!C23&gt;1,ber_Med_disc!F23,"")</f>
        <v/>
      </c>
      <c r="K48" s="124">
        <f>ber_Med_disc!L23</f>
        <v>0</v>
      </c>
      <c r="L48" s="117" t="str">
        <f>IF(AND(ber_Med_disc!C23&gt;1,ber_Med_disc!O23&gt;1),ber_Med_disc!N23,"")</f>
        <v/>
      </c>
      <c r="M48" s="117" t="str">
        <f>IF(AND(ber_Med_disc!C23&gt;1,L48&lt;&gt;0,ber_Med_disc!O23&gt;1),"ml","")</f>
        <v/>
      </c>
      <c r="N48" s="117"/>
      <c r="O48" s="117" t="str">
        <f>IF(AND(L48&lt;&gt;"",ber_Med_disc!Q23&gt;0),ber_Med_disc!Q23&amp;" min","")</f>
        <v/>
      </c>
      <c r="P48" s="117"/>
      <c r="Q48" s="117"/>
      <c r="R48" s="117"/>
      <c r="S48" s="117"/>
      <c r="T48" s="117"/>
      <c r="U48" s="117"/>
      <c r="V48" s="117"/>
    </row>
    <row r="49" spans="1:22" s="246" customFormat="1" ht="19.55" customHeight="1" x14ac:dyDescent="0.35">
      <c r="A49" s="117"/>
      <c r="B49" s="125" t="s">
        <v>596</v>
      </c>
      <c r="C49" s="126"/>
      <c r="D49" s="128">
        <f>ber_Opm!C38</f>
        <v>0</v>
      </c>
      <c r="E49" s="128"/>
      <c r="F49" s="128"/>
      <c r="G49" s="128"/>
      <c r="H49" s="127" t="str">
        <f>IF(ber_Med_disc!C23&gt;1,"Dosering/kg/dag: ","")</f>
        <v/>
      </c>
      <c r="I49" s="126"/>
      <c r="J49" s="128" t="str">
        <f>IF(ber_Med_disc!C23&gt;1,ber_Med_disc!M23,"")</f>
        <v/>
      </c>
      <c r="K49" s="126" t="str">
        <f>IF(AND(ber_Med_disc!C23&gt;1,H48&lt;&gt;"STOP"),J48&amp;"/kg/dag ","")</f>
        <v/>
      </c>
      <c r="L49" s="126"/>
      <c r="M49" s="126" t="str">
        <f>IF(AND(ber_Med_disc!C23&gt;1,ber_Med_disc!O23&gt;1,ber_Med_disc!N23&gt;0),"Oplossing:","")</f>
        <v/>
      </c>
      <c r="N49" s="126" t="str">
        <f>IF(AND(ber_Med_disc!C23&gt;1,ber_Med_disc!O23&gt;1,ber_Med_disc!N23&gt;0),ROUND(ber_Med_disc!H23/ber_Med_disc!N23,2)&amp;" "&amp;ber_Med_disc!F23&amp;"/ml","")</f>
        <v/>
      </c>
      <c r="O49" s="126"/>
      <c r="P49" s="126"/>
      <c r="Q49" s="117"/>
      <c r="R49" s="117"/>
      <c r="S49" s="117"/>
      <c r="T49" s="117"/>
      <c r="U49" s="117"/>
      <c r="V49" s="117"/>
    </row>
    <row r="50" spans="1:22" s="246" customFormat="1" ht="19.55" customHeight="1" x14ac:dyDescent="0.4">
      <c r="A50" s="117"/>
      <c r="B50" s="119">
        <v>23</v>
      </c>
      <c r="C50" s="130"/>
      <c r="D50" s="870">
        <f>ber_Med_disc!C24</f>
        <v>0</v>
      </c>
      <c r="E50" s="870"/>
      <c r="F50" s="870"/>
      <c r="G50" s="870"/>
      <c r="H50" s="121" t="str">
        <f>IF(INDEX(tblMedDiscTijdenValues,ber_Med_disc!I24,1)=0,"",INDEX(tblMedDiscTijdenValues,ber_Med_disc!I24,1))</f>
        <v/>
      </c>
      <c r="I50" s="122" t="str">
        <f>IF(ber_Med_disc!C24&gt;1,ber_Med_disc!H24,"")</f>
        <v/>
      </c>
      <c r="J50" s="123" t="str">
        <f>IF(ber_Med_disc!C24&gt;1,ber_Med_disc!F24,"")</f>
        <v/>
      </c>
      <c r="K50" s="124">
        <f>ber_Med_disc!L24</f>
        <v>0</v>
      </c>
      <c r="L50" s="117" t="str">
        <f>IF(AND(ber_Med_disc!C24&gt;1,ber_Med_disc!O24&gt;1),ber_Med_disc!N24,"")</f>
        <v/>
      </c>
      <c r="M50" s="117" t="str">
        <f>IF(AND(ber_Med_disc!C24&gt;1,L50&lt;&gt;0,ber_Med_disc!O24&gt;1),"ml","")</f>
        <v/>
      </c>
      <c r="N50" s="117"/>
      <c r="O50" s="117" t="str">
        <f>IF(AND(L50&lt;&gt;"",ber_Med_disc!Q24&gt;0),ber_Med_disc!Q24&amp;" min","")</f>
        <v/>
      </c>
      <c r="P50" s="117"/>
      <c r="Q50" s="117"/>
      <c r="R50" s="117"/>
      <c r="S50" s="117"/>
      <c r="T50" s="117"/>
      <c r="U50" s="117"/>
      <c r="V50" s="117"/>
    </row>
    <row r="51" spans="1:22" s="246" customFormat="1" ht="19.55" customHeight="1" x14ac:dyDescent="0.35">
      <c r="A51" s="117"/>
      <c r="B51" s="125" t="s">
        <v>596</v>
      </c>
      <c r="C51" s="126"/>
      <c r="D51" s="128">
        <f>ber_Opm!C39</f>
        <v>0</v>
      </c>
      <c r="E51" s="128"/>
      <c r="F51" s="128"/>
      <c r="G51" s="128"/>
      <c r="H51" s="127" t="str">
        <f>IF(ber_Med_disc!C24&gt;1,"Dosering/kg/dag: ","")</f>
        <v/>
      </c>
      <c r="I51" s="126"/>
      <c r="J51" s="128" t="str">
        <f>IF(ber_Med_disc!C24&gt;1,ber_Med_disc!M24,"")</f>
        <v/>
      </c>
      <c r="K51" s="126" t="str">
        <f>IF(AND(ber_Med_disc!C24&gt;1,H50&lt;&gt;"STOP"),J50&amp;"/kg/dag ","")</f>
        <v/>
      </c>
      <c r="L51" s="126"/>
      <c r="M51" s="126" t="str">
        <f>IF(AND(ber_Med_disc!C24&gt;1,ber_Med_disc!O24&gt;1,ber_Med_disc!N24&gt;0),"Oplossing:","")</f>
        <v/>
      </c>
      <c r="N51" s="126" t="str">
        <f>IF(AND(ber_Med_disc!C24&gt;1,ber_Med_disc!O24&gt;1,ber_Med_disc!N24&gt;0),ROUND(ber_Med_disc!H24/ber_Med_disc!N24,2)&amp;" "&amp;ber_Med_disc!F24&amp;"/ml","")</f>
        <v/>
      </c>
      <c r="O51" s="126"/>
      <c r="P51" s="126"/>
      <c r="Q51" s="117"/>
      <c r="R51" s="117"/>
      <c r="S51" s="117"/>
      <c r="T51" s="117"/>
      <c r="U51" s="117"/>
      <c r="V51" s="117"/>
    </row>
    <row r="52" spans="1:22" s="246" customFormat="1" ht="19.55" customHeight="1" x14ac:dyDescent="0.4">
      <c r="A52" s="117"/>
      <c r="B52" s="119">
        <v>24</v>
      </c>
      <c r="C52" s="130"/>
      <c r="D52" s="870">
        <f>ber_Med_disc!C25</f>
        <v>0</v>
      </c>
      <c r="E52" s="870"/>
      <c r="F52" s="870"/>
      <c r="G52" s="870"/>
      <c r="H52" s="121" t="str">
        <f>IF(INDEX(tblMedDiscTijdenValues,ber_Med_disc!I25,1)=0,"",INDEX(tblMedDiscTijdenValues,ber_Med_disc!I25,1))</f>
        <v/>
      </c>
      <c r="I52" s="122" t="str">
        <f>IF(ber_Med_disc!C25&gt;1,ber_Med_disc!H25,"")</f>
        <v/>
      </c>
      <c r="J52" s="123" t="str">
        <f>IF(ber_Med_disc!C25&gt;1,ber_Med_disc!F25,"")</f>
        <v/>
      </c>
      <c r="K52" s="124">
        <f>ber_Med_disc!L25</f>
        <v>0</v>
      </c>
      <c r="L52" s="117" t="str">
        <f>IF(AND(ber_Med_disc!C25&gt;1,ber_Med_disc!O25&gt;1),ber_Med_disc!N25,"")</f>
        <v/>
      </c>
      <c r="M52" s="117" t="str">
        <f>IF(AND(ber_Med_disc!C25&gt;1,L52&lt;&gt;0,ber_Med_disc!O25&gt;1),"ml","")</f>
        <v/>
      </c>
      <c r="N52" s="117"/>
      <c r="O52" s="117" t="str">
        <f>IF(AND(L52&lt;&gt;"",ber_Med_disc!Q25&gt;0),ber_Med_disc!Q25&amp;" min","")</f>
        <v/>
      </c>
      <c r="P52" s="117"/>
      <c r="Q52" s="117"/>
      <c r="R52" s="117"/>
      <c r="S52" s="117"/>
      <c r="T52" s="117"/>
      <c r="U52" s="117"/>
      <c r="V52" s="117"/>
    </row>
    <row r="53" spans="1:22" s="246" customFormat="1" ht="19.55" customHeight="1" x14ac:dyDescent="0.35">
      <c r="A53" s="117"/>
      <c r="B53" s="125" t="s">
        <v>596</v>
      </c>
      <c r="C53" s="126"/>
      <c r="D53" s="128">
        <f>ber_Opm!C40</f>
        <v>0</v>
      </c>
      <c r="E53" s="128"/>
      <c r="F53" s="128"/>
      <c r="G53" s="128"/>
      <c r="H53" s="127" t="str">
        <f>IF(ber_Med_disc!C25&gt;1,"Dosering/kg/dag: ","")</f>
        <v/>
      </c>
      <c r="I53" s="126"/>
      <c r="J53" s="128" t="str">
        <f>IF(ber_Med_disc!C25&gt;1,ber_Med_disc!M25,"")</f>
        <v/>
      </c>
      <c r="K53" s="126" t="str">
        <f>IF(AND(ber_Med_disc!C25&gt;1,H52&lt;&gt;"STOP"),J52&amp;"/kg/dag ","")</f>
        <v/>
      </c>
      <c r="L53" s="126"/>
      <c r="M53" s="126" t="str">
        <f>IF(AND(ber_Med_disc!C25&gt;1,ber_Med_disc!O25&gt;1,ber_Med_disc!N25&gt;0),"Oplossing:","")</f>
        <v/>
      </c>
      <c r="N53" s="126" t="str">
        <f>IF(AND(ber_Med_disc!C25&gt;1,ber_Med_disc!O25&gt;1,ber_Med_disc!N25&gt;0),ROUND(ber_Med_disc!H25/ber_Med_disc!N25,2)&amp;" "&amp;ber_Med_disc!F25&amp;"/ml","")</f>
        <v/>
      </c>
      <c r="O53" s="126"/>
      <c r="P53" s="126"/>
      <c r="Q53" s="117"/>
      <c r="R53" s="117"/>
      <c r="S53" s="117"/>
      <c r="T53" s="117"/>
      <c r="U53" s="117"/>
      <c r="V53" s="117"/>
    </row>
    <row r="54" spans="1:22" s="246" customFormat="1" ht="19.55" customHeight="1" x14ac:dyDescent="0.4">
      <c r="A54" s="117"/>
      <c r="B54" s="119">
        <v>25</v>
      </c>
      <c r="C54" s="130"/>
      <c r="D54" s="870">
        <f>ber_Med_disc!C26</f>
        <v>0</v>
      </c>
      <c r="E54" s="870"/>
      <c r="F54" s="870"/>
      <c r="G54" s="870"/>
      <c r="H54" s="121" t="str">
        <f>IF(INDEX(tblMedDiscTijdenValues,ber_Med_disc!I26,1)=0,"",INDEX(tblMedDiscTijdenValues,ber_Med_disc!I26,1))</f>
        <v/>
      </c>
      <c r="I54" s="122" t="str">
        <f>IF(ber_Med_disc!C26&gt;1,ber_Med_disc!H26,"")</f>
        <v/>
      </c>
      <c r="J54" s="123" t="str">
        <f>IF(ber_Med_disc!C26&gt;1,ber_Med_disc!F26,"")</f>
        <v/>
      </c>
      <c r="K54" s="124">
        <f>ber_Med_disc!L26</f>
        <v>0</v>
      </c>
      <c r="L54" s="117" t="str">
        <f>IF(AND(ber_Med_disc!C26&gt;1,ber_Med_disc!O26&gt;1),ber_Med_disc!N26,"")</f>
        <v/>
      </c>
      <c r="M54" s="117" t="str">
        <f>IF(AND(ber_Med_disc!C26&gt;1,L54&lt;&gt;0,ber_Med_disc!O26&gt;1),"ml","")</f>
        <v/>
      </c>
      <c r="N54" s="117"/>
      <c r="O54" s="117" t="str">
        <f>IF(AND(L54&lt;&gt;"",ber_Med_disc!Q26&gt;0),ber_Med_disc!Q26&amp;" min","")</f>
        <v/>
      </c>
      <c r="P54" s="117"/>
      <c r="Q54" s="117"/>
      <c r="R54" s="117"/>
      <c r="S54" s="117"/>
      <c r="T54" s="117"/>
      <c r="U54" s="117"/>
      <c r="V54" s="117"/>
    </row>
    <row r="55" spans="1:22" s="246" customFormat="1" ht="19.55" customHeight="1" x14ac:dyDescent="0.35">
      <c r="A55" s="117"/>
      <c r="B55" s="125" t="s">
        <v>596</v>
      </c>
      <c r="C55" s="126"/>
      <c r="D55" s="128">
        <f>ber_Opm!C41</f>
        <v>0</v>
      </c>
      <c r="E55" s="128"/>
      <c r="F55" s="128"/>
      <c r="G55" s="128"/>
      <c r="H55" s="127" t="str">
        <f>IF(ber_Med_disc!C26&gt;1,"Dosering/kg/dag: ","")</f>
        <v/>
      </c>
      <c r="I55" s="126"/>
      <c r="J55" s="128" t="str">
        <f>IF(ber_Med_disc!C26&gt;1,ber_Med_disc!M26,"")</f>
        <v/>
      </c>
      <c r="K55" s="126" t="str">
        <f>IF(AND(ber_Med_disc!C26&gt;1,H54&lt;&gt;"STOP"),J54&amp;"/kg/dag ","")</f>
        <v/>
      </c>
      <c r="L55" s="126"/>
      <c r="M55" s="126" t="str">
        <f>IF(AND(ber_Med_disc!C26&gt;1,ber_Med_disc!O26&gt;1,ber_Med_disc!N26&gt;0),"Oplossing:","")</f>
        <v/>
      </c>
      <c r="N55" s="126" t="str">
        <f>IF(AND(ber_Med_disc!C26&gt;1,ber_Med_disc!O26&gt;1,ber_Med_disc!N26&gt;0),ROUND(ber_Med_disc!H26/ber_Med_disc!N26,2)&amp;" "&amp;ber_Med_disc!F26&amp;"/ml","")</f>
        <v/>
      </c>
      <c r="O55" s="126"/>
      <c r="P55" s="126"/>
      <c r="Q55" s="117"/>
      <c r="R55" s="117"/>
      <c r="S55" s="117"/>
      <c r="T55" s="117"/>
      <c r="U55" s="117"/>
      <c r="V55" s="117"/>
    </row>
    <row r="56" spans="1:22" s="246" customFormat="1" ht="19.55" customHeight="1" x14ac:dyDescent="0.4">
      <c r="A56" s="117"/>
      <c r="B56" s="119">
        <v>26</v>
      </c>
      <c r="C56" s="130"/>
      <c r="D56" s="870">
        <f>ber_Med_disc!C27</f>
        <v>0</v>
      </c>
      <c r="E56" s="870"/>
      <c r="F56" s="870"/>
      <c r="G56" s="870"/>
      <c r="H56" s="121" t="str">
        <f>IF(INDEX(tblMedDiscTijdenValues,ber_Med_disc!I27,1)=0,"",INDEX(tblMedDiscTijdenValues,ber_Med_disc!I27,1))</f>
        <v/>
      </c>
      <c r="I56" s="122" t="str">
        <f>IF(ber_Med_disc!C27&gt;1,ber_Med_disc!H27,"")</f>
        <v/>
      </c>
      <c r="J56" s="123" t="str">
        <f>IF(ber_Med_disc!C27&gt;1,ber_Med_disc!F27,"")</f>
        <v/>
      </c>
      <c r="K56" s="124">
        <f>ber_Med_disc!L27</f>
        <v>0</v>
      </c>
      <c r="L56" s="117" t="str">
        <f>IF(AND(ber_Med_disc!C27&gt;1,ber_Med_disc!O27&gt;1),ber_Med_disc!N27,"")</f>
        <v/>
      </c>
      <c r="M56" s="117" t="str">
        <f>IF(AND(ber_Med_disc!C27&gt;1,L56&lt;&gt;0,ber_Med_disc!O27&gt;1),"ml","")</f>
        <v/>
      </c>
      <c r="N56" s="117"/>
      <c r="O56" s="117" t="str">
        <f>IF(AND(L56&lt;&gt;"",ber_Med_disc!Q27&gt;0),ber_Med_disc!Q27&amp;" min","")</f>
        <v/>
      </c>
      <c r="P56" s="117"/>
      <c r="Q56" s="117"/>
      <c r="R56" s="117"/>
      <c r="S56" s="117"/>
      <c r="T56" s="117"/>
      <c r="U56" s="117"/>
      <c r="V56" s="117"/>
    </row>
    <row r="57" spans="1:22" s="246" customFormat="1" ht="19.55" customHeight="1" x14ac:dyDescent="0.35">
      <c r="A57" s="117"/>
      <c r="B57" s="125" t="s">
        <v>596</v>
      </c>
      <c r="C57" s="126"/>
      <c r="D57" s="128">
        <f>ber_Opm!C42</f>
        <v>0</v>
      </c>
      <c r="E57" s="128"/>
      <c r="F57" s="128"/>
      <c r="G57" s="128"/>
      <c r="H57" s="127" t="str">
        <f>IF(ber_Med_disc!C27&gt;1,"Dosering/kg/dag: ","")</f>
        <v/>
      </c>
      <c r="I57" s="126"/>
      <c r="J57" s="128" t="str">
        <f>IF(ber_Med_disc!C27&gt;1,ber_Med_disc!M27,"")</f>
        <v/>
      </c>
      <c r="K57" s="126" t="str">
        <f>IF(AND(ber_Med_disc!C27&gt;1,H56&lt;&gt;"STOP"),J56&amp;"/kg/dag ","")</f>
        <v/>
      </c>
      <c r="L57" s="126"/>
      <c r="M57" s="126" t="str">
        <f>IF(AND(ber_Med_disc!C27&gt;1,ber_Med_disc!O27&gt;1,ber_Med_disc!N27&gt;0),"Oplossing:","")</f>
        <v/>
      </c>
      <c r="N57" s="126" t="str">
        <f>IF(AND(ber_Med_disc!C27&gt;1,ber_Med_disc!O27&gt;1,ber_Med_disc!N27&gt;0),ROUND(ber_Med_disc!H27/ber_Med_disc!N27,2)&amp;" "&amp;ber_Med_disc!F27&amp;"/ml","")</f>
        <v/>
      </c>
      <c r="O57" s="126"/>
      <c r="P57" s="126"/>
      <c r="Q57" s="117"/>
      <c r="R57" s="117"/>
      <c r="S57" s="117"/>
      <c r="T57" s="117"/>
      <c r="U57" s="117"/>
      <c r="V57" s="117"/>
    </row>
    <row r="58" spans="1:22" s="246" customFormat="1" ht="19.55" customHeight="1" x14ac:dyDescent="0.4">
      <c r="A58" s="117"/>
      <c r="B58" s="119">
        <v>27</v>
      </c>
      <c r="C58" s="130"/>
      <c r="D58" s="870">
        <f>ber_Med_disc!C28</f>
        <v>0</v>
      </c>
      <c r="E58" s="870"/>
      <c r="F58" s="870"/>
      <c r="G58" s="870"/>
      <c r="H58" s="121" t="str">
        <f>IF(INDEX(tblMedDiscTijdenValues,ber_Med_disc!I28,1)=0,"",INDEX(tblMedDiscTijdenValues,ber_Med_disc!I28,1))</f>
        <v/>
      </c>
      <c r="I58" s="122" t="str">
        <f>IF(ber_Med_disc!C28&gt;1,ber_Med_disc!H28,"")</f>
        <v/>
      </c>
      <c r="J58" s="123" t="str">
        <f>IF(ber_Med_disc!C28&gt;1,ber_Med_disc!F28,"")</f>
        <v/>
      </c>
      <c r="K58" s="124">
        <f>ber_Med_disc!L28</f>
        <v>0</v>
      </c>
      <c r="L58" s="117" t="str">
        <f>IF(AND(ber_Med_disc!C28&gt;1,ber_Med_disc!O28&gt;1),ber_Med_disc!N28,"")</f>
        <v/>
      </c>
      <c r="M58" s="117" t="str">
        <f>IF(AND(ber_Med_disc!C28&gt;1,L58&lt;&gt;0,ber_Med_disc!O28&gt;1),"ml","")</f>
        <v/>
      </c>
      <c r="N58" s="117"/>
      <c r="O58" s="117" t="str">
        <f>IF(AND(L58&lt;&gt;"",ber_Med_disc!Q28&gt;0),ber_Med_disc!Q28&amp;" min","")</f>
        <v/>
      </c>
      <c r="P58" s="117"/>
      <c r="Q58" s="117"/>
      <c r="R58" s="117"/>
      <c r="S58" s="117"/>
      <c r="T58" s="117"/>
      <c r="U58" s="117"/>
      <c r="V58" s="117"/>
    </row>
    <row r="59" spans="1:22" s="246" customFormat="1" ht="19.55" customHeight="1" x14ac:dyDescent="0.35">
      <c r="A59" s="117"/>
      <c r="B59" s="125" t="s">
        <v>596</v>
      </c>
      <c r="C59" s="126"/>
      <c r="D59" s="128">
        <f>ber_Opm!C43</f>
        <v>0</v>
      </c>
      <c r="E59" s="128"/>
      <c r="F59" s="128"/>
      <c r="G59" s="128"/>
      <c r="H59" s="127" t="str">
        <f>IF(ber_Med_disc!C28&gt;1,"Dosering/kg/dag: ","")</f>
        <v/>
      </c>
      <c r="I59" s="126"/>
      <c r="J59" s="128" t="str">
        <f>IF(ber_Med_disc!C28&gt;1,ber_Med_disc!M28,"")</f>
        <v/>
      </c>
      <c r="K59" s="126" t="str">
        <f>IF(AND(ber_Med_disc!C28&gt;1,H58&lt;&gt;"STOP"),J58&amp;"/kg/dag ","")</f>
        <v/>
      </c>
      <c r="L59" s="126"/>
      <c r="M59" s="126" t="str">
        <f>IF(AND(ber_Med_disc!C28&gt;1,ber_Med_disc!O28&gt;1,ber_Med_disc!N28&gt;0),"Oplossing:","")</f>
        <v/>
      </c>
      <c r="N59" s="126" t="str">
        <f>IF(AND(ber_Med_disc!C28&gt;1,ber_Med_disc!O28&gt;1,ber_Med_disc!N28&gt;0),ROUND(ber_Med_disc!H28/ber_Med_disc!N28,2)&amp;" "&amp;ber_Med_disc!F28&amp;"/ml","")</f>
        <v/>
      </c>
      <c r="O59" s="126"/>
      <c r="P59" s="126"/>
      <c r="Q59" s="117"/>
      <c r="R59" s="117"/>
      <c r="S59" s="117"/>
      <c r="T59" s="117"/>
      <c r="U59" s="117"/>
      <c r="V59" s="117"/>
    </row>
    <row r="60" spans="1:22" s="246" customFormat="1" ht="19.55" customHeight="1" x14ac:dyDescent="0.4">
      <c r="A60" s="117"/>
      <c r="B60" s="119">
        <v>28</v>
      </c>
      <c r="C60" s="130"/>
      <c r="D60" s="870">
        <f>ber_Med_disc!C29</f>
        <v>0</v>
      </c>
      <c r="E60" s="870"/>
      <c r="F60" s="870"/>
      <c r="G60" s="870"/>
      <c r="H60" s="121" t="str">
        <f>IF(INDEX(tblMedDiscTijdenValues,ber_Med_disc!I29,1)=0,"",INDEX(tblMedDiscTijdenValues,ber_Med_disc!I29,1))</f>
        <v/>
      </c>
      <c r="I60" s="122" t="str">
        <f>IF(ber_Med_disc!C29&gt;1,ber_Med_disc!H29,"")</f>
        <v/>
      </c>
      <c r="J60" s="123" t="str">
        <f>IF(ber_Med_disc!C29&gt;1,ber_Med_disc!F29,"")</f>
        <v/>
      </c>
      <c r="K60" s="124">
        <f>ber_Med_disc!L29</f>
        <v>0</v>
      </c>
      <c r="L60" s="117" t="str">
        <f>IF(AND(ber_Med_disc!C29&gt;1,ber_Med_disc!O29&gt;1),ber_Med_disc!N29,"")</f>
        <v/>
      </c>
      <c r="M60" s="117" t="str">
        <f>IF(AND(ber_Med_disc!C29&gt;1,L60&lt;&gt;0,ber_Med_disc!O29&gt;1),"ml","")</f>
        <v/>
      </c>
      <c r="N60" s="117"/>
      <c r="O60" s="117" t="str">
        <f>IF(AND(L60&lt;&gt;"",ber_Med_disc!Q29&gt;0),ber_Med_disc!Q29&amp;" min","")</f>
        <v/>
      </c>
      <c r="P60" s="117"/>
      <c r="Q60" s="117"/>
      <c r="R60" s="117"/>
      <c r="S60" s="117"/>
      <c r="T60" s="117"/>
      <c r="U60" s="117"/>
      <c r="V60" s="117"/>
    </row>
    <row r="61" spans="1:22" s="246" customFormat="1" ht="19.55" customHeight="1" x14ac:dyDescent="0.35">
      <c r="A61" s="117"/>
      <c r="B61" s="125" t="s">
        <v>596</v>
      </c>
      <c r="C61" s="126"/>
      <c r="D61" s="128">
        <f>ber_Opm!C44</f>
        <v>0</v>
      </c>
      <c r="E61" s="128"/>
      <c r="F61" s="128"/>
      <c r="G61" s="128"/>
      <c r="H61" s="127" t="str">
        <f>IF(ber_Med_disc!C29&gt;1,"Dosering/kg/dag: ","")</f>
        <v/>
      </c>
      <c r="I61" s="126"/>
      <c r="J61" s="128" t="str">
        <f>IF(ber_Med_disc!C29&gt;1,ber_Med_disc!M29,"")</f>
        <v/>
      </c>
      <c r="K61" s="126" t="str">
        <f>IF(AND(ber_Med_disc!C29&gt;1,H60&lt;&gt;"STOP"),J60&amp;"/kg/dag ","")</f>
        <v/>
      </c>
      <c r="L61" s="126"/>
      <c r="M61" s="126" t="str">
        <f>IF(AND(ber_Med_disc!C29&gt;1,ber_Med_disc!O29&gt;1,ber_Med_disc!N29&gt;0),"Oplossing:","")</f>
        <v/>
      </c>
      <c r="N61" s="126" t="str">
        <f>IF(AND(ber_Med_disc!C29&gt;1,ber_Med_disc!O29&gt;1,ber_Med_disc!N29&gt;0),ROUND(ber_Med_disc!H29/ber_Med_disc!N29,2)&amp;" "&amp;ber_Med_disc!F29&amp;"/ml","")</f>
        <v/>
      </c>
      <c r="O61" s="126"/>
      <c r="P61" s="126"/>
      <c r="Q61" s="117"/>
      <c r="R61" s="117"/>
      <c r="S61" s="117"/>
      <c r="T61" s="117"/>
      <c r="U61" s="117"/>
      <c r="V61" s="117"/>
    </row>
    <row r="62" spans="1:22" s="246" customFormat="1" ht="19.55" customHeight="1" x14ac:dyDescent="0.4">
      <c r="A62" s="117"/>
      <c r="B62" s="119">
        <v>29</v>
      </c>
      <c r="C62" s="130"/>
      <c r="D62" s="870">
        <f>ber_Med_disc!C30</f>
        <v>0</v>
      </c>
      <c r="E62" s="870"/>
      <c r="F62" s="870"/>
      <c r="G62" s="870"/>
      <c r="H62" s="121" t="str">
        <f>IF(INDEX(tblMedDiscTijdenValues,ber_Med_disc!I30,1)=0,"",INDEX(tblMedDiscTijdenValues,ber_Med_disc!I30,1))</f>
        <v/>
      </c>
      <c r="I62" s="122" t="str">
        <f>IF(ber_Med_disc!C30&gt;1,ber_Med_disc!H30,"")</f>
        <v/>
      </c>
      <c r="J62" s="123" t="str">
        <f>IF(ber_Med_disc!C30&gt;1,ber_Med_disc!F30,"")</f>
        <v/>
      </c>
      <c r="K62" s="124">
        <f>ber_Med_disc!L30</f>
        <v>0</v>
      </c>
      <c r="L62" s="117" t="str">
        <f>IF(AND(ber_Med_disc!C30&gt;1,ber_Med_disc!O30&gt;1),ber_Med_disc!N30,"")</f>
        <v/>
      </c>
      <c r="M62" s="117" t="str">
        <f>IF(AND(ber_Med_disc!C30&gt;1,L62&lt;&gt;0,ber_Med_disc!O30&gt;1),"ml","")</f>
        <v/>
      </c>
      <c r="N62" s="117"/>
      <c r="O62" s="117" t="str">
        <f>IF(AND(L62&lt;&gt;"",ber_Med_disc!Q30&gt;0),ber_Med_disc!Q30&amp;" min","")</f>
        <v/>
      </c>
      <c r="P62" s="117"/>
      <c r="Q62" s="117"/>
      <c r="R62" s="117"/>
      <c r="S62" s="117"/>
      <c r="T62" s="117"/>
      <c r="U62" s="117"/>
      <c r="V62" s="117"/>
    </row>
    <row r="63" spans="1:22" s="246" customFormat="1" ht="19.55" customHeight="1" x14ac:dyDescent="0.35">
      <c r="A63" s="117"/>
      <c r="B63" s="125" t="s">
        <v>596</v>
      </c>
      <c r="C63" s="126"/>
      <c r="D63" s="128">
        <f>ber_Opm!C45</f>
        <v>0</v>
      </c>
      <c r="E63" s="128"/>
      <c r="F63" s="128"/>
      <c r="G63" s="128"/>
      <c r="H63" s="127" t="str">
        <f>IF(ber_Med_disc!C30&gt;1,"Dosering/kg/dag: ","")</f>
        <v/>
      </c>
      <c r="I63" s="126"/>
      <c r="J63" s="128" t="str">
        <f>IF(ber_Med_disc!C30&gt;1,ber_Med_disc!M30,"")</f>
        <v/>
      </c>
      <c r="K63" s="126" t="str">
        <f>IF(AND(ber_Med_disc!C30&gt;1,H62&lt;&gt;"STOP"),J62&amp;"/kg/dag ","")</f>
        <v/>
      </c>
      <c r="L63" s="126"/>
      <c r="M63" s="126" t="str">
        <f>IF(AND(ber_Med_disc!C30&gt;1,ber_Med_disc!O30&gt;1,ber_Med_disc!N30&gt;0),"Oplossing:","")</f>
        <v/>
      </c>
      <c r="N63" s="126" t="str">
        <f>IF(AND(ber_Med_disc!C30&gt;1,ber_Med_disc!O30&gt;1,ber_Med_disc!N30&gt;0),ROUND(ber_Med_disc!H30/ber_Med_disc!N30,2)&amp;" "&amp;ber_Med_disc!F30&amp;"/ml","")</f>
        <v/>
      </c>
      <c r="O63" s="126"/>
      <c r="P63" s="126"/>
      <c r="Q63" s="117"/>
      <c r="R63" s="117"/>
      <c r="S63" s="117"/>
      <c r="T63" s="117"/>
      <c r="U63" s="117"/>
      <c r="V63" s="117"/>
    </row>
    <row r="64" spans="1:22" s="246" customFormat="1" ht="19.55" customHeight="1" x14ac:dyDescent="0.4">
      <c r="A64" s="117"/>
      <c r="B64" s="119">
        <v>30</v>
      </c>
      <c r="C64" s="130"/>
      <c r="D64" s="870">
        <f>ber_Med_disc!C31</f>
        <v>0</v>
      </c>
      <c r="E64" s="870"/>
      <c r="F64" s="870"/>
      <c r="G64" s="870"/>
      <c r="H64" s="121" t="str">
        <f>IF(INDEX(tblMedDiscTijdenValues,ber_Med_disc!I31,1)=0,"",INDEX(tblMedDiscTijdenValues,ber_Med_disc!I31,1))</f>
        <v/>
      </c>
      <c r="I64" s="122" t="str">
        <f>IF(ber_Med_disc!C31&gt;1,ber_Med_disc!H31,"")</f>
        <v/>
      </c>
      <c r="J64" s="123" t="str">
        <f>IF(ber_Med_disc!C31&gt;1,ber_Med_disc!F31,"")</f>
        <v/>
      </c>
      <c r="K64" s="124">
        <f>ber_Med_disc!L31</f>
        <v>0</v>
      </c>
      <c r="L64" s="117" t="str">
        <f>IF(AND(ber_Med_disc!C31&gt;1,ber_Med_disc!O31&gt;1),ber_Med_disc!N31,"")</f>
        <v/>
      </c>
      <c r="M64" s="117" t="str">
        <f>IF(AND(ber_Med_disc!C31&gt;1,L64&lt;&gt;0,ber_Med_disc!O31&gt;1),"ml","")</f>
        <v/>
      </c>
      <c r="N64" s="117"/>
      <c r="O64" s="117" t="str">
        <f>IF(AND(L64&lt;&gt;"",ber_Med_disc!Q31&gt;0),ber_Med_disc!Q31&amp;" min","")</f>
        <v/>
      </c>
      <c r="P64" s="117"/>
      <c r="Q64" s="117"/>
      <c r="R64" s="117"/>
      <c r="S64" s="117"/>
      <c r="T64" s="117"/>
      <c r="U64" s="117"/>
      <c r="V64" s="117"/>
    </row>
    <row r="65" spans="1:22" s="246" customFormat="1" ht="19.55" customHeight="1" x14ac:dyDescent="0.35">
      <c r="A65" s="117"/>
      <c r="B65" s="125" t="s">
        <v>596</v>
      </c>
      <c r="C65" s="126"/>
      <c r="D65" s="128">
        <f>ber_Opm!C46</f>
        <v>0</v>
      </c>
      <c r="E65" s="128"/>
      <c r="F65" s="128"/>
      <c r="G65" s="128"/>
      <c r="H65" s="127" t="str">
        <f>IF(ber_Med_disc!C31&gt;1,"Dosering/kg/dag: ","")</f>
        <v/>
      </c>
      <c r="I65" s="126"/>
      <c r="J65" s="128" t="str">
        <f>IF(ber_Med_disc!C31&gt;1,ber_Med_disc!M31,"")</f>
        <v/>
      </c>
      <c r="K65" s="126" t="str">
        <f>IF(AND(ber_Med_disc!C31&gt;1,H64&lt;&gt;"STOP"),J64&amp;"/kg/dag ","")</f>
        <v/>
      </c>
      <c r="L65" s="126"/>
      <c r="M65" s="126" t="str">
        <f>IF(AND(ber_Med_disc!C31&gt;1,ber_Med_disc!O31&gt;1,ber_Med_disc!N31&gt;0),"Oplossing:","")</f>
        <v/>
      </c>
      <c r="N65" s="126" t="str">
        <f>IF(AND(ber_Med_disc!C31&gt;1,ber_Med_disc!O31&gt;1,ber_Med_disc!N31&gt;0),ROUND(ber_Med_disc!H31/ber_Med_disc!N31,2)&amp;" "&amp;ber_Med_disc!F31&amp;"/ml","")</f>
        <v/>
      </c>
      <c r="O65" s="126"/>
      <c r="P65" s="126"/>
      <c r="Q65" s="117"/>
      <c r="R65" s="117"/>
      <c r="S65" s="117"/>
      <c r="T65" s="117"/>
      <c r="U65" s="117"/>
      <c r="V65" s="117"/>
    </row>
    <row r="66" spans="1:22" s="246" customFormat="1" x14ac:dyDescent="0.35"/>
    <row r="67" spans="1:22" s="246" customFormat="1" x14ac:dyDescent="0.35"/>
    <row r="68" spans="1:22" s="246" customFormat="1" x14ac:dyDescent="0.35"/>
    <row r="69" spans="1:22" s="246" customFormat="1" x14ac:dyDescent="0.35"/>
    <row r="70" spans="1:22" s="246" customFormat="1" x14ac:dyDescent="0.35"/>
    <row r="71" spans="1:22" s="246" customFormat="1" x14ac:dyDescent="0.35"/>
    <row r="72" spans="1:22" s="246" customFormat="1" x14ac:dyDescent="0.35"/>
    <row r="73" spans="1:22" s="246" customFormat="1" x14ac:dyDescent="0.35"/>
    <row r="74" spans="1:22" s="246" customFormat="1" x14ac:dyDescent="0.35"/>
    <row r="75" spans="1:22" s="246" customFormat="1" x14ac:dyDescent="0.35"/>
    <row r="76" spans="1:22" s="246" customFormat="1" x14ac:dyDescent="0.35"/>
    <row r="77" spans="1:22" s="246" customFormat="1" x14ac:dyDescent="0.35"/>
    <row r="78" spans="1:22" s="246" customFormat="1" x14ac:dyDescent="0.35"/>
    <row r="79" spans="1:22" s="246" customFormat="1" x14ac:dyDescent="0.35"/>
    <row r="80" spans="1:22" s="246" customFormat="1" x14ac:dyDescent="0.35"/>
    <row r="81" s="246" customFormat="1" x14ac:dyDescent="0.35"/>
    <row r="82" s="246" customFormat="1" x14ac:dyDescent="0.35"/>
    <row r="83" s="246" customFormat="1" x14ac:dyDescent="0.35"/>
    <row r="84" s="246" customFormat="1" x14ac:dyDescent="0.35"/>
    <row r="85" s="246" customFormat="1" x14ac:dyDescent="0.35"/>
    <row r="86" s="246" customFormat="1" x14ac:dyDescent="0.35"/>
    <row r="87" s="246" customFormat="1" x14ac:dyDescent="0.35"/>
    <row r="88" s="246" customFormat="1" x14ac:dyDescent="0.35"/>
    <row r="89" s="246" customFormat="1" x14ac:dyDescent="0.35"/>
    <row r="90" s="246" customFormat="1" x14ac:dyDescent="0.35"/>
    <row r="91" s="246" customFormat="1" x14ac:dyDescent="0.35"/>
    <row r="92" s="246" customFormat="1" x14ac:dyDescent="0.35"/>
    <row r="93" s="246" customFormat="1" x14ac:dyDescent="0.35"/>
    <row r="94" s="246" customFormat="1" x14ac:dyDescent="0.35"/>
    <row r="95" s="246" customFormat="1" x14ac:dyDescent="0.35"/>
    <row r="96" s="246" customFormat="1" x14ac:dyDescent="0.35"/>
    <row r="97" s="246" customFormat="1" x14ac:dyDescent="0.35"/>
    <row r="98" s="246" customFormat="1" x14ac:dyDescent="0.35"/>
    <row r="99" s="246" customFormat="1" x14ac:dyDescent="0.35"/>
    <row r="100" s="246" customFormat="1" x14ac:dyDescent="0.35"/>
    <row r="101" s="246" customFormat="1" x14ac:dyDescent="0.35"/>
    <row r="102" s="246" customFormat="1" x14ac:dyDescent="0.35"/>
    <row r="103" s="246" customFormat="1" x14ac:dyDescent="0.35"/>
    <row r="104" s="246" customFormat="1" x14ac:dyDescent="0.35"/>
    <row r="105" s="246" customFormat="1" x14ac:dyDescent="0.35"/>
    <row r="106" s="246" customFormat="1" x14ac:dyDescent="0.35"/>
    <row r="107" s="246" customFormat="1" x14ac:dyDescent="0.35"/>
    <row r="108" s="246" customFormat="1" x14ac:dyDescent="0.35"/>
  </sheetData>
  <sheetProtection algorithmName="SHA-512" hashValue="k7YNxpl1iGVTgG84iIeCeiQD9VeOZ1cCIXvZC3N36+/fi+3oJcwr3o6hEm7ndMlhm/fkRA+Da2f50lRQjACB3w==" saltValue="Ob4ft6FkNJYrBWMiKKlNug==" spinCount="100000" sheet="1" objects="1" scenarios="1" selectLockedCells="1" selectUnlockedCells="1"/>
  <customSheetViews>
    <customSheetView guid="{33CCADFA-0D48-46A6-8927-2B2144029216}">
      <pane ySplit="4" topLeftCell="A5" activePane="bottomLeft" state="frozenSplit"/>
      <selection pane="bottomLeft" activeCell="M9" sqref="M9"/>
      <pageMargins left="0.75" right="0.75" top="1" bottom="1" header="0.5" footer="0.5"/>
      <pageSetup paperSize="9" orientation="landscape" blackAndWhite="1" r:id="rId1"/>
      <headerFooter alignWithMargins="0"/>
    </customSheetView>
  </customSheetViews>
  <mergeCells count="30">
    <mergeCell ref="D46:G46"/>
    <mergeCell ref="D48:G48"/>
    <mergeCell ref="D6:G6"/>
    <mergeCell ref="D8:G8"/>
    <mergeCell ref="D18:G18"/>
    <mergeCell ref="D16:G16"/>
    <mergeCell ref="D14:G14"/>
    <mergeCell ref="D12:G12"/>
    <mergeCell ref="D10:G10"/>
    <mergeCell ref="D28:G28"/>
    <mergeCell ref="D26:G26"/>
    <mergeCell ref="D24:G24"/>
    <mergeCell ref="D22:G22"/>
    <mergeCell ref="D20:G20"/>
    <mergeCell ref="D34:G34"/>
    <mergeCell ref="D32:G32"/>
    <mergeCell ref="D30:G30"/>
    <mergeCell ref="D44:G44"/>
    <mergeCell ref="D36:G36"/>
    <mergeCell ref="D38:G38"/>
    <mergeCell ref="D40:G40"/>
    <mergeCell ref="D42:G42"/>
    <mergeCell ref="D60:G60"/>
    <mergeCell ref="D62:G62"/>
    <mergeCell ref="D64:G64"/>
    <mergeCell ref="D50:G50"/>
    <mergeCell ref="D52:G52"/>
    <mergeCell ref="D54:G54"/>
    <mergeCell ref="D56:G56"/>
    <mergeCell ref="D58:G58"/>
  </mergeCells>
  <phoneticPr fontId="29" type="noConversion"/>
  <pageMargins left="0.75" right="0.75" top="1" bottom="1" header="0.5" footer="0.5"/>
  <pageSetup paperSize="9" orientation="landscape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5" name="Spinner 70">
              <controlPr defaultSize="0" autoPict="0">
                <anchor moveWithCells="1" sizeWithCells="1">
                  <from>
                    <xdr:col>7</xdr:col>
                    <xdr:colOff>450019</xdr:colOff>
                    <xdr:row>5</xdr:row>
                    <xdr:rowOff>28725</xdr:rowOff>
                  </from>
                  <to>
                    <xdr:col>7</xdr:col>
                    <xdr:colOff>579280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6" name="Spinner 74">
              <controlPr defaultSize="0" autoPict="0">
                <anchor moveWithCells="1" sizeWithCells="1">
                  <from>
                    <xdr:col>9</xdr:col>
                    <xdr:colOff>0</xdr:colOff>
                    <xdr:row>5</xdr:row>
                    <xdr:rowOff>9575</xdr:rowOff>
                  </from>
                  <to>
                    <xdr:col>9</xdr:col>
                    <xdr:colOff>134048</xdr:colOff>
                    <xdr:row>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7" name="Drop Down 78">
              <controlPr defaultSize="0" autoLine="0" autoPict="0">
                <anchor moveWithCells="1">
                  <from>
                    <xdr:col>12</xdr:col>
                    <xdr:colOff>502681</xdr:colOff>
                    <xdr:row>5</xdr:row>
                    <xdr:rowOff>28725</xdr:rowOff>
                  </from>
                  <to>
                    <xdr:col>13</xdr:col>
                    <xdr:colOff>531405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8" name="Spinner 79">
              <controlPr defaultSize="0" autoPict="0">
                <anchor moveWithCells="1" sizeWithCells="1">
                  <from>
                    <xdr:col>12</xdr:col>
                    <xdr:colOff>335120</xdr:colOff>
                    <xdr:row>5</xdr:row>
                    <xdr:rowOff>38299</xdr:rowOff>
                  </from>
                  <to>
                    <xdr:col>12</xdr:col>
                    <xdr:colOff>464381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9" name="Spinner 125">
              <controlPr defaultSize="0" autoPict="0">
                <anchor moveWithCells="1" sizeWithCells="1">
                  <from>
                    <xdr:col>9</xdr:col>
                    <xdr:colOff>0</xdr:colOff>
                    <xdr:row>7</xdr:row>
                    <xdr:rowOff>9575</xdr:rowOff>
                  </from>
                  <to>
                    <xdr:col>9</xdr:col>
                    <xdr:colOff>134048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10" name="Drop Down 127">
              <controlPr defaultSize="0" autoLine="0" autoPict="0">
                <anchor moveWithCells="1">
                  <from>
                    <xdr:col>12</xdr:col>
                    <xdr:colOff>502681</xdr:colOff>
                    <xdr:row>7</xdr:row>
                    <xdr:rowOff>28725</xdr:rowOff>
                  </from>
                  <to>
                    <xdr:col>13</xdr:col>
                    <xdr:colOff>531405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1" name="Spinner 128">
              <controlPr defaultSize="0" autoPict="0">
                <anchor moveWithCells="1" sizeWithCells="1">
                  <from>
                    <xdr:col>12</xdr:col>
                    <xdr:colOff>335120</xdr:colOff>
                    <xdr:row>7</xdr:row>
                    <xdr:rowOff>38299</xdr:rowOff>
                  </from>
                  <to>
                    <xdr:col>12</xdr:col>
                    <xdr:colOff>464381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2" name="Spinner 130">
              <controlPr defaultSize="0" autoPict="0">
                <anchor moveWithCells="1" sizeWithCells="1">
                  <from>
                    <xdr:col>7</xdr:col>
                    <xdr:colOff>450019</xdr:colOff>
                    <xdr:row>9</xdr:row>
                    <xdr:rowOff>28725</xdr:rowOff>
                  </from>
                  <to>
                    <xdr:col>7</xdr:col>
                    <xdr:colOff>579280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3" name="Spinner 132">
              <controlPr defaultSize="0" autoPict="0">
                <anchor moveWithCells="1" sizeWithCells="1">
                  <from>
                    <xdr:col>9</xdr:col>
                    <xdr:colOff>0</xdr:colOff>
                    <xdr:row>9</xdr:row>
                    <xdr:rowOff>9575</xdr:rowOff>
                  </from>
                  <to>
                    <xdr:col>9</xdr:col>
                    <xdr:colOff>134048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4" name="Drop Down 134">
              <controlPr defaultSize="0" autoLine="0" autoPict="0">
                <anchor moveWithCells="1">
                  <from>
                    <xdr:col>12</xdr:col>
                    <xdr:colOff>502681</xdr:colOff>
                    <xdr:row>9</xdr:row>
                    <xdr:rowOff>28725</xdr:rowOff>
                  </from>
                  <to>
                    <xdr:col>13</xdr:col>
                    <xdr:colOff>531405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5" name="Spinner 135">
              <controlPr defaultSize="0" autoPict="0">
                <anchor moveWithCells="1" sizeWithCells="1">
                  <from>
                    <xdr:col>12</xdr:col>
                    <xdr:colOff>335120</xdr:colOff>
                    <xdr:row>9</xdr:row>
                    <xdr:rowOff>38299</xdr:rowOff>
                  </from>
                  <to>
                    <xdr:col>12</xdr:col>
                    <xdr:colOff>464381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6" name="Spinner 137">
              <controlPr defaultSize="0" autoPict="0">
                <anchor moveWithCells="1" sizeWithCells="1">
                  <from>
                    <xdr:col>7</xdr:col>
                    <xdr:colOff>450019</xdr:colOff>
                    <xdr:row>11</xdr:row>
                    <xdr:rowOff>28725</xdr:rowOff>
                  </from>
                  <to>
                    <xdr:col>7</xdr:col>
                    <xdr:colOff>579280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17" name="Spinner 139">
              <controlPr defaultSize="0" autoPict="0">
                <anchor moveWithCells="1" sizeWithCells="1">
                  <from>
                    <xdr:col>9</xdr:col>
                    <xdr:colOff>0</xdr:colOff>
                    <xdr:row>11</xdr:row>
                    <xdr:rowOff>9575</xdr:rowOff>
                  </from>
                  <to>
                    <xdr:col>9</xdr:col>
                    <xdr:colOff>134048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18" name="Drop Down 141">
              <controlPr defaultSize="0" autoLine="0" autoPict="0">
                <anchor moveWithCells="1">
                  <from>
                    <xdr:col>12</xdr:col>
                    <xdr:colOff>502681</xdr:colOff>
                    <xdr:row>11</xdr:row>
                    <xdr:rowOff>28725</xdr:rowOff>
                  </from>
                  <to>
                    <xdr:col>13</xdr:col>
                    <xdr:colOff>531405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19" name="Spinner 142">
              <controlPr defaultSize="0" autoPict="0">
                <anchor moveWithCells="1" sizeWithCells="1">
                  <from>
                    <xdr:col>12</xdr:col>
                    <xdr:colOff>335120</xdr:colOff>
                    <xdr:row>11</xdr:row>
                    <xdr:rowOff>38299</xdr:rowOff>
                  </from>
                  <to>
                    <xdr:col>12</xdr:col>
                    <xdr:colOff>464381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20" name="Spinner 144">
              <controlPr defaultSize="0" autoPict="0">
                <anchor moveWithCells="1" sizeWithCells="1">
                  <from>
                    <xdr:col>7</xdr:col>
                    <xdr:colOff>450019</xdr:colOff>
                    <xdr:row>13</xdr:row>
                    <xdr:rowOff>28725</xdr:rowOff>
                  </from>
                  <to>
                    <xdr:col>7</xdr:col>
                    <xdr:colOff>579280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1" name="Spinner 146">
              <controlPr defaultSize="0" autoPict="0">
                <anchor moveWithCells="1" sizeWithCells="1">
                  <from>
                    <xdr:col>9</xdr:col>
                    <xdr:colOff>0</xdr:colOff>
                    <xdr:row>13</xdr:row>
                    <xdr:rowOff>9575</xdr:rowOff>
                  </from>
                  <to>
                    <xdr:col>9</xdr:col>
                    <xdr:colOff>134048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2" name="Drop Down 148">
              <controlPr defaultSize="0" autoLine="0" autoPict="0">
                <anchor moveWithCells="1">
                  <from>
                    <xdr:col>12</xdr:col>
                    <xdr:colOff>502681</xdr:colOff>
                    <xdr:row>13</xdr:row>
                    <xdr:rowOff>28725</xdr:rowOff>
                  </from>
                  <to>
                    <xdr:col>13</xdr:col>
                    <xdr:colOff>531405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3" name="Spinner 149">
              <controlPr defaultSize="0" autoPict="0">
                <anchor moveWithCells="1" sizeWithCells="1">
                  <from>
                    <xdr:col>12</xdr:col>
                    <xdr:colOff>335120</xdr:colOff>
                    <xdr:row>13</xdr:row>
                    <xdr:rowOff>38299</xdr:rowOff>
                  </from>
                  <to>
                    <xdr:col>12</xdr:col>
                    <xdr:colOff>464381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4" name="Spinner 151">
              <controlPr defaultSize="0" autoPict="0">
                <anchor moveWithCells="1" sizeWithCells="1">
                  <from>
                    <xdr:col>7</xdr:col>
                    <xdr:colOff>450019</xdr:colOff>
                    <xdr:row>15</xdr:row>
                    <xdr:rowOff>28725</xdr:rowOff>
                  </from>
                  <to>
                    <xdr:col>7</xdr:col>
                    <xdr:colOff>579280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25" name="Spinner 153">
              <controlPr defaultSize="0" autoPict="0">
                <anchor moveWithCells="1" sizeWithCells="1">
                  <from>
                    <xdr:col>9</xdr:col>
                    <xdr:colOff>0</xdr:colOff>
                    <xdr:row>15</xdr:row>
                    <xdr:rowOff>9575</xdr:rowOff>
                  </from>
                  <to>
                    <xdr:col>9</xdr:col>
                    <xdr:colOff>134048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26" name="Drop Down 155">
              <controlPr defaultSize="0" autoLine="0" autoPict="0">
                <anchor moveWithCells="1">
                  <from>
                    <xdr:col>12</xdr:col>
                    <xdr:colOff>502681</xdr:colOff>
                    <xdr:row>15</xdr:row>
                    <xdr:rowOff>28725</xdr:rowOff>
                  </from>
                  <to>
                    <xdr:col>13</xdr:col>
                    <xdr:colOff>531405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27" name="Spinner 156">
              <controlPr defaultSize="0" autoPict="0">
                <anchor moveWithCells="1" sizeWithCells="1">
                  <from>
                    <xdr:col>12</xdr:col>
                    <xdr:colOff>335120</xdr:colOff>
                    <xdr:row>15</xdr:row>
                    <xdr:rowOff>38299</xdr:rowOff>
                  </from>
                  <to>
                    <xdr:col>12</xdr:col>
                    <xdr:colOff>464381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28" name="Spinner 158">
              <controlPr defaultSize="0" autoPict="0">
                <anchor moveWithCells="1" sizeWithCells="1">
                  <from>
                    <xdr:col>7</xdr:col>
                    <xdr:colOff>450019</xdr:colOff>
                    <xdr:row>17</xdr:row>
                    <xdr:rowOff>28725</xdr:rowOff>
                  </from>
                  <to>
                    <xdr:col>7</xdr:col>
                    <xdr:colOff>579280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29" name="Spinner 160">
              <controlPr defaultSize="0" autoPict="0">
                <anchor moveWithCells="1" sizeWithCells="1">
                  <from>
                    <xdr:col>9</xdr:col>
                    <xdr:colOff>0</xdr:colOff>
                    <xdr:row>17</xdr:row>
                    <xdr:rowOff>9575</xdr:rowOff>
                  </from>
                  <to>
                    <xdr:col>9</xdr:col>
                    <xdr:colOff>134048</xdr:colOff>
                    <xdr:row>17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30" name="Drop Down 162">
              <controlPr defaultSize="0" autoLine="0" autoPict="0">
                <anchor moveWithCells="1">
                  <from>
                    <xdr:col>12</xdr:col>
                    <xdr:colOff>502681</xdr:colOff>
                    <xdr:row>17</xdr:row>
                    <xdr:rowOff>28725</xdr:rowOff>
                  </from>
                  <to>
                    <xdr:col>13</xdr:col>
                    <xdr:colOff>531405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1" name="Spinner 163">
              <controlPr defaultSize="0" autoPict="0">
                <anchor moveWithCells="1" sizeWithCells="1">
                  <from>
                    <xdr:col>12</xdr:col>
                    <xdr:colOff>335120</xdr:colOff>
                    <xdr:row>17</xdr:row>
                    <xdr:rowOff>38299</xdr:rowOff>
                  </from>
                  <to>
                    <xdr:col>12</xdr:col>
                    <xdr:colOff>464381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2" name="Spinner 165">
              <controlPr defaultSize="0" autoPict="0">
                <anchor moveWithCells="1" sizeWithCells="1">
                  <from>
                    <xdr:col>7</xdr:col>
                    <xdr:colOff>450019</xdr:colOff>
                    <xdr:row>19</xdr:row>
                    <xdr:rowOff>28725</xdr:rowOff>
                  </from>
                  <to>
                    <xdr:col>7</xdr:col>
                    <xdr:colOff>579280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33" name="Spinner 167">
              <controlPr defaultSize="0" autoPict="0">
                <anchor moveWithCells="1" sizeWithCells="1">
                  <from>
                    <xdr:col>9</xdr:col>
                    <xdr:colOff>0</xdr:colOff>
                    <xdr:row>19</xdr:row>
                    <xdr:rowOff>9575</xdr:rowOff>
                  </from>
                  <to>
                    <xdr:col>9</xdr:col>
                    <xdr:colOff>134048</xdr:colOff>
                    <xdr:row>19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34" name="Drop Down 169">
              <controlPr defaultSize="0" autoLine="0" autoPict="0">
                <anchor moveWithCells="1">
                  <from>
                    <xdr:col>12</xdr:col>
                    <xdr:colOff>502681</xdr:colOff>
                    <xdr:row>19</xdr:row>
                    <xdr:rowOff>28725</xdr:rowOff>
                  </from>
                  <to>
                    <xdr:col>13</xdr:col>
                    <xdr:colOff>531405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35" name="Spinner 170">
              <controlPr defaultSize="0" autoPict="0">
                <anchor moveWithCells="1" sizeWithCells="1">
                  <from>
                    <xdr:col>12</xdr:col>
                    <xdr:colOff>335120</xdr:colOff>
                    <xdr:row>19</xdr:row>
                    <xdr:rowOff>38299</xdr:rowOff>
                  </from>
                  <to>
                    <xdr:col>12</xdr:col>
                    <xdr:colOff>464381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36" name="Spinner 172">
              <controlPr defaultSize="0" autoPict="0">
                <anchor moveWithCells="1" sizeWithCells="1">
                  <from>
                    <xdr:col>7</xdr:col>
                    <xdr:colOff>450019</xdr:colOff>
                    <xdr:row>21</xdr:row>
                    <xdr:rowOff>28725</xdr:rowOff>
                  </from>
                  <to>
                    <xdr:col>7</xdr:col>
                    <xdr:colOff>579280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37" name="Spinner 174">
              <controlPr defaultSize="0" autoPict="0">
                <anchor moveWithCells="1" sizeWithCells="1">
                  <from>
                    <xdr:col>9</xdr:col>
                    <xdr:colOff>0</xdr:colOff>
                    <xdr:row>21</xdr:row>
                    <xdr:rowOff>9575</xdr:rowOff>
                  </from>
                  <to>
                    <xdr:col>9</xdr:col>
                    <xdr:colOff>134048</xdr:colOff>
                    <xdr:row>21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38" name="Drop Down 176">
              <controlPr defaultSize="0" autoLine="0" autoPict="0">
                <anchor moveWithCells="1">
                  <from>
                    <xdr:col>12</xdr:col>
                    <xdr:colOff>502681</xdr:colOff>
                    <xdr:row>21</xdr:row>
                    <xdr:rowOff>28725</xdr:rowOff>
                  </from>
                  <to>
                    <xdr:col>13</xdr:col>
                    <xdr:colOff>531405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39" name="Spinner 177">
              <controlPr defaultSize="0" autoPict="0">
                <anchor moveWithCells="1" sizeWithCells="1">
                  <from>
                    <xdr:col>12</xdr:col>
                    <xdr:colOff>335120</xdr:colOff>
                    <xdr:row>21</xdr:row>
                    <xdr:rowOff>38299</xdr:rowOff>
                  </from>
                  <to>
                    <xdr:col>12</xdr:col>
                    <xdr:colOff>464381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40" name="Spinner 179">
              <controlPr defaultSize="0" autoPict="0">
                <anchor moveWithCells="1" sizeWithCells="1">
                  <from>
                    <xdr:col>7</xdr:col>
                    <xdr:colOff>450019</xdr:colOff>
                    <xdr:row>23</xdr:row>
                    <xdr:rowOff>28725</xdr:rowOff>
                  </from>
                  <to>
                    <xdr:col>7</xdr:col>
                    <xdr:colOff>579280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41" name="Spinner 181">
              <controlPr defaultSize="0" autoPict="0">
                <anchor moveWithCells="1" sizeWithCells="1">
                  <from>
                    <xdr:col>9</xdr:col>
                    <xdr:colOff>0</xdr:colOff>
                    <xdr:row>23</xdr:row>
                    <xdr:rowOff>9575</xdr:rowOff>
                  </from>
                  <to>
                    <xdr:col>9</xdr:col>
                    <xdr:colOff>134048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42" name="Drop Down 183">
              <controlPr defaultSize="0" autoLine="0" autoPict="0">
                <anchor moveWithCells="1">
                  <from>
                    <xdr:col>12</xdr:col>
                    <xdr:colOff>502681</xdr:colOff>
                    <xdr:row>23</xdr:row>
                    <xdr:rowOff>28725</xdr:rowOff>
                  </from>
                  <to>
                    <xdr:col>13</xdr:col>
                    <xdr:colOff>531405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43" name="Spinner 184">
              <controlPr defaultSize="0" autoPict="0">
                <anchor moveWithCells="1" sizeWithCells="1">
                  <from>
                    <xdr:col>12</xdr:col>
                    <xdr:colOff>335120</xdr:colOff>
                    <xdr:row>23</xdr:row>
                    <xdr:rowOff>38299</xdr:rowOff>
                  </from>
                  <to>
                    <xdr:col>12</xdr:col>
                    <xdr:colOff>464381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44" name="Spinner 263">
              <controlPr defaultSize="0" autoPict="0">
                <anchor moveWithCells="1" sizeWithCells="1">
                  <from>
                    <xdr:col>7</xdr:col>
                    <xdr:colOff>450019</xdr:colOff>
                    <xdr:row>25</xdr:row>
                    <xdr:rowOff>28725</xdr:rowOff>
                  </from>
                  <to>
                    <xdr:col>7</xdr:col>
                    <xdr:colOff>579280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45" name="Spinner 265">
              <controlPr defaultSize="0" autoPict="0">
                <anchor moveWithCells="1" sizeWithCells="1">
                  <from>
                    <xdr:col>9</xdr:col>
                    <xdr:colOff>0</xdr:colOff>
                    <xdr:row>25</xdr:row>
                    <xdr:rowOff>9575</xdr:rowOff>
                  </from>
                  <to>
                    <xdr:col>9</xdr:col>
                    <xdr:colOff>134048</xdr:colOff>
                    <xdr:row>25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46" name="Drop Down 267">
              <controlPr defaultSize="0" autoLine="0" autoPict="0">
                <anchor moveWithCells="1">
                  <from>
                    <xdr:col>12</xdr:col>
                    <xdr:colOff>502681</xdr:colOff>
                    <xdr:row>25</xdr:row>
                    <xdr:rowOff>28725</xdr:rowOff>
                  </from>
                  <to>
                    <xdr:col>13</xdr:col>
                    <xdr:colOff>531405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47" name="Spinner 268">
              <controlPr defaultSize="0" autoPict="0">
                <anchor moveWithCells="1" sizeWithCells="1">
                  <from>
                    <xdr:col>12</xdr:col>
                    <xdr:colOff>335120</xdr:colOff>
                    <xdr:row>25</xdr:row>
                    <xdr:rowOff>38299</xdr:rowOff>
                  </from>
                  <to>
                    <xdr:col>12</xdr:col>
                    <xdr:colOff>464381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48" name="Spinner 270">
              <controlPr defaultSize="0" autoPict="0">
                <anchor moveWithCells="1" sizeWithCells="1">
                  <from>
                    <xdr:col>7</xdr:col>
                    <xdr:colOff>450019</xdr:colOff>
                    <xdr:row>27</xdr:row>
                    <xdr:rowOff>28725</xdr:rowOff>
                  </from>
                  <to>
                    <xdr:col>7</xdr:col>
                    <xdr:colOff>579280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49" name="Spinner 272">
              <controlPr defaultSize="0" autoPict="0">
                <anchor moveWithCells="1" sizeWithCells="1">
                  <from>
                    <xdr:col>9</xdr:col>
                    <xdr:colOff>0</xdr:colOff>
                    <xdr:row>27</xdr:row>
                    <xdr:rowOff>9575</xdr:rowOff>
                  </from>
                  <to>
                    <xdr:col>9</xdr:col>
                    <xdr:colOff>134048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50" name="Drop Down 274">
              <controlPr defaultSize="0" autoLine="0" autoPict="0">
                <anchor moveWithCells="1">
                  <from>
                    <xdr:col>12</xdr:col>
                    <xdr:colOff>502681</xdr:colOff>
                    <xdr:row>27</xdr:row>
                    <xdr:rowOff>28725</xdr:rowOff>
                  </from>
                  <to>
                    <xdr:col>13</xdr:col>
                    <xdr:colOff>531405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51" name="Spinner 275">
              <controlPr defaultSize="0" autoPict="0">
                <anchor moveWithCells="1" sizeWithCells="1">
                  <from>
                    <xdr:col>12</xdr:col>
                    <xdr:colOff>335120</xdr:colOff>
                    <xdr:row>27</xdr:row>
                    <xdr:rowOff>38299</xdr:rowOff>
                  </from>
                  <to>
                    <xdr:col>12</xdr:col>
                    <xdr:colOff>464381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52" name="Spinner 277">
              <controlPr defaultSize="0" autoPict="0">
                <anchor moveWithCells="1" sizeWithCells="1">
                  <from>
                    <xdr:col>7</xdr:col>
                    <xdr:colOff>450019</xdr:colOff>
                    <xdr:row>29</xdr:row>
                    <xdr:rowOff>28725</xdr:rowOff>
                  </from>
                  <to>
                    <xdr:col>7</xdr:col>
                    <xdr:colOff>579280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53" name="Spinner 279">
              <controlPr defaultSize="0" autoPict="0">
                <anchor moveWithCells="1" sizeWithCells="1">
                  <from>
                    <xdr:col>9</xdr:col>
                    <xdr:colOff>0</xdr:colOff>
                    <xdr:row>29</xdr:row>
                    <xdr:rowOff>9575</xdr:rowOff>
                  </from>
                  <to>
                    <xdr:col>9</xdr:col>
                    <xdr:colOff>134048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54" name="Drop Down 281">
              <controlPr defaultSize="0" autoLine="0" autoPict="0">
                <anchor moveWithCells="1">
                  <from>
                    <xdr:col>12</xdr:col>
                    <xdr:colOff>502681</xdr:colOff>
                    <xdr:row>29</xdr:row>
                    <xdr:rowOff>28725</xdr:rowOff>
                  </from>
                  <to>
                    <xdr:col>13</xdr:col>
                    <xdr:colOff>531405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55" name="Spinner 282">
              <controlPr defaultSize="0" autoPict="0">
                <anchor moveWithCells="1" sizeWithCells="1">
                  <from>
                    <xdr:col>12</xdr:col>
                    <xdr:colOff>335120</xdr:colOff>
                    <xdr:row>29</xdr:row>
                    <xdr:rowOff>38299</xdr:rowOff>
                  </from>
                  <to>
                    <xdr:col>12</xdr:col>
                    <xdr:colOff>464381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56" name="Spinner 284">
              <controlPr defaultSize="0" autoPict="0">
                <anchor moveWithCells="1" sizeWithCells="1">
                  <from>
                    <xdr:col>7</xdr:col>
                    <xdr:colOff>450019</xdr:colOff>
                    <xdr:row>31</xdr:row>
                    <xdr:rowOff>28725</xdr:rowOff>
                  </from>
                  <to>
                    <xdr:col>7</xdr:col>
                    <xdr:colOff>579280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57" name="Spinner 286">
              <controlPr defaultSize="0" autoPict="0">
                <anchor moveWithCells="1" sizeWithCells="1">
                  <from>
                    <xdr:col>9</xdr:col>
                    <xdr:colOff>0</xdr:colOff>
                    <xdr:row>31</xdr:row>
                    <xdr:rowOff>9575</xdr:rowOff>
                  </from>
                  <to>
                    <xdr:col>9</xdr:col>
                    <xdr:colOff>134048</xdr:colOff>
                    <xdr:row>31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58" name="Drop Down 288">
              <controlPr defaultSize="0" autoLine="0" autoPict="0">
                <anchor moveWithCells="1">
                  <from>
                    <xdr:col>12</xdr:col>
                    <xdr:colOff>502681</xdr:colOff>
                    <xdr:row>31</xdr:row>
                    <xdr:rowOff>28725</xdr:rowOff>
                  </from>
                  <to>
                    <xdr:col>13</xdr:col>
                    <xdr:colOff>531405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59" name="Spinner 289">
              <controlPr defaultSize="0" autoPict="0">
                <anchor moveWithCells="1" sizeWithCells="1">
                  <from>
                    <xdr:col>12</xdr:col>
                    <xdr:colOff>335120</xdr:colOff>
                    <xdr:row>31</xdr:row>
                    <xdr:rowOff>38299</xdr:rowOff>
                  </from>
                  <to>
                    <xdr:col>12</xdr:col>
                    <xdr:colOff>464381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60" name="Spinner 291">
              <controlPr defaultSize="0" autoPict="0">
                <anchor moveWithCells="1" sizeWithCells="1">
                  <from>
                    <xdr:col>7</xdr:col>
                    <xdr:colOff>450019</xdr:colOff>
                    <xdr:row>33</xdr:row>
                    <xdr:rowOff>28725</xdr:rowOff>
                  </from>
                  <to>
                    <xdr:col>7</xdr:col>
                    <xdr:colOff>579280</xdr:colOff>
                    <xdr:row>33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61" name="Spinner 293">
              <controlPr defaultSize="0" autoPict="0">
                <anchor moveWithCells="1" sizeWithCells="1">
                  <from>
                    <xdr:col>9</xdr:col>
                    <xdr:colOff>0</xdr:colOff>
                    <xdr:row>33</xdr:row>
                    <xdr:rowOff>9575</xdr:rowOff>
                  </from>
                  <to>
                    <xdr:col>9</xdr:col>
                    <xdr:colOff>134048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62" name="Drop Down 295">
              <controlPr defaultSize="0" autoLine="0" autoPict="0">
                <anchor moveWithCells="1">
                  <from>
                    <xdr:col>12</xdr:col>
                    <xdr:colOff>502681</xdr:colOff>
                    <xdr:row>33</xdr:row>
                    <xdr:rowOff>28725</xdr:rowOff>
                  </from>
                  <to>
                    <xdr:col>13</xdr:col>
                    <xdr:colOff>531405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63" name="Spinner 296">
              <controlPr defaultSize="0" autoPict="0">
                <anchor moveWithCells="1" sizeWithCells="1">
                  <from>
                    <xdr:col>12</xdr:col>
                    <xdr:colOff>335120</xdr:colOff>
                    <xdr:row>33</xdr:row>
                    <xdr:rowOff>38299</xdr:rowOff>
                  </from>
                  <to>
                    <xdr:col>12</xdr:col>
                    <xdr:colOff>464381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64" name="Spinner 298">
              <controlPr defaultSize="0" autoPict="0">
                <anchor moveWithCells="1" sizeWithCells="1">
                  <from>
                    <xdr:col>7</xdr:col>
                    <xdr:colOff>450019</xdr:colOff>
                    <xdr:row>35</xdr:row>
                    <xdr:rowOff>28725</xdr:rowOff>
                  </from>
                  <to>
                    <xdr:col>7</xdr:col>
                    <xdr:colOff>579280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65" name="Spinner 300">
              <controlPr defaultSize="0" autoPict="0">
                <anchor moveWithCells="1" sizeWithCells="1">
                  <from>
                    <xdr:col>9</xdr:col>
                    <xdr:colOff>0</xdr:colOff>
                    <xdr:row>35</xdr:row>
                    <xdr:rowOff>9575</xdr:rowOff>
                  </from>
                  <to>
                    <xdr:col>9</xdr:col>
                    <xdr:colOff>134048</xdr:colOff>
                    <xdr:row>35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66" name="Drop Down 302">
              <controlPr defaultSize="0" autoLine="0" autoPict="0">
                <anchor moveWithCells="1">
                  <from>
                    <xdr:col>12</xdr:col>
                    <xdr:colOff>502681</xdr:colOff>
                    <xdr:row>35</xdr:row>
                    <xdr:rowOff>28725</xdr:rowOff>
                  </from>
                  <to>
                    <xdr:col>13</xdr:col>
                    <xdr:colOff>531405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67" name="Spinner 303">
              <controlPr defaultSize="0" autoPict="0">
                <anchor moveWithCells="1" sizeWithCells="1">
                  <from>
                    <xdr:col>12</xdr:col>
                    <xdr:colOff>335120</xdr:colOff>
                    <xdr:row>35</xdr:row>
                    <xdr:rowOff>38299</xdr:rowOff>
                  </from>
                  <to>
                    <xdr:col>12</xdr:col>
                    <xdr:colOff>464381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68" name="Spinner 305">
              <controlPr defaultSize="0" autoPict="0">
                <anchor moveWithCells="1" sizeWithCells="1">
                  <from>
                    <xdr:col>7</xdr:col>
                    <xdr:colOff>450019</xdr:colOff>
                    <xdr:row>37</xdr:row>
                    <xdr:rowOff>28725</xdr:rowOff>
                  </from>
                  <to>
                    <xdr:col>7</xdr:col>
                    <xdr:colOff>579280</xdr:colOff>
                    <xdr:row>37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69" name="Spinner 307">
              <controlPr defaultSize="0" autoPict="0">
                <anchor moveWithCells="1" sizeWithCells="1">
                  <from>
                    <xdr:col>9</xdr:col>
                    <xdr:colOff>0</xdr:colOff>
                    <xdr:row>37</xdr:row>
                    <xdr:rowOff>9575</xdr:rowOff>
                  </from>
                  <to>
                    <xdr:col>9</xdr:col>
                    <xdr:colOff>134048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70" name="Drop Down 309">
              <controlPr defaultSize="0" autoLine="0" autoPict="0">
                <anchor moveWithCells="1">
                  <from>
                    <xdr:col>12</xdr:col>
                    <xdr:colOff>502681</xdr:colOff>
                    <xdr:row>37</xdr:row>
                    <xdr:rowOff>28725</xdr:rowOff>
                  </from>
                  <to>
                    <xdr:col>13</xdr:col>
                    <xdr:colOff>531405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71" name="Spinner 310">
              <controlPr defaultSize="0" autoPict="0">
                <anchor moveWithCells="1" sizeWithCells="1">
                  <from>
                    <xdr:col>12</xdr:col>
                    <xdr:colOff>335120</xdr:colOff>
                    <xdr:row>37</xdr:row>
                    <xdr:rowOff>38299</xdr:rowOff>
                  </from>
                  <to>
                    <xdr:col>12</xdr:col>
                    <xdr:colOff>464381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72" name="Spinner 312">
              <controlPr defaultSize="0" autoPict="0">
                <anchor moveWithCells="1" sizeWithCells="1">
                  <from>
                    <xdr:col>7</xdr:col>
                    <xdr:colOff>450019</xdr:colOff>
                    <xdr:row>39</xdr:row>
                    <xdr:rowOff>28725</xdr:rowOff>
                  </from>
                  <to>
                    <xdr:col>7</xdr:col>
                    <xdr:colOff>579280</xdr:colOff>
                    <xdr:row>39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73" name="Spinner 314">
              <controlPr defaultSize="0" autoPict="0">
                <anchor moveWithCells="1" sizeWithCells="1">
                  <from>
                    <xdr:col>9</xdr:col>
                    <xdr:colOff>0</xdr:colOff>
                    <xdr:row>39</xdr:row>
                    <xdr:rowOff>9575</xdr:rowOff>
                  </from>
                  <to>
                    <xdr:col>9</xdr:col>
                    <xdr:colOff>134048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74" name="Drop Down 316">
              <controlPr defaultSize="0" autoLine="0" autoPict="0">
                <anchor moveWithCells="1">
                  <from>
                    <xdr:col>12</xdr:col>
                    <xdr:colOff>502681</xdr:colOff>
                    <xdr:row>39</xdr:row>
                    <xdr:rowOff>28725</xdr:rowOff>
                  </from>
                  <to>
                    <xdr:col>13</xdr:col>
                    <xdr:colOff>531405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75" name="Spinner 317">
              <controlPr defaultSize="0" autoPict="0">
                <anchor moveWithCells="1" sizeWithCells="1">
                  <from>
                    <xdr:col>12</xdr:col>
                    <xdr:colOff>335120</xdr:colOff>
                    <xdr:row>39</xdr:row>
                    <xdr:rowOff>38299</xdr:rowOff>
                  </from>
                  <to>
                    <xdr:col>12</xdr:col>
                    <xdr:colOff>464381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76" name="Spinner 319">
              <controlPr defaultSize="0" autoPict="0">
                <anchor moveWithCells="1" sizeWithCells="1">
                  <from>
                    <xdr:col>7</xdr:col>
                    <xdr:colOff>450019</xdr:colOff>
                    <xdr:row>41</xdr:row>
                    <xdr:rowOff>28725</xdr:rowOff>
                  </from>
                  <to>
                    <xdr:col>7</xdr:col>
                    <xdr:colOff>579280</xdr:colOff>
                    <xdr:row>41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77" name="Spinner 321">
              <controlPr defaultSize="0" autoPict="0">
                <anchor moveWithCells="1" sizeWithCells="1">
                  <from>
                    <xdr:col>9</xdr:col>
                    <xdr:colOff>0</xdr:colOff>
                    <xdr:row>41</xdr:row>
                    <xdr:rowOff>9575</xdr:rowOff>
                  </from>
                  <to>
                    <xdr:col>9</xdr:col>
                    <xdr:colOff>134048</xdr:colOff>
                    <xdr:row>41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78" name="Drop Down 323">
              <controlPr defaultSize="0" autoLine="0" autoPict="0">
                <anchor moveWithCells="1">
                  <from>
                    <xdr:col>12</xdr:col>
                    <xdr:colOff>502681</xdr:colOff>
                    <xdr:row>41</xdr:row>
                    <xdr:rowOff>28725</xdr:rowOff>
                  </from>
                  <to>
                    <xdr:col>13</xdr:col>
                    <xdr:colOff>531405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79" name="Spinner 324">
              <controlPr defaultSize="0" autoPict="0">
                <anchor moveWithCells="1" sizeWithCells="1">
                  <from>
                    <xdr:col>12</xdr:col>
                    <xdr:colOff>335120</xdr:colOff>
                    <xdr:row>41</xdr:row>
                    <xdr:rowOff>38299</xdr:rowOff>
                  </from>
                  <to>
                    <xdr:col>12</xdr:col>
                    <xdr:colOff>464381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80" name="Spinner 326">
              <controlPr defaultSize="0" autoPict="0">
                <anchor moveWithCells="1" sizeWithCells="1">
                  <from>
                    <xdr:col>7</xdr:col>
                    <xdr:colOff>450019</xdr:colOff>
                    <xdr:row>43</xdr:row>
                    <xdr:rowOff>28725</xdr:rowOff>
                  </from>
                  <to>
                    <xdr:col>7</xdr:col>
                    <xdr:colOff>579280</xdr:colOff>
                    <xdr:row>43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81" name="Spinner 328">
              <controlPr defaultSize="0" autoPict="0">
                <anchor moveWithCells="1" sizeWithCells="1">
                  <from>
                    <xdr:col>9</xdr:col>
                    <xdr:colOff>0</xdr:colOff>
                    <xdr:row>43</xdr:row>
                    <xdr:rowOff>9575</xdr:rowOff>
                  </from>
                  <to>
                    <xdr:col>9</xdr:col>
                    <xdr:colOff>134048</xdr:colOff>
                    <xdr:row>43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82" name="Drop Down 330">
              <controlPr defaultSize="0" autoLine="0" autoPict="0">
                <anchor moveWithCells="1">
                  <from>
                    <xdr:col>12</xdr:col>
                    <xdr:colOff>502681</xdr:colOff>
                    <xdr:row>43</xdr:row>
                    <xdr:rowOff>28725</xdr:rowOff>
                  </from>
                  <to>
                    <xdr:col>13</xdr:col>
                    <xdr:colOff>531405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83" name="Spinner 331">
              <controlPr defaultSize="0" autoPict="0">
                <anchor moveWithCells="1" sizeWithCells="1">
                  <from>
                    <xdr:col>12</xdr:col>
                    <xdr:colOff>335120</xdr:colOff>
                    <xdr:row>43</xdr:row>
                    <xdr:rowOff>38299</xdr:rowOff>
                  </from>
                  <to>
                    <xdr:col>12</xdr:col>
                    <xdr:colOff>464381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84" name="Spinner 364">
              <controlPr defaultSize="0" autoPict="0">
                <anchor moveWithCells="1" sizeWithCells="1">
                  <from>
                    <xdr:col>7</xdr:col>
                    <xdr:colOff>450019</xdr:colOff>
                    <xdr:row>7</xdr:row>
                    <xdr:rowOff>28725</xdr:rowOff>
                  </from>
                  <to>
                    <xdr:col>7</xdr:col>
                    <xdr:colOff>579280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85" name="Spinner 365">
              <controlPr defaultSize="0" autoPict="0">
                <anchor moveWithCells="1" sizeWithCells="1">
                  <from>
                    <xdr:col>15</xdr:col>
                    <xdr:colOff>47874</xdr:colOff>
                    <xdr:row>5</xdr:row>
                    <xdr:rowOff>38299</xdr:rowOff>
                  </from>
                  <to>
                    <xdr:col>15</xdr:col>
                    <xdr:colOff>181923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86" name="Spinner 374">
              <controlPr defaultSize="0" autoPict="0">
                <anchor moveWithCells="1" sizeWithCells="1">
                  <from>
                    <xdr:col>15</xdr:col>
                    <xdr:colOff>47874</xdr:colOff>
                    <xdr:row>7</xdr:row>
                    <xdr:rowOff>38299</xdr:rowOff>
                  </from>
                  <to>
                    <xdr:col>15</xdr:col>
                    <xdr:colOff>181923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87" name="Spinner 375">
              <controlPr defaultSize="0" autoPict="0">
                <anchor moveWithCells="1" sizeWithCells="1">
                  <from>
                    <xdr:col>15</xdr:col>
                    <xdr:colOff>47874</xdr:colOff>
                    <xdr:row>9</xdr:row>
                    <xdr:rowOff>38299</xdr:rowOff>
                  </from>
                  <to>
                    <xdr:col>15</xdr:col>
                    <xdr:colOff>181923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88" name="Spinner 376">
              <controlPr defaultSize="0" autoPict="0">
                <anchor moveWithCells="1" sizeWithCells="1">
                  <from>
                    <xdr:col>15</xdr:col>
                    <xdr:colOff>47874</xdr:colOff>
                    <xdr:row>11</xdr:row>
                    <xdr:rowOff>38299</xdr:rowOff>
                  </from>
                  <to>
                    <xdr:col>15</xdr:col>
                    <xdr:colOff>181923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89" name="Spinner 377">
              <controlPr defaultSize="0" autoPict="0">
                <anchor moveWithCells="1" sizeWithCells="1">
                  <from>
                    <xdr:col>15</xdr:col>
                    <xdr:colOff>47874</xdr:colOff>
                    <xdr:row>13</xdr:row>
                    <xdr:rowOff>38299</xdr:rowOff>
                  </from>
                  <to>
                    <xdr:col>15</xdr:col>
                    <xdr:colOff>181923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90" name="Spinner 378">
              <controlPr defaultSize="0" autoPict="0">
                <anchor moveWithCells="1" sizeWithCells="1">
                  <from>
                    <xdr:col>15</xdr:col>
                    <xdr:colOff>47874</xdr:colOff>
                    <xdr:row>15</xdr:row>
                    <xdr:rowOff>38299</xdr:rowOff>
                  </from>
                  <to>
                    <xdr:col>15</xdr:col>
                    <xdr:colOff>181923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91" name="Spinner 379">
              <controlPr defaultSize="0" autoPict="0">
                <anchor moveWithCells="1" sizeWithCells="1">
                  <from>
                    <xdr:col>15</xdr:col>
                    <xdr:colOff>47874</xdr:colOff>
                    <xdr:row>17</xdr:row>
                    <xdr:rowOff>38299</xdr:rowOff>
                  </from>
                  <to>
                    <xdr:col>15</xdr:col>
                    <xdr:colOff>181923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92" name="Spinner 380">
              <controlPr defaultSize="0" autoPict="0">
                <anchor moveWithCells="1" sizeWithCells="1">
                  <from>
                    <xdr:col>15</xdr:col>
                    <xdr:colOff>47874</xdr:colOff>
                    <xdr:row>19</xdr:row>
                    <xdr:rowOff>38299</xdr:rowOff>
                  </from>
                  <to>
                    <xdr:col>15</xdr:col>
                    <xdr:colOff>181923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93" name="Spinner 381">
              <controlPr defaultSize="0" autoPict="0">
                <anchor moveWithCells="1" sizeWithCells="1">
                  <from>
                    <xdr:col>15</xdr:col>
                    <xdr:colOff>47874</xdr:colOff>
                    <xdr:row>21</xdr:row>
                    <xdr:rowOff>38299</xdr:rowOff>
                  </from>
                  <to>
                    <xdr:col>15</xdr:col>
                    <xdr:colOff>181923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94" name="Spinner 382">
              <controlPr defaultSize="0" autoPict="0">
                <anchor moveWithCells="1" sizeWithCells="1">
                  <from>
                    <xdr:col>15</xdr:col>
                    <xdr:colOff>47874</xdr:colOff>
                    <xdr:row>23</xdr:row>
                    <xdr:rowOff>38299</xdr:rowOff>
                  </from>
                  <to>
                    <xdr:col>15</xdr:col>
                    <xdr:colOff>181923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95" name="Spinner 383">
              <controlPr defaultSize="0" autoPict="0">
                <anchor moveWithCells="1" sizeWithCells="1">
                  <from>
                    <xdr:col>15</xdr:col>
                    <xdr:colOff>47874</xdr:colOff>
                    <xdr:row>25</xdr:row>
                    <xdr:rowOff>38299</xdr:rowOff>
                  </from>
                  <to>
                    <xdr:col>15</xdr:col>
                    <xdr:colOff>181923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96" name="Spinner 384">
              <controlPr defaultSize="0" autoPict="0">
                <anchor moveWithCells="1" sizeWithCells="1">
                  <from>
                    <xdr:col>15</xdr:col>
                    <xdr:colOff>47874</xdr:colOff>
                    <xdr:row>27</xdr:row>
                    <xdr:rowOff>38299</xdr:rowOff>
                  </from>
                  <to>
                    <xdr:col>15</xdr:col>
                    <xdr:colOff>181923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97" name="Spinner 385">
              <controlPr defaultSize="0" autoPict="0">
                <anchor moveWithCells="1" sizeWithCells="1">
                  <from>
                    <xdr:col>15</xdr:col>
                    <xdr:colOff>47874</xdr:colOff>
                    <xdr:row>29</xdr:row>
                    <xdr:rowOff>38299</xdr:rowOff>
                  </from>
                  <to>
                    <xdr:col>15</xdr:col>
                    <xdr:colOff>181923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98" name="Spinner 386">
              <controlPr defaultSize="0" autoPict="0">
                <anchor moveWithCells="1" sizeWithCells="1">
                  <from>
                    <xdr:col>15</xdr:col>
                    <xdr:colOff>47874</xdr:colOff>
                    <xdr:row>31</xdr:row>
                    <xdr:rowOff>38299</xdr:rowOff>
                  </from>
                  <to>
                    <xdr:col>15</xdr:col>
                    <xdr:colOff>181923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99" name="Spinner 387">
              <controlPr defaultSize="0" autoPict="0">
                <anchor moveWithCells="1" sizeWithCells="1">
                  <from>
                    <xdr:col>15</xdr:col>
                    <xdr:colOff>47874</xdr:colOff>
                    <xdr:row>33</xdr:row>
                    <xdr:rowOff>38299</xdr:rowOff>
                  </from>
                  <to>
                    <xdr:col>15</xdr:col>
                    <xdr:colOff>181923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100" name="Spinner 388">
              <controlPr defaultSize="0" autoPict="0">
                <anchor moveWithCells="1" sizeWithCells="1">
                  <from>
                    <xdr:col>15</xdr:col>
                    <xdr:colOff>47874</xdr:colOff>
                    <xdr:row>35</xdr:row>
                    <xdr:rowOff>38299</xdr:rowOff>
                  </from>
                  <to>
                    <xdr:col>15</xdr:col>
                    <xdr:colOff>181923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01" name="Spinner 389">
              <controlPr defaultSize="0" autoPict="0">
                <anchor moveWithCells="1" sizeWithCells="1">
                  <from>
                    <xdr:col>15</xdr:col>
                    <xdr:colOff>47874</xdr:colOff>
                    <xdr:row>37</xdr:row>
                    <xdr:rowOff>38299</xdr:rowOff>
                  </from>
                  <to>
                    <xdr:col>15</xdr:col>
                    <xdr:colOff>181923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02" name="Spinner 390">
              <controlPr defaultSize="0" autoPict="0">
                <anchor moveWithCells="1" sizeWithCells="1">
                  <from>
                    <xdr:col>15</xdr:col>
                    <xdr:colOff>47874</xdr:colOff>
                    <xdr:row>39</xdr:row>
                    <xdr:rowOff>38299</xdr:rowOff>
                  </from>
                  <to>
                    <xdr:col>15</xdr:col>
                    <xdr:colOff>181923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03" name="Spinner 391">
              <controlPr defaultSize="0" autoPict="0">
                <anchor moveWithCells="1" sizeWithCells="1">
                  <from>
                    <xdr:col>15</xdr:col>
                    <xdr:colOff>47874</xdr:colOff>
                    <xdr:row>41</xdr:row>
                    <xdr:rowOff>38299</xdr:rowOff>
                  </from>
                  <to>
                    <xdr:col>15</xdr:col>
                    <xdr:colOff>181923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04" name="Spinner 392">
              <controlPr defaultSize="0" autoPict="0">
                <anchor moveWithCells="1" sizeWithCells="1">
                  <from>
                    <xdr:col>15</xdr:col>
                    <xdr:colOff>47874</xdr:colOff>
                    <xdr:row>43</xdr:row>
                    <xdr:rowOff>38299</xdr:rowOff>
                  </from>
                  <to>
                    <xdr:col>15</xdr:col>
                    <xdr:colOff>181923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05" name="Drop Down 431">
              <controlPr defaultSize="0" autoLine="0" autoPict="0">
                <anchor moveWithCells="1">
                  <from>
                    <xdr:col>12</xdr:col>
                    <xdr:colOff>502681</xdr:colOff>
                    <xdr:row>9</xdr:row>
                    <xdr:rowOff>28725</xdr:rowOff>
                  </from>
                  <to>
                    <xdr:col>13</xdr:col>
                    <xdr:colOff>531405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4" r:id="rId106" name="Spinner 452">
              <controlPr defaultSize="0" autoPict="0">
                <anchor moveWithCells="1" sizeWithCells="1">
                  <from>
                    <xdr:col>14</xdr:col>
                    <xdr:colOff>354270</xdr:colOff>
                    <xdr:row>2</xdr:row>
                    <xdr:rowOff>28725</xdr:rowOff>
                  </from>
                  <to>
                    <xdr:col>14</xdr:col>
                    <xdr:colOff>512255</xdr:colOff>
                    <xdr:row>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107" name="Drop Down 455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2" r:id="rId108" name="Drop Down 460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7" r:id="rId109" name="Drop Down 465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2" r:id="rId110" name="Drop Down 470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7" r:id="rId111" name="Drop Down 475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2" r:id="rId112" name="Drop Down 480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7" r:id="rId113" name="Drop Down 485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2" r:id="rId114" name="Drop Down 490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7" r:id="rId115" name="Drop Down 495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2" r:id="rId116" name="Drop Down 500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5" r:id="rId117" name="Spinner 503">
              <controlPr defaultSize="0" autoPict="0">
                <anchor moveWithCells="1" sizeWithCells="1">
                  <from>
                    <xdr:col>7</xdr:col>
                    <xdr:colOff>450019</xdr:colOff>
                    <xdr:row>45</xdr:row>
                    <xdr:rowOff>28725</xdr:rowOff>
                  </from>
                  <to>
                    <xdr:col>7</xdr:col>
                    <xdr:colOff>579280</xdr:colOff>
                    <xdr:row>45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6" r:id="rId118" name="Spinner 504">
              <controlPr defaultSize="0" autoPict="0">
                <anchor moveWithCells="1" sizeWithCells="1">
                  <from>
                    <xdr:col>9</xdr:col>
                    <xdr:colOff>0</xdr:colOff>
                    <xdr:row>45</xdr:row>
                    <xdr:rowOff>9575</xdr:rowOff>
                  </from>
                  <to>
                    <xdr:col>9</xdr:col>
                    <xdr:colOff>134048</xdr:colOff>
                    <xdr:row>45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8" r:id="rId119" name="Spinner 506">
              <controlPr defaultSize="0" autoPict="0">
                <anchor moveWithCells="1" sizeWithCells="1">
                  <from>
                    <xdr:col>12</xdr:col>
                    <xdr:colOff>335120</xdr:colOff>
                    <xdr:row>45</xdr:row>
                    <xdr:rowOff>38299</xdr:rowOff>
                  </from>
                  <to>
                    <xdr:col>12</xdr:col>
                    <xdr:colOff>464381</xdr:colOff>
                    <xdr:row>45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9" r:id="rId120" name="Spinner 507">
              <controlPr defaultSize="0" autoPict="0">
                <anchor moveWithCells="1" sizeWithCells="1">
                  <from>
                    <xdr:col>15</xdr:col>
                    <xdr:colOff>47874</xdr:colOff>
                    <xdr:row>45</xdr:row>
                    <xdr:rowOff>38299</xdr:rowOff>
                  </from>
                  <to>
                    <xdr:col>15</xdr:col>
                    <xdr:colOff>181923</xdr:colOff>
                    <xdr:row>45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0" r:id="rId121" name="Drop Down 508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1" r:id="rId122" name="Drop Down 509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2" r:id="rId123" name="Drop Down 510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3" r:id="rId124" name="Drop Down 511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4" r:id="rId125" name="Drop Down 512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5" r:id="rId126" name="Drop Down 513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6" r:id="rId127" name="Drop Down 514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7" r:id="rId128" name="Drop Down 515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8" r:id="rId129" name="Drop Down 516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9" r:id="rId130" name="Drop Down 517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0" r:id="rId131" name="Spinner 518">
              <controlPr defaultSize="0" autoPict="0">
                <anchor moveWithCells="1" sizeWithCells="1">
                  <from>
                    <xdr:col>7</xdr:col>
                    <xdr:colOff>450019</xdr:colOff>
                    <xdr:row>47</xdr:row>
                    <xdr:rowOff>28725</xdr:rowOff>
                  </from>
                  <to>
                    <xdr:col>7</xdr:col>
                    <xdr:colOff>579280</xdr:colOff>
                    <xdr:row>47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1" r:id="rId132" name="Spinner 519">
              <controlPr defaultSize="0" autoPict="0">
                <anchor moveWithCells="1" sizeWithCells="1">
                  <from>
                    <xdr:col>9</xdr:col>
                    <xdr:colOff>0</xdr:colOff>
                    <xdr:row>47</xdr:row>
                    <xdr:rowOff>9575</xdr:rowOff>
                  </from>
                  <to>
                    <xdr:col>9</xdr:col>
                    <xdr:colOff>134048</xdr:colOff>
                    <xdr:row>47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3" r:id="rId133" name="Spinner 521">
              <controlPr defaultSize="0" autoPict="0">
                <anchor moveWithCells="1" sizeWithCells="1">
                  <from>
                    <xdr:col>12</xdr:col>
                    <xdr:colOff>335120</xdr:colOff>
                    <xdr:row>47</xdr:row>
                    <xdr:rowOff>38299</xdr:rowOff>
                  </from>
                  <to>
                    <xdr:col>12</xdr:col>
                    <xdr:colOff>464381</xdr:colOff>
                    <xdr:row>47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4" r:id="rId134" name="Spinner 522">
              <controlPr defaultSize="0" autoPict="0">
                <anchor moveWithCells="1" sizeWithCells="1">
                  <from>
                    <xdr:col>15</xdr:col>
                    <xdr:colOff>47874</xdr:colOff>
                    <xdr:row>47</xdr:row>
                    <xdr:rowOff>38299</xdr:rowOff>
                  </from>
                  <to>
                    <xdr:col>15</xdr:col>
                    <xdr:colOff>181923</xdr:colOff>
                    <xdr:row>47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5" r:id="rId135" name="Drop Down 523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6" r:id="rId136" name="Drop Down 524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7" r:id="rId137" name="Drop Down 525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8" r:id="rId138" name="Drop Down 526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9" r:id="rId139" name="Drop Down 527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0" r:id="rId140" name="Drop Down 528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1" r:id="rId141" name="Drop Down 529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2" r:id="rId142" name="Drop Down 530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3" r:id="rId143" name="Drop Down 531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4" r:id="rId144" name="Drop Down 532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5" r:id="rId145" name="Spinner 533">
              <controlPr defaultSize="0" autoPict="0">
                <anchor moveWithCells="1" sizeWithCells="1">
                  <from>
                    <xdr:col>7</xdr:col>
                    <xdr:colOff>450019</xdr:colOff>
                    <xdr:row>49</xdr:row>
                    <xdr:rowOff>28725</xdr:rowOff>
                  </from>
                  <to>
                    <xdr:col>7</xdr:col>
                    <xdr:colOff>579280</xdr:colOff>
                    <xdr:row>49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6" r:id="rId146" name="Spinner 534">
              <controlPr defaultSize="0" autoPict="0">
                <anchor moveWithCells="1" sizeWithCells="1">
                  <from>
                    <xdr:col>9</xdr:col>
                    <xdr:colOff>0</xdr:colOff>
                    <xdr:row>49</xdr:row>
                    <xdr:rowOff>9575</xdr:rowOff>
                  </from>
                  <to>
                    <xdr:col>9</xdr:col>
                    <xdr:colOff>134048</xdr:colOff>
                    <xdr:row>49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7" r:id="rId147" name="Spinner 535">
              <controlPr defaultSize="0" autoPict="0">
                <anchor moveWithCells="1" sizeWithCells="1">
                  <from>
                    <xdr:col>12</xdr:col>
                    <xdr:colOff>335120</xdr:colOff>
                    <xdr:row>49</xdr:row>
                    <xdr:rowOff>38299</xdr:rowOff>
                  </from>
                  <to>
                    <xdr:col>12</xdr:col>
                    <xdr:colOff>464381</xdr:colOff>
                    <xdr:row>49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8" r:id="rId148" name="Spinner 536">
              <controlPr defaultSize="0" autoPict="0">
                <anchor moveWithCells="1" sizeWithCells="1">
                  <from>
                    <xdr:col>15</xdr:col>
                    <xdr:colOff>47874</xdr:colOff>
                    <xdr:row>49</xdr:row>
                    <xdr:rowOff>38299</xdr:rowOff>
                  </from>
                  <to>
                    <xdr:col>15</xdr:col>
                    <xdr:colOff>181923</xdr:colOff>
                    <xdr:row>49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9" r:id="rId149" name="Drop Down 537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0" r:id="rId150" name="Drop Down 538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1" r:id="rId151" name="Drop Down 539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2" r:id="rId152" name="Drop Down 540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3" r:id="rId153" name="Drop Down 541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4" r:id="rId154" name="Drop Down 542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5" r:id="rId155" name="Drop Down 543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6" r:id="rId156" name="Drop Down 544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7" r:id="rId157" name="Drop Down 545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8" r:id="rId158" name="Drop Down 546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9" r:id="rId159" name="Spinner 547">
              <controlPr defaultSize="0" autoPict="0">
                <anchor moveWithCells="1" sizeWithCells="1">
                  <from>
                    <xdr:col>7</xdr:col>
                    <xdr:colOff>450019</xdr:colOff>
                    <xdr:row>51</xdr:row>
                    <xdr:rowOff>28725</xdr:rowOff>
                  </from>
                  <to>
                    <xdr:col>7</xdr:col>
                    <xdr:colOff>579280</xdr:colOff>
                    <xdr:row>51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0" r:id="rId160" name="Spinner 548">
              <controlPr defaultSize="0" autoPict="0">
                <anchor moveWithCells="1" sizeWithCells="1">
                  <from>
                    <xdr:col>9</xdr:col>
                    <xdr:colOff>0</xdr:colOff>
                    <xdr:row>51</xdr:row>
                    <xdr:rowOff>9575</xdr:rowOff>
                  </from>
                  <to>
                    <xdr:col>9</xdr:col>
                    <xdr:colOff>134048</xdr:colOff>
                    <xdr:row>51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1" r:id="rId161" name="Spinner 549">
              <controlPr defaultSize="0" autoPict="0">
                <anchor moveWithCells="1" sizeWithCells="1">
                  <from>
                    <xdr:col>12</xdr:col>
                    <xdr:colOff>335120</xdr:colOff>
                    <xdr:row>51</xdr:row>
                    <xdr:rowOff>38299</xdr:rowOff>
                  </from>
                  <to>
                    <xdr:col>12</xdr:col>
                    <xdr:colOff>464381</xdr:colOff>
                    <xdr:row>51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2" r:id="rId162" name="Spinner 550">
              <controlPr defaultSize="0" autoPict="0">
                <anchor moveWithCells="1" sizeWithCells="1">
                  <from>
                    <xdr:col>15</xdr:col>
                    <xdr:colOff>47874</xdr:colOff>
                    <xdr:row>51</xdr:row>
                    <xdr:rowOff>38299</xdr:rowOff>
                  </from>
                  <to>
                    <xdr:col>15</xdr:col>
                    <xdr:colOff>181923</xdr:colOff>
                    <xdr:row>51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3" r:id="rId163" name="Drop Down 551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4" r:id="rId164" name="Drop Down 552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5" r:id="rId165" name="Drop Down 553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6" r:id="rId166" name="Drop Down 554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7" r:id="rId167" name="Drop Down 555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8" r:id="rId168" name="Drop Down 556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9" r:id="rId169" name="Drop Down 557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0" r:id="rId170" name="Drop Down 558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1" r:id="rId171" name="Drop Down 559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2" r:id="rId172" name="Drop Down 560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3" r:id="rId173" name="Spinner 561">
              <controlPr defaultSize="0" autoPict="0">
                <anchor moveWithCells="1" sizeWithCells="1">
                  <from>
                    <xdr:col>7</xdr:col>
                    <xdr:colOff>450019</xdr:colOff>
                    <xdr:row>53</xdr:row>
                    <xdr:rowOff>28725</xdr:rowOff>
                  </from>
                  <to>
                    <xdr:col>7</xdr:col>
                    <xdr:colOff>579280</xdr:colOff>
                    <xdr:row>53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4" r:id="rId174" name="Spinner 562">
              <controlPr defaultSize="0" autoPict="0">
                <anchor moveWithCells="1" sizeWithCells="1">
                  <from>
                    <xdr:col>9</xdr:col>
                    <xdr:colOff>0</xdr:colOff>
                    <xdr:row>53</xdr:row>
                    <xdr:rowOff>9575</xdr:rowOff>
                  </from>
                  <to>
                    <xdr:col>9</xdr:col>
                    <xdr:colOff>134048</xdr:colOff>
                    <xdr:row>53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5" r:id="rId175" name="Spinner 563">
              <controlPr defaultSize="0" autoPict="0">
                <anchor moveWithCells="1" sizeWithCells="1">
                  <from>
                    <xdr:col>12</xdr:col>
                    <xdr:colOff>335120</xdr:colOff>
                    <xdr:row>53</xdr:row>
                    <xdr:rowOff>38299</xdr:rowOff>
                  </from>
                  <to>
                    <xdr:col>12</xdr:col>
                    <xdr:colOff>464381</xdr:colOff>
                    <xdr:row>53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6" r:id="rId176" name="Spinner 564">
              <controlPr defaultSize="0" autoPict="0">
                <anchor moveWithCells="1" sizeWithCells="1">
                  <from>
                    <xdr:col>15</xdr:col>
                    <xdr:colOff>47874</xdr:colOff>
                    <xdr:row>53</xdr:row>
                    <xdr:rowOff>38299</xdr:rowOff>
                  </from>
                  <to>
                    <xdr:col>15</xdr:col>
                    <xdr:colOff>181923</xdr:colOff>
                    <xdr:row>53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7" r:id="rId177" name="Drop Down 565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8" r:id="rId178" name="Drop Down 566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9" r:id="rId179" name="Drop Down 567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0" r:id="rId180" name="Drop Down 568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1" r:id="rId181" name="Drop Down 569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2" r:id="rId182" name="Drop Down 570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3" r:id="rId183" name="Drop Down 571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4" r:id="rId184" name="Drop Down 572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5" r:id="rId185" name="Drop Down 573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6" r:id="rId186" name="Drop Down 574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7" r:id="rId187" name="Spinner 575">
              <controlPr defaultSize="0" autoPict="0">
                <anchor moveWithCells="1" sizeWithCells="1">
                  <from>
                    <xdr:col>7</xdr:col>
                    <xdr:colOff>450019</xdr:colOff>
                    <xdr:row>55</xdr:row>
                    <xdr:rowOff>28725</xdr:rowOff>
                  </from>
                  <to>
                    <xdr:col>7</xdr:col>
                    <xdr:colOff>579280</xdr:colOff>
                    <xdr:row>55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8" r:id="rId188" name="Spinner 576">
              <controlPr defaultSize="0" autoPict="0">
                <anchor moveWithCells="1" sizeWithCells="1">
                  <from>
                    <xdr:col>9</xdr:col>
                    <xdr:colOff>0</xdr:colOff>
                    <xdr:row>55</xdr:row>
                    <xdr:rowOff>9575</xdr:rowOff>
                  </from>
                  <to>
                    <xdr:col>9</xdr:col>
                    <xdr:colOff>134048</xdr:colOff>
                    <xdr:row>55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9" r:id="rId189" name="Spinner 577">
              <controlPr defaultSize="0" autoPict="0">
                <anchor moveWithCells="1" sizeWithCells="1">
                  <from>
                    <xdr:col>12</xdr:col>
                    <xdr:colOff>335120</xdr:colOff>
                    <xdr:row>55</xdr:row>
                    <xdr:rowOff>38299</xdr:rowOff>
                  </from>
                  <to>
                    <xdr:col>12</xdr:col>
                    <xdr:colOff>464381</xdr:colOff>
                    <xdr:row>55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0" r:id="rId190" name="Spinner 578">
              <controlPr defaultSize="0" autoPict="0">
                <anchor moveWithCells="1" sizeWithCells="1">
                  <from>
                    <xdr:col>15</xdr:col>
                    <xdr:colOff>47874</xdr:colOff>
                    <xdr:row>55</xdr:row>
                    <xdr:rowOff>38299</xdr:rowOff>
                  </from>
                  <to>
                    <xdr:col>15</xdr:col>
                    <xdr:colOff>181923</xdr:colOff>
                    <xdr:row>55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1" r:id="rId191" name="Drop Down 579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2" r:id="rId192" name="Drop Down 580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3" r:id="rId193" name="Drop Down 581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4" r:id="rId194" name="Drop Down 582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5" r:id="rId195" name="Drop Down 583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6" r:id="rId196" name="Drop Down 584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7" r:id="rId197" name="Drop Down 585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8" r:id="rId198" name="Drop Down 586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9" r:id="rId199" name="Drop Down 587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0" r:id="rId200" name="Drop Down 588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1" r:id="rId201" name="Spinner 589">
              <controlPr defaultSize="0" autoPict="0">
                <anchor moveWithCells="1" sizeWithCells="1">
                  <from>
                    <xdr:col>7</xdr:col>
                    <xdr:colOff>450019</xdr:colOff>
                    <xdr:row>57</xdr:row>
                    <xdr:rowOff>28725</xdr:rowOff>
                  </from>
                  <to>
                    <xdr:col>7</xdr:col>
                    <xdr:colOff>579280</xdr:colOff>
                    <xdr:row>57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2" r:id="rId202" name="Spinner 590">
              <controlPr defaultSize="0" autoPict="0">
                <anchor moveWithCells="1" sizeWithCells="1">
                  <from>
                    <xdr:col>9</xdr:col>
                    <xdr:colOff>0</xdr:colOff>
                    <xdr:row>57</xdr:row>
                    <xdr:rowOff>9575</xdr:rowOff>
                  </from>
                  <to>
                    <xdr:col>9</xdr:col>
                    <xdr:colOff>134048</xdr:colOff>
                    <xdr:row>57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3" r:id="rId203" name="Spinner 591">
              <controlPr defaultSize="0" autoPict="0">
                <anchor moveWithCells="1" sizeWithCells="1">
                  <from>
                    <xdr:col>12</xdr:col>
                    <xdr:colOff>335120</xdr:colOff>
                    <xdr:row>57</xdr:row>
                    <xdr:rowOff>38299</xdr:rowOff>
                  </from>
                  <to>
                    <xdr:col>12</xdr:col>
                    <xdr:colOff>464381</xdr:colOff>
                    <xdr:row>57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4" r:id="rId204" name="Spinner 592">
              <controlPr defaultSize="0" autoPict="0">
                <anchor moveWithCells="1" sizeWithCells="1">
                  <from>
                    <xdr:col>15</xdr:col>
                    <xdr:colOff>47874</xdr:colOff>
                    <xdr:row>57</xdr:row>
                    <xdr:rowOff>38299</xdr:rowOff>
                  </from>
                  <to>
                    <xdr:col>15</xdr:col>
                    <xdr:colOff>181923</xdr:colOff>
                    <xdr:row>57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5" r:id="rId205" name="Drop Down 593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6" r:id="rId206" name="Drop Down 594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7" r:id="rId207" name="Drop Down 595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8" r:id="rId208" name="Drop Down 596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9" r:id="rId209" name="Drop Down 597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0" r:id="rId210" name="Drop Down 598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1" r:id="rId211" name="Drop Down 599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2" r:id="rId212" name="Drop Down 600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3" r:id="rId213" name="Drop Down 601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4" r:id="rId214" name="Drop Down 602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5" r:id="rId215" name="Spinner 603">
              <controlPr defaultSize="0" autoPict="0">
                <anchor moveWithCells="1" sizeWithCells="1">
                  <from>
                    <xdr:col>7</xdr:col>
                    <xdr:colOff>450019</xdr:colOff>
                    <xdr:row>59</xdr:row>
                    <xdr:rowOff>28725</xdr:rowOff>
                  </from>
                  <to>
                    <xdr:col>7</xdr:col>
                    <xdr:colOff>579280</xdr:colOff>
                    <xdr:row>59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6" r:id="rId216" name="Spinner 604">
              <controlPr defaultSize="0" autoPict="0">
                <anchor moveWithCells="1" sizeWithCells="1">
                  <from>
                    <xdr:col>9</xdr:col>
                    <xdr:colOff>0</xdr:colOff>
                    <xdr:row>59</xdr:row>
                    <xdr:rowOff>9575</xdr:rowOff>
                  </from>
                  <to>
                    <xdr:col>9</xdr:col>
                    <xdr:colOff>134048</xdr:colOff>
                    <xdr:row>59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7" r:id="rId217" name="Spinner 605">
              <controlPr defaultSize="0" autoPict="0">
                <anchor moveWithCells="1" sizeWithCells="1">
                  <from>
                    <xdr:col>12</xdr:col>
                    <xdr:colOff>335120</xdr:colOff>
                    <xdr:row>59</xdr:row>
                    <xdr:rowOff>38299</xdr:rowOff>
                  </from>
                  <to>
                    <xdr:col>12</xdr:col>
                    <xdr:colOff>464381</xdr:colOff>
                    <xdr:row>59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8" r:id="rId218" name="Spinner 606">
              <controlPr defaultSize="0" autoPict="0">
                <anchor moveWithCells="1" sizeWithCells="1">
                  <from>
                    <xdr:col>15</xdr:col>
                    <xdr:colOff>47874</xdr:colOff>
                    <xdr:row>59</xdr:row>
                    <xdr:rowOff>38299</xdr:rowOff>
                  </from>
                  <to>
                    <xdr:col>15</xdr:col>
                    <xdr:colOff>181923</xdr:colOff>
                    <xdr:row>59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9" r:id="rId219" name="Drop Down 607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0" r:id="rId220" name="Drop Down 608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1" r:id="rId221" name="Drop Down 609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2" r:id="rId222" name="Drop Down 610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3" r:id="rId223" name="Drop Down 611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4" r:id="rId224" name="Drop Down 612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5" r:id="rId225" name="Drop Down 613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6" r:id="rId226" name="Drop Down 614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7" r:id="rId227" name="Drop Down 615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8" r:id="rId228" name="Drop Down 616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9" r:id="rId229" name="Spinner 617">
              <controlPr defaultSize="0" autoPict="0">
                <anchor moveWithCells="1" sizeWithCells="1">
                  <from>
                    <xdr:col>7</xdr:col>
                    <xdr:colOff>450019</xdr:colOff>
                    <xdr:row>61</xdr:row>
                    <xdr:rowOff>28725</xdr:rowOff>
                  </from>
                  <to>
                    <xdr:col>7</xdr:col>
                    <xdr:colOff>579280</xdr:colOff>
                    <xdr:row>61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0" r:id="rId230" name="Spinner 618">
              <controlPr defaultSize="0" autoPict="0">
                <anchor moveWithCells="1" sizeWithCells="1">
                  <from>
                    <xdr:col>9</xdr:col>
                    <xdr:colOff>0</xdr:colOff>
                    <xdr:row>61</xdr:row>
                    <xdr:rowOff>9575</xdr:rowOff>
                  </from>
                  <to>
                    <xdr:col>9</xdr:col>
                    <xdr:colOff>134048</xdr:colOff>
                    <xdr:row>61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1" r:id="rId231" name="Spinner 619">
              <controlPr defaultSize="0" autoPict="0">
                <anchor moveWithCells="1" sizeWithCells="1">
                  <from>
                    <xdr:col>12</xdr:col>
                    <xdr:colOff>335120</xdr:colOff>
                    <xdr:row>61</xdr:row>
                    <xdr:rowOff>38299</xdr:rowOff>
                  </from>
                  <to>
                    <xdr:col>12</xdr:col>
                    <xdr:colOff>464381</xdr:colOff>
                    <xdr:row>61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2" r:id="rId232" name="Spinner 620">
              <controlPr defaultSize="0" autoPict="0">
                <anchor moveWithCells="1" sizeWithCells="1">
                  <from>
                    <xdr:col>15</xdr:col>
                    <xdr:colOff>47874</xdr:colOff>
                    <xdr:row>61</xdr:row>
                    <xdr:rowOff>38299</xdr:rowOff>
                  </from>
                  <to>
                    <xdr:col>15</xdr:col>
                    <xdr:colOff>181923</xdr:colOff>
                    <xdr:row>61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3" r:id="rId233" name="Drop Down 621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4" r:id="rId234" name="Drop Down 622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5" r:id="rId235" name="Drop Down 623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6" r:id="rId236" name="Drop Down 624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7" r:id="rId237" name="Drop Down 625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8" r:id="rId238" name="Drop Down 626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9" r:id="rId239" name="Drop Down 627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0" r:id="rId240" name="Drop Down 628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1" r:id="rId241" name="Drop Down 629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2" r:id="rId242" name="Drop Down 630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3" r:id="rId243" name="Spinner 631">
              <controlPr defaultSize="0" autoPict="0">
                <anchor moveWithCells="1" sizeWithCells="1">
                  <from>
                    <xdr:col>7</xdr:col>
                    <xdr:colOff>450019</xdr:colOff>
                    <xdr:row>63</xdr:row>
                    <xdr:rowOff>28725</xdr:rowOff>
                  </from>
                  <to>
                    <xdr:col>7</xdr:col>
                    <xdr:colOff>579280</xdr:colOff>
                    <xdr:row>63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4" r:id="rId244" name="Spinner 632">
              <controlPr defaultSize="0" autoPict="0">
                <anchor moveWithCells="1" sizeWithCells="1">
                  <from>
                    <xdr:col>9</xdr:col>
                    <xdr:colOff>0</xdr:colOff>
                    <xdr:row>63</xdr:row>
                    <xdr:rowOff>9575</xdr:rowOff>
                  </from>
                  <to>
                    <xdr:col>9</xdr:col>
                    <xdr:colOff>134048</xdr:colOff>
                    <xdr:row>63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5" r:id="rId245" name="Spinner 633">
              <controlPr defaultSize="0" autoPict="0">
                <anchor moveWithCells="1" sizeWithCells="1">
                  <from>
                    <xdr:col>12</xdr:col>
                    <xdr:colOff>335120</xdr:colOff>
                    <xdr:row>63</xdr:row>
                    <xdr:rowOff>38299</xdr:rowOff>
                  </from>
                  <to>
                    <xdr:col>12</xdr:col>
                    <xdr:colOff>464381</xdr:colOff>
                    <xdr:row>63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6" r:id="rId246" name="Spinner 634">
              <controlPr defaultSize="0" autoPict="0">
                <anchor moveWithCells="1" sizeWithCells="1">
                  <from>
                    <xdr:col>15</xdr:col>
                    <xdr:colOff>47874</xdr:colOff>
                    <xdr:row>63</xdr:row>
                    <xdr:rowOff>38299</xdr:rowOff>
                  </from>
                  <to>
                    <xdr:col>15</xdr:col>
                    <xdr:colOff>181923</xdr:colOff>
                    <xdr:row>63</xdr:row>
                    <xdr:rowOff>229797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MedDisc">
    <tabColor rgb="FF92D050"/>
  </sheetPr>
  <dimension ref="A1:AE41"/>
  <sheetViews>
    <sheetView zoomScaleNormal="100" workbookViewId="0">
      <selection activeCell="B26" sqref="B26"/>
    </sheetView>
  </sheetViews>
  <sheetFormatPr defaultRowHeight="12.85" x14ac:dyDescent="0.35"/>
  <cols>
    <col min="2" max="2" width="10.265625" customWidth="1"/>
    <col min="3" max="3" width="24.1328125" customWidth="1"/>
    <col min="4" max="4" width="11.3984375" customWidth="1"/>
    <col min="5" max="5" width="10.3984375" customWidth="1"/>
    <col min="10" max="10" width="9.3984375" bestFit="1" customWidth="1"/>
    <col min="21" max="21" width="24.1328125" customWidth="1"/>
    <col min="23" max="23" width="9.73046875" bestFit="1" customWidth="1"/>
    <col min="24" max="24" width="9.265625" bestFit="1" customWidth="1"/>
    <col min="25" max="25" width="17.1328125" customWidth="1"/>
    <col min="26" max="26" width="9.59765625" customWidth="1"/>
    <col min="28" max="28" width="35.1328125" customWidth="1"/>
    <col min="29" max="29" width="84.59765625" customWidth="1"/>
  </cols>
  <sheetData>
    <row r="1" spans="1:31" x14ac:dyDescent="0.35">
      <c r="A1" s="577"/>
      <c r="B1" s="518" t="s">
        <v>2646</v>
      </c>
      <c r="C1" t="s">
        <v>684</v>
      </c>
      <c r="D1" s="248" t="s">
        <v>938</v>
      </c>
      <c r="E1" t="s">
        <v>362</v>
      </c>
      <c r="F1" t="s">
        <v>363</v>
      </c>
      <c r="G1" t="s">
        <v>282</v>
      </c>
      <c r="H1" t="s">
        <v>685</v>
      </c>
      <c r="I1" t="s">
        <v>767</v>
      </c>
      <c r="J1" t="s">
        <v>444</v>
      </c>
      <c r="K1" t="s">
        <v>283</v>
      </c>
      <c r="L1" t="s">
        <v>284</v>
      </c>
      <c r="M1" t="s">
        <v>211</v>
      </c>
      <c r="N1" t="s">
        <v>754</v>
      </c>
      <c r="O1" t="s">
        <v>755</v>
      </c>
      <c r="P1" t="s">
        <v>756</v>
      </c>
      <c r="Q1" t="s">
        <v>768</v>
      </c>
      <c r="R1" t="s">
        <v>472</v>
      </c>
      <c r="S1" t="s">
        <v>764</v>
      </c>
      <c r="T1" t="s">
        <v>765</v>
      </c>
      <c r="U1" s="518" t="s">
        <v>2645</v>
      </c>
      <c r="V1" t="s">
        <v>732</v>
      </c>
      <c r="W1" t="s">
        <v>922</v>
      </c>
      <c r="X1" t="s">
        <v>685</v>
      </c>
      <c r="Y1" t="s">
        <v>923</v>
      </c>
      <c r="Z1" t="s">
        <v>329</v>
      </c>
      <c r="AA1" t="s">
        <v>768</v>
      </c>
      <c r="AB1" t="s">
        <v>924</v>
      </c>
      <c r="AC1" t="s">
        <v>905</v>
      </c>
    </row>
    <row r="2" spans="1:31" x14ac:dyDescent="0.35">
      <c r="A2">
        <v>1</v>
      </c>
      <c r="B2">
        <v>1500</v>
      </c>
      <c r="E2" s="20"/>
      <c r="H2">
        <f t="shared" ref="H2:H21" si="0">E2*G2</f>
        <v>0</v>
      </c>
      <c r="I2">
        <v>1</v>
      </c>
      <c r="J2" s="517">
        <f t="shared" ref="J2:J31" si="1">IF(AND(I2&gt;2,I2&lt;15),INDEX(tblMedDiscTijdenIndex,I2,1),)</f>
        <v>0</v>
      </c>
      <c r="K2">
        <f t="shared" ref="K2:K21" si="2">J2*H2</f>
        <v>0</v>
      </c>
      <c r="M2">
        <f t="shared" ref="M2:M21" si="3">IF(ROUND(10*K2/Gewicht,1) = 0,ROUND(10*K2/Gewicht,2),ROUND(10*K2/Gewicht,1) )</f>
        <v>0</v>
      </c>
      <c r="P2">
        <f>IF(O2&gt;1,N2*J2,0)</f>
        <v>0</v>
      </c>
      <c r="R2">
        <f t="shared" ref="R2:R21" si="4">IF(O2=2,P2*0.155,0)</f>
        <v>0</v>
      </c>
      <c r="S2">
        <f t="shared" ref="S2:S21" si="5">IF(O2=3,P2*0.05,0)</f>
        <v>0</v>
      </c>
      <c r="T2">
        <f t="shared" ref="T2:T21" si="6">IF(O2=4,P2*0.1,0)</f>
        <v>0</v>
      </c>
      <c r="V2" t="str">
        <f>IF(U2=0,"",IF(U2=-1,C2,D2))</f>
        <v/>
      </c>
      <c r="W2" t="str">
        <f t="shared" ref="W2:W21" si="7">IF(IF(U2=0,"",INDEX(tblMedDiscTijden,I2,2))=0,"",IF(U2=0,"",INDEX(tblMedDiscTijden,I2,2)))</f>
        <v/>
      </c>
      <c r="X2" t="str">
        <f t="shared" ref="X2:X21" si="8">IF(U2=0,"",H2&amp;" "&amp;F2&amp;" ("&amp;ROUND(K2*10/Gewicht,AD2)&amp;" "&amp;F2&amp;"/kg/dag)")</f>
        <v/>
      </c>
      <c r="Y2" t="str">
        <f>IF(U2=0,"",TRIM(L2))</f>
        <v/>
      </c>
      <c r="Z2" t="str">
        <f>IF(P2=0,"","opl: "&amp;N2&amp;" mL "&amp;INDEX(tblMedDiscOplVl,O2,1)&amp;" "&amp;IF(Q2=0,"","("&amp;ROUND(ber_Med_disc!H2/ber_Med_disc!N2,2)&amp;" "&amp;ber_Med_disc!F2&amp;"/ml)"))</f>
        <v/>
      </c>
      <c r="AA2" t="str">
        <f>IF(OR(Q2=0,Z2=""),"","in "&amp;Q2&amp;" min")</f>
        <v/>
      </c>
      <c r="AB2" t="str">
        <f>IF(ber_Opm!C16=0,"",ber_Opm!C16)</f>
        <v/>
      </c>
      <c r="AC2" t="str">
        <f>IF(OR(V2="",V2=0),"",TRIM(V2)&amp;"||"&amp;TRIM(W2)&amp;"||"&amp;TRIM(X2)&amp;"||"&amp;TRIM(Y2)&amp;"||"&amp;TRIM(Z2)&amp;"||"&amp;TRIM(AA2)&amp;"||"&amp;TRIM(AB2))</f>
        <v/>
      </c>
      <c r="AD2">
        <f>IF(AE2&gt;=10,0,IF(AE2&gt;=1,1,IF(AE2&gt;=0,2,IF(AE2&gt;=0.1,3,IF(AE2&gt;=0.01,4,5)))))</f>
        <v>2</v>
      </c>
      <c r="AE2">
        <f t="shared" ref="AE2:AE21" si="9">K2*10/Gewicht</f>
        <v>0</v>
      </c>
    </row>
    <row r="3" spans="1:31" x14ac:dyDescent="0.35">
      <c r="A3">
        <v>2</v>
      </c>
      <c r="B3">
        <v>1500</v>
      </c>
      <c r="E3" s="20"/>
      <c r="H3">
        <f t="shared" si="0"/>
        <v>0</v>
      </c>
      <c r="I3">
        <v>1</v>
      </c>
      <c r="J3" s="517">
        <f t="shared" si="1"/>
        <v>0</v>
      </c>
      <c r="K3">
        <f t="shared" si="2"/>
        <v>0</v>
      </c>
      <c r="M3">
        <f t="shared" si="3"/>
        <v>0</v>
      </c>
      <c r="P3">
        <f t="shared" ref="P3:P21" si="10">IF(O3&gt;1,N3*J3,0)</f>
        <v>0</v>
      </c>
      <c r="R3">
        <f t="shared" si="4"/>
        <v>0</v>
      </c>
      <c r="S3">
        <f t="shared" si="5"/>
        <v>0</v>
      </c>
      <c r="T3">
        <f t="shared" si="6"/>
        <v>0</v>
      </c>
      <c r="V3" t="str">
        <f t="shared" ref="V3:V21" si="11">IF(U3=0,"",IF(U3=-1,C3,D3))</f>
        <v/>
      </c>
      <c r="W3" s="517" t="str">
        <f t="shared" si="7"/>
        <v/>
      </c>
      <c r="X3" t="str">
        <f t="shared" si="8"/>
        <v/>
      </c>
      <c r="Y3" t="str">
        <f t="shared" ref="Y3:Y21" si="12">IF(U3=0,"",TRIM(L3))</f>
        <v/>
      </c>
      <c r="Z3" s="517" t="str">
        <f>IF(P3=0,"","opl: "&amp;N3&amp;" mL "&amp;INDEX(tblMedDiscOplVl,O3,1)&amp;" "&amp;IF(Q3=0,"","("&amp;ROUND(ber_Med_disc!H3/ber_Med_disc!N3,2)&amp;" "&amp;ber_Med_disc!F3&amp;"/ml)"))</f>
        <v/>
      </c>
      <c r="AA3" t="str">
        <f t="shared" ref="AA3:AA21" si="13">IF(OR(Q3=0,Z3=""),"","in "&amp;Q3&amp;" min")</f>
        <v/>
      </c>
      <c r="AB3" t="str">
        <f>IF(ber_Opm!C17=0,"",ber_Opm!C17)</f>
        <v/>
      </c>
      <c r="AC3" t="str">
        <f>IF(OR(V3="",V3=0),"",TRIM(V3)&amp;"||"&amp;TRIM(W3)&amp;"||"&amp;TRIM(X3)&amp;"||"&amp;TRIM(Y3)&amp;"||"&amp;TRIM(Z3)&amp;"||"&amp;TRIM(AA3)&amp;"||"&amp;TRIM(AB3))</f>
        <v/>
      </c>
      <c r="AD3">
        <f t="shared" ref="AD3:AD21" si="14">IF(AE3&gt;=10,0,IF(AE3&gt;=1,1,IF(AE3&gt;=0,2,IF(AE3&gt;=0.1,3,IF(AE3&gt;=0.01,4,5)))))</f>
        <v>2</v>
      </c>
      <c r="AE3">
        <f t="shared" si="9"/>
        <v>0</v>
      </c>
    </row>
    <row r="4" spans="1:31" x14ac:dyDescent="0.35">
      <c r="A4">
        <v>3</v>
      </c>
      <c r="B4">
        <v>1500</v>
      </c>
      <c r="E4" s="20"/>
      <c r="H4">
        <f t="shared" si="0"/>
        <v>0</v>
      </c>
      <c r="I4">
        <v>1</v>
      </c>
      <c r="J4" s="517">
        <f t="shared" si="1"/>
        <v>0</v>
      </c>
      <c r="K4">
        <f t="shared" si="2"/>
        <v>0</v>
      </c>
      <c r="M4">
        <f t="shared" si="3"/>
        <v>0</v>
      </c>
      <c r="P4">
        <f t="shared" si="10"/>
        <v>0</v>
      </c>
      <c r="R4">
        <f t="shared" si="4"/>
        <v>0</v>
      </c>
      <c r="S4">
        <f t="shared" si="5"/>
        <v>0</v>
      </c>
      <c r="T4">
        <f t="shared" si="6"/>
        <v>0</v>
      </c>
      <c r="V4" t="str">
        <f t="shared" si="11"/>
        <v/>
      </c>
      <c r="W4" s="517" t="str">
        <f t="shared" si="7"/>
        <v/>
      </c>
      <c r="X4" t="str">
        <f t="shared" si="8"/>
        <v/>
      </c>
      <c r="Y4" t="str">
        <f t="shared" si="12"/>
        <v/>
      </c>
      <c r="Z4" s="517" t="str">
        <f>IF(P4=0,"","opl: "&amp;N4&amp;" mL "&amp;INDEX(tblMedDiscOplVl,O4,1)&amp;" "&amp;IF(Q4=0,"","("&amp;ROUND(ber_Med_disc!H4/ber_Med_disc!N4,2)&amp;" "&amp;ber_Med_disc!F4&amp;"/ml)"))</f>
        <v/>
      </c>
      <c r="AA4" t="str">
        <f t="shared" si="13"/>
        <v/>
      </c>
      <c r="AB4" t="str">
        <f>IF(ber_Opm!C18=0,"",ber_Opm!C18)</f>
        <v/>
      </c>
      <c r="AC4" t="str">
        <f t="shared" ref="AC4:AC21" si="15">IF(OR(V4="",V4=0),"",TRIM(V4)&amp;"||"&amp;TRIM(W4)&amp;"||"&amp;TRIM(X4)&amp;"||"&amp;TRIM(Y4)&amp;"||"&amp;TRIM(Z4)&amp;"||"&amp;TRIM(AA4)&amp;"||"&amp;TRIM(AB4))</f>
        <v/>
      </c>
      <c r="AD4">
        <f t="shared" si="14"/>
        <v>2</v>
      </c>
      <c r="AE4">
        <f t="shared" si="9"/>
        <v>0</v>
      </c>
    </row>
    <row r="5" spans="1:31" x14ac:dyDescent="0.35">
      <c r="A5">
        <v>4</v>
      </c>
      <c r="B5">
        <v>1500</v>
      </c>
      <c r="E5" s="20"/>
      <c r="H5">
        <f t="shared" si="0"/>
        <v>0</v>
      </c>
      <c r="I5">
        <v>1</v>
      </c>
      <c r="J5" s="517">
        <f t="shared" si="1"/>
        <v>0</v>
      </c>
      <c r="K5">
        <f t="shared" si="2"/>
        <v>0</v>
      </c>
      <c r="M5">
        <f t="shared" si="3"/>
        <v>0</v>
      </c>
      <c r="P5">
        <f t="shared" si="10"/>
        <v>0</v>
      </c>
      <c r="R5">
        <f t="shared" si="4"/>
        <v>0</v>
      </c>
      <c r="S5">
        <f t="shared" si="5"/>
        <v>0</v>
      </c>
      <c r="T5">
        <f t="shared" si="6"/>
        <v>0</v>
      </c>
      <c r="V5" t="str">
        <f t="shared" si="11"/>
        <v/>
      </c>
      <c r="W5" s="517" t="str">
        <f t="shared" si="7"/>
        <v/>
      </c>
      <c r="X5" t="str">
        <f t="shared" si="8"/>
        <v/>
      </c>
      <c r="Y5" t="str">
        <f t="shared" si="12"/>
        <v/>
      </c>
      <c r="Z5" s="517" t="str">
        <f>IF(P5=0,"","opl: "&amp;N5&amp;" mL "&amp;INDEX(tblMedDiscOplVl,O5,1)&amp;" "&amp;IF(Q5=0,"","("&amp;ROUND(ber_Med_disc!H5/ber_Med_disc!N5,2)&amp;" "&amp;ber_Med_disc!F5&amp;"/ml)"))</f>
        <v/>
      </c>
      <c r="AA5" t="str">
        <f t="shared" si="13"/>
        <v/>
      </c>
      <c r="AB5" t="str">
        <f>IF(ber_Opm!C19=0,"",ber_Opm!C19)</f>
        <v/>
      </c>
      <c r="AC5" t="str">
        <f t="shared" si="15"/>
        <v/>
      </c>
      <c r="AD5">
        <f t="shared" si="14"/>
        <v>2</v>
      </c>
      <c r="AE5">
        <f t="shared" si="9"/>
        <v>0</v>
      </c>
    </row>
    <row r="6" spans="1:31" x14ac:dyDescent="0.35">
      <c r="A6" s="577">
        <v>5</v>
      </c>
      <c r="B6">
        <v>1500</v>
      </c>
      <c r="E6" s="20"/>
      <c r="H6">
        <f t="shared" si="0"/>
        <v>0</v>
      </c>
      <c r="I6">
        <v>1</v>
      </c>
      <c r="J6" s="517">
        <f t="shared" si="1"/>
        <v>0</v>
      </c>
      <c r="K6">
        <f t="shared" si="2"/>
        <v>0</v>
      </c>
      <c r="M6">
        <f t="shared" si="3"/>
        <v>0</v>
      </c>
      <c r="P6">
        <f t="shared" si="10"/>
        <v>0</v>
      </c>
      <c r="R6">
        <f t="shared" si="4"/>
        <v>0</v>
      </c>
      <c r="S6">
        <f t="shared" si="5"/>
        <v>0</v>
      </c>
      <c r="T6">
        <f t="shared" si="6"/>
        <v>0</v>
      </c>
      <c r="V6" t="str">
        <f t="shared" si="11"/>
        <v/>
      </c>
      <c r="W6" s="517" t="str">
        <f t="shared" si="7"/>
        <v/>
      </c>
      <c r="X6" t="str">
        <f t="shared" si="8"/>
        <v/>
      </c>
      <c r="Y6" t="str">
        <f t="shared" si="12"/>
        <v/>
      </c>
      <c r="Z6" s="517" t="str">
        <f>IF(P6=0,"","opl: "&amp;N6&amp;" mL "&amp;INDEX(tblMedDiscOplVl,O6,1)&amp;" "&amp;IF(Q6=0,"","("&amp;ROUND(ber_Med_disc!H6/ber_Med_disc!N6,2)&amp;" "&amp;ber_Med_disc!F6&amp;"/ml)"))</f>
        <v/>
      </c>
      <c r="AA6" t="str">
        <f t="shared" si="13"/>
        <v/>
      </c>
      <c r="AB6" t="str">
        <f>IF(ber_Opm!C20=0,"",ber_Opm!C20)</f>
        <v/>
      </c>
      <c r="AC6" t="str">
        <f t="shared" si="15"/>
        <v/>
      </c>
      <c r="AD6">
        <f t="shared" si="14"/>
        <v>2</v>
      </c>
      <c r="AE6">
        <f t="shared" si="9"/>
        <v>0</v>
      </c>
    </row>
    <row r="7" spans="1:31" x14ac:dyDescent="0.35">
      <c r="A7">
        <v>6</v>
      </c>
      <c r="B7">
        <v>1500</v>
      </c>
      <c r="E7" s="20"/>
      <c r="H7">
        <f t="shared" si="0"/>
        <v>0</v>
      </c>
      <c r="I7">
        <v>1</v>
      </c>
      <c r="J7" s="517">
        <f t="shared" si="1"/>
        <v>0</v>
      </c>
      <c r="K7">
        <f t="shared" si="2"/>
        <v>0</v>
      </c>
      <c r="M7">
        <f t="shared" si="3"/>
        <v>0</v>
      </c>
      <c r="P7">
        <f t="shared" si="10"/>
        <v>0</v>
      </c>
      <c r="R7">
        <f t="shared" si="4"/>
        <v>0</v>
      </c>
      <c r="S7">
        <f t="shared" si="5"/>
        <v>0</v>
      </c>
      <c r="T7">
        <f t="shared" si="6"/>
        <v>0</v>
      </c>
      <c r="V7" t="str">
        <f t="shared" si="11"/>
        <v/>
      </c>
      <c r="W7" s="517" t="str">
        <f t="shared" si="7"/>
        <v/>
      </c>
      <c r="X7" t="str">
        <f t="shared" si="8"/>
        <v/>
      </c>
      <c r="Y7" t="str">
        <f t="shared" si="12"/>
        <v/>
      </c>
      <c r="Z7" s="517" t="str">
        <f>IF(P7=0,"","opl: "&amp;N7&amp;" mL "&amp;INDEX(tblMedDiscOplVl,O7,1)&amp;" "&amp;IF(Q7=0,"","("&amp;ROUND(ber_Med_disc!H7/ber_Med_disc!N7,2)&amp;" "&amp;ber_Med_disc!F7&amp;"/ml)"))</f>
        <v/>
      </c>
      <c r="AA7" t="str">
        <f t="shared" si="13"/>
        <v/>
      </c>
      <c r="AB7" t="str">
        <f>IF(ber_Opm!C21=0,"",ber_Opm!C21)</f>
        <v/>
      </c>
      <c r="AC7" t="str">
        <f t="shared" si="15"/>
        <v/>
      </c>
      <c r="AD7">
        <f t="shared" si="14"/>
        <v>2</v>
      </c>
      <c r="AE7">
        <f t="shared" si="9"/>
        <v>0</v>
      </c>
    </row>
    <row r="8" spans="1:31" x14ac:dyDescent="0.35">
      <c r="A8">
        <v>7</v>
      </c>
      <c r="B8">
        <v>1500</v>
      </c>
      <c r="E8" s="20"/>
      <c r="H8">
        <f t="shared" si="0"/>
        <v>0</v>
      </c>
      <c r="I8">
        <v>1</v>
      </c>
      <c r="J8" s="517">
        <f t="shared" si="1"/>
        <v>0</v>
      </c>
      <c r="K8">
        <f t="shared" si="2"/>
        <v>0</v>
      </c>
      <c r="M8">
        <f t="shared" si="3"/>
        <v>0</v>
      </c>
      <c r="P8">
        <f t="shared" si="10"/>
        <v>0</v>
      </c>
      <c r="R8">
        <f t="shared" si="4"/>
        <v>0</v>
      </c>
      <c r="S8">
        <f t="shared" si="5"/>
        <v>0</v>
      </c>
      <c r="T8">
        <f t="shared" si="6"/>
        <v>0</v>
      </c>
      <c r="V8" t="str">
        <f t="shared" si="11"/>
        <v/>
      </c>
      <c r="W8" s="517" t="str">
        <f t="shared" si="7"/>
        <v/>
      </c>
      <c r="X8" t="str">
        <f t="shared" si="8"/>
        <v/>
      </c>
      <c r="Y8" t="str">
        <f t="shared" si="12"/>
        <v/>
      </c>
      <c r="Z8" s="517" t="str">
        <f>IF(P8=0,"","opl: "&amp;N8&amp;" mL "&amp;INDEX(tblMedDiscOplVl,O8,1)&amp;" "&amp;IF(Q8=0,"","("&amp;ROUND(ber_Med_disc!H8/ber_Med_disc!N8,2)&amp;" "&amp;ber_Med_disc!F8&amp;"/ml)"))</f>
        <v/>
      </c>
      <c r="AA8" t="str">
        <f t="shared" si="13"/>
        <v/>
      </c>
      <c r="AB8" t="str">
        <f>IF(ber_Opm!C22=0,"",ber_Opm!C22)</f>
        <v/>
      </c>
      <c r="AC8" t="str">
        <f t="shared" si="15"/>
        <v/>
      </c>
      <c r="AD8">
        <f t="shared" si="14"/>
        <v>2</v>
      </c>
      <c r="AE8">
        <f t="shared" si="9"/>
        <v>0</v>
      </c>
    </row>
    <row r="9" spans="1:31" x14ac:dyDescent="0.35">
      <c r="A9">
        <v>8</v>
      </c>
      <c r="B9">
        <v>1500</v>
      </c>
      <c r="E9" s="20"/>
      <c r="H9">
        <f t="shared" si="0"/>
        <v>0</v>
      </c>
      <c r="I9">
        <v>1</v>
      </c>
      <c r="J9" s="517">
        <f t="shared" si="1"/>
        <v>0</v>
      </c>
      <c r="K9">
        <f t="shared" si="2"/>
        <v>0</v>
      </c>
      <c r="M9">
        <f t="shared" si="3"/>
        <v>0</v>
      </c>
      <c r="P9">
        <f t="shared" si="10"/>
        <v>0</v>
      </c>
      <c r="R9">
        <f t="shared" si="4"/>
        <v>0</v>
      </c>
      <c r="S9">
        <f t="shared" si="5"/>
        <v>0</v>
      </c>
      <c r="T9">
        <f t="shared" si="6"/>
        <v>0</v>
      </c>
      <c r="V9" t="str">
        <f t="shared" si="11"/>
        <v/>
      </c>
      <c r="W9" s="517" t="str">
        <f t="shared" si="7"/>
        <v/>
      </c>
      <c r="X9" t="str">
        <f t="shared" si="8"/>
        <v/>
      </c>
      <c r="Y9" t="str">
        <f t="shared" si="12"/>
        <v/>
      </c>
      <c r="Z9" s="517" t="str">
        <f>IF(P9=0,"","opl: "&amp;N9&amp;" mL "&amp;INDEX(tblMedDiscOplVl,O9,1)&amp;" "&amp;IF(Q9=0,"","("&amp;ROUND(ber_Med_disc!H9/ber_Med_disc!N9,2)&amp;" "&amp;ber_Med_disc!F9&amp;"/ml)"))</f>
        <v/>
      </c>
      <c r="AA9" t="str">
        <f t="shared" si="13"/>
        <v/>
      </c>
      <c r="AB9" t="str">
        <f>IF(ber_Opm!C23=0,"",ber_Opm!C23)</f>
        <v/>
      </c>
      <c r="AC9" t="str">
        <f t="shared" si="15"/>
        <v/>
      </c>
      <c r="AD9">
        <f t="shared" si="14"/>
        <v>2</v>
      </c>
      <c r="AE9">
        <f t="shared" si="9"/>
        <v>0</v>
      </c>
    </row>
    <row r="10" spans="1:31" x14ac:dyDescent="0.35">
      <c r="A10">
        <v>9</v>
      </c>
      <c r="B10">
        <v>1500</v>
      </c>
      <c r="E10" s="20"/>
      <c r="H10">
        <f t="shared" si="0"/>
        <v>0</v>
      </c>
      <c r="I10">
        <v>1</v>
      </c>
      <c r="J10" s="517">
        <f t="shared" si="1"/>
        <v>0</v>
      </c>
      <c r="K10">
        <f t="shared" si="2"/>
        <v>0</v>
      </c>
      <c r="M10">
        <f t="shared" si="3"/>
        <v>0</v>
      </c>
      <c r="P10">
        <f t="shared" si="10"/>
        <v>0</v>
      </c>
      <c r="R10">
        <f t="shared" si="4"/>
        <v>0</v>
      </c>
      <c r="S10">
        <f t="shared" si="5"/>
        <v>0</v>
      </c>
      <c r="T10">
        <f t="shared" si="6"/>
        <v>0</v>
      </c>
      <c r="V10" t="str">
        <f t="shared" si="11"/>
        <v/>
      </c>
      <c r="W10" s="517" t="str">
        <f t="shared" si="7"/>
        <v/>
      </c>
      <c r="X10" t="str">
        <f t="shared" si="8"/>
        <v/>
      </c>
      <c r="Y10" t="str">
        <f t="shared" si="12"/>
        <v/>
      </c>
      <c r="Z10" s="517" t="str">
        <f>IF(P10=0,"","opl: "&amp;N10&amp;" mL "&amp;INDEX(tblMedDiscOplVl,O10,1)&amp;" "&amp;IF(Q10=0,"","("&amp;ROUND(ber_Med_disc!H10/ber_Med_disc!N10,2)&amp;" "&amp;ber_Med_disc!F10&amp;"/ml)"))</f>
        <v/>
      </c>
      <c r="AA10" t="str">
        <f t="shared" si="13"/>
        <v/>
      </c>
      <c r="AB10" t="str">
        <f>IF(ber_Opm!C24=0,"",ber_Opm!C24)</f>
        <v/>
      </c>
      <c r="AC10" t="str">
        <f t="shared" si="15"/>
        <v/>
      </c>
      <c r="AD10">
        <f t="shared" si="14"/>
        <v>2</v>
      </c>
      <c r="AE10">
        <f t="shared" si="9"/>
        <v>0</v>
      </c>
    </row>
    <row r="11" spans="1:31" x14ac:dyDescent="0.35">
      <c r="A11">
        <v>10</v>
      </c>
      <c r="B11">
        <v>1500</v>
      </c>
      <c r="E11" s="20"/>
      <c r="H11">
        <f t="shared" si="0"/>
        <v>0</v>
      </c>
      <c r="I11">
        <v>1</v>
      </c>
      <c r="J11" s="517">
        <f t="shared" si="1"/>
        <v>0</v>
      </c>
      <c r="K11">
        <f t="shared" si="2"/>
        <v>0</v>
      </c>
      <c r="M11">
        <f t="shared" si="3"/>
        <v>0</v>
      </c>
      <c r="P11">
        <f t="shared" si="10"/>
        <v>0</v>
      </c>
      <c r="R11">
        <f t="shared" si="4"/>
        <v>0</v>
      </c>
      <c r="S11">
        <f t="shared" si="5"/>
        <v>0</v>
      </c>
      <c r="T11">
        <f t="shared" si="6"/>
        <v>0</v>
      </c>
      <c r="V11" t="str">
        <f t="shared" si="11"/>
        <v/>
      </c>
      <c r="W11" s="517" t="str">
        <f t="shared" si="7"/>
        <v/>
      </c>
      <c r="X11" t="str">
        <f t="shared" si="8"/>
        <v/>
      </c>
      <c r="Y11" t="str">
        <f t="shared" si="12"/>
        <v/>
      </c>
      <c r="Z11" s="517" t="str">
        <f>IF(P11=0,"","opl: "&amp;N11&amp;" mL "&amp;INDEX(tblMedDiscOplVl,O11,1)&amp;" "&amp;IF(Q11=0,"","("&amp;ROUND(ber_Med_disc!H11/ber_Med_disc!N11,2)&amp;" "&amp;ber_Med_disc!F11&amp;"/ml)"))</f>
        <v/>
      </c>
      <c r="AA11" t="str">
        <f t="shared" si="13"/>
        <v/>
      </c>
      <c r="AB11" t="str">
        <f>IF(ber_Opm!C25=0,"",ber_Opm!C25)</f>
        <v/>
      </c>
      <c r="AC11" t="str">
        <f t="shared" si="15"/>
        <v/>
      </c>
      <c r="AD11">
        <f t="shared" si="14"/>
        <v>2</v>
      </c>
      <c r="AE11">
        <f t="shared" si="9"/>
        <v>0</v>
      </c>
    </row>
    <row r="12" spans="1:31" x14ac:dyDescent="0.35">
      <c r="A12">
        <v>11</v>
      </c>
      <c r="B12">
        <v>1500</v>
      </c>
      <c r="E12" s="20"/>
      <c r="H12">
        <f t="shared" si="0"/>
        <v>0</v>
      </c>
      <c r="I12">
        <v>1</v>
      </c>
      <c r="J12" s="517">
        <f t="shared" si="1"/>
        <v>0</v>
      </c>
      <c r="K12">
        <f t="shared" si="2"/>
        <v>0</v>
      </c>
      <c r="M12">
        <f t="shared" si="3"/>
        <v>0</v>
      </c>
      <c r="P12">
        <f t="shared" si="10"/>
        <v>0</v>
      </c>
      <c r="R12">
        <f t="shared" si="4"/>
        <v>0</v>
      </c>
      <c r="S12">
        <f t="shared" si="5"/>
        <v>0</v>
      </c>
      <c r="T12">
        <f t="shared" si="6"/>
        <v>0</v>
      </c>
      <c r="V12" t="str">
        <f t="shared" si="11"/>
        <v/>
      </c>
      <c r="W12" s="517" t="str">
        <f t="shared" si="7"/>
        <v/>
      </c>
      <c r="X12" t="str">
        <f t="shared" si="8"/>
        <v/>
      </c>
      <c r="Y12" t="str">
        <f t="shared" si="12"/>
        <v/>
      </c>
      <c r="Z12" s="517" t="str">
        <f>IF(P12=0,"","opl: "&amp;N12&amp;" mL "&amp;INDEX(tblMedDiscOplVl,O12,1)&amp;" "&amp;IF(Q12=0,"","("&amp;ROUND(ber_Med_disc!H12/ber_Med_disc!N12,2)&amp;" "&amp;ber_Med_disc!F12&amp;"/ml)"))</f>
        <v/>
      </c>
      <c r="AA12" t="str">
        <f t="shared" si="13"/>
        <v/>
      </c>
      <c r="AB12" t="str">
        <f>IF(ber_Opm!C26=0,"",ber_Opm!C26)</f>
        <v/>
      </c>
      <c r="AC12" t="str">
        <f t="shared" si="15"/>
        <v/>
      </c>
      <c r="AD12">
        <f t="shared" si="14"/>
        <v>2</v>
      </c>
      <c r="AE12">
        <f t="shared" si="9"/>
        <v>0</v>
      </c>
    </row>
    <row r="13" spans="1:31" x14ac:dyDescent="0.35">
      <c r="A13">
        <v>12</v>
      </c>
      <c r="B13">
        <v>1500</v>
      </c>
      <c r="E13" s="20"/>
      <c r="H13">
        <f t="shared" si="0"/>
        <v>0</v>
      </c>
      <c r="I13">
        <v>1</v>
      </c>
      <c r="J13" s="517">
        <f t="shared" si="1"/>
        <v>0</v>
      </c>
      <c r="K13">
        <f t="shared" si="2"/>
        <v>0</v>
      </c>
      <c r="M13">
        <f t="shared" si="3"/>
        <v>0</v>
      </c>
      <c r="P13">
        <f t="shared" si="10"/>
        <v>0</v>
      </c>
      <c r="R13">
        <f t="shared" si="4"/>
        <v>0</v>
      </c>
      <c r="S13">
        <f t="shared" si="5"/>
        <v>0</v>
      </c>
      <c r="T13">
        <f t="shared" si="6"/>
        <v>0</v>
      </c>
      <c r="V13" t="str">
        <f t="shared" si="11"/>
        <v/>
      </c>
      <c r="W13" s="517" t="str">
        <f t="shared" si="7"/>
        <v/>
      </c>
      <c r="X13" t="str">
        <f t="shared" si="8"/>
        <v/>
      </c>
      <c r="Y13" t="str">
        <f t="shared" si="12"/>
        <v/>
      </c>
      <c r="Z13" s="517" t="str">
        <f>IF(P13=0,"","opl: "&amp;N13&amp;" mL "&amp;INDEX(tblMedDiscOplVl,O13,1)&amp;" "&amp;IF(Q13=0,"","("&amp;ROUND(ber_Med_disc!H13/ber_Med_disc!N13,2)&amp;" "&amp;ber_Med_disc!F13&amp;"/ml)"))</f>
        <v/>
      </c>
      <c r="AA13" t="str">
        <f t="shared" si="13"/>
        <v/>
      </c>
      <c r="AB13" t="str">
        <f>IF(ber_Opm!C27=0,"",ber_Opm!C27)</f>
        <v/>
      </c>
      <c r="AC13" t="str">
        <f t="shared" si="15"/>
        <v/>
      </c>
      <c r="AD13">
        <f t="shared" si="14"/>
        <v>2</v>
      </c>
      <c r="AE13">
        <f t="shared" si="9"/>
        <v>0</v>
      </c>
    </row>
    <row r="14" spans="1:31" x14ac:dyDescent="0.35">
      <c r="A14">
        <v>13</v>
      </c>
      <c r="B14">
        <v>1500</v>
      </c>
      <c r="E14" s="20"/>
      <c r="H14">
        <f t="shared" si="0"/>
        <v>0</v>
      </c>
      <c r="I14">
        <v>1</v>
      </c>
      <c r="J14" s="517">
        <f t="shared" si="1"/>
        <v>0</v>
      </c>
      <c r="K14">
        <f t="shared" si="2"/>
        <v>0</v>
      </c>
      <c r="M14">
        <f t="shared" si="3"/>
        <v>0</v>
      </c>
      <c r="P14">
        <f t="shared" si="10"/>
        <v>0</v>
      </c>
      <c r="R14">
        <f t="shared" si="4"/>
        <v>0</v>
      </c>
      <c r="S14">
        <f t="shared" si="5"/>
        <v>0</v>
      </c>
      <c r="T14">
        <f t="shared" si="6"/>
        <v>0</v>
      </c>
      <c r="V14" t="str">
        <f t="shared" si="11"/>
        <v/>
      </c>
      <c r="W14" s="517" t="str">
        <f t="shared" si="7"/>
        <v/>
      </c>
      <c r="X14" t="str">
        <f t="shared" si="8"/>
        <v/>
      </c>
      <c r="Y14" t="str">
        <f t="shared" si="12"/>
        <v/>
      </c>
      <c r="Z14" s="517" t="str">
        <f>IF(P14=0,"","opl: "&amp;N14&amp;" mL "&amp;INDEX(tblMedDiscOplVl,O14,1)&amp;" "&amp;IF(Q14=0,"","("&amp;ROUND(ber_Med_disc!H14/ber_Med_disc!N14,2)&amp;" "&amp;ber_Med_disc!F14&amp;"/ml)"))</f>
        <v/>
      </c>
      <c r="AA14" t="str">
        <f t="shared" si="13"/>
        <v/>
      </c>
      <c r="AB14" t="str">
        <f>IF(ber_Opm!C28=0,"",ber_Opm!C28)</f>
        <v/>
      </c>
      <c r="AC14" t="str">
        <f t="shared" si="15"/>
        <v/>
      </c>
      <c r="AD14">
        <f t="shared" si="14"/>
        <v>2</v>
      </c>
      <c r="AE14">
        <f t="shared" si="9"/>
        <v>0</v>
      </c>
    </row>
    <row r="15" spans="1:31" x14ac:dyDescent="0.35">
      <c r="A15">
        <v>14</v>
      </c>
      <c r="B15">
        <v>1500</v>
      </c>
      <c r="E15" s="20"/>
      <c r="H15">
        <f t="shared" si="0"/>
        <v>0</v>
      </c>
      <c r="I15">
        <v>1</v>
      </c>
      <c r="J15" s="517">
        <f t="shared" si="1"/>
        <v>0</v>
      </c>
      <c r="K15">
        <f t="shared" si="2"/>
        <v>0</v>
      </c>
      <c r="M15">
        <f t="shared" si="3"/>
        <v>0</v>
      </c>
      <c r="P15">
        <f t="shared" si="10"/>
        <v>0</v>
      </c>
      <c r="R15">
        <f t="shared" si="4"/>
        <v>0</v>
      </c>
      <c r="S15">
        <f t="shared" si="5"/>
        <v>0</v>
      </c>
      <c r="T15">
        <f t="shared" si="6"/>
        <v>0</v>
      </c>
      <c r="V15" t="str">
        <f t="shared" si="11"/>
        <v/>
      </c>
      <c r="W15" s="517" t="str">
        <f t="shared" si="7"/>
        <v/>
      </c>
      <c r="X15" t="str">
        <f t="shared" si="8"/>
        <v/>
      </c>
      <c r="Y15" t="str">
        <f t="shared" si="12"/>
        <v/>
      </c>
      <c r="Z15" s="517" t="str">
        <f>IF(P15=0,"","opl: "&amp;N15&amp;" mL "&amp;INDEX(tblMedDiscOplVl,O15,1)&amp;" "&amp;IF(Q15=0,"","("&amp;ROUND(ber_Med_disc!H15/ber_Med_disc!N15,2)&amp;" "&amp;ber_Med_disc!F15&amp;"/ml)"))</f>
        <v/>
      </c>
      <c r="AA15" t="str">
        <f t="shared" si="13"/>
        <v/>
      </c>
      <c r="AB15" t="str">
        <f>IF(ber_Opm!C29=0,"",ber_Opm!C29)</f>
        <v/>
      </c>
      <c r="AC15" t="str">
        <f t="shared" si="15"/>
        <v/>
      </c>
      <c r="AD15">
        <f t="shared" si="14"/>
        <v>2</v>
      </c>
      <c r="AE15">
        <f t="shared" si="9"/>
        <v>0</v>
      </c>
    </row>
    <row r="16" spans="1:31" x14ac:dyDescent="0.35">
      <c r="A16">
        <v>15</v>
      </c>
      <c r="B16">
        <v>1500</v>
      </c>
      <c r="E16" s="20"/>
      <c r="H16">
        <f t="shared" si="0"/>
        <v>0</v>
      </c>
      <c r="I16">
        <v>1</v>
      </c>
      <c r="J16" s="517">
        <f t="shared" si="1"/>
        <v>0</v>
      </c>
      <c r="K16">
        <f t="shared" si="2"/>
        <v>0</v>
      </c>
      <c r="M16">
        <f t="shared" si="3"/>
        <v>0</v>
      </c>
      <c r="P16">
        <f t="shared" si="10"/>
        <v>0</v>
      </c>
      <c r="R16">
        <f t="shared" si="4"/>
        <v>0</v>
      </c>
      <c r="S16">
        <f t="shared" si="5"/>
        <v>0</v>
      </c>
      <c r="T16">
        <f t="shared" si="6"/>
        <v>0</v>
      </c>
      <c r="V16" t="str">
        <f t="shared" si="11"/>
        <v/>
      </c>
      <c r="W16" s="517" t="str">
        <f t="shared" si="7"/>
        <v/>
      </c>
      <c r="X16" t="str">
        <f t="shared" si="8"/>
        <v/>
      </c>
      <c r="Y16" t="str">
        <f t="shared" si="12"/>
        <v/>
      </c>
      <c r="Z16" s="517" t="str">
        <f>IF(P16=0,"","opl: "&amp;N16&amp;" mL "&amp;INDEX(tblMedDiscOplVl,O16,1)&amp;" "&amp;IF(Q16=0,"","("&amp;ROUND(ber_Med_disc!H16/ber_Med_disc!N16,2)&amp;" "&amp;ber_Med_disc!F16&amp;"/ml)"))</f>
        <v/>
      </c>
      <c r="AA16" t="str">
        <f t="shared" si="13"/>
        <v/>
      </c>
      <c r="AB16" t="str">
        <f>IF(ber_Opm!C30=0,"",ber_Opm!C30)</f>
        <v/>
      </c>
      <c r="AC16" t="str">
        <f t="shared" si="15"/>
        <v/>
      </c>
      <c r="AD16">
        <f t="shared" si="14"/>
        <v>2</v>
      </c>
      <c r="AE16">
        <f t="shared" si="9"/>
        <v>0</v>
      </c>
    </row>
    <row r="17" spans="1:31" x14ac:dyDescent="0.35">
      <c r="A17">
        <v>16</v>
      </c>
      <c r="B17">
        <v>1500</v>
      </c>
      <c r="E17" s="20"/>
      <c r="H17">
        <f t="shared" si="0"/>
        <v>0</v>
      </c>
      <c r="I17">
        <v>1</v>
      </c>
      <c r="J17" s="517">
        <f t="shared" si="1"/>
        <v>0</v>
      </c>
      <c r="K17">
        <f t="shared" si="2"/>
        <v>0</v>
      </c>
      <c r="M17">
        <f t="shared" si="3"/>
        <v>0</v>
      </c>
      <c r="P17">
        <f t="shared" si="10"/>
        <v>0</v>
      </c>
      <c r="R17">
        <f t="shared" si="4"/>
        <v>0</v>
      </c>
      <c r="S17">
        <f t="shared" si="5"/>
        <v>0</v>
      </c>
      <c r="T17">
        <f t="shared" si="6"/>
        <v>0</v>
      </c>
      <c r="V17" t="str">
        <f t="shared" si="11"/>
        <v/>
      </c>
      <c r="W17" s="517" t="str">
        <f t="shared" si="7"/>
        <v/>
      </c>
      <c r="X17" t="str">
        <f t="shared" si="8"/>
        <v/>
      </c>
      <c r="Y17" t="str">
        <f t="shared" si="12"/>
        <v/>
      </c>
      <c r="Z17" s="517" t="str">
        <f>IF(P17=0,"","opl: "&amp;N17&amp;" mL "&amp;INDEX(tblMedDiscOplVl,O17,1)&amp;" "&amp;IF(Q17=0,"","("&amp;ROUND(ber_Med_disc!H17/ber_Med_disc!N17,2)&amp;" "&amp;ber_Med_disc!F17&amp;"/ml)"))</f>
        <v/>
      </c>
      <c r="AA17" t="str">
        <f t="shared" si="13"/>
        <v/>
      </c>
      <c r="AB17" t="str">
        <f>IF(ber_Opm!C31=0,"",ber_Opm!C31)</f>
        <v/>
      </c>
      <c r="AC17" t="str">
        <f t="shared" si="15"/>
        <v/>
      </c>
      <c r="AD17">
        <f t="shared" si="14"/>
        <v>2</v>
      </c>
      <c r="AE17">
        <f t="shared" si="9"/>
        <v>0</v>
      </c>
    </row>
    <row r="18" spans="1:31" x14ac:dyDescent="0.35">
      <c r="A18">
        <v>17</v>
      </c>
      <c r="B18">
        <v>1500</v>
      </c>
      <c r="E18" s="20"/>
      <c r="H18">
        <f t="shared" si="0"/>
        <v>0</v>
      </c>
      <c r="I18">
        <v>1</v>
      </c>
      <c r="J18" s="517">
        <f t="shared" si="1"/>
        <v>0</v>
      </c>
      <c r="K18">
        <f t="shared" si="2"/>
        <v>0</v>
      </c>
      <c r="M18">
        <f t="shared" si="3"/>
        <v>0</v>
      </c>
      <c r="P18">
        <f t="shared" si="10"/>
        <v>0</v>
      </c>
      <c r="R18">
        <f t="shared" si="4"/>
        <v>0</v>
      </c>
      <c r="S18">
        <f t="shared" si="5"/>
        <v>0</v>
      </c>
      <c r="T18">
        <f t="shared" si="6"/>
        <v>0</v>
      </c>
      <c r="V18" t="str">
        <f t="shared" si="11"/>
        <v/>
      </c>
      <c r="W18" s="517" t="str">
        <f t="shared" si="7"/>
        <v/>
      </c>
      <c r="X18" t="str">
        <f t="shared" si="8"/>
        <v/>
      </c>
      <c r="Y18" t="str">
        <f t="shared" si="12"/>
        <v/>
      </c>
      <c r="Z18" s="517" t="str">
        <f>IF(P18=0,"","opl: "&amp;N18&amp;" mL "&amp;INDEX(tblMedDiscOplVl,O18,1)&amp;" "&amp;IF(Q18=0,"","("&amp;ROUND(ber_Med_disc!H18/ber_Med_disc!N18,2)&amp;" "&amp;ber_Med_disc!F18&amp;"/ml)"))</f>
        <v/>
      </c>
      <c r="AA18" t="str">
        <f t="shared" si="13"/>
        <v/>
      </c>
      <c r="AB18" t="str">
        <f>IF(ber_Opm!C32=0,"",ber_Opm!C32)</f>
        <v/>
      </c>
      <c r="AC18" t="str">
        <f t="shared" si="15"/>
        <v/>
      </c>
      <c r="AD18">
        <f t="shared" si="14"/>
        <v>2</v>
      </c>
      <c r="AE18">
        <f t="shared" si="9"/>
        <v>0</v>
      </c>
    </row>
    <row r="19" spans="1:31" x14ac:dyDescent="0.35">
      <c r="A19">
        <v>18</v>
      </c>
      <c r="B19">
        <v>1500</v>
      </c>
      <c r="E19" s="20"/>
      <c r="H19">
        <f t="shared" si="0"/>
        <v>0</v>
      </c>
      <c r="I19">
        <v>1</v>
      </c>
      <c r="J19" s="517">
        <f t="shared" si="1"/>
        <v>0</v>
      </c>
      <c r="K19">
        <f t="shared" si="2"/>
        <v>0</v>
      </c>
      <c r="M19">
        <f t="shared" si="3"/>
        <v>0</v>
      </c>
      <c r="P19">
        <f t="shared" si="10"/>
        <v>0</v>
      </c>
      <c r="R19">
        <f t="shared" si="4"/>
        <v>0</v>
      </c>
      <c r="S19">
        <f t="shared" si="5"/>
        <v>0</v>
      </c>
      <c r="T19">
        <f t="shared" si="6"/>
        <v>0</v>
      </c>
      <c r="V19" t="str">
        <f t="shared" si="11"/>
        <v/>
      </c>
      <c r="W19" s="517" t="str">
        <f t="shared" si="7"/>
        <v/>
      </c>
      <c r="X19" t="str">
        <f t="shared" si="8"/>
        <v/>
      </c>
      <c r="Y19" t="str">
        <f t="shared" si="12"/>
        <v/>
      </c>
      <c r="Z19" s="517" t="str">
        <f>IF(P19=0,"","opl: "&amp;N19&amp;" mL "&amp;INDEX(tblMedDiscOplVl,O19,1)&amp;" "&amp;IF(Q19=0,"","("&amp;ROUND(ber_Med_disc!H19/ber_Med_disc!N19,2)&amp;" "&amp;ber_Med_disc!F19&amp;"/ml)"))</f>
        <v/>
      </c>
      <c r="AA19" t="str">
        <f t="shared" si="13"/>
        <v/>
      </c>
      <c r="AB19" t="str">
        <f>IF(ber_Opm!C33=0,"",ber_Opm!C33)</f>
        <v/>
      </c>
      <c r="AC19" t="str">
        <f t="shared" si="15"/>
        <v/>
      </c>
      <c r="AD19">
        <f t="shared" si="14"/>
        <v>2</v>
      </c>
      <c r="AE19">
        <f t="shared" si="9"/>
        <v>0</v>
      </c>
    </row>
    <row r="20" spans="1:31" x14ac:dyDescent="0.35">
      <c r="A20">
        <v>19</v>
      </c>
      <c r="B20">
        <v>1500</v>
      </c>
      <c r="E20" s="20"/>
      <c r="H20">
        <f t="shared" si="0"/>
        <v>0</v>
      </c>
      <c r="I20">
        <v>1</v>
      </c>
      <c r="J20" s="517">
        <f t="shared" si="1"/>
        <v>0</v>
      </c>
      <c r="K20">
        <f t="shared" si="2"/>
        <v>0</v>
      </c>
      <c r="M20">
        <f t="shared" si="3"/>
        <v>0</v>
      </c>
      <c r="P20">
        <f t="shared" si="10"/>
        <v>0</v>
      </c>
      <c r="R20">
        <f t="shared" si="4"/>
        <v>0</v>
      </c>
      <c r="S20">
        <f t="shared" si="5"/>
        <v>0</v>
      </c>
      <c r="T20">
        <f t="shared" si="6"/>
        <v>0</v>
      </c>
      <c r="V20" t="str">
        <f t="shared" si="11"/>
        <v/>
      </c>
      <c r="W20" s="517" t="str">
        <f t="shared" si="7"/>
        <v/>
      </c>
      <c r="X20" t="str">
        <f t="shared" si="8"/>
        <v/>
      </c>
      <c r="Y20" t="str">
        <f t="shared" si="12"/>
        <v/>
      </c>
      <c r="Z20" s="517" t="str">
        <f>IF(P20=0,"","opl: "&amp;N20&amp;" mL "&amp;INDEX(tblMedDiscOplVl,O20,1)&amp;" "&amp;IF(Q20=0,"","("&amp;ROUND(ber_Med_disc!H20/ber_Med_disc!N20,2)&amp;" "&amp;ber_Med_disc!F20&amp;"/ml)"))</f>
        <v/>
      </c>
      <c r="AA20" t="str">
        <f t="shared" si="13"/>
        <v/>
      </c>
      <c r="AB20" t="str">
        <f>IF(ber_Opm!C34=0,"",ber_Opm!C34)</f>
        <v/>
      </c>
      <c r="AC20" t="str">
        <f t="shared" si="15"/>
        <v/>
      </c>
      <c r="AD20">
        <f t="shared" si="14"/>
        <v>2</v>
      </c>
      <c r="AE20">
        <f t="shared" si="9"/>
        <v>0</v>
      </c>
    </row>
    <row r="21" spans="1:31" x14ac:dyDescent="0.35">
      <c r="A21">
        <v>20</v>
      </c>
      <c r="B21">
        <v>1500</v>
      </c>
      <c r="E21" s="20"/>
      <c r="H21">
        <f t="shared" si="0"/>
        <v>0</v>
      </c>
      <c r="I21">
        <v>1</v>
      </c>
      <c r="J21" s="517">
        <f t="shared" si="1"/>
        <v>0</v>
      </c>
      <c r="K21">
        <f t="shared" si="2"/>
        <v>0</v>
      </c>
      <c r="M21">
        <f t="shared" si="3"/>
        <v>0</v>
      </c>
      <c r="P21">
        <f t="shared" si="10"/>
        <v>0</v>
      </c>
      <c r="R21">
        <f t="shared" si="4"/>
        <v>0</v>
      </c>
      <c r="S21">
        <f t="shared" si="5"/>
        <v>0</v>
      </c>
      <c r="T21">
        <f t="shared" si="6"/>
        <v>0</v>
      </c>
      <c r="V21" t="str">
        <f t="shared" si="11"/>
        <v/>
      </c>
      <c r="W21" s="517" t="str">
        <f t="shared" si="7"/>
        <v/>
      </c>
      <c r="X21" t="str">
        <f t="shared" si="8"/>
        <v/>
      </c>
      <c r="Y21" t="str">
        <f t="shared" si="12"/>
        <v/>
      </c>
      <c r="Z21" s="517" t="str">
        <f>IF(P21=0,"","opl: "&amp;N21&amp;" mL "&amp;INDEX(tblMedDiscOplVl,O21,1)&amp;" "&amp;IF(Q21=0,"","("&amp;ROUND(ber_Med_disc!H21/ber_Med_disc!N21,2)&amp;" "&amp;ber_Med_disc!F21&amp;"/ml)"))</f>
        <v/>
      </c>
      <c r="AA21" t="str">
        <f t="shared" si="13"/>
        <v/>
      </c>
      <c r="AB21" t="str">
        <f>IF(ber_Opm!C35=0,"",ber_Opm!C35)</f>
        <v/>
      </c>
      <c r="AC21" t="str">
        <f t="shared" si="15"/>
        <v/>
      </c>
      <c r="AD21">
        <f t="shared" si="14"/>
        <v>2</v>
      </c>
      <c r="AE21">
        <f t="shared" si="9"/>
        <v>0</v>
      </c>
    </row>
    <row r="22" spans="1:31" x14ac:dyDescent="0.35">
      <c r="A22" s="517">
        <v>21</v>
      </c>
      <c r="B22" s="517">
        <v>1500</v>
      </c>
      <c r="C22" s="517"/>
      <c r="D22" s="517"/>
      <c r="E22" s="519"/>
      <c r="F22" s="517"/>
      <c r="G22" s="517"/>
      <c r="H22" s="517">
        <f t="shared" ref="H22:H31" si="16">E22*G22</f>
        <v>0</v>
      </c>
      <c r="I22" s="517">
        <v>1</v>
      </c>
      <c r="J22" s="517">
        <f t="shared" si="1"/>
        <v>0</v>
      </c>
      <c r="K22" s="517">
        <f t="shared" ref="K22:K31" si="17">J22*H22</f>
        <v>0</v>
      </c>
      <c r="L22" s="517"/>
      <c r="M22" s="517">
        <f t="shared" ref="M22:M31" si="18">IF(ROUND(10*K22/Gewicht,1) = 0,ROUND(10*K22/Gewicht,2),ROUND(10*K22/Gewicht,1) )</f>
        <v>0</v>
      </c>
      <c r="N22" s="517"/>
      <c r="O22" s="517"/>
      <c r="P22" s="517">
        <f t="shared" ref="P22:P31" si="19">IF(O22&gt;1,N22*J22,0)</f>
        <v>0</v>
      </c>
      <c r="Q22" s="517"/>
      <c r="R22" s="517">
        <f t="shared" ref="R22:R31" si="20">IF(O22=2,P22*0.155,0)</f>
        <v>0</v>
      </c>
      <c r="S22" s="517">
        <f t="shared" ref="S22:S31" si="21">IF(O22=3,P22*0.05,0)</f>
        <v>0</v>
      </c>
      <c r="T22" s="517">
        <f t="shared" ref="T22:T31" si="22">IF(O22=4,P22*0.1,0)</f>
        <v>0</v>
      </c>
      <c r="U22" s="517"/>
      <c r="V22" s="517" t="str">
        <f t="shared" ref="V22:V31" si="23">IF(U22=0,"",IF(U22=-1,C22,D22))</f>
        <v/>
      </c>
      <c r="W22" s="517" t="str">
        <f t="shared" ref="W22:W31" si="24">IF(IF(U22=0,"",INDEX(tblMedDiscTijden,I22,2))=0,"",IF(U22=0,"",INDEX(tblMedDiscTijden,I22,2)))</f>
        <v/>
      </c>
      <c r="X22" s="517" t="str">
        <f t="shared" ref="X22:X31" si="25">IF(U22=0,"",H22&amp;" "&amp;F22&amp;" ("&amp;ROUND(K22*10/Gewicht,AD22)&amp;" "&amp;F22&amp;"/kg/dag)")</f>
        <v/>
      </c>
      <c r="Y22" s="517" t="str">
        <f t="shared" ref="Y22:Y31" si="26">IF(U22=0,"",TRIM(L22))</f>
        <v/>
      </c>
      <c r="Z22" s="517" t="str">
        <f>IF(P22=0,"","opl: "&amp;N22&amp;" mL "&amp;INDEX(tblMedDiscOplVl,O22,1)&amp;" "&amp;IF(Q22=0,"","("&amp;ROUND(ber_Med_disc!H22/ber_Med_disc!N22,2)&amp;" "&amp;ber_Med_disc!F22&amp;"/ml)"))</f>
        <v/>
      </c>
      <c r="AA22" s="517" t="str">
        <f t="shared" ref="AA22:AA31" si="27">IF(OR(Q22=0,Z22=""),"","in "&amp;Q22&amp;" min")</f>
        <v/>
      </c>
      <c r="AB22" s="517" t="str">
        <f>IF(ber_Opm!C36=0,"",ber_Opm!C36)</f>
        <v/>
      </c>
      <c r="AC22" s="517" t="str">
        <f t="shared" ref="AC22:AC31" si="28">IF(OR(V22="",V22=0),"",TRIM(V22)&amp;"||"&amp;TRIM(W22)&amp;"||"&amp;TRIM(X22)&amp;"||"&amp;TRIM(Y22)&amp;"||"&amp;TRIM(Z22)&amp;"||"&amp;TRIM(AA22)&amp;"||"&amp;TRIM(AB22))</f>
        <v/>
      </c>
      <c r="AD22" s="517">
        <f t="shared" ref="AD22:AD31" si="29">IF(AE22&gt;=10,0,IF(AE22&gt;=1,1,IF(AE22&gt;=0,2,IF(AE22&gt;=0.1,3,IF(AE22&gt;=0.01,4,5)))))</f>
        <v>2</v>
      </c>
      <c r="AE22" s="517">
        <f t="shared" ref="AE22:AE31" si="30">K22*10/Gewicht</f>
        <v>0</v>
      </c>
    </row>
    <row r="23" spans="1:31" x14ac:dyDescent="0.35">
      <c r="A23" s="517">
        <v>22</v>
      </c>
      <c r="B23" s="517">
        <v>1500</v>
      </c>
      <c r="C23" s="517"/>
      <c r="D23" s="517"/>
      <c r="E23" s="519"/>
      <c r="F23" s="517"/>
      <c r="G23" s="517"/>
      <c r="H23" s="517">
        <f t="shared" si="16"/>
        <v>0</v>
      </c>
      <c r="I23" s="517">
        <v>1</v>
      </c>
      <c r="J23" s="517">
        <f t="shared" si="1"/>
        <v>0</v>
      </c>
      <c r="K23" s="517">
        <f t="shared" si="17"/>
        <v>0</v>
      </c>
      <c r="L23" s="517"/>
      <c r="M23" s="517">
        <f t="shared" si="18"/>
        <v>0</v>
      </c>
      <c r="N23" s="517"/>
      <c r="O23" s="517"/>
      <c r="P23" s="517">
        <f t="shared" si="19"/>
        <v>0</v>
      </c>
      <c r="Q23" s="517"/>
      <c r="R23" s="517">
        <f t="shared" si="20"/>
        <v>0</v>
      </c>
      <c r="S23" s="517">
        <f t="shared" si="21"/>
        <v>0</v>
      </c>
      <c r="T23" s="517">
        <f t="shared" si="22"/>
        <v>0</v>
      </c>
      <c r="U23" s="517"/>
      <c r="V23" s="517" t="str">
        <f t="shared" si="23"/>
        <v/>
      </c>
      <c r="W23" s="517" t="str">
        <f t="shared" si="24"/>
        <v/>
      </c>
      <c r="X23" s="517" t="str">
        <f t="shared" si="25"/>
        <v/>
      </c>
      <c r="Y23" s="517" t="str">
        <f t="shared" si="26"/>
        <v/>
      </c>
      <c r="Z23" s="517" t="str">
        <f>IF(P23=0,"","opl: "&amp;N23&amp;" mL "&amp;INDEX(tblMedDiscOplVl,O23,1)&amp;" "&amp;IF(Q23=0,"","("&amp;ROUND(ber_Med_disc!H23/ber_Med_disc!N23,2)&amp;" "&amp;ber_Med_disc!F23&amp;"/ml)"))</f>
        <v/>
      </c>
      <c r="AA23" s="517" t="str">
        <f t="shared" si="27"/>
        <v/>
      </c>
      <c r="AB23" s="517" t="str">
        <f>IF(ber_Opm!C37=0,"",ber_Opm!C37)</f>
        <v/>
      </c>
      <c r="AC23" s="517" t="str">
        <f t="shared" si="28"/>
        <v/>
      </c>
      <c r="AD23" s="517">
        <f t="shared" si="29"/>
        <v>2</v>
      </c>
      <c r="AE23" s="517">
        <f t="shared" si="30"/>
        <v>0</v>
      </c>
    </row>
    <row r="24" spans="1:31" x14ac:dyDescent="0.35">
      <c r="A24" s="517">
        <v>23</v>
      </c>
      <c r="B24" s="517">
        <v>1500</v>
      </c>
      <c r="C24" s="517"/>
      <c r="D24" s="517"/>
      <c r="E24" s="519"/>
      <c r="F24" s="517"/>
      <c r="G24" s="517"/>
      <c r="H24" s="517">
        <f t="shared" si="16"/>
        <v>0</v>
      </c>
      <c r="I24" s="517">
        <v>1</v>
      </c>
      <c r="J24" s="517">
        <f t="shared" si="1"/>
        <v>0</v>
      </c>
      <c r="K24" s="517">
        <f t="shared" si="17"/>
        <v>0</v>
      </c>
      <c r="L24" s="517"/>
      <c r="M24" s="517">
        <f t="shared" si="18"/>
        <v>0</v>
      </c>
      <c r="N24" s="517"/>
      <c r="O24" s="517"/>
      <c r="P24" s="517">
        <f t="shared" si="19"/>
        <v>0</v>
      </c>
      <c r="Q24" s="517"/>
      <c r="R24" s="517">
        <f t="shared" si="20"/>
        <v>0</v>
      </c>
      <c r="S24" s="517">
        <f t="shared" si="21"/>
        <v>0</v>
      </c>
      <c r="T24" s="517">
        <f t="shared" si="22"/>
        <v>0</v>
      </c>
      <c r="U24" s="517"/>
      <c r="V24" s="517" t="str">
        <f t="shared" si="23"/>
        <v/>
      </c>
      <c r="W24" s="517" t="str">
        <f t="shared" si="24"/>
        <v/>
      </c>
      <c r="X24" s="517" t="str">
        <f t="shared" si="25"/>
        <v/>
      </c>
      <c r="Y24" s="517" t="str">
        <f t="shared" si="26"/>
        <v/>
      </c>
      <c r="Z24" s="517" t="str">
        <f>IF(P24=0,"","opl: "&amp;N24&amp;" mL "&amp;INDEX(tblMedDiscOplVl,O24,1)&amp;" "&amp;IF(Q24=0,"","("&amp;ROUND(ber_Med_disc!H24/ber_Med_disc!N24,2)&amp;" "&amp;ber_Med_disc!F24&amp;"/ml)"))</f>
        <v/>
      </c>
      <c r="AA24" s="517" t="str">
        <f t="shared" si="27"/>
        <v/>
      </c>
      <c r="AB24" s="517" t="str">
        <f>IF(ber_Opm!C38=0,"",ber_Opm!C38)</f>
        <v/>
      </c>
      <c r="AC24" s="517" t="str">
        <f t="shared" si="28"/>
        <v/>
      </c>
      <c r="AD24" s="517">
        <f t="shared" si="29"/>
        <v>2</v>
      </c>
      <c r="AE24" s="517">
        <f t="shared" si="30"/>
        <v>0</v>
      </c>
    </row>
    <row r="25" spans="1:31" x14ac:dyDescent="0.35">
      <c r="A25" s="517">
        <v>24</v>
      </c>
      <c r="B25" s="517">
        <v>1500</v>
      </c>
      <c r="C25" s="517"/>
      <c r="D25" s="517"/>
      <c r="E25" s="519"/>
      <c r="F25" s="517"/>
      <c r="G25" s="517"/>
      <c r="H25" s="517">
        <f t="shared" si="16"/>
        <v>0</v>
      </c>
      <c r="I25" s="517">
        <v>1</v>
      </c>
      <c r="J25" s="517">
        <f t="shared" si="1"/>
        <v>0</v>
      </c>
      <c r="K25" s="517">
        <f t="shared" si="17"/>
        <v>0</v>
      </c>
      <c r="L25" s="517"/>
      <c r="M25" s="517">
        <f t="shared" si="18"/>
        <v>0</v>
      </c>
      <c r="N25" s="517"/>
      <c r="O25" s="517"/>
      <c r="P25" s="517">
        <f t="shared" si="19"/>
        <v>0</v>
      </c>
      <c r="Q25" s="517"/>
      <c r="R25" s="517">
        <f t="shared" si="20"/>
        <v>0</v>
      </c>
      <c r="S25" s="517">
        <f t="shared" si="21"/>
        <v>0</v>
      </c>
      <c r="T25" s="517">
        <f t="shared" si="22"/>
        <v>0</v>
      </c>
      <c r="U25" s="517"/>
      <c r="V25" s="517" t="str">
        <f t="shared" si="23"/>
        <v/>
      </c>
      <c r="W25" s="517" t="str">
        <f t="shared" si="24"/>
        <v/>
      </c>
      <c r="X25" s="517" t="str">
        <f t="shared" si="25"/>
        <v/>
      </c>
      <c r="Y25" s="517" t="str">
        <f t="shared" si="26"/>
        <v/>
      </c>
      <c r="Z25" s="517" t="str">
        <f>IF(P25=0,"","opl: "&amp;N25&amp;" mL "&amp;INDEX(tblMedDiscOplVl,O25,1)&amp;" "&amp;IF(Q25=0,"","("&amp;ROUND(ber_Med_disc!H25/ber_Med_disc!N25,2)&amp;" "&amp;ber_Med_disc!F25&amp;"/ml)"))</f>
        <v/>
      </c>
      <c r="AA25" s="517" t="str">
        <f t="shared" si="27"/>
        <v/>
      </c>
      <c r="AB25" s="517" t="str">
        <f>IF(ber_Opm!C39=0,"",ber_Opm!C39)</f>
        <v/>
      </c>
      <c r="AC25" s="517" t="str">
        <f t="shared" si="28"/>
        <v/>
      </c>
      <c r="AD25" s="517">
        <f t="shared" si="29"/>
        <v>2</v>
      </c>
      <c r="AE25" s="517">
        <f t="shared" si="30"/>
        <v>0</v>
      </c>
    </row>
    <row r="26" spans="1:31" x14ac:dyDescent="0.35">
      <c r="A26" s="517">
        <v>25</v>
      </c>
      <c r="B26" s="517">
        <v>1500</v>
      </c>
      <c r="C26" s="517"/>
      <c r="D26" s="517"/>
      <c r="E26" s="519"/>
      <c r="F26" s="517"/>
      <c r="G26" s="517"/>
      <c r="H26" s="517">
        <f t="shared" si="16"/>
        <v>0</v>
      </c>
      <c r="I26" s="517">
        <v>1</v>
      </c>
      <c r="J26" s="517">
        <f t="shared" si="1"/>
        <v>0</v>
      </c>
      <c r="K26" s="517">
        <f t="shared" si="17"/>
        <v>0</v>
      </c>
      <c r="L26" s="517"/>
      <c r="M26" s="517">
        <f t="shared" si="18"/>
        <v>0</v>
      </c>
      <c r="N26" s="517"/>
      <c r="O26" s="517"/>
      <c r="P26" s="517">
        <f t="shared" si="19"/>
        <v>0</v>
      </c>
      <c r="Q26" s="517"/>
      <c r="R26" s="517">
        <f t="shared" si="20"/>
        <v>0</v>
      </c>
      <c r="S26" s="517">
        <f t="shared" si="21"/>
        <v>0</v>
      </c>
      <c r="T26" s="517">
        <f t="shared" si="22"/>
        <v>0</v>
      </c>
      <c r="U26" s="517"/>
      <c r="V26" s="517" t="str">
        <f t="shared" si="23"/>
        <v/>
      </c>
      <c r="W26" s="517" t="str">
        <f t="shared" si="24"/>
        <v/>
      </c>
      <c r="X26" s="517" t="str">
        <f t="shared" si="25"/>
        <v/>
      </c>
      <c r="Y26" s="517" t="str">
        <f t="shared" si="26"/>
        <v/>
      </c>
      <c r="Z26" s="517" t="str">
        <f>IF(P26=0,"","opl: "&amp;N26&amp;" mL "&amp;INDEX(tblMedDiscOplVl,O26,1)&amp;" "&amp;IF(Q26=0,"","("&amp;ROUND(ber_Med_disc!H26/ber_Med_disc!N26,2)&amp;" "&amp;ber_Med_disc!F26&amp;"/ml)"))</f>
        <v/>
      </c>
      <c r="AA26" s="517" t="str">
        <f t="shared" si="27"/>
        <v/>
      </c>
      <c r="AB26" s="517" t="str">
        <f>IF(ber_Opm!C40=0,"",ber_Opm!C40)</f>
        <v/>
      </c>
      <c r="AC26" s="517" t="str">
        <f t="shared" si="28"/>
        <v/>
      </c>
      <c r="AD26" s="517">
        <f t="shared" si="29"/>
        <v>2</v>
      </c>
      <c r="AE26" s="517">
        <f t="shared" si="30"/>
        <v>0</v>
      </c>
    </row>
    <row r="27" spans="1:31" x14ac:dyDescent="0.35">
      <c r="A27" s="517">
        <v>26</v>
      </c>
      <c r="B27" s="517">
        <v>1500</v>
      </c>
      <c r="C27" s="517"/>
      <c r="D27" s="517"/>
      <c r="E27" s="519"/>
      <c r="F27" s="517"/>
      <c r="G27" s="517"/>
      <c r="H27" s="517">
        <f t="shared" si="16"/>
        <v>0</v>
      </c>
      <c r="I27" s="517">
        <v>1</v>
      </c>
      <c r="J27" s="517">
        <f t="shared" si="1"/>
        <v>0</v>
      </c>
      <c r="K27" s="517">
        <f t="shared" si="17"/>
        <v>0</v>
      </c>
      <c r="L27" s="517"/>
      <c r="M27" s="517">
        <f t="shared" si="18"/>
        <v>0</v>
      </c>
      <c r="N27" s="517"/>
      <c r="O27" s="517"/>
      <c r="P27" s="517">
        <f t="shared" si="19"/>
        <v>0</v>
      </c>
      <c r="Q27" s="517"/>
      <c r="R27" s="517">
        <f t="shared" si="20"/>
        <v>0</v>
      </c>
      <c r="S27" s="517">
        <f t="shared" si="21"/>
        <v>0</v>
      </c>
      <c r="T27" s="517">
        <f t="shared" si="22"/>
        <v>0</v>
      </c>
      <c r="U27" s="517"/>
      <c r="V27" s="517" t="str">
        <f t="shared" si="23"/>
        <v/>
      </c>
      <c r="W27" s="517" t="str">
        <f t="shared" si="24"/>
        <v/>
      </c>
      <c r="X27" s="517" t="str">
        <f t="shared" si="25"/>
        <v/>
      </c>
      <c r="Y27" s="517" t="str">
        <f t="shared" si="26"/>
        <v/>
      </c>
      <c r="Z27" s="517" t="str">
        <f>IF(P27=0,"","opl: "&amp;N27&amp;" mL "&amp;INDEX(tblMedDiscOplVl,O27,1)&amp;" "&amp;IF(Q27=0,"","("&amp;ROUND(ber_Med_disc!H27/ber_Med_disc!N27,2)&amp;" "&amp;ber_Med_disc!F27&amp;"/ml)"))</f>
        <v/>
      </c>
      <c r="AA27" s="517" t="str">
        <f t="shared" si="27"/>
        <v/>
      </c>
      <c r="AB27" s="517" t="str">
        <f>IF(ber_Opm!C41=0,"",ber_Opm!C41)</f>
        <v/>
      </c>
      <c r="AC27" s="517" t="str">
        <f t="shared" si="28"/>
        <v/>
      </c>
      <c r="AD27" s="517">
        <f t="shared" si="29"/>
        <v>2</v>
      </c>
      <c r="AE27" s="517">
        <f t="shared" si="30"/>
        <v>0</v>
      </c>
    </row>
    <row r="28" spans="1:31" x14ac:dyDescent="0.35">
      <c r="A28" s="517">
        <v>27</v>
      </c>
      <c r="B28" s="517">
        <v>1500</v>
      </c>
      <c r="C28" s="517"/>
      <c r="D28" s="517"/>
      <c r="E28" s="519"/>
      <c r="F28" s="517"/>
      <c r="G28" s="517"/>
      <c r="H28" s="517">
        <f t="shared" si="16"/>
        <v>0</v>
      </c>
      <c r="I28" s="517">
        <v>1</v>
      </c>
      <c r="J28" s="517">
        <f t="shared" si="1"/>
        <v>0</v>
      </c>
      <c r="K28" s="517">
        <f t="shared" si="17"/>
        <v>0</v>
      </c>
      <c r="L28" s="517"/>
      <c r="M28" s="517">
        <f t="shared" si="18"/>
        <v>0</v>
      </c>
      <c r="N28" s="517"/>
      <c r="O28" s="517"/>
      <c r="P28" s="517">
        <f t="shared" si="19"/>
        <v>0</v>
      </c>
      <c r="Q28" s="517"/>
      <c r="R28" s="517">
        <f t="shared" si="20"/>
        <v>0</v>
      </c>
      <c r="S28" s="517">
        <f t="shared" si="21"/>
        <v>0</v>
      </c>
      <c r="T28" s="517">
        <f t="shared" si="22"/>
        <v>0</v>
      </c>
      <c r="U28" s="517"/>
      <c r="V28" s="517" t="str">
        <f t="shared" si="23"/>
        <v/>
      </c>
      <c r="W28" s="517" t="str">
        <f t="shared" si="24"/>
        <v/>
      </c>
      <c r="X28" s="517" t="str">
        <f t="shared" si="25"/>
        <v/>
      </c>
      <c r="Y28" s="517" t="str">
        <f t="shared" si="26"/>
        <v/>
      </c>
      <c r="Z28" s="517" t="str">
        <f>IF(P28=0,"","opl: "&amp;N28&amp;" mL "&amp;INDEX(tblMedDiscOplVl,O28,1)&amp;" "&amp;IF(Q28=0,"","("&amp;ROUND(ber_Med_disc!H28/ber_Med_disc!N28,2)&amp;" "&amp;ber_Med_disc!F28&amp;"/ml)"))</f>
        <v/>
      </c>
      <c r="AA28" s="517" t="str">
        <f t="shared" si="27"/>
        <v/>
      </c>
      <c r="AB28" s="517" t="str">
        <f>IF(ber_Opm!C42=0,"",ber_Opm!C42)</f>
        <v/>
      </c>
      <c r="AC28" s="517" t="str">
        <f t="shared" si="28"/>
        <v/>
      </c>
      <c r="AD28" s="517">
        <f t="shared" si="29"/>
        <v>2</v>
      </c>
      <c r="AE28" s="517">
        <f t="shared" si="30"/>
        <v>0</v>
      </c>
    </row>
    <row r="29" spans="1:31" x14ac:dyDescent="0.35">
      <c r="A29" s="517">
        <v>28</v>
      </c>
      <c r="B29" s="517">
        <v>1500</v>
      </c>
      <c r="C29" s="517"/>
      <c r="D29" s="517"/>
      <c r="E29" s="519"/>
      <c r="F29" s="517"/>
      <c r="G29" s="517"/>
      <c r="H29" s="517">
        <f t="shared" si="16"/>
        <v>0</v>
      </c>
      <c r="I29" s="517">
        <v>1</v>
      </c>
      <c r="J29" s="517">
        <f t="shared" si="1"/>
        <v>0</v>
      </c>
      <c r="K29" s="517">
        <f t="shared" si="17"/>
        <v>0</v>
      </c>
      <c r="L29" s="517"/>
      <c r="M29" s="517">
        <f t="shared" si="18"/>
        <v>0</v>
      </c>
      <c r="N29" s="517"/>
      <c r="O29" s="517"/>
      <c r="P29" s="517">
        <f t="shared" si="19"/>
        <v>0</v>
      </c>
      <c r="Q29" s="517"/>
      <c r="R29" s="517">
        <f t="shared" si="20"/>
        <v>0</v>
      </c>
      <c r="S29" s="517">
        <f t="shared" si="21"/>
        <v>0</v>
      </c>
      <c r="T29" s="517">
        <f t="shared" si="22"/>
        <v>0</v>
      </c>
      <c r="U29" s="517"/>
      <c r="V29" s="517" t="str">
        <f t="shared" si="23"/>
        <v/>
      </c>
      <c r="W29" s="517" t="str">
        <f t="shared" si="24"/>
        <v/>
      </c>
      <c r="X29" s="517" t="str">
        <f t="shared" si="25"/>
        <v/>
      </c>
      <c r="Y29" s="517" t="str">
        <f t="shared" si="26"/>
        <v/>
      </c>
      <c r="Z29" s="517" t="str">
        <f>IF(P29=0,"","opl: "&amp;N29&amp;" mL "&amp;INDEX(tblMedDiscOplVl,O29,1)&amp;" "&amp;IF(Q29=0,"","("&amp;ROUND(ber_Med_disc!H29/ber_Med_disc!N29,2)&amp;" "&amp;ber_Med_disc!F29&amp;"/ml)"))</f>
        <v/>
      </c>
      <c r="AA29" s="517" t="str">
        <f t="shared" si="27"/>
        <v/>
      </c>
      <c r="AB29" s="517" t="str">
        <f>IF(ber_Opm!C43=0,"",ber_Opm!C43)</f>
        <v/>
      </c>
      <c r="AC29" s="517" t="str">
        <f t="shared" si="28"/>
        <v/>
      </c>
      <c r="AD29" s="517">
        <f t="shared" si="29"/>
        <v>2</v>
      </c>
      <c r="AE29" s="517">
        <f t="shared" si="30"/>
        <v>0</v>
      </c>
    </row>
    <row r="30" spans="1:31" x14ac:dyDescent="0.35">
      <c r="A30" s="517">
        <v>29</v>
      </c>
      <c r="B30" s="517">
        <v>1500</v>
      </c>
      <c r="C30" s="517"/>
      <c r="D30" s="517"/>
      <c r="E30" s="519"/>
      <c r="F30" s="517"/>
      <c r="G30" s="517"/>
      <c r="H30" s="517">
        <f t="shared" si="16"/>
        <v>0</v>
      </c>
      <c r="I30" s="517">
        <v>1</v>
      </c>
      <c r="J30" s="517">
        <f t="shared" si="1"/>
        <v>0</v>
      </c>
      <c r="K30" s="517">
        <f t="shared" si="17"/>
        <v>0</v>
      </c>
      <c r="L30" s="517"/>
      <c r="M30" s="517">
        <f t="shared" si="18"/>
        <v>0</v>
      </c>
      <c r="N30" s="517"/>
      <c r="O30" s="517"/>
      <c r="P30" s="517">
        <f t="shared" si="19"/>
        <v>0</v>
      </c>
      <c r="Q30" s="517"/>
      <c r="R30" s="517">
        <f t="shared" si="20"/>
        <v>0</v>
      </c>
      <c r="S30" s="517">
        <f t="shared" si="21"/>
        <v>0</v>
      </c>
      <c r="T30" s="517">
        <f t="shared" si="22"/>
        <v>0</v>
      </c>
      <c r="U30" s="517"/>
      <c r="V30" s="517" t="str">
        <f t="shared" si="23"/>
        <v/>
      </c>
      <c r="W30" s="517" t="str">
        <f t="shared" si="24"/>
        <v/>
      </c>
      <c r="X30" s="517" t="str">
        <f t="shared" si="25"/>
        <v/>
      </c>
      <c r="Y30" s="517" t="str">
        <f t="shared" si="26"/>
        <v/>
      </c>
      <c r="Z30" s="517" t="str">
        <f>IF(P30=0,"","opl: "&amp;N30&amp;" mL "&amp;INDEX(tblMedDiscOplVl,O30,1)&amp;" "&amp;IF(Q30=0,"","("&amp;ROUND(ber_Med_disc!H30/ber_Med_disc!N30,2)&amp;" "&amp;ber_Med_disc!F30&amp;"/ml)"))</f>
        <v/>
      </c>
      <c r="AA30" s="517" t="str">
        <f t="shared" si="27"/>
        <v/>
      </c>
      <c r="AB30" s="517" t="str">
        <f>IF(ber_Opm!C44=0,"",ber_Opm!C44)</f>
        <v/>
      </c>
      <c r="AC30" s="517" t="str">
        <f t="shared" si="28"/>
        <v/>
      </c>
      <c r="AD30" s="517">
        <f t="shared" si="29"/>
        <v>2</v>
      </c>
      <c r="AE30" s="517">
        <f t="shared" si="30"/>
        <v>0</v>
      </c>
    </row>
    <row r="31" spans="1:31" x14ac:dyDescent="0.35">
      <c r="A31" s="517">
        <v>30</v>
      </c>
      <c r="B31" s="517">
        <v>1500</v>
      </c>
      <c r="C31" s="517"/>
      <c r="D31" s="517"/>
      <c r="E31" s="519"/>
      <c r="F31" s="517"/>
      <c r="G31" s="517"/>
      <c r="H31" s="517">
        <f t="shared" si="16"/>
        <v>0</v>
      </c>
      <c r="I31" s="517">
        <v>1</v>
      </c>
      <c r="J31" s="517">
        <f t="shared" si="1"/>
        <v>0</v>
      </c>
      <c r="K31" s="517">
        <f t="shared" si="17"/>
        <v>0</v>
      </c>
      <c r="L31" s="517"/>
      <c r="M31" s="517">
        <f t="shared" si="18"/>
        <v>0</v>
      </c>
      <c r="N31" s="517"/>
      <c r="O31" s="517"/>
      <c r="P31" s="517">
        <f t="shared" si="19"/>
        <v>0</v>
      </c>
      <c r="Q31" s="517"/>
      <c r="R31" s="517">
        <f t="shared" si="20"/>
        <v>0</v>
      </c>
      <c r="S31" s="517">
        <f t="shared" si="21"/>
        <v>0</v>
      </c>
      <c r="T31" s="517">
        <f t="shared" si="22"/>
        <v>0</v>
      </c>
      <c r="U31" s="517"/>
      <c r="V31" s="517" t="str">
        <f t="shared" si="23"/>
        <v/>
      </c>
      <c r="W31" s="517" t="str">
        <f t="shared" si="24"/>
        <v/>
      </c>
      <c r="X31" s="517" t="str">
        <f t="shared" si="25"/>
        <v/>
      </c>
      <c r="Y31" s="517" t="str">
        <f t="shared" si="26"/>
        <v/>
      </c>
      <c r="Z31" s="517" t="str">
        <f>IF(P31=0,"","opl: "&amp;N31&amp;" mL "&amp;INDEX(tblMedDiscOplVl,O31,1)&amp;" "&amp;IF(Q31=0,"","("&amp;ROUND(ber_Med_disc!H31/ber_Med_disc!N31,2)&amp;" "&amp;ber_Med_disc!F31&amp;"/ml)"))</f>
        <v/>
      </c>
      <c r="AA31" s="517" t="str">
        <f t="shared" si="27"/>
        <v/>
      </c>
      <c r="AB31" s="517" t="str">
        <f>IF(ber_Opm!C45=0,"",ber_Opm!C45)</f>
        <v/>
      </c>
      <c r="AC31" s="517" t="str">
        <f t="shared" si="28"/>
        <v/>
      </c>
      <c r="AD31" s="517">
        <f t="shared" si="29"/>
        <v>2</v>
      </c>
      <c r="AE31" s="517">
        <f t="shared" si="30"/>
        <v>0</v>
      </c>
    </row>
    <row r="33" spans="2:19" x14ac:dyDescent="0.35">
      <c r="P33">
        <f>SUM(P2:P31)</f>
        <v>0</v>
      </c>
      <c r="R33">
        <f>SUM(R2:R31)</f>
        <v>0</v>
      </c>
      <c r="S33">
        <f>SUM(S2:T31)</f>
        <v>0</v>
      </c>
    </row>
    <row r="34" spans="2:19" x14ac:dyDescent="0.35">
      <c r="B34" s="518" t="s">
        <v>464</v>
      </c>
    </row>
    <row r="40" spans="2:19" x14ac:dyDescent="0.35">
      <c r="D40" s="518"/>
    </row>
    <row r="41" spans="2:19" x14ac:dyDescent="0.35">
      <c r="D41" s="518"/>
    </row>
  </sheetData>
  <customSheetViews>
    <customSheetView guid="{33CCADFA-0D48-46A6-8927-2B2144029216}" state="veryHidden">
      <selection activeCell="A2" sqref="A2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blMedDisc">
    <tabColor rgb="FFFFC000"/>
  </sheetPr>
  <dimension ref="A1:E14"/>
  <sheetViews>
    <sheetView workbookViewId="0">
      <selection activeCell="C5" sqref="C5"/>
    </sheetView>
  </sheetViews>
  <sheetFormatPr defaultRowHeight="12.85" x14ac:dyDescent="0.35"/>
  <cols>
    <col min="1" max="5" width="21.1328125" customWidth="1"/>
  </cols>
  <sheetData>
    <row r="1" spans="1:5" s="3" customFormat="1" ht="13.2" x14ac:dyDescent="0.4">
      <c r="A1" s="3" t="s">
        <v>1951</v>
      </c>
      <c r="B1" s="3" t="s">
        <v>1952</v>
      </c>
      <c r="C1" s="687" t="s">
        <v>1953</v>
      </c>
      <c r="D1" s="687" t="s">
        <v>1954</v>
      </c>
      <c r="E1" s="3" t="s">
        <v>1955</v>
      </c>
    </row>
    <row r="2" spans="1:5" x14ac:dyDescent="0.35">
      <c r="A2" s="517"/>
      <c r="B2" s="517"/>
      <c r="C2" s="517"/>
      <c r="D2" s="517"/>
      <c r="E2" s="517"/>
    </row>
    <row r="3" spans="1:5" x14ac:dyDescent="0.35">
      <c r="A3" s="517" t="s">
        <v>194</v>
      </c>
      <c r="B3" s="517" t="s">
        <v>2244</v>
      </c>
      <c r="C3" s="517">
        <v>0</v>
      </c>
      <c r="D3" s="517" t="s">
        <v>919</v>
      </c>
      <c r="E3" s="517" t="s">
        <v>372</v>
      </c>
    </row>
    <row r="4" spans="1:5" x14ac:dyDescent="0.35">
      <c r="A4" s="517" t="s">
        <v>193</v>
      </c>
      <c r="B4" s="517" t="s">
        <v>579</v>
      </c>
      <c r="C4" s="517">
        <v>1</v>
      </c>
      <c r="D4" s="517" t="s">
        <v>766</v>
      </c>
      <c r="E4" s="517" t="s">
        <v>364</v>
      </c>
    </row>
    <row r="5" spans="1:5" x14ac:dyDescent="0.35">
      <c r="A5" s="517" t="s">
        <v>83</v>
      </c>
      <c r="B5" s="517" t="s">
        <v>580</v>
      </c>
      <c r="C5" s="517">
        <v>0</v>
      </c>
      <c r="D5" s="518" t="s">
        <v>1774</v>
      </c>
      <c r="E5" s="517" t="s">
        <v>62</v>
      </c>
    </row>
    <row r="6" spans="1:5" x14ac:dyDescent="0.35">
      <c r="A6" s="517" t="s">
        <v>626</v>
      </c>
      <c r="B6" s="517"/>
      <c r="C6" s="517">
        <v>1</v>
      </c>
      <c r="D6" s="517" t="s">
        <v>853</v>
      </c>
      <c r="E6" s="517" t="s">
        <v>129</v>
      </c>
    </row>
    <row r="7" spans="1:5" x14ac:dyDescent="0.35">
      <c r="A7" s="517" t="s">
        <v>84</v>
      </c>
      <c r="B7" s="517"/>
      <c r="C7" s="517">
        <v>2</v>
      </c>
      <c r="D7" s="517" t="s">
        <v>854</v>
      </c>
      <c r="E7" s="517" t="s">
        <v>365</v>
      </c>
    </row>
    <row r="8" spans="1:5" x14ac:dyDescent="0.35">
      <c r="A8" s="517" t="s">
        <v>441</v>
      </c>
      <c r="B8" s="517"/>
      <c r="C8" s="517">
        <v>3</v>
      </c>
      <c r="D8" s="517" t="s">
        <v>855</v>
      </c>
      <c r="E8" s="517"/>
    </row>
    <row r="9" spans="1:5" x14ac:dyDescent="0.35">
      <c r="A9" s="517" t="s">
        <v>751</v>
      </c>
      <c r="B9" s="517"/>
      <c r="C9" s="517">
        <v>4</v>
      </c>
      <c r="D9" s="517" t="s">
        <v>856</v>
      </c>
      <c r="E9" s="517"/>
    </row>
    <row r="10" spans="1:5" x14ac:dyDescent="0.35">
      <c r="A10" s="517" t="s">
        <v>752</v>
      </c>
      <c r="B10" s="517"/>
      <c r="C10" s="517">
        <v>5</v>
      </c>
      <c r="D10" s="517" t="s">
        <v>918</v>
      </c>
      <c r="E10" s="517"/>
    </row>
    <row r="11" spans="1:5" x14ac:dyDescent="0.35">
      <c r="A11" s="517" t="s">
        <v>753</v>
      </c>
      <c r="B11" s="517"/>
      <c r="C11" s="517">
        <v>6</v>
      </c>
      <c r="D11" s="517" t="s">
        <v>393</v>
      </c>
      <c r="E11" s="517"/>
    </row>
    <row r="12" spans="1:5" x14ac:dyDescent="0.35">
      <c r="A12" s="517" t="s">
        <v>95</v>
      </c>
      <c r="B12" s="517"/>
      <c r="C12" s="517">
        <v>8</v>
      </c>
      <c r="D12" s="517" t="s">
        <v>394</v>
      </c>
      <c r="E12" s="517"/>
    </row>
    <row r="13" spans="1:5" x14ac:dyDescent="0.35">
      <c r="A13" s="517" t="s">
        <v>325</v>
      </c>
      <c r="B13" s="517"/>
      <c r="C13" s="517">
        <v>12</v>
      </c>
      <c r="D13" s="517" t="s">
        <v>395</v>
      </c>
      <c r="E13" s="517"/>
    </row>
    <row r="14" spans="1:5" x14ac:dyDescent="0.35">
      <c r="A14" s="517"/>
      <c r="B14" s="517"/>
      <c r="C14" s="517">
        <v>24</v>
      </c>
      <c r="D14" s="517" t="s">
        <v>50</v>
      </c>
      <c r="E14" s="517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Infusen">
    <tabColor rgb="FF7030A0"/>
    <pageSetUpPr autoPageBreaks="0"/>
  </sheetPr>
  <dimension ref="A1:L31"/>
  <sheetViews>
    <sheetView workbookViewId="0">
      <pane ySplit="4" topLeftCell="A5" activePane="bottomLeft" state="frozen"/>
      <selection activeCell="A6" sqref="A6"/>
      <selection pane="bottomLeft" activeCell="A6" sqref="A6"/>
    </sheetView>
  </sheetViews>
  <sheetFormatPr defaultColWidth="9.1328125" defaultRowHeight="12.85" x14ac:dyDescent="0.35"/>
  <cols>
    <col min="1" max="1" width="5.59765625" style="23" customWidth="1"/>
    <col min="2" max="2" width="16.59765625" style="23" customWidth="1"/>
    <col min="3" max="3" width="17.265625" style="23" customWidth="1"/>
    <col min="4" max="4" width="17.59765625" style="23" customWidth="1"/>
    <col min="5" max="5" width="18.59765625" style="23" customWidth="1"/>
    <col min="6" max="6" width="18.265625" style="23" customWidth="1"/>
    <col min="7" max="7" width="14.73046875" style="23" customWidth="1"/>
    <col min="8" max="8" width="9.1328125" style="23"/>
    <col min="9" max="9" width="9.3984375" style="23" bestFit="1" customWidth="1"/>
    <col min="10" max="10" width="9.265625" style="23" bestFit="1" customWidth="1"/>
    <col min="11" max="16384" width="9.1328125" style="23"/>
  </cols>
  <sheetData>
    <row r="1" spans="1:12" s="133" customFormat="1" x14ac:dyDescent="0.35">
      <c r="A1" s="590"/>
    </row>
    <row r="2" spans="1:12" s="133" customFormat="1" ht="17.25" customHeight="1" x14ac:dyDescent="0.4">
      <c r="B2" s="134" t="s">
        <v>623</v>
      </c>
      <c r="C2" s="135" t="e">
        <f ca="1">AfspraakDatum</f>
        <v>#NAME?</v>
      </c>
      <c r="D2" s="136"/>
      <c r="E2" s="134" t="s">
        <v>624</v>
      </c>
      <c r="F2" s="137">
        <f>OpnDatum</f>
        <v>42370</v>
      </c>
      <c r="G2" s="134" t="e">
        <f ca="1">"ICU-dag: "&amp;AfspraakDatum-OpnDatum+1</f>
        <v>#NAME?</v>
      </c>
      <c r="H2" s="134"/>
      <c r="I2" s="270" t="s">
        <v>1002</v>
      </c>
      <c r="J2" s="139">
        <f>BedNummer</f>
        <v>0</v>
      </c>
    </row>
    <row r="3" spans="1:12" s="133" customFormat="1" ht="17.25" customHeight="1" x14ac:dyDescent="0.4">
      <c r="B3" s="134" t="s">
        <v>54</v>
      </c>
      <c r="C3" s="138" t="str">
        <f>_AchterNaam&amp;", "&amp;_VoorNaam</f>
        <v>Achternaam, Voornaam</v>
      </c>
      <c r="D3" s="138"/>
      <c r="E3" s="134" t="s">
        <v>638</v>
      </c>
      <c r="F3" s="137">
        <f>GebDatum</f>
        <v>42370</v>
      </c>
      <c r="G3" s="139" t="str">
        <f>"Gewicht: "&amp;Gewicht/10&amp;" kg"</f>
        <v>Gewicht: 10 kg</v>
      </c>
      <c r="H3" s="134"/>
      <c r="I3" s="139" t="str">
        <f>"Lengte: "&amp;Lengte&amp;" cm"</f>
        <v>Lengte: 80 cm</v>
      </c>
      <c r="J3" s="134"/>
    </row>
    <row r="4" spans="1:12" s="133" customFormat="1" ht="17.25" customHeight="1" x14ac:dyDescent="0.4">
      <c r="A4" s="163"/>
      <c r="B4" s="134" t="s">
        <v>707</v>
      </c>
      <c r="C4" s="139">
        <f>PatNummer</f>
        <v>0</v>
      </c>
      <c r="D4" s="136"/>
      <c r="E4" s="134" t="s">
        <v>573</v>
      </c>
      <c r="F4" s="141" t="e">
        <f ca="1">TRUNC((AfspraakDatum-GebDatum)/365,0)&amp;" jaar en "&amp;TRUNC(((AfspraakDatum-GebDatum)-365*TRUNC((AfspraakDatum-GebDatum)/365,0))/30,0)&amp;" maand(-en)"</f>
        <v>#NAME?</v>
      </c>
      <c r="G4" s="134"/>
      <c r="H4" s="134" t="str">
        <f>"Lichamelijk oppervlak: "&amp;ROUND(POWER(Gewicht/10,0.425)*POWER(((Lengte/100)*100),0.725)*0.007184,2)&amp;" m2"</f>
        <v>Lichamelijk oppervlak: 0,46 m2</v>
      </c>
      <c r="I4" s="134"/>
      <c r="J4" s="134"/>
    </row>
    <row r="5" spans="1:12" ht="12.75" customHeight="1" x14ac:dyDescent="0.35"/>
    <row r="6" spans="1:12" ht="17.25" customHeight="1" x14ac:dyDescent="0.4">
      <c r="A6" s="585"/>
      <c r="B6" s="200" t="s">
        <v>47</v>
      </c>
      <c r="H6" s="628"/>
      <c r="I6" s="628"/>
      <c r="J6" s="628"/>
      <c r="K6" s="627"/>
      <c r="L6" s="627"/>
    </row>
    <row r="7" spans="1:12" ht="9.0500000000000007" customHeight="1" x14ac:dyDescent="0.35">
      <c r="H7" s="628"/>
      <c r="I7" s="628" t="s">
        <v>252</v>
      </c>
      <c r="J7" s="628" t="s">
        <v>690</v>
      </c>
      <c r="K7" s="627"/>
      <c r="L7" s="627"/>
    </row>
    <row r="8" spans="1:12" ht="17.25" customHeight="1" x14ac:dyDescent="0.35">
      <c r="A8" s="23">
        <v>1</v>
      </c>
      <c r="C8" s="195"/>
      <c r="E8" s="24"/>
      <c r="F8" s="196" t="str">
        <f>IF(INDEX(tblInfusenBer,ber_Infusen!B2,2)&lt;&gt;0,INDEX(tblInfusenBer,ber_Infusen!B2,2)&amp;" ml","")</f>
        <v/>
      </c>
      <c r="H8" s="628"/>
      <c r="I8" s="628" t="b">
        <f>IF(INDEX(tblInfusenBer,ber_Infusen!B2,2)&lt;&gt;0,INDEX(tblInfusenBer,ber_Infusen!B2,3))</f>
        <v>0</v>
      </c>
      <c r="J8" s="628">
        <f>IF(INDEX(tblInfusenBer,ber_Infusen!B2,2)&lt;&gt;0,INDEX(tblInfusenBer,ber_Infusen!B2,2),0)</f>
        <v>0</v>
      </c>
      <c r="K8" s="627"/>
      <c r="L8" s="627"/>
    </row>
    <row r="9" spans="1:12" ht="17.25" customHeight="1" x14ac:dyDescent="0.35">
      <c r="A9" s="23">
        <v>2</v>
      </c>
      <c r="E9" s="24"/>
      <c r="F9" s="196" t="str">
        <f>IF(INDEX(tblInfusenBer,ber_Infusen!B3,2)&lt;&gt;0,INDEX(tblInfusenBer,ber_Infusen!B3,2)&amp;" ml","")</f>
        <v/>
      </c>
      <c r="H9" s="628"/>
      <c r="I9" s="628" t="b">
        <f>IF(INDEX(tblInfusenBer,ber_Infusen!B3,2)&lt;&gt;0,INDEX(tblInfusenBer,ber_Infusen!B3,3))</f>
        <v>0</v>
      </c>
      <c r="J9" s="628">
        <f>IF(INDEX(tblInfusenBer,ber_Infusen!B3,2)&lt;&gt;0,INDEX(tblInfusenBer,ber_Infusen!B3,2),0)</f>
        <v>0</v>
      </c>
      <c r="K9" s="627"/>
      <c r="L9" s="627"/>
    </row>
    <row r="10" spans="1:12" ht="17.25" customHeight="1" x14ac:dyDescent="0.35">
      <c r="A10" s="23">
        <v>3</v>
      </c>
      <c r="E10" s="24"/>
      <c r="F10" s="196" t="str">
        <f>IF(INDEX(tblInfusenBer,ber_Infusen!B4,2)&lt;&gt;0,INDEX(tblInfusenBer,ber_Infusen!B4,2)&amp;" ml","")</f>
        <v/>
      </c>
      <c r="H10" s="628"/>
      <c r="I10" s="628" t="b">
        <f>IF(INDEX(tblInfusenBer,ber_Infusen!B4,2)&lt;&gt;0,INDEX(tblInfusenBer,ber_Infusen!B4,3))</f>
        <v>0</v>
      </c>
      <c r="J10" s="628">
        <f>IF(INDEX(tblInfusenBer,ber_Infusen!B4,2)&lt;&gt;0,INDEX(tblInfusenBer,ber_Infusen!B4,2),0)</f>
        <v>0</v>
      </c>
      <c r="K10" s="627"/>
      <c r="L10" s="627"/>
    </row>
    <row r="11" spans="1:12" ht="17.25" customHeight="1" x14ac:dyDescent="0.35">
      <c r="A11" s="23">
        <v>4</v>
      </c>
      <c r="E11" s="24"/>
      <c r="F11" s="196" t="str">
        <f>IF(INDEX(tblInfusenBer,ber_Infusen!B5,2)&lt;&gt;0,INDEX(tblInfusenBer,ber_Infusen!B5,2)&amp;" ml","")</f>
        <v/>
      </c>
      <c r="H11" s="628"/>
      <c r="I11" s="628" t="b">
        <f>IF(INDEX(tblInfusenBer,ber_Infusen!B5,2)&lt;&gt;0,INDEX(tblInfusenBer,ber_Infusen!B5,3))</f>
        <v>0</v>
      </c>
      <c r="J11" s="628">
        <f>IF(INDEX(tblInfusenBer,ber_Infusen!B5,2)&lt;&gt;0,INDEX(tblInfusenBer,ber_Infusen!B5,2),0)</f>
        <v>0</v>
      </c>
      <c r="K11" s="627"/>
      <c r="L11" s="627"/>
    </row>
    <row r="12" spans="1:12" ht="17.25" customHeight="1" x14ac:dyDescent="0.35">
      <c r="A12" s="23">
        <v>5</v>
      </c>
      <c r="E12" s="24"/>
      <c r="F12" s="196" t="str">
        <f>IF(INDEX(tblInfusenBer,ber_Infusen!B6,2)&lt;&gt;0,INDEX(tblInfusenBer,ber_Infusen!B6,2)&amp;" ml","")</f>
        <v/>
      </c>
      <c r="H12" s="628"/>
      <c r="I12" s="628" t="b">
        <f>IF(INDEX(tblInfusenBer,ber_Infusen!B6,2)&lt;&gt;0,INDEX(tblInfusenBer,ber_Infusen!B6,3))</f>
        <v>0</v>
      </c>
      <c r="J12" s="628">
        <f>IF(INDEX(tblInfusenBer,ber_Infusen!B6,2)&lt;&gt;0,INDEX(tblInfusenBer,ber_Infusen!B6,2),0)</f>
        <v>0</v>
      </c>
      <c r="K12" s="627"/>
      <c r="L12" s="627"/>
    </row>
    <row r="13" spans="1:12" ht="17.25" customHeight="1" x14ac:dyDescent="0.35">
      <c r="A13" s="23">
        <v>6</v>
      </c>
      <c r="E13" s="24"/>
      <c r="F13" s="196" t="str">
        <f>IF(INDEX(tblInfusenBer,ber_Infusen!B7,2)&lt;&gt;0,INDEX(tblInfusenBer,ber_Infusen!B7,2)&amp;" ml","")</f>
        <v/>
      </c>
      <c r="H13" s="628"/>
      <c r="I13" s="628" t="b">
        <f>IF(INDEX(tblInfusenBer,ber_Infusen!B7,2)&lt;&gt;0,INDEX(tblInfusenBer,ber_Infusen!B7,3))</f>
        <v>0</v>
      </c>
      <c r="J13" s="628">
        <f>IF(INDEX(tblInfusenBer,ber_Infusen!B7,2)&lt;&gt;0,INDEX(tblInfusenBer,ber_Infusen!B7,2),0)</f>
        <v>0</v>
      </c>
      <c r="K13" s="627"/>
      <c r="L13" s="627"/>
    </row>
    <row r="14" spans="1:12" ht="17.25" customHeight="1" x14ac:dyDescent="0.35">
      <c r="H14" s="628"/>
      <c r="I14" s="628"/>
      <c r="J14" s="628"/>
      <c r="K14" s="627"/>
      <c r="L14" s="627"/>
    </row>
    <row r="15" spans="1:12" ht="17.25" customHeight="1" x14ac:dyDescent="0.35">
      <c r="B15" s="163" t="s">
        <v>596</v>
      </c>
      <c r="C15" s="659">
        <f>ber_Opm!C3</f>
        <v>0</v>
      </c>
      <c r="D15" s="655"/>
      <c r="E15" s="655"/>
      <c r="F15" s="655"/>
      <c r="G15" s="655"/>
      <c r="H15" s="657"/>
      <c r="I15" s="657">
        <f>SUM(I8:I14)</f>
        <v>0</v>
      </c>
      <c r="J15" s="657">
        <f>SUM(J8:J14)</f>
        <v>0</v>
      </c>
      <c r="K15" s="627"/>
      <c r="L15" s="627"/>
    </row>
    <row r="16" spans="1:12" ht="17.25" customHeight="1" x14ac:dyDescent="0.35">
      <c r="B16" s="24"/>
      <c r="C16" s="24"/>
      <c r="D16" s="24"/>
      <c r="E16" s="24"/>
      <c r="F16" s="24"/>
      <c r="G16" s="24"/>
      <c r="H16" s="656"/>
      <c r="I16" s="656"/>
      <c r="J16" s="656"/>
      <c r="K16" s="627"/>
      <c r="L16" s="627"/>
    </row>
    <row r="17" spans="2:10" ht="20.100000000000001" customHeight="1" x14ac:dyDescent="0.35">
      <c r="B17" s="144"/>
      <c r="C17" s="198"/>
      <c r="D17" s="198"/>
      <c r="E17" s="198"/>
      <c r="F17" s="198"/>
      <c r="G17" s="198"/>
      <c r="H17" s="658"/>
      <c r="I17" s="658"/>
      <c r="J17" s="198"/>
    </row>
    <row r="18" spans="2:10" ht="20.100000000000001" customHeight="1" x14ac:dyDescent="0.4">
      <c r="B18" s="200" t="s">
        <v>27</v>
      </c>
      <c r="H18" s="198"/>
      <c r="I18" s="198"/>
      <c r="J18" s="198"/>
    </row>
    <row r="19" spans="2:10" ht="20.100000000000001" customHeight="1" x14ac:dyDescent="0.35"/>
    <row r="20" spans="2:10" ht="20.100000000000001" customHeight="1" x14ac:dyDescent="0.35">
      <c r="B20" s="133" t="s">
        <v>549</v>
      </c>
      <c r="E20" s="133" t="s">
        <v>106</v>
      </c>
    </row>
    <row r="21" spans="2:10" ht="20.100000000000001" customHeight="1" x14ac:dyDescent="0.35"/>
    <row r="22" spans="2:10" ht="13.2" x14ac:dyDescent="0.4">
      <c r="B22" s="133" t="s">
        <v>602</v>
      </c>
      <c r="C22" s="199" t="str">
        <f>IF(ber_Infusen!D1&gt;1,ber_Infusen!G1&amp;" /min","")</f>
        <v xml:space="preserve"> /min</v>
      </c>
    </row>
    <row r="23" spans="2:10" ht="17.25" customHeight="1" x14ac:dyDescent="0.4">
      <c r="C23" s="199"/>
    </row>
    <row r="24" spans="2:10" ht="17.25" customHeight="1" x14ac:dyDescent="0.4">
      <c r="B24" s="133" t="s">
        <v>107</v>
      </c>
      <c r="C24" s="199" t="str">
        <f>IF(ber_Infusen!D1&gt;1,(ber_Infusen!G2/10)&amp;" V","")</f>
        <v>0 V</v>
      </c>
    </row>
    <row r="25" spans="2:10" ht="17.25" customHeight="1" x14ac:dyDescent="0.4">
      <c r="B25" s="133" t="s">
        <v>108</v>
      </c>
      <c r="C25" s="199" t="str">
        <f>IF(ber_Infusen!D1&gt;1,(ber_Infusen!G3/10)&amp;" V","")</f>
        <v>0 V</v>
      </c>
    </row>
    <row r="26" spans="2:10" ht="17.25" customHeight="1" x14ac:dyDescent="0.4">
      <c r="C26" s="199"/>
    </row>
    <row r="27" spans="2:10" ht="17.25" customHeight="1" x14ac:dyDescent="0.4">
      <c r="B27" s="133" t="s">
        <v>109</v>
      </c>
      <c r="C27" s="199" t="str">
        <f>IF(ber_Infusen!D1&gt;1,ber_Infusen!G4&amp;" msec","")</f>
        <v xml:space="preserve"> msec</v>
      </c>
    </row>
    <row r="28" spans="2:10" ht="17.25" customHeight="1" x14ac:dyDescent="0.4">
      <c r="C28" s="199"/>
    </row>
    <row r="29" spans="2:10" ht="17.25" customHeight="1" x14ac:dyDescent="0.4">
      <c r="B29" s="133" t="s">
        <v>110</v>
      </c>
      <c r="C29" s="199" t="str">
        <f>IF(ber_Infusen!D1&gt;1,ber_Infusen!G5/10&amp;" mV","")</f>
        <v>0 mV</v>
      </c>
    </row>
    <row r="30" spans="2:10" ht="17.25" customHeight="1" x14ac:dyDescent="0.4">
      <c r="B30" s="133" t="s">
        <v>111</v>
      </c>
      <c r="C30" s="199" t="str">
        <f>IF(ber_Infusen!D1&gt;1,(ber_Infusen!G6/10)&amp;" mV","")</f>
        <v>0 mV</v>
      </c>
    </row>
    <row r="31" spans="2:10" ht="17.25" customHeight="1" x14ac:dyDescent="0.35"/>
  </sheetData>
  <sheetProtection algorithmName="SHA-512" hashValue="v2r2SUoYS3s1Q8+38ZQLV86Y15nKGUQ1UTyaHO2XW0NQ71G4T0pxg2FtekSW8GLeVIoy16UQKfRuZXtI8NqIwQ==" saltValue="pWu15Vd7GTXhTZ2HUmgUfg==" spinCount="100000" sheet="1" objects="1" scenarios="1" selectLockedCells="1" selectUnlockedCells="1"/>
  <customSheetViews>
    <customSheetView guid="{33CCADFA-0D48-46A6-8927-2B2144029216}">
      <pane ySplit="4" topLeftCell="A14" activePane="bottomLeft" state="frozen"/>
      <selection pane="bottomLeft" activeCell="B25" sqref="B25:F27"/>
      <pageMargins left="0.75" right="0.75" top="1" bottom="1" header="0.5" footer="0.5"/>
      <pageSetup paperSize="9" orientation="portrait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5" name="Drop Down 3">
              <controlPr defaultSize="0" autoLine="0" autoPict="0">
                <anchor moveWithCells="1">
                  <from>
                    <xdr:col>1</xdr:col>
                    <xdr:colOff>9575</xdr:colOff>
                    <xdr:row>7</xdr:row>
                    <xdr:rowOff>19150</xdr:rowOff>
                  </from>
                  <to>
                    <xdr:col>4</xdr:col>
                    <xdr:colOff>904825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Drop Down 4">
              <controlPr defaultSize="0" autoLine="0" autoPict="0">
                <anchor moveWithCells="1">
                  <from>
                    <xdr:col>1</xdr:col>
                    <xdr:colOff>9575</xdr:colOff>
                    <xdr:row>8</xdr:row>
                    <xdr:rowOff>19150</xdr:rowOff>
                  </from>
                  <to>
                    <xdr:col>4</xdr:col>
                    <xdr:colOff>904825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Drop Down 5">
              <controlPr defaultSize="0" autoLine="0" autoPict="0">
                <anchor moveWithCells="1">
                  <from>
                    <xdr:col>1</xdr:col>
                    <xdr:colOff>9575</xdr:colOff>
                    <xdr:row>9</xdr:row>
                    <xdr:rowOff>19150</xdr:rowOff>
                  </from>
                  <to>
                    <xdr:col>4</xdr:col>
                    <xdr:colOff>904825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8" name="Drop Down 6">
              <controlPr defaultSize="0" autoLine="0" autoPict="0">
                <anchor moveWithCells="1">
                  <from>
                    <xdr:col>1</xdr:col>
                    <xdr:colOff>9575</xdr:colOff>
                    <xdr:row>10</xdr:row>
                    <xdr:rowOff>19150</xdr:rowOff>
                  </from>
                  <to>
                    <xdr:col>4</xdr:col>
                    <xdr:colOff>904825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9" name="Drop Down 7">
              <controlPr defaultSize="0" autoLine="0" autoPict="0">
                <anchor moveWithCells="1">
                  <from>
                    <xdr:col>1</xdr:col>
                    <xdr:colOff>9575</xdr:colOff>
                    <xdr:row>11</xdr:row>
                    <xdr:rowOff>19150</xdr:rowOff>
                  </from>
                  <to>
                    <xdr:col>4</xdr:col>
                    <xdr:colOff>904825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10" name="Drop Down 8">
              <controlPr defaultSize="0" autoLine="0" autoPict="0">
                <anchor moveWithCells="1">
                  <from>
                    <xdr:col>1</xdr:col>
                    <xdr:colOff>9575</xdr:colOff>
                    <xdr:row>12</xdr:row>
                    <xdr:rowOff>19150</xdr:rowOff>
                  </from>
                  <to>
                    <xdr:col>4</xdr:col>
                    <xdr:colOff>904825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0" r:id="rId11" name="Spinner 46">
              <controlPr defaultSize="0" autoPict="0">
                <anchor moveWithCells="1" sizeWithCells="1">
                  <from>
                    <xdr:col>9</xdr:col>
                    <xdr:colOff>411719</xdr:colOff>
                    <xdr:row>2</xdr:row>
                    <xdr:rowOff>0</xdr:rowOff>
                  </from>
                  <to>
                    <xdr:col>9</xdr:col>
                    <xdr:colOff>569705</xdr:colOff>
                    <xdr:row>2</xdr:row>
                    <xdr:rowOff>172348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2" name="Drop Down 56">
              <controlPr defaultSize="0" autoLine="0" autoPict="0">
                <anchor moveWithCells="1">
                  <from>
                    <xdr:col>2</xdr:col>
                    <xdr:colOff>9575</xdr:colOff>
                    <xdr:row>19</xdr:row>
                    <xdr:rowOff>19150</xdr:rowOff>
                  </from>
                  <to>
                    <xdr:col>3</xdr:col>
                    <xdr:colOff>473956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3" name="Drop Down 57">
              <controlPr defaultSize="0" autoLine="0" autoPict="0">
                <anchor moveWithCells="1">
                  <from>
                    <xdr:col>5</xdr:col>
                    <xdr:colOff>9575</xdr:colOff>
                    <xdr:row>19</xdr:row>
                    <xdr:rowOff>19150</xdr:rowOff>
                  </from>
                  <to>
                    <xdr:col>6</xdr:col>
                    <xdr:colOff>411719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4" name="Spinner 64">
              <controlPr defaultSize="0" autoPict="0">
                <anchor moveWithCells="1" sizeWithCells="1">
                  <from>
                    <xdr:col>2</xdr:col>
                    <xdr:colOff>990999</xdr:colOff>
                    <xdr:row>21</xdr:row>
                    <xdr:rowOff>28725</xdr:rowOff>
                  </from>
                  <to>
                    <xdr:col>3</xdr:col>
                    <xdr:colOff>0</xdr:colOff>
                    <xdr:row>22</xdr:row>
                    <xdr:rowOff>38299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5" name="Spinner 65">
              <controlPr defaultSize="0" autoPict="0">
                <anchor moveWithCells="1" sizeWithCells="1">
                  <from>
                    <xdr:col>2</xdr:col>
                    <xdr:colOff>990999</xdr:colOff>
                    <xdr:row>23</xdr:row>
                    <xdr:rowOff>28725</xdr:rowOff>
                  </from>
                  <to>
                    <xdr:col>3</xdr:col>
                    <xdr:colOff>0</xdr:colOff>
                    <xdr:row>23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16" name="Spinner 66">
              <controlPr defaultSize="0" autoPict="0">
                <anchor moveWithCells="1" sizeWithCells="1">
                  <from>
                    <xdr:col>2</xdr:col>
                    <xdr:colOff>990999</xdr:colOff>
                    <xdr:row>24</xdr:row>
                    <xdr:rowOff>28725</xdr:rowOff>
                  </from>
                  <to>
                    <xdr:col>3</xdr:col>
                    <xdr:colOff>0</xdr:colOff>
                    <xdr:row>24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17" name="Spinner 67">
              <controlPr defaultSize="0" autoPict="0">
                <anchor moveWithCells="1" sizeWithCells="1">
                  <from>
                    <xdr:col>2</xdr:col>
                    <xdr:colOff>990999</xdr:colOff>
                    <xdr:row>26</xdr:row>
                    <xdr:rowOff>28725</xdr:rowOff>
                  </from>
                  <to>
                    <xdr:col>3</xdr:col>
                    <xdr:colOff>0</xdr:colOff>
                    <xdr:row>26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18" name="Spinner 68">
              <controlPr defaultSize="0" autoPict="0">
                <anchor moveWithCells="1" sizeWithCells="1">
                  <from>
                    <xdr:col>2</xdr:col>
                    <xdr:colOff>990999</xdr:colOff>
                    <xdr:row>28</xdr:row>
                    <xdr:rowOff>28725</xdr:rowOff>
                  </from>
                  <to>
                    <xdr:col>3</xdr:col>
                    <xdr:colOff>0</xdr:colOff>
                    <xdr:row>28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19" name="Spinner 69">
              <controlPr defaultSize="0" autoPict="0">
                <anchor moveWithCells="1" sizeWithCells="1">
                  <from>
                    <xdr:col>2</xdr:col>
                    <xdr:colOff>990999</xdr:colOff>
                    <xdr:row>29</xdr:row>
                    <xdr:rowOff>28725</xdr:rowOff>
                  </from>
                  <to>
                    <xdr:col>3</xdr:col>
                    <xdr:colOff>0</xdr:colOff>
                    <xdr:row>29</xdr:row>
                    <xdr:rowOff>201072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Infusen">
    <tabColor rgb="FF92D050"/>
  </sheetPr>
  <dimension ref="A1:H33"/>
  <sheetViews>
    <sheetView workbookViewId="0">
      <selection activeCell="H1" sqref="H1"/>
    </sheetView>
  </sheetViews>
  <sheetFormatPr defaultRowHeight="12.85" x14ac:dyDescent="0.35"/>
  <cols>
    <col min="1" max="2" width="15.3984375" customWidth="1"/>
  </cols>
  <sheetData>
    <row r="1" spans="1:8" ht="13.2" x14ac:dyDescent="0.4">
      <c r="A1" s="3" t="s">
        <v>1958</v>
      </c>
      <c r="B1" s="3" t="s">
        <v>1959</v>
      </c>
      <c r="D1" s="3" t="s">
        <v>548</v>
      </c>
      <c r="E1" s="3" t="s">
        <v>112</v>
      </c>
      <c r="F1" s="3" t="s">
        <v>444</v>
      </c>
      <c r="H1">
        <v>70</v>
      </c>
    </row>
    <row r="2" spans="1:8" ht="13.2" x14ac:dyDescent="0.4">
      <c r="A2" s="9">
        <v>1</v>
      </c>
      <c r="B2" s="9">
        <v>1</v>
      </c>
      <c r="F2" s="3" t="s">
        <v>544</v>
      </c>
      <c r="H2">
        <v>10</v>
      </c>
    </row>
    <row r="3" spans="1:8" ht="13.2" x14ac:dyDescent="0.4">
      <c r="A3" s="9">
        <v>2</v>
      </c>
      <c r="B3" s="9">
        <v>1</v>
      </c>
      <c r="F3" s="3" t="s">
        <v>545</v>
      </c>
      <c r="H3">
        <v>10</v>
      </c>
    </row>
    <row r="4" spans="1:8" ht="13.2" x14ac:dyDescent="0.4">
      <c r="A4" s="9">
        <v>3</v>
      </c>
      <c r="B4" s="9">
        <v>1</v>
      </c>
      <c r="F4" s="3" t="s">
        <v>546</v>
      </c>
      <c r="H4">
        <v>170</v>
      </c>
    </row>
    <row r="5" spans="1:8" ht="13.2" x14ac:dyDescent="0.4">
      <c r="A5" s="9">
        <v>4</v>
      </c>
      <c r="B5" s="9">
        <v>1</v>
      </c>
      <c r="C5" s="626"/>
      <c r="F5" s="3" t="s">
        <v>547</v>
      </c>
      <c r="H5">
        <v>20</v>
      </c>
    </row>
    <row r="6" spans="1:8" ht="13.2" x14ac:dyDescent="0.4">
      <c r="A6" s="9">
        <v>5</v>
      </c>
      <c r="B6" s="9">
        <v>1</v>
      </c>
      <c r="C6" s="626"/>
      <c r="F6" s="3" t="s">
        <v>616</v>
      </c>
      <c r="H6">
        <v>20</v>
      </c>
    </row>
    <row r="7" spans="1:8" ht="13.2" x14ac:dyDescent="0.4">
      <c r="A7" s="9">
        <v>6</v>
      </c>
      <c r="B7" s="9">
        <v>1</v>
      </c>
      <c r="C7" s="626"/>
    </row>
    <row r="8" spans="1:8" ht="13.2" x14ac:dyDescent="0.4">
      <c r="A8" s="626"/>
      <c r="B8" s="626"/>
      <c r="C8" s="626"/>
      <c r="E8" t="b">
        <v>1</v>
      </c>
    </row>
    <row r="9" spans="1:8" ht="13.2" x14ac:dyDescent="0.4">
      <c r="A9" s="626"/>
      <c r="B9" s="626"/>
      <c r="C9" s="626"/>
    </row>
    <row r="10" spans="1:8" ht="13.2" x14ac:dyDescent="0.4">
      <c r="A10" s="626"/>
      <c r="B10" s="626"/>
      <c r="C10" s="626"/>
    </row>
    <row r="11" spans="1:8" ht="13.2" x14ac:dyDescent="0.4">
      <c r="A11" s="626"/>
      <c r="B11" s="626"/>
      <c r="C11" s="626"/>
    </row>
    <row r="12" spans="1:8" ht="13.2" x14ac:dyDescent="0.4">
      <c r="A12" s="626"/>
      <c r="B12" s="626"/>
      <c r="C12" s="626"/>
    </row>
    <row r="13" spans="1:8" ht="13.2" x14ac:dyDescent="0.4">
      <c r="A13" s="626"/>
      <c r="B13" s="626"/>
      <c r="C13" s="626"/>
    </row>
    <row r="14" spans="1:8" ht="13.2" x14ac:dyDescent="0.4">
      <c r="A14" s="626"/>
      <c r="B14" s="626"/>
      <c r="C14" s="626"/>
    </row>
    <row r="15" spans="1:8" ht="13.2" x14ac:dyDescent="0.4">
      <c r="A15" s="626"/>
      <c r="B15" s="626"/>
      <c r="C15" s="626"/>
    </row>
    <row r="16" spans="1:8" ht="13.2" x14ac:dyDescent="0.4">
      <c r="A16" s="626"/>
      <c r="B16" s="626"/>
      <c r="C16" s="626"/>
    </row>
    <row r="17" spans="1:3" ht="13.2" x14ac:dyDescent="0.4">
      <c r="A17" s="626"/>
      <c r="B17" s="626"/>
      <c r="C17" s="626"/>
    </row>
    <row r="18" spans="1:3" ht="13.2" x14ac:dyDescent="0.4">
      <c r="A18" s="626"/>
      <c r="B18" s="626"/>
      <c r="C18" s="626"/>
    </row>
    <row r="19" spans="1:3" ht="13.2" x14ac:dyDescent="0.4">
      <c r="A19" s="626"/>
      <c r="B19" s="626"/>
      <c r="C19" s="626"/>
    </row>
    <row r="20" spans="1:3" ht="13.2" x14ac:dyDescent="0.4">
      <c r="A20" s="626"/>
      <c r="B20" s="626"/>
      <c r="C20" s="626"/>
    </row>
    <row r="21" spans="1:3" ht="13.2" x14ac:dyDescent="0.4">
      <c r="A21" s="626"/>
      <c r="B21" s="626"/>
      <c r="C21" s="626"/>
    </row>
    <row r="22" spans="1:3" ht="13.2" x14ac:dyDescent="0.4">
      <c r="A22" s="626"/>
      <c r="B22" s="626"/>
      <c r="C22" s="626"/>
    </row>
    <row r="23" spans="1:3" ht="13.2" x14ac:dyDescent="0.4">
      <c r="A23" s="626"/>
      <c r="B23" s="626"/>
      <c r="C23" s="626"/>
    </row>
    <row r="24" spans="1:3" ht="13.2" x14ac:dyDescent="0.4">
      <c r="A24" s="626"/>
      <c r="B24" s="626"/>
      <c r="C24" s="626"/>
    </row>
    <row r="25" spans="1:3" ht="13.2" x14ac:dyDescent="0.4">
      <c r="A25" s="626"/>
      <c r="B25" s="626"/>
      <c r="C25" s="626"/>
    </row>
    <row r="26" spans="1:3" ht="13.2" x14ac:dyDescent="0.4">
      <c r="A26" s="626"/>
      <c r="B26" s="626"/>
      <c r="C26" s="626"/>
    </row>
    <row r="27" spans="1:3" ht="13.2" x14ac:dyDescent="0.4">
      <c r="A27" s="626"/>
      <c r="B27" s="626"/>
      <c r="C27" s="626"/>
    </row>
    <row r="28" spans="1:3" ht="13.2" x14ac:dyDescent="0.4">
      <c r="A28" s="626"/>
      <c r="B28" s="626"/>
      <c r="C28" s="626"/>
    </row>
    <row r="29" spans="1:3" ht="13.2" x14ac:dyDescent="0.4">
      <c r="A29" s="626"/>
      <c r="B29" s="626"/>
      <c r="C29" s="626"/>
    </row>
    <row r="30" spans="1:3" ht="13.2" x14ac:dyDescent="0.4">
      <c r="A30" s="626"/>
      <c r="B30" s="626"/>
      <c r="C30" s="626"/>
    </row>
    <row r="31" spans="1:3" ht="13.2" x14ac:dyDescent="0.4">
      <c r="A31" s="626"/>
      <c r="B31" s="626"/>
      <c r="C31" s="626"/>
    </row>
    <row r="32" spans="1:3" ht="13.2" x14ac:dyDescent="0.4">
      <c r="A32" s="626"/>
      <c r="B32" s="626"/>
      <c r="C32" s="626"/>
    </row>
    <row r="33" spans="1:3" ht="13.2" x14ac:dyDescent="0.4">
      <c r="A33" s="626"/>
      <c r="B33" s="626"/>
      <c r="C33" s="626"/>
    </row>
  </sheetData>
  <customSheetViews>
    <customSheetView guid="{33CCADFA-0D48-46A6-8927-2B2144029216}" state="veryHidden" topLeftCell="H1">
      <selection activeCell="R1" sqref="R1:R6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blInfusen">
    <tabColor rgb="FFFFC000"/>
  </sheetPr>
  <dimension ref="A1:F34"/>
  <sheetViews>
    <sheetView workbookViewId="0">
      <selection activeCell="F2" sqref="F2:F5"/>
    </sheetView>
  </sheetViews>
  <sheetFormatPr defaultRowHeight="12.85" x14ac:dyDescent="0.35"/>
  <cols>
    <col min="1" max="1" width="59.3984375" customWidth="1"/>
    <col min="5" max="6" width="18.73046875" customWidth="1"/>
  </cols>
  <sheetData>
    <row r="1" spans="1:6" s="3" customFormat="1" ht="13.2" x14ac:dyDescent="0.4">
      <c r="A1" s="3" t="s">
        <v>1956</v>
      </c>
      <c r="B1" s="3" t="s">
        <v>574</v>
      </c>
      <c r="C1" s="3" t="s">
        <v>1957</v>
      </c>
      <c r="E1" s="3" t="s">
        <v>1960</v>
      </c>
      <c r="F1" s="3" t="s">
        <v>1961</v>
      </c>
    </row>
    <row r="2" spans="1:6" ht="13.2" x14ac:dyDescent="0.4">
      <c r="A2" s="591"/>
      <c r="B2" s="517"/>
      <c r="C2" s="517"/>
      <c r="E2" s="517"/>
      <c r="F2" s="517"/>
    </row>
    <row r="3" spans="1:6" x14ac:dyDescent="0.35">
      <c r="A3" s="9" t="s">
        <v>345</v>
      </c>
      <c r="B3" s="517"/>
      <c r="C3" s="517"/>
      <c r="E3" s="517" t="s">
        <v>745</v>
      </c>
      <c r="F3" s="517" t="s">
        <v>541</v>
      </c>
    </row>
    <row r="4" spans="1:6" x14ac:dyDescent="0.35">
      <c r="A4" s="624" t="s">
        <v>2245</v>
      </c>
      <c r="B4" s="625">
        <v>48</v>
      </c>
      <c r="C4" s="625">
        <v>7.44</v>
      </c>
      <c r="E4" s="517" t="s">
        <v>539</v>
      </c>
      <c r="F4" s="517" t="s">
        <v>542</v>
      </c>
    </row>
    <row r="5" spans="1:6" x14ac:dyDescent="0.35">
      <c r="A5" s="624" t="s">
        <v>2246</v>
      </c>
      <c r="B5" s="625">
        <v>72</v>
      </c>
      <c r="C5" s="625">
        <v>11.16</v>
      </c>
      <c r="E5" s="517" t="s">
        <v>540</v>
      </c>
      <c r="F5" s="517" t="s">
        <v>543</v>
      </c>
    </row>
    <row r="6" spans="1:6" ht="13.2" x14ac:dyDescent="0.4">
      <c r="A6" s="624" t="s">
        <v>1751</v>
      </c>
      <c r="B6" s="626"/>
      <c r="C6" s="626"/>
    </row>
    <row r="7" spans="1:6" x14ac:dyDescent="0.35">
      <c r="A7" s="624" t="s">
        <v>2247</v>
      </c>
      <c r="B7" s="625">
        <v>48</v>
      </c>
      <c r="C7" s="625">
        <v>7.44</v>
      </c>
    </row>
    <row r="8" spans="1:6" x14ac:dyDescent="0.35">
      <c r="A8" s="624" t="s">
        <v>2248</v>
      </c>
      <c r="B8" s="625">
        <v>72</v>
      </c>
      <c r="C8" s="625">
        <v>11.16</v>
      </c>
    </row>
    <row r="9" spans="1:6" ht="13.2" x14ac:dyDescent="0.4">
      <c r="A9" s="624" t="s">
        <v>184</v>
      </c>
      <c r="B9" s="626"/>
      <c r="C9" s="626"/>
    </row>
    <row r="10" spans="1:6" ht="13.2" x14ac:dyDescent="0.4">
      <c r="A10" s="624" t="s">
        <v>866</v>
      </c>
      <c r="B10" s="626"/>
      <c r="C10" s="626"/>
    </row>
    <row r="11" spans="1:6" ht="13.2" x14ac:dyDescent="0.4">
      <c r="A11" s="624" t="s">
        <v>867</v>
      </c>
      <c r="B11" s="626"/>
      <c r="C11" s="626"/>
    </row>
    <row r="12" spans="1:6" ht="13.2" x14ac:dyDescent="0.4">
      <c r="A12" s="624" t="s">
        <v>697</v>
      </c>
      <c r="B12" s="626"/>
      <c r="C12" s="626"/>
    </row>
    <row r="13" spans="1:6" ht="13.2" x14ac:dyDescent="0.4">
      <c r="A13" s="624" t="s">
        <v>698</v>
      </c>
      <c r="B13" s="626"/>
      <c r="C13" s="626"/>
    </row>
    <row r="14" spans="1:6" ht="13.2" x14ac:dyDescent="0.4">
      <c r="A14" s="624" t="s">
        <v>251</v>
      </c>
      <c r="B14" s="626"/>
      <c r="C14" s="626"/>
    </row>
    <row r="15" spans="1:6" x14ac:dyDescent="0.35">
      <c r="A15" s="624" t="s">
        <v>2249</v>
      </c>
      <c r="B15" s="625">
        <v>48</v>
      </c>
      <c r="C15" s="625">
        <v>7.44</v>
      </c>
    </row>
    <row r="16" spans="1:6" x14ac:dyDescent="0.35">
      <c r="A16" s="624" t="s">
        <v>2250</v>
      </c>
      <c r="B16" s="625">
        <v>72</v>
      </c>
      <c r="C16" s="625">
        <v>11.16</v>
      </c>
    </row>
    <row r="17" spans="1:1" x14ac:dyDescent="0.35">
      <c r="A17" s="624" t="s">
        <v>418</v>
      </c>
    </row>
    <row r="18" spans="1:1" x14ac:dyDescent="0.35">
      <c r="A18" s="624" t="s">
        <v>866</v>
      </c>
    </row>
    <row r="19" spans="1:1" x14ac:dyDescent="0.35">
      <c r="A19" s="624" t="s">
        <v>867</v>
      </c>
    </row>
    <row r="20" spans="1:1" x14ac:dyDescent="0.35">
      <c r="A20" s="624" t="s">
        <v>699</v>
      </c>
    </row>
    <row r="21" spans="1:1" x14ac:dyDescent="0.35">
      <c r="A21" s="624" t="s">
        <v>646</v>
      </c>
    </row>
    <row r="22" spans="1:1" x14ac:dyDescent="0.35">
      <c r="A22" s="624" t="s">
        <v>344</v>
      </c>
    </row>
    <row r="23" spans="1:1" x14ac:dyDescent="0.35">
      <c r="A23" s="624" t="s">
        <v>647</v>
      </c>
    </row>
    <row r="24" spans="1:1" x14ac:dyDescent="0.35">
      <c r="A24" s="624" t="s">
        <v>625</v>
      </c>
    </row>
    <row r="25" spans="1:1" x14ac:dyDescent="0.35">
      <c r="A25" s="624" t="s">
        <v>2251</v>
      </c>
    </row>
    <row r="26" spans="1:1" x14ac:dyDescent="0.35">
      <c r="A26" s="624" t="s">
        <v>798</v>
      </c>
    </row>
    <row r="27" spans="1:1" x14ac:dyDescent="0.35">
      <c r="A27" s="624" t="s">
        <v>796</v>
      </c>
    </row>
    <row r="28" spans="1:1" x14ac:dyDescent="0.35">
      <c r="A28" s="624" t="s">
        <v>797</v>
      </c>
    </row>
    <row r="29" spans="1:1" x14ac:dyDescent="0.35">
      <c r="A29" s="624" t="s">
        <v>2252</v>
      </c>
    </row>
    <row r="30" spans="1:1" x14ac:dyDescent="0.35">
      <c r="A30" s="624" t="s">
        <v>2253</v>
      </c>
    </row>
    <row r="31" spans="1:1" x14ac:dyDescent="0.35">
      <c r="A31" s="624" t="s">
        <v>896</v>
      </c>
    </row>
    <row r="32" spans="1:1" x14ac:dyDescent="0.35">
      <c r="A32" s="624" t="s">
        <v>897</v>
      </c>
    </row>
    <row r="33" spans="1:3" x14ac:dyDescent="0.35">
      <c r="A33" s="624" t="s">
        <v>2428</v>
      </c>
      <c r="B33" s="625"/>
      <c r="C33" s="625"/>
    </row>
    <row r="34" spans="1:3" x14ac:dyDescent="0.35">
      <c r="A34" s="624" t="s">
        <v>2416</v>
      </c>
      <c r="B34" s="625">
        <v>48</v>
      </c>
      <c r="C34" s="625">
        <v>7.44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Intake">
    <tabColor rgb="FF7030A0"/>
    <pageSetUpPr autoPageBreaks="0"/>
  </sheetPr>
  <dimension ref="A1:V38"/>
  <sheetViews>
    <sheetView zoomScaleNormal="100" workbookViewId="0">
      <pane ySplit="5" topLeftCell="A6" activePane="bottomLeft" state="frozen"/>
      <selection activeCell="A6" sqref="A6"/>
      <selection pane="bottomLeft" activeCell="I13" sqref="I13"/>
    </sheetView>
  </sheetViews>
  <sheetFormatPr defaultColWidth="9.1328125" defaultRowHeight="12.85" x14ac:dyDescent="0.35"/>
  <cols>
    <col min="1" max="1" width="2.265625" style="24" customWidth="1"/>
    <col min="2" max="2" width="3.1328125" style="23" customWidth="1"/>
    <col min="3" max="3" width="14.265625" style="23" customWidth="1"/>
    <col min="4" max="4" width="14.3984375" style="23" customWidth="1"/>
    <col min="5" max="5" width="12.1328125" style="23" customWidth="1"/>
    <col min="6" max="6" width="26.3984375" style="23" customWidth="1"/>
    <col min="7" max="7" width="13.86328125" style="23" customWidth="1"/>
    <col min="8" max="8" width="15.265625" style="23" customWidth="1"/>
    <col min="9" max="9" width="15.1328125" style="23" customWidth="1"/>
    <col min="10" max="12" width="9.1328125" style="23"/>
    <col min="13" max="13" width="10.3984375" style="23" customWidth="1"/>
    <col min="14" max="15" width="9.1328125" style="23"/>
    <col min="16" max="16" width="10.73046875" style="23" bestFit="1" customWidth="1"/>
    <col min="17" max="18" width="9.1328125" style="23"/>
    <col min="19" max="19" width="10.73046875" style="23" bestFit="1" customWidth="1"/>
    <col min="20" max="16384" width="9.1328125" style="23"/>
  </cols>
  <sheetData>
    <row r="1" spans="1:22" s="133" customFormat="1" x14ac:dyDescent="0.35">
      <c r="A1" s="592"/>
    </row>
    <row r="2" spans="1:22" s="133" customFormat="1" ht="13.2" x14ac:dyDescent="0.4">
      <c r="A2" s="163"/>
      <c r="B2" s="134" t="s">
        <v>623</v>
      </c>
      <c r="D2" s="135" t="e">
        <f ca="1">AfspraakDatum</f>
        <v>#NAME?</v>
      </c>
      <c r="E2" s="136"/>
      <c r="F2" s="134" t="s">
        <v>624</v>
      </c>
      <c r="G2" s="137">
        <f>OpnDatum</f>
        <v>42370</v>
      </c>
      <c r="H2" s="134" t="e">
        <f ca="1">"ICU-dag: "&amp;AfspraakDatum-OpnDatum+1</f>
        <v>#NAME?</v>
      </c>
      <c r="I2" s="139" t="str">
        <f>"Gewicht: "&amp;Gewicht/10&amp;" kg"</f>
        <v>Gewicht: 10 kg</v>
      </c>
      <c r="J2" s="134"/>
    </row>
    <row r="3" spans="1:22" s="133" customFormat="1" ht="13.2" x14ac:dyDescent="0.4">
      <c r="A3" s="163"/>
      <c r="B3" s="134" t="s">
        <v>54</v>
      </c>
      <c r="D3" s="138" t="str">
        <f>_AchterNaam&amp;", "&amp;_VoorNaam</f>
        <v>Achternaam, Voornaam</v>
      </c>
      <c r="E3" s="138"/>
      <c r="F3" s="134" t="s">
        <v>638</v>
      </c>
      <c r="G3" s="137">
        <f>GebDatum</f>
        <v>42370</v>
      </c>
      <c r="H3" s="139"/>
      <c r="I3" s="139" t="str">
        <f>"Lengte: "&amp;Lengte&amp;" cm"</f>
        <v>Lengte: 80 cm</v>
      </c>
      <c r="J3" s="134"/>
      <c r="L3" s="514"/>
      <c r="M3" s="513"/>
    </row>
    <row r="4" spans="1:22" s="133" customFormat="1" ht="13.2" x14ac:dyDescent="0.4">
      <c r="A4" s="163"/>
      <c r="B4" s="134" t="s">
        <v>707</v>
      </c>
      <c r="D4" s="139">
        <f>PatNummer</f>
        <v>0</v>
      </c>
      <c r="E4" s="136"/>
      <c r="F4" s="134" t="s">
        <v>573</v>
      </c>
      <c r="G4" s="141" t="e">
        <f ca="1">TRUNC((AfspraakDatum-GebDatum)/365,0)&amp;" jaar en "&amp;TRUNC(((AfspraakDatum-GebDatum)-365*TRUNC((AfspraakDatum-GebDatum)/365,0))/30,0)&amp;" maand(-en)"</f>
        <v>#NAME?</v>
      </c>
      <c r="H4" s="134"/>
      <c r="I4" s="134" t="str">
        <f>"Lichamelijk oppervlak: "&amp;ROUND(POWER(Gewicht/10,0.425)*POWER(((Lengte/100)*100),0.725)*0.007184,2)&amp;" m2"</f>
        <v>Lichamelijk oppervlak: 0,46 m2</v>
      </c>
      <c r="J4" s="134"/>
    </row>
    <row r="5" spans="1:22" s="133" customFormat="1" ht="13.2" x14ac:dyDescent="0.4">
      <c r="A5" s="163"/>
      <c r="B5" s="270" t="s">
        <v>1002</v>
      </c>
      <c r="D5" s="270">
        <f>BedNummer</f>
        <v>0</v>
      </c>
      <c r="E5" s="136"/>
      <c r="F5" s="134"/>
      <c r="G5" s="141"/>
      <c r="H5" s="134"/>
    </row>
    <row r="6" spans="1:22" ht="13.2" x14ac:dyDescent="0.4">
      <c r="A6" s="601"/>
      <c r="C6" s="71"/>
      <c r="D6" s="145"/>
      <c r="E6" s="63"/>
      <c r="F6" s="71"/>
      <c r="G6" s="146"/>
      <c r="H6" s="71"/>
      <c r="I6" s="71"/>
      <c r="J6" s="71"/>
      <c r="K6" s="71"/>
    </row>
    <row r="7" spans="1:22" ht="17.25" customHeight="1" x14ac:dyDescent="0.4">
      <c r="C7" s="200" t="s">
        <v>353</v>
      </c>
      <c r="I7" s="24"/>
      <c r="J7" s="24"/>
      <c r="K7" s="24"/>
      <c r="L7" s="213" t="s">
        <v>374</v>
      </c>
      <c r="N7" s="194"/>
    </row>
    <row r="8" spans="1:22" ht="19.55" customHeight="1" x14ac:dyDescent="0.4">
      <c r="B8" s="24"/>
      <c r="C8" s="213" t="s">
        <v>582</v>
      </c>
      <c r="D8" s="24"/>
      <c r="E8" s="24"/>
      <c r="F8" s="24"/>
      <c r="G8" s="24"/>
      <c r="H8" s="24"/>
      <c r="I8" s="24"/>
      <c r="J8" s="24"/>
      <c r="K8" s="24"/>
      <c r="L8" s="23" t="s">
        <v>235</v>
      </c>
      <c r="O8" s="24"/>
    </row>
    <row r="9" spans="1:22" ht="19.55" customHeight="1" x14ac:dyDescent="0.35">
      <c r="B9" s="196"/>
      <c r="C9" s="202" t="str">
        <f>IF(ber_PO!M2&lt;&gt;0,ber_PO!J2&amp;" dd","")</f>
        <v/>
      </c>
      <c r="D9" s="203" t="str">
        <f>IF(ber_PO!M2&lt;&gt;0,ber_PO!L2&amp;" ml","")</f>
        <v/>
      </c>
      <c r="E9" s="196"/>
      <c r="F9" s="196"/>
      <c r="G9" s="196" t="str">
        <f>IF(C9="24 dd","continue drip","")</f>
        <v/>
      </c>
      <c r="H9" s="196" t="str">
        <f>IF(ber_PO!N2&gt;1,ber_PO!M2&amp;" ml per dag","")</f>
        <v/>
      </c>
      <c r="I9" s="196"/>
      <c r="J9" s="24"/>
      <c r="L9" s="133"/>
      <c r="M9" s="191" t="s">
        <v>375</v>
      </c>
      <c r="N9" s="224">
        <f>ber_PO!H2</f>
        <v>0</v>
      </c>
      <c r="O9" s="24"/>
      <c r="P9" s="26"/>
      <c r="Q9" s="26"/>
      <c r="R9" s="26"/>
      <c r="S9" s="26"/>
      <c r="T9" s="26"/>
      <c r="U9" s="26"/>
      <c r="V9" s="26"/>
    </row>
    <row r="10" spans="1:22" ht="19.55" customHeight="1" x14ac:dyDescent="0.4">
      <c r="B10" s="196"/>
      <c r="C10" s="213" t="s">
        <v>1745</v>
      </c>
      <c r="D10" s="203"/>
      <c r="E10" s="196"/>
      <c r="F10" s="196"/>
      <c r="G10" s="196"/>
      <c r="H10" s="196"/>
      <c r="I10" s="196"/>
      <c r="J10" s="24"/>
      <c r="L10" s="133"/>
      <c r="M10" s="191" t="s">
        <v>465</v>
      </c>
      <c r="N10" s="224">
        <f>ber_PO!H3</f>
        <v>0</v>
      </c>
      <c r="O10" s="26" t="s">
        <v>62</v>
      </c>
      <c r="P10" s="26"/>
      <c r="Q10" s="26"/>
      <c r="R10" s="26"/>
      <c r="S10" s="26"/>
      <c r="T10" s="26"/>
      <c r="U10" s="26"/>
      <c r="V10" s="26"/>
    </row>
    <row r="11" spans="1:22" ht="19.55" customHeight="1" x14ac:dyDescent="0.35">
      <c r="B11" s="196"/>
      <c r="C11" s="202" t="str">
        <f>IF(ber_PO!N3&gt;1,ber_PO!J3&amp;" dd","")</f>
        <v/>
      </c>
      <c r="D11" s="203" t="str">
        <f>IF(ber_PO!N3&gt;1,ber_PO!L3&amp;" gram","")</f>
        <v/>
      </c>
      <c r="E11" s="196"/>
      <c r="F11" s="196"/>
      <c r="G11" s="196"/>
      <c r="H11" s="196" t="str">
        <f>IF(ber_PO!N3&gt;1,ber_PO!M3&amp;" gram/dag","")</f>
        <v/>
      </c>
      <c r="I11" s="197" t="str">
        <f>IF(AND(ber_PO!M3&lt;&gt;0,ber_PO!M2&lt;&gt;0),"= "&amp;ROUND(ber_PO!M3*100/ber_PO!M2,1)&amp;"% extra","")</f>
        <v/>
      </c>
      <c r="J11" s="24"/>
      <c r="L11" s="133"/>
      <c r="M11" s="191" t="s">
        <v>376</v>
      </c>
      <c r="N11" s="224">
        <f>ber_PO!H4</f>
        <v>0</v>
      </c>
      <c r="O11" s="26" t="s">
        <v>62</v>
      </c>
      <c r="P11" s="26"/>
      <c r="Q11" s="26"/>
      <c r="R11" s="26"/>
      <c r="S11" s="26"/>
      <c r="T11" s="26"/>
      <c r="U11" s="26"/>
      <c r="V11" s="26"/>
    </row>
    <row r="12" spans="1:22" ht="19.55" customHeight="1" x14ac:dyDescent="0.35">
      <c r="B12" s="196"/>
      <c r="C12" s="202" t="str">
        <f>IF(ber_PO!N4&gt;1,ber_PO!J4&amp;" dd","")</f>
        <v/>
      </c>
      <c r="D12" s="203" t="str">
        <f>IF(ber_PO!N4&gt;1,ber_PO!L4&amp;" gram","")</f>
        <v/>
      </c>
      <c r="E12" s="196"/>
      <c r="F12" s="196"/>
      <c r="G12" s="196"/>
      <c r="H12" s="196" t="str">
        <f>IF(ber_PO!N4&gt;1,ber_PO!M4&amp;" gram per dag","")</f>
        <v/>
      </c>
      <c r="I12" s="197" t="str">
        <f>IF(AND(ber_PO!M4&lt;&gt;0,ber_PO!M3&lt;&gt;0),"= "&amp;ROUND(ber_PO!M4*100/ber_PO!M2,1)&amp;"% extra","")</f>
        <v/>
      </c>
      <c r="J12" s="24"/>
      <c r="L12" s="133"/>
      <c r="M12" s="217" t="s">
        <v>466</v>
      </c>
      <c r="N12" s="224">
        <f>ber_PO!H5</f>
        <v>0</v>
      </c>
      <c r="O12" s="26" t="s">
        <v>62</v>
      </c>
      <c r="P12" s="26"/>
      <c r="Q12" s="26"/>
      <c r="R12" s="26"/>
      <c r="S12" s="26"/>
      <c r="T12" s="26"/>
      <c r="U12" s="26"/>
      <c r="V12" s="26"/>
    </row>
    <row r="13" spans="1:22" ht="19.55" customHeight="1" x14ac:dyDescent="0.35">
      <c r="B13" s="196"/>
      <c r="C13" s="202" t="str">
        <f>IF(ber_PO!N5&gt;1,ber_PO!J5&amp;" dd","")</f>
        <v/>
      </c>
      <c r="D13" s="203" t="str">
        <f>IF(ber_PO!N5&gt;1,ber_PO!L5&amp;" gram","")</f>
        <v/>
      </c>
      <c r="E13" s="196"/>
      <c r="F13" s="196"/>
      <c r="G13" s="196"/>
      <c r="H13" s="196" t="str">
        <f>IF(ber_PO!N5&gt;1,ber_PO!M5&amp;" gram per dag","")</f>
        <v/>
      </c>
      <c r="I13" s="197" t="str">
        <f>IF(AND(ber_PO!M5&lt;&gt;0,ber_PO!M4&lt;&gt;0),"= "&amp;ROUND(ber_PO!M5*100/ber_PO!M2,1)&amp;"% extra","")</f>
        <v/>
      </c>
      <c r="J13" s="24"/>
      <c r="L13" s="133"/>
      <c r="M13" s="217" t="s">
        <v>377</v>
      </c>
      <c r="N13" s="224">
        <f>ber_PO!H6</f>
        <v>0</v>
      </c>
      <c r="O13" s="26" t="s">
        <v>364</v>
      </c>
      <c r="P13" s="26"/>
      <c r="Q13" s="26"/>
      <c r="R13" s="26"/>
      <c r="S13" s="26"/>
      <c r="T13" s="26"/>
      <c r="U13" s="26"/>
      <c r="V13" s="26"/>
    </row>
    <row r="14" spans="1:22" ht="19.55" customHeight="1" x14ac:dyDescent="0.35">
      <c r="B14" s="24"/>
      <c r="C14" s="144"/>
      <c r="D14" s="71"/>
      <c r="E14" s="24"/>
      <c r="F14" s="24"/>
      <c r="G14" s="24"/>
      <c r="H14" s="24"/>
      <c r="I14" s="24"/>
      <c r="J14" s="24"/>
      <c r="L14" s="218"/>
      <c r="M14" s="217" t="s">
        <v>577</v>
      </c>
      <c r="N14" s="224">
        <f>ber_PO!H7</f>
        <v>0</v>
      </c>
      <c r="O14" s="26" t="s">
        <v>364</v>
      </c>
      <c r="P14" s="26"/>
      <c r="Q14" s="26"/>
      <c r="R14" s="26"/>
      <c r="S14" s="26"/>
      <c r="T14" s="26"/>
      <c r="U14" s="26"/>
      <c r="V14" s="26"/>
    </row>
    <row r="15" spans="1:22" ht="19.55" customHeight="1" x14ac:dyDescent="0.35">
      <c r="B15" s="222"/>
      <c r="C15" s="192" t="s">
        <v>596</v>
      </c>
      <c r="D15" s="223">
        <f>ber_Opm!C15</f>
        <v>0</v>
      </c>
      <c r="E15" s="224"/>
      <c r="F15" s="224"/>
      <c r="G15" s="224"/>
      <c r="H15" s="224"/>
      <c r="I15" s="224"/>
      <c r="J15" s="224"/>
      <c r="K15" s="224"/>
      <c r="L15" s="218"/>
      <c r="M15" s="217" t="s">
        <v>467</v>
      </c>
      <c r="N15" s="224">
        <f>ber_PO!H8</f>
        <v>0</v>
      </c>
      <c r="O15" s="26" t="s">
        <v>364</v>
      </c>
      <c r="P15" s="26"/>
      <c r="Q15" s="26"/>
      <c r="R15" s="26"/>
      <c r="S15" s="26"/>
      <c r="T15" s="26"/>
      <c r="U15" s="26"/>
      <c r="V15" s="26"/>
    </row>
    <row r="16" spans="1:22" ht="21.8" customHeight="1" x14ac:dyDescent="0.4">
      <c r="B16" s="24"/>
      <c r="C16" s="213" t="s">
        <v>583</v>
      </c>
      <c r="H16" s="201"/>
      <c r="J16" s="26"/>
      <c r="K16" s="26"/>
      <c r="L16" s="218"/>
      <c r="M16" s="219" t="s">
        <v>378</v>
      </c>
      <c r="N16" s="224">
        <f>ber_PO!H9</f>
        <v>0</v>
      </c>
      <c r="O16" s="26" t="s">
        <v>364</v>
      </c>
      <c r="P16" s="26"/>
      <c r="Q16" s="26"/>
      <c r="R16" s="26"/>
      <c r="S16" s="26"/>
      <c r="T16" s="26"/>
      <c r="U16" s="26"/>
      <c r="V16" s="26"/>
    </row>
    <row r="17" spans="2:22" ht="23.3" customHeight="1" x14ac:dyDescent="0.4">
      <c r="B17" s="163"/>
      <c r="C17" s="226" t="s">
        <v>695</v>
      </c>
      <c r="D17" s="194" t="str">
        <f>IF(ber_TPN!F3&lt;&gt;0,IF(ber_TPN!F3/24&gt;=10,ROUND(ber_TPN!F3/24,1),ROUND(ber_TPN!F3/24,1))&amp;" ml/uur","")</f>
        <v/>
      </c>
      <c r="E17" s="71" t="str">
        <f>IF(D17&lt;&gt;"",ber_TPN!F3&amp;" ml per dag","")</f>
        <v/>
      </c>
      <c r="F17" s="24"/>
      <c r="G17" s="196"/>
      <c r="H17" s="226" t="s">
        <v>696</v>
      </c>
      <c r="I17" s="194" t="str">
        <f>IF(ber_TPN!D19&lt;&gt;0,ber_TPN!E19&amp;" ml/uur","")</f>
        <v/>
      </c>
      <c r="J17" s="71" t="str">
        <f>IF(I17&lt;&gt;"",ber_TPN!F19&amp;" ml per dag","")</f>
        <v/>
      </c>
      <c r="K17" s="24"/>
      <c r="L17" s="163"/>
      <c r="M17" s="217" t="s">
        <v>643</v>
      </c>
      <c r="N17" s="224">
        <f>ber_PO!H10</f>
        <v>0</v>
      </c>
      <c r="O17" s="26" t="s">
        <v>364</v>
      </c>
      <c r="P17" s="26"/>
      <c r="T17" s="26"/>
      <c r="U17" s="26"/>
      <c r="V17" s="26"/>
    </row>
    <row r="18" spans="2:22" ht="23.3" customHeight="1" x14ac:dyDescent="0.4">
      <c r="B18" s="163"/>
      <c r="C18" s="226"/>
      <c r="D18" s="24"/>
      <c r="E18" s="194" t="str">
        <f>IF(AND(ber_TPN!E4&lt;&gt;0,ber_TPN!E4&lt;&gt;"",ber_TPN!B4&lt;&gt;1,ber_TPN!F4&lt;&gt;0),ber_TPN!F4&amp;" ml","")</f>
        <v/>
      </c>
      <c r="F18" s="193" t="str">
        <f>IF(AND(Gewicht/10&gt;=16,TPN=2),"Peditrace","")</f>
        <v/>
      </c>
      <c r="G18" s="206" t="str">
        <f>IF(AND(Gewicht/10&gt;=16,ber_TPN!F5&gt;0),ber_TPN!F5&amp;" ml","")</f>
        <v/>
      </c>
      <c r="H18" s="163"/>
      <c r="I18" s="24"/>
      <c r="J18" s="208"/>
      <c r="K18" s="209"/>
      <c r="N18" s="224"/>
      <c r="P18" s="26"/>
      <c r="T18" s="26"/>
      <c r="U18" s="26"/>
      <c r="V18" s="26"/>
    </row>
    <row r="19" spans="2:22" ht="23.3" customHeight="1" x14ac:dyDescent="0.4">
      <c r="B19" s="163"/>
      <c r="C19" s="163"/>
      <c r="D19" s="24"/>
      <c r="E19" s="194" t="str">
        <f>IF(ber_TPN!F6&lt;&gt;0,ROUND(ber_TPN!F6,1)&amp;" ml","")</f>
        <v/>
      </c>
      <c r="F19" s="871" t="str">
        <f>IF(AND(Gewicht/10&gt;50,TPN=2),"in 100 ml glucose 10%, "&amp;ROUND((ber_TPN!F5+ber_TPN!F17)/24,1)&amp;" ml/uur","")</f>
        <v/>
      </c>
      <c r="G19" s="871"/>
      <c r="H19" s="163"/>
      <c r="I19" s="24"/>
      <c r="J19" s="194" t="str">
        <f>IF(ber_TPN!F20&lt;&gt;0,ROUND(ber_TPN!F20,1)&amp;" ml","")</f>
        <v/>
      </c>
      <c r="K19" s="207"/>
      <c r="P19" s="26"/>
      <c r="T19" s="26"/>
      <c r="U19" s="26"/>
      <c r="V19" s="26"/>
    </row>
    <row r="20" spans="2:22" ht="19.55" customHeight="1" x14ac:dyDescent="0.4">
      <c r="B20" s="163"/>
      <c r="C20" s="163" t="s">
        <v>688</v>
      </c>
      <c r="D20" s="24"/>
      <c r="E20" s="194" t="str">
        <f>IF(ber_TPN!C7,ber_TPN!F7&amp;" ml","")</f>
        <v/>
      </c>
      <c r="F20" s="24"/>
      <c r="G20" s="24"/>
      <c r="H20" s="216" t="s">
        <v>688</v>
      </c>
      <c r="I20" s="24"/>
      <c r="J20" s="194" t="str">
        <f>IF(ber_TPN!C21,ber_TPN!F21&amp;" ml","")</f>
        <v/>
      </c>
      <c r="K20" s="207"/>
      <c r="L20" s="24"/>
      <c r="P20" s="26"/>
      <c r="T20" s="26"/>
      <c r="U20" s="26"/>
      <c r="V20" s="26"/>
    </row>
    <row r="21" spans="2:22" ht="19.55" customHeight="1" x14ac:dyDescent="0.4">
      <c r="B21" s="163"/>
      <c r="C21" s="163" t="s">
        <v>469</v>
      </c>
      <c r="D21" s="24"/>
      <c r="E21" s="194" t="str">
        <f>IF(ber_TPN!C8,ber_TPN!F8&amp;" ml","")</f>
        <v/>
      </c>
      <c r="F21" s="24"/>
      <c r="G21" s="24"/>
      <c r="H21" s="216" t="s">
        <v>469</v>
      </c>
      <c r="I21" s="24"/>
      <c r="J21" s="194" t="str">
        <f>IF(ber_TPN!C22,ber_TPN!F22&amp;" ml","")</f>
        <v/>
      </c>
      <c r="K21" s="207"/>
      <c r="L21" s="24"/>
      <c r="P21" s="26"/>
      <c r="T21" s="26"/>
      <c r="U21" s="26"/>
      <c r="V21" s="26"/>
    </row>
    <row r="22" spans="2:22" ht="10" customHeight="1" x14ac:dyDescent="0.4">
      <c r="B22" s="24"/>
      <c r="C22" s="24"/>
      <c r="D22" s="24"/>
      <c r="E22" s="194"/>
      <c r="F22" s="24"/>
      <c r="G22" s="24"/>
      <c r="H22" s="144"/>
      <c r="I22" s="24"/>
      <c r="J22" s="194"/>
      <c r="K22" s="207"/>
      <c r="L22" s="24"/>
      <c r="P22" s="26"/>
      <c r="T22" s="26"/>
      <c r="U22" s="26"/>
      <c r="V22" s="26"/>
    </row>
    <row r="23" spans="2:22" ht="19.55" customHeight="1" x14ac:dyDescent="0.4">
      <c r="B23" s="163"/>
      <c r="C23" s="163" t="s">
        <v>689</v>
      </c>
      <c r="D23" s="24"/>
      <c r="E23" s="194" t="str">
        <f>IF(ber_TPN!C9,ber_TPN!D9&amp;" ml","")</f>
        <v/>
      </c>
      <c r="F23" s="24"/>
      <c r="G23" s="194" t="str">
        <f>IF(AND(Gewicht/10&lt;=50,SSTglucose&lt;11,TPN=2),"in "&amp;ber_TPN!F17&amp;" ml glucose 10% ="&amp;ROUND((ber_TPN!F17+ber_TPN!F10+ber_TPN!F9)/24,1)&amp;" ml/uur","")</f>
        <v/>
      </c>
      <c r="H23" s="144"/>
      <c r="I23" s="24"/>
      <c r="J23" s="208"/>
      <c r="K23" s="209"/>
      <c r="L23" s="26"/>
      <c r="M23" s="24"/>
      <c r="N23" s="26"/>
      <c r="O23" s="26"/>
      <c r="P23" s="26"/>
      <c r="T23" s="26"/>
      <c r="U23" s="26"/>
      <c r="V23" s="26"/>
    </row>
    <row r="24" spans="2:22" s="24" customFormat="1" ht="19.55" customHeight="1" x14ac:dyDescent="0.4">
      <c r="B24" s="163"/>
      <c r="C24" s="163" t="s">
        <v>644</v>
      </c>
      <c r="E24" s="194" t="str">
        <f>IF(ber_TPN!C10,ber_TPN!D10&amp;" ml","")</f>
        <v/>
      </c>
      <c r="J24" s="208"/>
      <c r="K24" s="209"/>
      <c r="L24" s="208"/>
      <c r="M24" s="208"/>
      <c r="N24" s="208"/>
      <c r="O24" s="208"/>
      <c r="P24" s="208"/>
      <c r="T24" s="208"/>
      <c r="U24" s="208"/>
      <c r="V24" s="208"/>
    </row>
    <row r="25" spans="2:22" s="24" customFormat="1" ht="10" customHeight="1" x14ac:dyDescent="0.4">
      <c r="E25" s="194"/>
      <c r="J25" s="208"/>
      <c r="K25" s="208"/>
      <c r="L25" s="208"/>
      <c r="M25" s="208"/>
      <c r="N25" s="208"/>
      <c r="O25" s="208"/>
      <c r="P25" s="208"/>
      <c r="T25" s="208"/>
      <c r="U25" s="208"/>
      <c r="V25" s="208"/>
    </row>
    <row r="26" spans="2:22" ht="24.05" customHeight="1" x14ac:dyDescent="0.4">
      <c r="B26" s="214"/>
      <c r="C26" s="214" t="s">
        <v>642</v>
      </c>
      <c r="D26" s="196"/>
      <c r="E26" s="204" t="str">
        <f>IF(ber_TPN!C11,ber_TPN!F11&amp;" ml","")</f>
        <v/>
      </c>
      <c r="F26" s="196"/>
      <c r="G26" s="196" t="str">
        <f>IF(ber_TPN!F11&gt;0,ROUND(ber_TPN!F11*1.5/(Gewicht/10),2)&amp;" mmol/kg","")</f>
        <v/>
      </c>
      <c r="H26" s="196" t="str">
        <f>IF(ber_TPN!F11&gt;0,"plus "&amp;(ROUND(ber_TPN!F11*1.5/(Gewicht/10)/24/0.01,1)*24-ber_TPN!F11)&amp;" ml gluc 5%, "&amp;((ROUND(ber_TPN!F11*1.5/(Gewicht/10)/24/0.01,1)*24-ber_TPN!F11)+ber_TPN!F11)/24&amp;" ml/uur","")</f>
        <v/>
      </c>
      <c r="I26" s="196"/>
      <c r="J26" s="26"/>
      <c r="K26" s="26"/>
      <c r="L26" s="26"/>
      <c r="M26" s="26"/>
      <c r="N26" s="26"/>
      <c r="O26" s="26"/>
      <c r="P26" s="26"/>
      <c r="T26" s="26"/>
      <c r="U26" s="26"/>
      <c r="V26" s="26"/>
    </row>
    <row r="27" spans="2:22" ht="23.3" customHeight="1" x14ac:dyDescent="0.4">
      <c r="B27" s="24"/>
      <c r="C27" s="194" t="s">
        <v>432</v>
      </c>
      <c r="D27" s="194" t="str">
        <f>IF(ber_TPN!D12&lt;&gt;0,ber_TPN!E12&amp;" ml/uur","")</f>
        <v/>
      </c>
      <c r="E27" s="194"/>
      <c r="F27" s="24"/>
      <c r="G27" s="24"/>
      <c r="H27" s="24" t="str">
        <f>IF(ber_TPN!F12&lt;&gt;0,ber_TPN!F12&amp;" ml per dag","")</f>
        <v/>
      </c>
      <c r="I27" s="24"/>
      <c r="J27" s="26"/>
      <c r="K27" s="26"/>
      <c r="L27" s="26"/>
      <c r="M27" s="26"/>
      <c r="N27" s="26"/>
      <c r="O27" s="26"/>
      <c r="P27" s="26"/>
      <c r="T27" s="26"/>
      <c r="U27" s="26"/>
      <c r="V27" s="26"/>
    </row>
    <row r="28" spans="2:22" ht="19.55" customHeight="1" x14ac:dyDescent="0.4">
      <c r="B28" s="215"/>
      <c r="C28" s="215" t="s">
        <v>433</v>
      </c>
      <c r="D28" s="206"/>
      <c r="E28" s="205" t="str">
        <f>IF(ber_TPN!F13&lt;&gt;0,ROUND(ber_TPN!F13,0)&amp;" ml","")</f>
        <v/>
      </c>
      <c r="F28" s="206"/>
      <c r="G28" s="206"/>
      <c r="H28" s="206"/>
      <c r="I28" s="210"/>
      <c r="J28" s="26"/>
      <c r="K28" s="26"/>
      <c r="L28" s="26"/>
      <c r="M28" s="26"/>
      <c r="N28" s="26"/>
      <c r="O28" s="26"/>
      <c r="P28" s="26"/>
      <c r="T28" s="26"/>
      <c r="U28" s="26"/>
      <c r="V28" s="26"/>
    </row>
    <row r="29" spans="2:22" ht="18.75" customHeight="1" x14ac:dyDescent="0.4">
      <c r="B29" s="163"/>
      <c r="C29" s="163" t="s">
        <v>434</v>
      </c>
      <c r="D29" s="24"/>
      <c r="E29" s="194" t="str">
        <f>IF(ber_TPN!C14,ber_TPN!F14&amp;" ml","")</f>
        <v/>
      </c>
      <c r="F29" s="24"/>
      <c r="G29" s="24"/>
      <c r="H29" s="24"/>
      <c r="I29" s="211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</row>
    <row r="30" spans="2:22" ht="19.55" customHeight="1" x14ac:dyDescent="0.4">
      <c r="B30" s="214"/>
      <c r="C30" s="214" t="s">
        <v>435</v>
      </c>
      <c r="D30" s="196"/>
      <c r="E30" s="204" t="str">
        <f>IF(ber_TPN!C15,ber_TPN!F15&amp;" ml","")</f>
        <v/>
      </c>
      <c r="F30" s="196"/>
      <c r="G30" s="196"/>
      <c r="H30" s="196"/>
      <c r="I30" s="212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</row>
    <row r="31" spans="2:22" ht="10" customHeight="1" x14ac:dyDescent="0.4">
      <c r="B31" s="24"/>
      <c r="C31" s="24"/>
      <c r="D31" s="24"/>
      <c r="E31" s="194"/>
      <c r="F31" s="24"/>
      <c r="G31" s="24"/>
      <c r="H31" s="24"/>
      <c r="I31" s="24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</row>
    <row r="32" spans="2:22" ht="19.55" customHeight="1" x14ac:dyDescent="0.35">
      <c r="B32" s="222"/>
      <c r="C32" s="192" t="s">
        <v>596</v>
      </c>
      <c r="D32" s="223">
        <f>ber_Opm!C9</f>
        <v>0</v>
      </c>
      <c r="E32" s="224"/>
      <c r="F32" s="224"/>
      <c r="G32" s="224"/>
      <c r="H32" s="224"/>
      <c r="I32" s="224"/>
      <c r="J32" s="225"/>
      <c r="K32" s="225"/>
      <c r="L32" s="225"/>
      <c r="M32" s="225"/>
      <c r="N32" s="225"/>
      <c r="O32" s="225"/>
      <c r="P32" s="225"/>
      <c r="Q32" s="26"/>
      <c r="R32" s="26"/>
      <c r="S32" s="26"/>
      <c r="T32" s="26"/>
      <c r="U32" s="26"/>
      <c r="V32" s="26"/>
    </row>
    <row r="33" spans="2:22" ht="10.5" customHeight="1" x14ac:dyDescent="0.4">
      <c r="B33" s="24"/>
      <c r="C33" s="194"/>
      <c r="D33" s="24"/>
      <c r="E33" s="194"/>
      <c r="F33" s="24"/>
      <c r="G33" s="24"/>
      <c r="H33" s="24"/>
      <c r="I33" s="24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</row>
    <row r="34" spans="2:22" ht="13.2" x14ac:dyDescent="0.4">
      <c r="B34" s="220" t="s">
        <v>574</v>
      </c>
      <c r="C34" s="220"/>
      <c r="D34" s="221" t="str">
        <f>ROUND(ber_totalen!C2,0)&amp;" ml/kg"</f>
        <v>0 ml/kg</v>
      </c>
      <c r="E34" s="220" t="str">
        <f ca="1">ROUND(ber_normaal!$A$18,0)&amp;" ml/kg"</f>
        <v>100 ml/kg</v>
      </c>
      <c r="F34" s="220" t="str">
        <f>"= "&amp;ROUND(ber_totalen!C2*Gewicht/10,0)&amp;" ml/dag"</f>
        <v>= 0 ml/dag</v>
      </c>
      <c r="G34" s="220"/>
      <c r="H34" s="220" t="s">
        <v>465</v>
      </c>
      <c r="I34" s="221" t="str">
        <f>ROUND(ber_totalen!$C$9,1)&amp;"  gram/kg"</f>
        <v>0  gram/kg</v>
      </c>
      <c r="J34" s="220" t="str">
        <f>IF(Gewicht/10&lt;30,"2-2,5 g/kg","1,5 g/kg")</f>
        <v>2-2,5 g/kg</v>
      </c>
      <c r="K34" s="220"/>
      <c r="L34" s="229"/>
      <c r="M34" s="230"/>
      <c r="N34" s="230"/>
      <c r="O34" s="230"/>
      <c r="P34" s="230"/>
    </row>
    <row r="35" spans="2:22" ht="13.2" x14ac:dyDescent="0.4">
      <c r="B35" s="220" t="s">
        <v>575</v>
      </c>
      <c r="C35" s="220"/>
      <c r="D35" s="221" t="str">
        <f>ROUND(ber_totalen!E44,0)&amp;" kCal/kg"</f>
        <v>0 kCal/kg</v>
      </c>
      <c r="E35" s="220" t="str">
        <f ca="1">ber_normaal!$A$21&amp;" kCal/kg"</f>
        <v>95 kCal/kg</v>
      </c>
      <c r="F35" s="220"/>
      <c r="G35" s="220"/>
      <c r="H35" s="220" t="s">
        <v>466</v>
      </c>
      <c r="I35" s="221" t="str">
        <f>ROUND(ber_totalen!$C$13,1)&amp;" gram/kg"</f>
        <v>0 gram/kg</v>
      </c>
      <c r="J35" s="220" t="str">
        <f>IF(Gewicht/10&lt;30,"4 g/kg","2 g/kg")</f>
        <v>4 g/kg</v>
      </c>
      <c r="K35" s="220"/>
      <c r="L35" s="229"/>
      <c r="M35" s="230"/>
      <c r="N35" s="230"/>
      <c r="O35" s="230"/>
      <c r="P35" s="230"/>
    </row>
    <row r="36" spans="2:22" ht="13.2" x14ac:dyDescent="0.4">
      <c r="B36" s="220" t="s">
        <v>506</v>
      </c>
      <c r="C36" s="220"/>
      <c r="D36" s="221" t="str">
        <f>ROUND(ber_totalen!C5,1)&amp;" g/kg"</f>
        <v>0 g/kg</v>
      </c>
      <c r="E36" s="220" t="s">
        <v>726</v>
      </c>
      <c r="F36" s="220" t="str">
        <f>"= "&amp;ROUND(ber_totalen!C5/1.4,1)&amp;" mg/kg/min"</f>
        <v>= 0 mg/kg/min</v>
      </c>
      <c r="G36" s="220"/>
      <c r="H36" s="220" t="s">
        <v>467</v>
      </c>
      <c r="I36" s="221" t="str">
        <f>ROUND(ber_totalen!$C$27,1)&amp;" mmol/kg"</f>
        <v>0 mmol/kg</v>
      </c>
      <c r="J36" s="220" t="s">
        <v>904</v>
      </c>
      <c r="K36" s="220"/>
      <c r="L36" s="229"/>
      <c r="M36" s="230"/>
      <c r="N36" s="230"/>
      <c r="O36" s="230"/>
      <c r="P36" s="230"/>
    </row>
    <row r="37" spans="2:22" ht="13.2" x14ac:dyDescent="0.4">
      <c r="B37" s="220" t="s">
        <v>576</v>
      </c>
      <c r="C37" s="220"/>
      <c r="D37" s="221" t="str">
        <f>ROUND(ber_totalen!C17,1)&amp;" mmol/kg"</f>
        <v>0 mmol/kg</v>
      </c>
      <c r="E37" s="220" t="s">
        <v>720</v>
      </c>
      <c r="F37" s="220"/>
      <c r="G37" s="220"/>
      <c r="H37" s="220" t="s">
        <v>643</v>
      </c>
      <c r="I37" s="221" t="str">
        <f>ROUND(ber_totalen!$C$33,1)&amp;" mmol/kg"</f>
        <v>0 mmol/kg</v>
      </c>
      <c r="J37" s="220" t="s">
        <v>725</v>
      </c>
      <c r="K37" s="220"/>
      <c r="L37" s="229"/>
      <c r="M37" s="230"/>
      <c r="N37" s="230"/>
      <c r="O37" s="230"/>
      <c r="P37" s="230"/>
    </row>
    <row r="38" spans="2:22" ht="13.2" x14ac:dyDescent="0.4">
      <c r="B38" s="220" t="s">
        <v>577</v>
      </c>
      <c r="C38" s="220"/>
      <c r="D38" s="221" t="str">
        <f>ROUND(ber_totalen!C23,1)&amp;" mmol/kg"</f>
        <v>0 mmol/kg</v>
      </c>
      <c r="E38" s="220" t="s">
        <v>719</v>
      </c>
      <c r="F38" s="220"/>
      <c r="G38" s="220"/>
      <c r="H38" s="220" t="s">
        <v>468</v>
      </c>
      <c r="I38" s="221" t="str">
        <f>ROUND(ber_totalen!$C$30,1)&amp;" mmol/kg"</f>
        <v>0 mmol/kg</v>
      </c>
      <c r="J38" s="220" t="s">
        <v>724</v>
      </c>
      <c r="K38" s="220"/>
      <c r="L38" s="229"/>
      <c r="M38" s="230"/>
      <c r="N38" s="230"/>
      <c r="O38" s="230"/>
      <c r="P38" s="230"/>
    </row>
  </sheetData>
  <sheetProtection algorithmName="SHA-512" hashValue="uX5kVJmAMFlREGB1WMcpvRmtX0SvvYReCgNdx2XYORE+G0sOQHpfE1it9PENUNIeGmRwLotzLt9bACAJrg435Q==" saltValue="crcwEg6dKFB6tT45foV7cw==" spinCount="100000" sheet="1" objects="1" scenarios="1" selectLockedCells="1" selectUnlockedCells="1"/>
  <customSheetViews>
    <customSheetView guid="{33CCADFA-0D48-46A6-8927-2B2144029216}" scale="91">
      <pane ySplit="4" topLeftCell="A5" activePane="bottomLeft" state="frozen"/>
      <selection pane="bottomLeft" activeCell="C24" sqref="C24"/>
      <pageMargins left="0.75" right="0.75" top="1" bottom="1" header="0.5" footer="0.5"/>
      <pageSetup paperSize="9" orientation="portrait" blackAndWhite="1" horizontalDpi="300" r:id="rId1"/>
      <headerFooter alignWithMargins="0"/>
    </customSheetView>
  </customSheetViews>
  <mergeCells count="1">
    <mergeCell ref="F19:G19"/>
  </mergeCells>
  <phoneticPr fontId="29" type="noConversion"/>
  <pageMargins left="0.75" right="0.75" top="1" bottom="1" header="0.5" footer="0.5"/>
  <pageSetup paperSize="9" orientation="portrait" blackAndWhite="1" horizontalDpi="300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5" name="Spinner 2">
              <controlPr defaultSize="0" autoPict="0">
                <anchor moveWithCells="1" sizeWithCells="1">
                  <from>
                    <xdr:col>2</xdr:col>
                    <xdr:colOff>732477</xdr:colOff>
                    <xdr:row>8</xdr:row>
                    <xdr:rowOff>76599</xdr:rowOff>
                  </from>
                  <to>
                    <xdr:col>2</xdr:col>
                    <xdr:colOff>856951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Spinner 3">
              <controlPr defaultSize="0" autoPict="0">
                <anchor moveWithCells="1" sizeWithCells="1">
                  <from>
                    <xdr:col>3</xdr:col>
                    <xdr:colOff>694178</xdr:colOff>
                    <xdr:row>8</xdr:row>
                    <xdr:rowOff>67024</xdr:rowOff>
                  </from>
                  <to>
                    <xdr:col>3</xdr:col>
                    <xdr:colOff>818651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Drop Down 4">
              <controlPr defaultSize="0" print="0" autoLine="0" autoPict="0" macro="[0]!Intake_Vervolgkeuzelijst4_BijWijzigen">
                <anchor moveWithCells="1">
                  <from>
                    <xdr:col>4</xdr:col>
                    <xdr:colOff>0</xdr:colOff>
                    <xdr:row>8</xdr:row>
                    <xdr:rowOff>28725</xdr:rowOff>
                  </from>
                  <to>
                    <xdr:col>5</xdr:col>
                    <xdr:colOff>1713902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Spinner 6">
              <controlPr defaultSize="0" autoPict="0">
                <anchor moveWithCells="1" sizeWithCells="1">
                  <from>
                    <xdr:col>3</xdr:col>
                    <xdr:colOff>770777</xdr:colOff>
                    <xdr:row>16</xdr:row>
                    <xdr:rowOff>67024</xdr:rowOff>
                  </from>
                  <to>
                    <xdr:col>3</xdr:col>
                    <xdr:colOff>933550</xdr:colOff>
                    <xdr:row>16</xdr:row>
                    <xdr:rowOff>258521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9" name="Spinner 15">
              <controlPr defaultSize="0" autoPict="0">
                <anchor moveWithCells="1" sizeWithCells="1">
                  <from>
                    <xdr:col>5</xdr:col>
                    <xdr:colOff>67024</xdr:colOff>
                    <xdr:row>19</xdr:row>
                    <xdr:rowOff>28725</xdr:rowOff>
                  </from>
                  <to>
                    <xdr:col>5</xdr:col>
                    <xdr:colOff>229797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0" name="Spinner 16">
              <controlPr defaultSize="0" autoPict="0">
                <anchor moveWithCells="1" sizeWithCells="1">
                  <from>
                    <xdr:col>5</xdr:col>
                    <xdr:colOff>67024</xdr:colOff>
                    <xdr:row>20</xdr:row>
                    <xdr:rowOff>28725</xdr:rowOff>
                  </from>
                  <to>
                    <xdr:col>5</xdr:col>
                    <xdr:colOff>229797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11" name="Spinner 17">
              <controlPr defaultSize="0" autoPict="0">
                <anchor moveWithCells="1" sizeWithCells="1">
                  <from>
                    <xdr:col>5</xdr:col>
                    <xdr:colOff>67024</xdr:colOff>
                    <xdr:row>22</xdr:row>
                    <xdr:rowOff>28725</xdr:rowOff>
                  </from>
                  <to>
                    <xdr:col>5</xdr:col>
                    <xdr:colOff>229797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2" name="Check Box 18">
              <controlPr defaultSize="0" autoFill="0" autoLine="0" autoPict="0">
                <anchor moveWithCells="1">
                  <from>
                    <xdr:col>1</xdr:col>
                    <xdr:colOff>28725</xdr:colOff>
                    <xdr:row>19</xdr:row>
                    <xdr:rowOff>47874</xdr:rowOff>
                  </from>
                  <to>
                    <xdr:col>2</xdr:col>
                    <xdr:colOff>124473</xdr:colOff>
                    <xdr:row>20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3" name="Check Box 19">
              <controlPr defaultSize="0" autoFill="0" autoLine="0" autoPict="0">
                <anchor moveWithCells="1">
                  <from>
                    <xdr:col>1</xdr:col>
                    <xdr:colOff>28725</xdr:colOff>
                    <xdr:row>20</xdr:row>
                    <xdr:rowOff>47874</xdr:rowOff>
                  </from>
                  <to>
                    <xdr:col>2</xdr:col>
                    <xdr:colOff>124473</xdr:colOff>
                    <xdr:row>21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4" name="Check Box 20">
              <controlPr defaultSize="0" autoFill="0" autoLine="0" autoPict="0">
                <anchor moveWithCells="1">
                  <from>
                    <xdr:col>1</xdr:col>
                    <xdr:colOff>28725</xdr:colOff>
                    <xdr:row>22</xdr:row>
                    <xdr:rowOff>47874</xdr:rowOff>
                  </from>
                  <to>
                    <xdr:col>2</xdr:col>
                    <xdr:colOff>124473</xdr:colOff>
                    <xdr:row>23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5" name="Spinner 21">
              <controlPr defaultSize="0" autoPict="0">
                <anchor moveWithCells="1" sizeWithCells="1">
                  <from>
                    <xdr:col>3</xdr:col>
                    <xdr:colOff>933550</xdr:colOff>
                    <xdr:row>26</xdr:row>
                    <xdr:rowOff>76599</xdr:rowOff>
                  </from>
                  <to>
                    <xdr:col>4</xdr:col>
                    <xdr:colOff>134048</xdr:colOff>
                    <xdr:row>26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6" name="Check Box 23">
              <controlPr defaultSize="0" autoFill="0" autoLine="0" autoPict="0">
                <anchor moveWithCells="1">
                  <from>
                    <xdr:col>1</xdr:col>
                    <xdr:colOff>28725</xdr:colOff>
                    <xdr:row>28</xdr:row>
                    <xdr:rowOff>47874</xdr:rowOff>
                  </from>
                  <to>
                    <xdr:col>2</xdr:col>
                    <xdr:colOff>124473</xdr:colOff>
                    <xdr:row>29</xdr:row>
                    <xdr:rowOff>28725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7" name="Check Box 24">
              <controlPr defaultSize="0" autoFill="0" autoLine="0" autoPict="0">
                <anchor moveWithCells="1">
                  <from>
                    <xdr:col>1</xdr:col>
                    <xdr:colOff>28725</xdr:colOff>
                    <xdr:row>29</xdr:row>
                    <xdr:rowOff>47874</xdr:rowOff>
                  </from>
                  <to>
                    <xdr:col>2</xdr:col>
                    <xdr:colOff>124473</xdr:colOff>
                    <xdr:row>30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8" name="Spinner 25">
              <controlPr defaultSize="0" autoPict="0">
                <anchor moveWithCells="1" sizeWithCells="1">
                  <from>
                    <xdr:col>5</xdr:col>
                    <xdr:colOff>67024</xdr:colOff>
                    <xdr:row>28</xdr:row>
                    <xdr:rowOff>28725</xdr:rowOff>
                  </from>
                  <to>
                    <xdr:col>5</xdr:col>
                    <xdr:colOff>229797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9" name="Spinner 26">
              <controlPr defaultSize="0" autoPict="0">
                <anchor moveWithCells="1" sizeWithCells="1">
                  <from>
                    <xdr:col>5</xdr:col>
                    <xdr:colOff>67024</xdr:colOff>
                    <xdr:row>29</xdr:row>
                    <xdr:rowOff>28725</xdr:rowOff>
                  </from>
                  <to>
                    <xdr:col>5</xdr:col>
                    <xdr:colOff>229797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20" name="Drop Down 27">
              <controlPr defaultSize="0" print="0" autoLine="0" autoPict="0">
                <anchor moveWithCells="1">
                  <from>
                    <xdr:col>3</xdr:col>
                    <xdr:colOff>0</xdr:colOff>
                    <xdr:row>6</xdr:row>
                    <xdr:rowOff>9575</xdr:rowOff>
                  </from>
                  <to>
                    <xdr:col>5</xdr:col>
                    <xdr:colOff>19150</xdr:colOff>
                    <xdr:row>7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1" name="Check Box 38">
              <controlPr defaultSize="0" autoFill="0" autoLine="0" autoPict="0">
                <anchor moveWithCells="1">
                  <from>
                    <xdr:col>1</xdr:col>
                    <xdr:colOff>28725</xdr:colOff>
                    <xdr:row>23</xdr:row>
                    <xdr:rowOff>47874</xdr:rowOff>
                  </from>
                  <to>
                    <xdr:col>2</xdr:col>
                    <xdr:colOff>124473</xdr:colOff>
                    <xdr:row>24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2" name="Check Box 39">
              <controlPr defaultSize="0" autoFill="0" autoLine="0" autoPict="0">
                <anchor moveWithCells="1">
                  <from>
                    <xdr:col>1</xdr:col>
                    <xdr:colOff>19150</xdr:colOff>
                    <xdr:row>25</xdr:row>
                    <xdr:rowOff>95749</xdr:rowOff>
                  </from>
                  <to>
                    <xdr:col>2</xdr:col>
                    <xdr:colOff>114898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3" name="Spinner 40">
              <controlPr defaultSize="0" autoPict="0">
                <anchor moveWithCells="1" sizeWithCells="1">
                  <from>
                    <xdr:col>5</xdr:col>
                    <xdr:colOff>67024</xdr:colOff>
                    <xdr:row>23</xdr:row>
                    <xdr:rowOff>28725</xdr:rowOff>
                  </from>
                  <to>
                    <xdr:col>5</xdr:col>
                    <xdr:colOff>229797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4" name="Spinner 41">
              <controlPr defaultSize="0" autoPict="0">
                <anchor moveWithCells="1" sizeWithCells="1">
                  <from>
                    <xdr:col>5</xdr:col>
                    <xdr:colOff>67024</xdr:colOff>
                    <xdr:row>25</xdr:row>
                    <xdr:rowOff>124473</xdr:rowOff>
                  </from>
                  <to>
                    <xdr:col>5</xdr:col>
                    <xdr:colOff>229797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5" name="Drop Down 51">
              <controlPr defaultSize="0" print="0" autoLine="0" autoPict="0">
                <anchor moveWithCells="1">
                  <from>
                    <xdr:col>1</xdr:col>
                    <xdr:colOff>86174</xdr:colOff>
                    <xdr:row>17</xdr:row>
                    <xdr:rowOff>67024</xdr:rowOff>
                  </from>
                  <to>
                    <xdr:col>3</xdr:col>
                    <xdr:colOff>440444</xdr:colOff>
                    <xdr:row>17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6" name="Drop Down 52">
              <controlPr defaultSize="0" print="0" autoLine="0" autoPict="0">
                <anchor moveWithCells="1">
                  <from>
                    <xdr:col>1</xdr:col>
                    <xdr:colOff>76599</xdr:colOff>
                    <xdr:row>18</xdr:row>
                    <xdr:rowOff>67024</xdr:rowOff>
                  </from>
                  <to>
                    <xdr:col>3</xdr:col>
                    <xdr:colOff>430869</xdr:colOff>
                    <xdr:row>18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7" name="Spinner 53">
              <controlPr defaultSize="0" autoPict="0">
                <anchor moveWithCells="1" sizeWithCells="1">
                  <from>
                    <xdr:col>5</xdr:col>
                    <xdr:colOff>57449</xdr:colOff>
                    <xdr:row>17</xdr:row>
                    <xdr:rowOff>76599</xdr:rowOff>
                  </from>
                  <to>
                    <xdr:col>5</xdr:col>
                    <xdr:colOff>220222</xdr:colOff>
                    <xdr:row>17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8" name="Spinner 55">
              <controlPr defaultSize="0" autoPict="0">
                <anchor moveWithCells="1" sizeWithCells="1">
                  <from>
                    <xdr:col>2</xdr:col>
                    <xdr:colOff>732477</xdr:colOff>
                    <xdr:row>10</xdr:row>
                    <xdr:rowOff>76599</xdr:rowOff>
                  </from>
                  <to>
                    <xdr:col>2</xdr:col>
                    <xdr:colOff>856951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9" name="Spinner 56">
              <controlPr defaultSize="0" autoPict="0">
                <anchor moveWithCells="1" sizeWithCells="1">
                  <from>
                    <xdr:col>3</xdr:col>
                    <xdr:colOff>675028</xdr:colOff>
                    <xdr:row>10</xdr:row>
                    <xdr:rowOff>67024</xdr:rowOff>
                  </from>
                  <to>
                    <xdr:col>3</xdr:col>
                    <xdr:colOff>799502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30" name="Drop Down 57">
              <controlPr defaultSize="0" print="0" autoLine="0" autoPict="0" macro="[0]!Vervolgkeuzelijst57_BijWijzigen">
                <anchor moveWithCells="1">
                  <from>
                    <xdr:col>4</xdr:col>
                    <xdr:colOff>0</xdr:colOff>
                    <xdr:row>10</xdr:row>
                    <xdr:rowOff>28725</xdr:rowOff>
                  </from>
                  <to>
                    <xdr:col>5</xdr:col>
                    <xdr:colOff>1713902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1" name="Spinner 58">
              <controlPr defaultSize="0" autoPict="0">
                <anchor moveWithCells="1" sizeWithCells="1">
                  <from>
                    <xdr:col>6</xdr:col>
                    <xdr:colOff>493106</xdr:colOff>
                    <xdr:row>17</xdr:row>
                    <xdr:rowOff>76599</xdr:rowOff>
                  </from>
                  <to>
                    <xdr:col>6</xdr:col>
                    <xdr:colOff>655879</xdr:colOff>
                    <xdr:row>17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2" name="Spinner 60">
              <controlPr defaultSize="0" autoPict="0">
                <anchor moveWithCells="1" sizeWithCells="1">
                  <from>
                    <xdr:col>2</xdr:col>
                    <xdr:colOff>732477</xdr:colOff>
                    <xdr:row>11</xdr:row>
                    <xdr:rowOff>76599</xdr:rowOff>
                  </from>
                  <to>
                    <xdr:col>2</xdr:col>
                    <xdr:colOff>856951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3" name="Spinner 61">
              <controlPr defaultSize="0" autoPict="0">
                <anchor moveWithCells="1" sizeWithCells="1">
                  <from>
                    <xdr:col>3</xdr:col>
                    <xdr:colOff>675028</xdr:colOff>
                    <xdr:row>11</xdr:row>
                    <xdr:rowOff>67024</xdr:rowOff>
                  </from>
                  <to>
                    <xdr:col>3</xdr:col>
                    <xdr:colOff>799502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4" name="Drop Down 62">
              <controlPr defaultSize="0" print="0" autoLine="0" autoPict="0" macro="[0]!Vervolgkeuzelijst62_BijWijzigen">
                <anchor moveWithCells="1">
                  <from>
                    <xdr:col>4</xdr:col>
                    <xdr:colOff>0</xdr:colOff>
                    <xdr:row>11</xdr:row>
                    <xdr:rowOff>28725</xdr:rowOff>
                  </from>
                  <to>
                    <xdr:col>5</xdr:col>
                    <xdr:colOff>1713902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5" name="Spinner 63">
              <controlPr defaultSize="0" autoPict="0">
                <anchor moveWithCells="1" sizeWithCells="1">
                  <from>
                    <xdr:col>2</xdr:col>
                    <xdr:colOff>732477</xdr:colOff>
                    <xdr:row>12</xdr:row>
                    <xdr:rowOff>76599</xdr:rowOff>
                  </from>
                  <to>
                    <xdr:col>2</xdr:col>
                    <xdr:colOff>856951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6" name="Spinner 64">
              <controlPr defaultSize="0" autoPict="0">
                <anchor moveWithCells="1" sizeWithCells="1">
                  <from>
                    <xdr:col>3</xdr:col>
                    <xdr:colOff>675028</xdr:colOff>
                    <xdr:row>12</xdr:row>
                    <xdr:rowOff>67024</xdr:rowOff>
                  </from>
                  <to>
                    <xdr:col>3</xdr:col>
                    <xdr:colOff>799502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7" name="Drop Down 65">
              <controlPr defaultSize="0" print="0" autoLine="0" autoPict="0" macro="[0]!Vervolgkeuzelijst65_BijWijzigen">
                <anchor moveWithCells="1">
                  <from>
                    <xdr:col>4</xdr:col>
                    <xdr:colOff>0</xdr:colOff>
                    <xdr:row>12</xdr:row>
                    <xdr:rowOff>28725</xdr:rowOff>
                  </from>
                  <to>
                    <xdr:col>5</xdr:col>
                    <xdr:colOff>1713902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8" name="Spinner 66">
              <controlPr defaultSize="0" autoPict="0">
                <anchor moveWithCells="1" sizeWithCells="1">
                  <from>
                    <xdr:col>8</xdr:col>
                    <xdr:colOff>770777</xdr:colOff>
                    <xdr:row>16</xdr:row>
                    <xdr:rowOff>67024</xdr:rowOff>
                  </from>
                  <to>
                    <xdr:col>8</xdr:col>
                    <xdr:colOff>933550</xdr:colOff>
                    <xdr:row>16</xdr:row>
                    <xdr:rowOff>258521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9" name="Spinner 67">
              <controlPr defaultSize="0" autoPict="0">
                <anchor moveWithCells="1" sizeWithCells="1">
                  <from>
                    <xdr:col>10</xdr:col>
                    <xdr:colOff>287246</xdr:colOff>
                    <xdr:row>19</xdr:row>
                    <xdr:rowOff>38299</xdr:rowOff>
                  </from>
                  <to>
                    <xdr:col>10</xdr:col>
                    <xdr:colOff>450019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40" name="Spinner 68">
              <controlPr defaultSize="0" autoPict="0">
                <anchor moveWithCells="1" sizeWithCells="1">
                  <from>
                    <xdr:col>10</xdr:col>
                    <xdr:colOff>296821</xdr:colOff>
                    <xdr:row>20</xdr:row>
                    <xdr:rowOff>28725</xdr:rowOff>
                  </from>
                  <to>
                    <xdr:col>10</xdr:col>
                    <xdr:colOff>459594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1" name="Check Box 69">
              <controlPr defaultSize="0" autoFill="0" autoLine="0" autoPict="0">
                <anchor moveWithCells="1">
                  <from>
                    <xdr:col>7</xdr:col>
                    <xdr:colOff>28725</xdr:colOff>
                    <xdr:row>19</xdr:row>
                    <xdr:rowOff>47874</xdr:rowOff>
                  </from>
                  <to>
                    <xdr:col>7</xdr:col>
                    <xdr:colOff>335120</xdr:colOff>
                    <xdr:row>20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2" name="Check Box 70">
              <controlPr defaultSize="0" autoFill="0" autoLine="0" autoPict="0">
                <anchor moveWithCells="1">
                  <from>
                    <xdr:col>7</xdr:col>
                    <xdr:colOff>28725</xdr:colOff>
                    <xdr:row>20</xdr:row>
                    <xdr:rowOff>47874</xdr:rowOff>
                  </from>
                  <to>
                    <xdr:col>7</xdr:col>
                    <xdr:colOff>335120</xdr:colOff>
                    <xdr:row>21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3" name="Drop Down 71">
              <controlPr defaultSize="0" print="0" autoLine="0" autoPict="0">
                <anchor moveWithCells="1">
                  <from>
                    <xdr:col>7</xdr:col>
                    <xdr:colOff>76599</xdr:colOff>
                    <xdr:row>18</xdr:row>
                    <xdr:rowOff>67024</xdr:rowOff>
                  </from>
                  <to>
                    <xdr:col>8</xdr:col>
                    <xdr:colOff>569705</xdr:colOff>
                    <xdr:row>18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44" name="Spinner 76">
              <controlPr defaultSize="0" autoPict="0">
                <anchor moveWithCells="1" sizeWithCells="1">
                  <from>
                    <xdr:col>9</xdr:col>
                    <xdr:colOff>76599</xdr:colOff>
                    <xdr:row>1</xdr:row>
                    <xdr:rowOff>143623</xdr:rowOff>
                  </from>
                  <to>
                    <xdr:col>9</xdr:col>
                    <xdr:colOff>210647</xdr:colOff>
                    <xdr:row>3</xdr:row>
                    <xdr:rowOff>28725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5" name="Check Box 77">
              <controlPr defaultSize="0" autoFill="0" autoLine="0" autoPict="0">
                <anchor moveWithCells="1">
                  <from>
                    <xdr:col>1</xdr:col>
                    <xdr:colOff>28725</xdr:colOff>
                    <xdr:row>29</xdr:row>
                    <xdr:rowOff>47874</xdr:rowOff>
                  </from>
                  <to>
                    <xdr:col>2</xdr:col>
                    <xdr:colOff>124473</xdr:colOff>
                    <xdr:row>30</xdr:row>
                    <xdr:rowOff>19150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Normaal">
    <tabColor rgb="FF92D050"/>
  </sheetPr>
  <dimension ref="A1:F21"/>
  <sheetViews>
    <sheetView workbookViewId="0">
      <selection activeCell="F18" sqref="F18"/>
    </sheetView>
  </sheetViews>
  <sheetFormatPr defaultRowHeight="12.85" x14ac:dyDescent="0.35"/>
  <sheetData>
    <row r="1" spans="1:2" x14ac:dyDescent="0.35">
      <c r="A1" s="577">
        <v>1</v>
      </c>
      <c r="B1">
        <v>30</v>
      </c>
    </row>
    <row r="2" spans="1:2" x14ac:dyDescent="0.35">
      <c r="A2">
        <v>2</v>
      </c>
      <c r="B2">
        <v>60</v>
      </c>
    </row>
    <row r="3" spans="1:2" x14ac:dyDescent="0.35">
      <c r="A3">
        <v>3</v>
      </c>
      <c r="B3">
        <v>90</v>
      </c>
    </row>
    <row r="4" spans="1:2" x14ac:dyDescent="0.35">
      <c r="A4">
        <v>4</v>
      </c>
      <c r="B4">
        <v>110</v>
      </c>
    </row>
    <row r="5" spans="1:2" x14ac:dyDescent="0.35">
      <c r="A5">
        <v>5</v>
      </c>
      <c r="B5">
        <v>150</v>
      </c>
    </row>
    <row r="6" spans="1:2" x14ac:dyDescent="0.35">
      <c r="A6" s="577"/>
    </row>
    <row r="7" spans="1:2" x14ac:dyDescent="0.35">
      <c r="A7">
        <v>2</v>
      </c>
      <c r="B7">
        <v>150</v>
      </c>
    </row>
    <row r="8" spans="1:2" x14ac:dyDescent="0.35">
      <c r="A8">
        <v>3</v>
      </c>
      <c r="B8">
        <v>150</v>
      </c>
    </row>
    <row r="9" spans="1:2" x14ac:dyDescent="0.35">
      <c r="A9">
        <v>4</v>
      </c>
      <c r="B9">
        <v>150</v>
      </c>
    </row>
    <row r="10" spans="1:2" x14ac:dyDescent="0.35">
      <c r="A10">
        <v>5</v>
      </c>
      <c r="B10">
        <v>125</v>
      </c>
    </row>
    <row r="11" spans="1:2" x14ac:dyDescent="0.35">
      <c r="A11">
        <v>6</v>
      </c>
      <c r="B11">
        <v>125</v>
      </c>
    </row>
    <row r="12" spans="1:2" x14ac:dyDescent="0.35">
      <c r="A12">
        <v>7</v>
      </c>
      <c r="B12">
        <v>125</v>
      </c>
    </row>
    <row r="13" spans="1:2" x14ac:dyDescent="0.35">
      <c r="A13">
        <v>8</v>
      </c>
      <c r="B13">
        <v>100</v>
      </c>
    </row>
    <row r="14" spans="1:2" x14ac:dyDescent="0.35">
      <c r="A14">
        <v>9</v>
      </c>
      <c r="B14">
        <v>100</v>
      </c>
    </row>
    <row r="15" spans="1:2" x14ac:dyDescent="0.35">
      <c r="A15">
        <v>10</v>
      </c>
      <c r="B15">
        <v>100</v>
      </c>
    </row>
    <row r="17" spans="1:6" x14ac:dyDescent="0.35">
      <c r="A17" t="s">
        <v>721</v>
      </c>
      <c r="E17" t="s">
        <v>722</v>
      </c>
      <c r="F17" s="20">
        <f ca="1">TODAY()-GebDatum+1</f>
        <v>353</v>
      </c>
    </row>
    <row r="18" spans="1:6" x14ac:dyDescent="0.35">
      <c r="A18" s="21">
        <f ca="1">IF(F17&lt;6,VLOOKUP(F17,A1:B5,2),IF(F18&lt;6,150,IF(F18&lt;8,125,IF(F18&lt;10,100,IF(F18&lt;20,(1000+(F18-10)*50)/F18,IF(F18&lt;30,(1500+(F18-20)*20)/F18,(1700+(F18-30)*10)/F18))))))</f>
        <v>100</v>
      </c>
      <c r="E18" t="s">
        <v>723</v>
      </c>
      <c r="F18">
        <f>Gewicht/10</f>
        <v>10</v>
      </c>
    </row>
    <row r="20" spans="1:6" x14ac:dyDescent="0.35">
      <c r="A20" t="s">
        <v>241</v>
      </c>
    </row>
    <row r="21" spans="1:6" x14ac:dyDescent="0.35">
      <c r="A21">
        <f ca="1">ROUND((100-F17/365*(60/17))/5,0)*5</f>
        <v>95</v>
      </c>
    </row>
  </sheetData>
  <customSheetViews>
    <customSheetView guid="{33CCADFA-0D48-46A6-8927-2B2144029216}" state="veryHidden">
      <selection activeCell="A21" sqref="A21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PO">
    <tabColor rgb="FF92D050"/>
  </sheetPr>
  <dimension ref="A1:O13"/>
  <sheetViews>
    <sheetView workbookViewId="0">
      <selection activeCell="K2" sqref="K2"/>
    </sheetView>
  </sheetViews>
  <sheetFormatPr defaultRowHeight="12.85" x14ac:dyDescent="0.35"/>
  <cols>
    <col min="1" max="1" width="5.3984375" customWidth="1"/>
    <col min="3" max="3" width="11" bestFit="1" customWidth="1"/>
    <col min="5" max="5" width="10.265625" customWidth="1"/>
    <col min="6" max="6" width="11.86328125" customWidth="1"/>
    <col min="9" max="9" width="25.3984375" customWidth="1"/>
    <col min="12" max="12" width="9.3984375" bestFit="1" customWidth="1"/>
  </cols>
  <sheetData>
    <row r="1" spans="1:15" x14ac:dyDescent="0.35">
      <c r="A1" s="577"/>
      <c r="C1" s="248" t="s">
        <v>582</v>
      </c>
      <c r="D1" s="248" t="s">
        <v>989</v>
      </c>
      <c r="E1" s="248" t="s">
        <v>990</v>
      </c>
      <c r="F1" s="248" t="s">
        <v>991</v>
      </c>
      <c r="G1" s="248" t="s">
        <v>992</v>
      </c>
      <c r="H1" s="248" t="s">
        <v>993</v>
      </c>
      <c r="I1" s="248"/>
      <c r="J1" t="s">
        <v>243</v>
      </c>
      <c r="K1" t="s">
        <v>191</v>
      </c>
      <c r="M1" t="s">
        <v>581</v>
      </c>
      <c r="N1" t="s">
        <v>508</v>
      </c>
      <c r="O1" s="248" t="s">
        <v>998</v>
      </c>
    </row>
    <row r="2" spans="1:15" x14ac:dyDescent="0.35">
      <c r="A2" s="26">
        <v>1</v>
      </c>
      <c r="B2" s="26" t="s">
        <v>479</v>
      </c>
      <c r="C2" s="26">
        <f>IF(ber_PO!$M$2&lt;&gt;0,INDEX(tblPerOs,KeuzePO_1,A2+1)*ber_PO!$M$2,0)</f>
        <v>0</v>
      </c>
      <c r="D2" s="26">
        <f>IF(ber_PO!$M$3&lt;&gt;0,INDEX(tblPoeder,ber_PO!$N$3,$A2+1)*ber_PO!$M$3,0)</f>
        <v>0</v>
      </c>
      <c r="E2" s="26">
        <f>IF(ber_PO!$M$4&lt;&gt;0,INDEX(tblPoeder,ber_PO!$N$4,$A2+1)*ber_PO!$M$4,0)</f>
        <v>0</v>
      </c>
      <c r="F2" s="26">
        <f>IF(ber_PO!$M$5&lt;&gt;0,INDEX(tblPoeder,ber_PO!$N$5,$A2+1)*ber_PO!$M$5,0)</f>
        <v>0</v>
      </c>
      <c r="G2" s="26">
        <f t="shared" ref="G2:G13" si="0">SUM(C2:F2)</f>
        <v>0</v>
      </c>
      <c r="I2" s="266"/>
      <c r="J2" s="26">
        <v>1</v>
      </c>
      <c r="K2" s="26">
        <v>0</v>
      </c>
      <c r="L2">
        <f>IF(K2&lt;51,K2/10,IF(K2&lt;66,(K2-49)+4,IF(K2&lt;82,(K2-61)*5,IF(K2&lt;122,(K2-71)*10,(K2-111)*50))))</f>
        <v>0</v>
      </c>
      <c r="M2" s="26">
        <f>IF(N2&gt;1,J2*L2,0)</f>
        <v>0</v>
      </c>
      <c r="N2">
        <v>1</v>
      </c>
      <c r="O2">
        <v>1</v>
      </c>
    </row>
    <row r="3" spans="1:15" x14ac:dyDescent="0.35">
      <c r="A3" s="26">
        <v>2</v>
      </c>
      <c r="B3" s="26" t="s">
        <v>430</v>
      </c>
      <c r="C3" s="26">
        <f>IF(ber_PO!$M$2&lt;&gt;0,INDEX(tblPerOs,KeuzePO_1,A3+1)*ber_PO!$M$2,0)</f>
        <v>0</v>
      </c>
      <c r="D3" s="26">
        <f>IF(ber_PO!$M$3&lt;&gt;0,INDEX(tblPoeder,ber_PO!$N$3,$A3+1)*ber_PO!$M$3,0)</f>
        <v>0</v>
      </c>
      <c r="E3" s="26">
        <f>IF(ber_PO!$M$4&lt;&gt;0,INDEX(tblPoeder,ber_PO!$N$4,$A3+1)*ber_PO!$M$4,0)</f>
        <v>0</v>
      </c>
      <c r="F3" s="26">
        <f>IF(ber_PO!$M$5&lt;&gt;0,INDEX(tblPoeder,ber_PO!$N$5,$A3+1)*ber_PO!$M$5,0)</f>
        <v>0</v>
      </c>
      <c r="G3" s="26">
        <f t="shared" si="0"/>
        <v>0</v>
      </c>
      <c r="I3" s="266"/>
      <c r="L3">
        <f>IF(K3&lt;51,K3/10,IF(K3&lt;66,(K3-49)+4,IF(K3&lt;82,(K3-61)*5,IF(K3&lt;122,(K3-71)*10,(K3-111)*50))))</f>
        <v>0</v>
      </c>
      <c r="M3" s="26">
        <f>IF(N3&gt;1,J3*L3,0)</f>
        <v>0</v>
      </c>
    </row>
    <row r="4" spans="1:15" x14ac:dyDescent="0.35">
      <c r="A4" s="26">
        <v>3</v>
      </c>
      <c r="B4" s="26" t="s">
        <v>480</v>
      </c>
      <c r="C4" s="26">
        <f>IF(ber_PO!$M$2&lt;&gt;0,INDEX(tblPerOs,KeuzePO_1,A4+1)*ber_PO!$M$2,0)</f>
        <v>0</v>
      </c>
      <c r="D4" s="26">
        <f>IF(ber_PO!$M$3&lt;&gt;0,INDEX(tblPoeder,ber_PO!$N$3,$A4+1)*ber_PO!$M$3,0)</f>
        <v>0</v>
      </c>
      <c r="E4" s="26">
        <f>IF(ber_PO!$M$4&lt;&gt;0,INDEX(tblPoeder,ber_PO!$N$4,$A4+1)*ber_PO!$M$4,0)</f>
        <v>0</v>
      </c>
      <c r="F4" s="26">
        <f>IF(ber_PO!$M$5&lt;&gt;0,INDEX(tblPoeder,ber_PO!$N$5,$A4+1)*ber_PO!$M$5,0)</f>
        <v>0</v>
      </c>
      <c r="G4" s="26">
        <f t="shared" si="0"/>
        <v>0</v>
      </c>
      <c r="I4" s="266"/>
      <c r="L4">
        <f>IF(K4&lt;51,K4/10,IF(K4&lt;66,(K4-49)+4,IF(K4&lt;82,(K4-61)*5,IF(K4&lt;122,(K4-71)*10,(K4-111)*50))))</f>
        <v>0</v>
      </c>
      <c r="M4" s="26">
        <f>IF(N4&gt;1,J4*L4,0)</f>
        <v>0</v>
      </c>
    </row>
    <row r="5" spans="1:15" x14ac:dyDescent="0.35">
      <c r="A5" s="26">
        <v>4</v>
      </c>
      <c r="B5" s="26" t="s">
        <v>431</v>
      </c>
      <c r="C5" s="26">
        <f>IF(ber_PO!$M$2&lt;&gt;0,INDEX(tblPerOs,KeuzePO_1,A5+1)*ber_PO!$M$2,0)</f>
        <v>0</v>
      </c>
      <c r="D5" s="26">
        <f>IF(ber_PO!$M$3&lt;&gt;0,INDEX(tblPoeder,ber_PO!$N$3,$A5+1)*ber_PO!$M$3,0)</f>
        <v>0</v>
      </c>
      <c r="E5" s="26">
        <f>IF(ber_PO!$M$4&lt;&gt;0,INDEX(tblPoeder,ber_PO!$N$4,$A5+1)*ber_PO!$M$4,0)</f>
        <v>0</v>
      </c>
      <c r="F5" s="26">
        <f>IF(ber_PO!$M$5&lt;&gt;0,INDEX(tblPoeder,ber_PO!$N$5,$A5+1)*ber_PO!$M$5,0)</f>
        <v>0</v>
      </c>
      <c r="G5" s="26">
        <f t="shared" si="0"/>
        <v>0</v>
      </c>
      <c r="I5" s="266"/>
      <c r="L5">
        <f>IF(K5&lt;51,K5/10,IF(K5&lt;66,(K5-49)+4,IF(K5&lt;82,(K5-61)*5,IF(K5&lt;122,(K5-71)*10,(K5-111)*50))))</f>
        <v>0</v>
      </c>
      <c r="M5" s="26">
        <f>IF(N5&gt;1,J5*L5,0)</f>
        <v>0</v>
      </c>
    </row>
    <row r="6" spans="1:15" x14ac:dyDescent="0.35">
      <c r="A6" s="26">
        <v>5</v>
      </c>
      <c r="B6" s="26" t="s">
        <v>472</v>
      </c>
      <c r="C6" s="26">
        <f>IF(ber_PO!$M$2&lt;&gt;0,INDEX(tblPerOs,KeuzePO_1,A6+1)*ber_PO!$M$2,0)</f>
        <v>0</v>
      </c>
      <c r="D6" s="26">
        <f>IF(ber_PO!$M$3&lt;&gt;0,INDEX(tblPoeder,ber_PO!$N$3,$A6+1)*ber_PO!$M$3,0)</f>
        <v>0</v>
      </c>
      <c r="E6" s="26">
        <f>IF(ber_PO!$M$4&lt;&gt;0,INDEX(tblPoeder,ber_PO!$N$4,$A6+1)*ber_PO!$M$4,0)</f>
        <v>0</v>
      </c>
      <c r="F6" s="26">
        <f>IF(ber_PO!$M$5&lt;&gt;0,INDEX(tblPoeder,ber_PO!$N$5,$A6+1)*ber_PO!$M$5,0)</f>
        <v>0</v>
      </c>
      <c r="G6" s="26">
        <f t="shared" si="0"/>
        <v>0</v>
      </c>
      <c r="I6" s="266"/>
    </row>
    <row r="7" spans="1:15" x14ac:dyDescent="0.35">
      <c r="A7" s="26">
        <v>6</v>
      </c>
      <c r="B7" s="26" t="s">
        <v>473</v>
      </c>
      <c r="C7" s="26">
        <f>IF(ber_PO!$M$2&lt;&gt;0,INDEX(tblPerOs,KeuzePO_1,A7+1)*ber_PO!$M$2,0)</f>
        <v>0</v>
      </c>
      <c r="D7" s="26">
        <f>IF(ber_PO!$M$3&lt;&gt;0,INDEX(tblPoeder,ber_PO!$N$3,$A7+1)*ber_PO!$M$3,0)</f>
        <v>0</v>
      </c>
      <c r="E7" s="26">
        <f>IF(ber_PO!$M$4&lt;&gt;0,INDEX(tblPoeder,ber_PO!$N$4,$A7+1)*ber_PO!$M$4,0)</f>
        <v>0</v>
      </c>
      <c r="F7" s="26">
        <f>IF(ber_PO!$M$5&lt;&gt;0,INDEX(tblPoeder,ber_PO!$N$5,$A7+1)*ber_PO!$M$5,0)</f>
        <v>0</v>
      </c>
      <c r="G7" s="26">
        <f t="shared" si="0"/>
        <v>0</v>
      </c>
      <c r="I7" s="266"/>
    </row>
    <row r="8" spans="1:15" x14ac:dyDescent="0.35">
      <c r="A8" s="26">
        <v>7</v>
      </c>
      <c r="B8" s="26" t="s">
        <v>474</v>
      </c>
      <c r="C8" s="26">
        <f>IF(ber_PO!$M$2&lt;&gt;0,INDEX(tblPerOs,KeuzePO_1,A8+1)*ber_PO!$M$2,0)</f>
        <v>0</v>
      </c>
      <c r="D8" s="26">
        <f>IF(ber_PO!$M$3&lt;&gt;0,INDEX(tblPoeder,ber_PO!$N$3,$A8+1)*ber_PO!$M$3,0)</f>
        <v>0</v>
      </c>
      <c r="E8" s="26">
        <f>IF(ber_PO!$M$4&lt;&gt;0,INDEX(tblPoeder,ber_PO!$N$4,$A8+1)*ber_PO!$M$4,0)</f>
        <v>0</v>
      </c>
      <c r="F8" s="26">
        <f>IF(ber_PO!$M$5&lt;&gt;0,INDEX(tblPoeder,ber_PO!$N$5,$A8+1)*ber_PO!$M$5,0)</f>
        <v>0</v>
      </c>
      <c r="G8" s="26">
        <f t="shared" si="0"/>
        <v>0</v>
      </c>
      <c r="I8" s="26"/>
    </row>
    <row r="9" spans="1:15" x14ac:dyDescent="0.35">
      <c r="A9" s="26">
        <v>8</v>
      </c>
      <c r="B9" s="26" t="s">
        <v>481</v>
      </c>
      <c r="C9" s="26">
        <f>IF(ber_PO!$M$2&lt;&gt;0,INDEX(tblPerOs,KeuzePO_1,A9+1)*ber_PO!$M$2,0)</f>
        <v>0</v>
      </c>
      <c r="D9" s="26">
        <f>IF(ber_PO!$M$3&lt;&gt;0,INDEX(tblPoeder,ber_PO!$N$3,$A9+1)*ber_PO!$M$3,0)</f>
        <v>0</v>
      </c>
      <c r="E9" s="26">
        <f>IF(ber_PO!$M$4&lt;&gt;0,INDEX(tblPoeder,ber_PO!$N$4,$A9+1)*ber_PO!$M$4,0)</f>
        <v>0</v>
      </c>
      <c r="F9" s="26">
        <f>IF(ber_PO!$M$5&lt;&gt;0,INDEX(tblPoeder,ber_PO!$N$5,$A9+1)*ber_PO!$M$5,0)</f>
        <v>0</v>
      </c>
      <c r="G9" s="26">
        <f t="shared" si="0"/>
        <v>0</v>
      </c>
      <c r="I9" s="26"/>
    </row>
    <row r="10" spans="1:15" x14ac:dyDescent="0.35">
      <c r="A10" s="26">
        <v>9</v>
      </c>
      <c r="B10" s="26" t="s">
        <v>475</v>
      </c>
      <c r="C10" s="26">
        <f>IF(ber_PO!$M$2&lt;&gt;0,INDEX(tblPerOs,KeuzePO_1,A10+1)*ber_PO!$M$2,0)</f>
        <v>0</v>
      </c>
      <c r="D10" s="26">
        <f>IF(ber_PO!$M$3&lt;&gt;0,INDEX(tblPoeder,ber_PO!$N$3,$A10+1)*ber_PO!$M$3,0)</f>
        <v>0</v>
      </c>
      <c r="E10" s="26">
        <f>IF(ber_PO!$M$4&lt;&gt;0,INDEX(tblPoeder,ber_PO!$N$4,$A10+1)*ber_PO!$M$4,0)</f>
        <v>0</v>
      </c>
      <c r="F10" s="26">
        <f>IF(ber_PO!$M$5&lt;&gt;0,INDEX(tblPoeder,ber_PO!$N$5,$A10+1)*ber_PO!$M$5,0)</f>
        <v>0</v>
      </c>
      <c r="G10" s="26">
        <f t="shared" si="0"/>
        <v>0</v>
      </c>
      <c r="I10" s="26"/>
    </row>
    <row r="11" spans="1:15" x14ac:dyDescent="0.35">
      <c r="A11" s="266">
        <v>10</v>
      </c>
      <c r="B11" s="266" t="s">
        <v>1682</v>
      </c>
      <c r="C11" s="26">
        <f>IF(ber_PO!$M$2&lt;&gt;0,INDEX(tblPerOs,KeuzePO_1,A11+1)*ber_PO!$M$2,0)</f>
        <v>0</v>
      </c>
      <c r="D11" s="26">
        <f>IF(ber_PO!$M$3&lt;&gt;0,INDEX(tblPoeder,ber_PO!$N$3,$A11+1)*ber_PO!$M$3,0)</f>
        <v>0</v>
      </c>
      <c r="E11" s="26">
        <f>IF(ber_PO!$M$4&lt;&gt;0,INDEX(tblPoeder,ber_PO!$N$4,$A11+1)*ber_PO!$M$4,0)</f>
        <v>0</v>
      </c>
      <c r="F11" s="26">
        <f>IF(ber_PO!$M$5&lt;&gt;0,INDEX(tblPoeder,ber_PO!$N$5,$A11+1)*ber_PO!$M$5,0)</f>
        <v>0</v>
      </c>
      <c r="G11" s="26">
        <f t="shared" si="0"/>
        <v>0</v>
      </c>
    </row>
    <row r="12" spans="1:15" x14ac:dyDescent="0.35">
      <c r="A12" s="266">
        <v>11</v>
      </c>
      <c r="B12" s="266" t="s">
        <v>1683</v>
      </c>
      <c r="C12" s="26">
        <f>IF(ber_PO!$M$2&lt;&gt;0,INDEX(tblPerOs,KeuzePO_1,A12+1)*ber_PO!$M$2,0)</f>
        <v>0</v>
      </c>
      <c r="D12" s="26">
        <f>IF(ber_PO!$M$3&lt;&gt;0,INDEX(tblPoeder,ber_PO!$N$3,$A12+1)*ber_PO!$M$3,0)</f>
        <v>0</v>
      </c>
      <c r="E12" s="26">
        <f>IF(ber_PO!$M$4&lt;&gt;0,INDEX(tblPoeder,ber_PO!$N$4,$A12+1)*ber_PO!$M$4,0)</f>
        <v>0</v>
      </c>
      <c r="F12" s="26">
        <f>IF(ber_PO!$M$5&lt;&gt;0,INDEX(tblPoeder,ber_PO!$N$5,$A12+1)*ber_PO!$M$5,0)</f>
        <v>0</v>
      </c>
      <c r="G12" s="26">
        <f t="shared" si="0"/>
        <v>0</v>
      </c>
    </row>
    <row r="13" spans="1:15" x14ac:dyDescent="0.35">
      <c r="A13" s="266">
        <v>12</v>
      </c>
      <c r="B13" s="266" t="s">
        <v>1088</v>
      </c>
      <c r="C13" s="26">
        <f>IF(ber_PO!$M$2&lt;&gt;0,INDEX(tblPerOs,KeuzePO_1,A13+1)*ber_PO!$M$2,0)</f>
        <v>0</v>
      </c>
      <c r="D13" s="26">
        <f>IF(ber_PO!$M$3&lt;&gt;0,INDEX(tblPoeder,ber_PO!$N$3,$A13+1)*ber_PO!$M$3,0)</f>
        <v>0</v>
      </c>
      <c r="E13" s="26">
        <f>IF(ber_PO!$M$4&lt;&gt;0,INDEX(tblPoeder,ber_PO!$N$4,$A13+1)*ber_PO!$M$4,0)</f>
        <v>0</v>
      </c>
      <c r="F13" s="26">
        <f>IF(ber_PO!$M$5&lt;&gt;0,INDEX(tblPoeder,ber_PO!$N$5,$A13+1)*ber_PO!$M$5,0)</f>
        <v>0</v>
      </c>
      <c r="G13" s="26">
        <f t="shared" si="0"/>
        <v>0</v>
      </c>
    </row>
  </sheetData>
  <customSheetViews>
    <customSheetView guid="{33CCADFA-0D48-46A6-8927-2B2144029216}" state="veryHidden">
      <selection activeCell="O3" sqref="O3"/>
      <pageMargins left="0" right="0" top="0" bottom="0" header="0" footer="0"/>
      <pageSetup paperSize="9" orientation="landscape" r:id="rId1"/>
      <headerFooter alignWithMargins="0"/>
    </customSheetView>
  </customSheetViews>
  <phoneticPr fontId="29" type="noConversion"/>
  <pageMargins left="0" right="0" top="0" bottom="0" header="0" footer="0"/>
  <pageSetup paperSize="9" orientation="landscape" r:id="rId2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otalen">
    <tabColor rgb="FF92D050"/>
  </sheetPr>
  <dimension ref="A1:E44"/>
  <sheetViews>
    <sheetView workbookViewId="0">
      <selection activeCell="B4" sqref="B4"/>
    </sheetView>
  </sheetViews>
  <sheetFormatPr defaultRowHeight="12.85" x14ac:dyDescent="0.35"/>
  <cols>
    <col min="1" max="1" width="11" customWidth="1"/>
    <col min="2" max="2" width="9.73046875" customWidth="1"/>
  </cols>
  <sheetData>
    <row r="1" spans="1:5" x14ac:dyDescent="0.35">
      <c r="A1" s="577"/>
      <c r="B1" t="s">
        <v>354</v>
      </c>
      <c r="C1" t="s">
        <v>426</v>
      </c>
      <c r="D1" t="s">
        <v>575</v>
      </c>
      <c r="E1" t="s">
        <v>426</v>
      </c>
    </row>
    <row r="2" spans="1:5" ht="13.2" x14ac:dyDescent="0.4">
      <c r="A2" s="10" t="s">
        <v>690</v>
      </c>
      <c r="B2" s="11">
        <f>SUM(B3:B4)</f>
        <v>0</v>
      </c>
      <c r="C2" s="11">
        <f>10*B2/Gewicht</f>
        <v>0</v>
      </c>
      <c r="D2" s="11"/>
      <c r="E2" s="12"/>
    </row>
    <row r="3" spans="1:5" x14ac:dyDescent="0.35">
      <c r="A3" s="5" t="s">
        <v>438</v>
      </c>
      <c r="B3">
        <f>ber_PO!M2</f>
        <v>0</v>
      </c>
    </row>
    <row r="4" spans="1:5" x14ac:dyDescent="0.35">
      <c r="A4" s="5" t="s">
        <v>436</v>
      </c>
      <c r="B4">
        <f>(ber_IVmed!K18+ber_TPN!F24+Infusen!J15+ber_Med_disc!P33)</f>
        <v>0</v>
      </c>
    </row>
    <row r="5" spans="1:5" ht="13.2" x14ac:dyDescent="0.4">
      <c r="A5" s="10" t="s">
        <v>425</v>
      </c>
      <c r="B5" s="11">
        <f>SUM(B6:B8)</f>
        <v>0</v>
      </c>
      <c r="C5" s="11">
        <f>B5/(Gewicht/10)</f>
        <v>0</v>
      </c>
      <c r="D5" s="11">
        <f>SUM(D7:D7)</f>
        <v>0</v>
      </c>
      <c r="E5" s="12">
        <f>D5/(Gewicht/10)</f>
        <v>0</v>
      </c>
    </row>
    <row r="6" spans="1:5" ht="13.2" x14ac:dyDescent="0.4">
      <c r="A6" s="603" t="s">
        <v>438</v>
      </c>
      <c r="B6">
        <f>ber_PO!G4</f>
        <v>0</v>
      </c>
      <c r="C6" s="8" t="s">
        <v>443</v>
      </c>
      <c r="D6" s="8" t="s">
        <v>443</v>
      </c>
    </row>
    <row r="7" spans="1:5" x14ac:dyDescent="0.35">
      <c r="A7" s="5" t="s">
        <v>442</v>
      </c>
      <c r="B7">
        <f>ber_Med_disc!S33+ber_IVmed!L18+ber_IVmed!M18</f>
        <v>0</v>
      </c>
      <c r="D7">
        <f>B7*4</f>
        <v>0</v>
      </c>
    </row>
    <row r="8" spans="1:5" ht="13.2" x14ac:dyDescent="0.4">
      <c r="A8" s="5" t="s">
        <v>478</v>
      </c>
      <c r="B8">
        <f>ber_TPN!G24</f>
        <v>0</v>
      </c>
      <c r="C8" s="8" t="s">
        <v>443</v>
      </c>
      <c r="D8" s="8" t="s">
        <v>443</v>
      </c>
    </row>
    <row r="9" spans="1:5" ht="13.2" x14ac:dyDescent="0.4">
      <c r="A9" s="10" t="s">
        <v>430</v>
      </c>
      <c r="B9" s="11">
        <f>SUM(B10:B12)</f>
        <v>0</v>
      </c>
      <c r="C9" s="11">
        <f>B9/(Gewicht/10)</f>
        <v>0</v>
      </c>
      <c r="D9" s="11">
        <f>SUM(D10:D11)</f>
        <v>0</v>
      </c>
      <c r="E9" s="12">
        <f>D9/(Gewicht/10)</f>
        <v>0</v>
      </c>
    </row>
    <row r="10" spans="1:5" ht="13.2" x14ac:dyDescent="0.4">
      <c r="A10" s="5" t="s">
        <v>438</v>
      </c>
      <c r="B10">
        <f>ber_PO!G3</f>
        <v>0</v>
      </c>
      <c r="C10" s="8" t="s">
        <v>443</v>
      </c>
      <c r="D10" s="8" t="s">
        <v>443</v>
      </c>
    </row>
    <row r="11" spans="1:5" ht="13.2" x14ac:dyDescent="0.4">
      <c r="A11" s="5" t="s">
        <v>436</v>
      </c>
      <c r="B11">
        <f>ber_TPN!H24</f>
        <v>0</v>
      </c>
      <c r="C11" s="8" t="s">
        <v>443</v>
      </c>
      <c r="D11" s="8" t="s">
        <v>443</v>
      </c>
    </row>
    <row r="12" spans="1:5" ht="13.2" x14ac:dyDescent="0.4">
      <c r="A12" s="5" t="s">
        <v>104</v>
      </c>
      <c r="B12">
        <f>ber_IVmed!Q18</f>
        <v>0</v>
      </c>
      <c r="C12" s="8"/>
      <c r="D12" s="8"/>
    </row>
    <row r="13" spans="1:5" ht="13.2" x14ac:dyDescent="0.4">
      <c r="A13" s="10" t="s">
        <v>431</v>
      </c>
      <c r="B13" s="11">
        <f>SUM(B14:B16)</f>
        <v>0</v>
      </c>
      <c r="C13" s="11">
        <f>SUM(C14:C16)</f>
        <v>0</v>
      </c>
      <c r="D13" s="11">
        <f>SUM(D14:D15)</f>
        <v>0</v>
      </c>
      <c r="E13" s="12">
        <f>D13/(Gewicht/10)</f>
        <v>0</v>
      </c>
    </row>
    <row r="14" spans="1:5" ht="13.2" x14ac:dyDescent="0.4">
      <c r="A14" s="5" t="s">
        <v>438</v>
      </c>
      <c r="B14">
        <f>ber_PO!G5</f>
        <v>0</v>
      </c>
      <c r="C14">
        <f>B14/(Gewicht/10)</f>
        <v>0</v>
      </c>
      <c r="D14" s="8" t="s">
        <v>443</v>
      </c>
    </row>
    <row r="15" spans="1:5" ht="13.2" x14ac:dyDescent="0.4">
      <c r="A15" s="5" t="s">
        <v>436</v>
      </c>
      <c r="B15">
        <f>ber_TPN!O24</f>
        <v>0</v>
      </c>
      <c r="C15">
        <f>B15/(Gewicht/10)</f>
        <v>0</v>
      </c>
      <c r="D15" s="8" t="s">
        <v>443</v>
      </c>
    </row>
    <row r="16" spans="1:5" x14ac:dyDescent="0.35">
      <c r="A16" s="5" t="s">
        <v>437</v>
      </c>
      <c r="B16">
        <f>ber_IVmed!R18</f>
        <v>0</v>
      </c>
      <c r="D16">
        <f>B16*9</f>
        <v>0</v>
      </c>
    </row>
    <row r="17" spans="1:5" ht="13.2" x14ac:dyDescent="0.4">
      <c r="A17" s="10" t="s">
        <v>691</v>
      </c>
      <c r="B17" s="11">
        <f>SUM(B18:B22)</f>
        <v>0</v>
      </c>
      <c r="C17" s="11">
        <f>SUM(C18:C22)</f>
        <v>0</v>
      </c>
      <c r="D17" s="11"/>
      <c r="E17" s="12"/>
    </row>
    <row r="18" spans="1:5" x14ac:dyDescent="0.35">
      <c r="A18" s="5" t="s">
        <v>438</v>
      </c>
      <c r="B18">
        <f>ber_PO!G6</f>
        <v>0</v>
      </c>
      <c r="C18">
        <f>B18/(Gewicht/10)</f>
        <v>0</v>
      </c>
    </row>
    <row r="19" spans="1:5" x14ac:dyDescent="0.35">
      <c r="A19" s="5" t="s">
        <v>509</v>
      </c>
      <c r="B19">
        <f>Infusen!I15</f>
        <v>0</v>
      </c>
      <c r="C19">
        <f>B19/(Gewicht/10)</f>
        <v>0</v>
      </c>
    </row>
    <row r="20" spans="1:5" x14ac:dyDescent="0.35">
      <c r="A20" s="5" t="s">
        <v>442</v>
      </c>
      <c r="B20">
        <f>ber_Med_disc!R33</f>
        <v>0</v>
      </c>
      <c r="C20">
        <f>B20/(Gewicht/10)</f>
        <v>0</v>
      </c>
    </row>
    <row r="21" spans="1:5" x14ac:dyDescent="0.35">
      <c r="A21" s="4">
        <v>8.9999999999999993E-3</v>
      </c>
      <c r="B21">
        <f>ber_IVmed!O18</f>
        <v>0</v>
      </c>
      <c r="C21">
        <f>B21/(Gewicht/10)</f>
        <v>0</v>
      </c>
    </row>
    <row r="22" spans="1:5" x14ac:dyDescent="0.35">
      <c r="A22" s="4" t="s">
        <v>478</v>
      </c>
      <c r="B22">
        <f>ber_TPN!I24</f>
        <v>0</v>
      </c>
      <c r="C22">
        <f>B22/(Gewicht/10)</f>
        <v>0</v>
      </c>
    </row>
    <row r="23" spans="1:5" ht="13.2" x14ac:dyDescent="0.4">
      <c r="A23" s="10" t="s">
        <v>692</v>
      </c>
      <c r="B23" s="11">
        <f>SUM(B24:B26)</f>
        <v>0</v>
      </c>
      <c r="C23" s="11">
        <f>SUM(C24:C26)</f>
        <v>0</v>
      </c>
      <c r="D23" s="11"/>
      <c r="E23" s="12"/>
    </row>
    <row r="24" spans="1:5" x14ac:dyDescent="0.35">
      <c r="A24" s="5" t="s">
        <v>438</v>
      </c>
      <c r="B24">
        <f>ber_PO!G7</f>
        <v>0</v>
      </c>
      <c r="C24">
        <f>B24/(Gewicht/10)</f>
        <v>0</v>
      </c>
    </row>
    <row r="25" spans="1:5" x14ac:dyDescent="0.35">
      <c r="A25" s="5" t="s">
        <v>478</v>
      </c>
      <c r="B25">
        <f>ber_TPN!J24</f>
        <v>0</v>
      </c>
      <c r="C25">
        <f>B25/(Gewicht/10)</f>
        <v>0</v>
      </c>
    </row>
    <row r="26" spans="1:5" x14ac:dyDescent="0.35">
      <c r="A26" s="5" t="s">
        <v>442</v>
      </c>
      <c r="B26">
        <f>ber_IVmed!P18</f>
        <v>0</v>
      </c>
      <c r="C26">
        <f>B26/(Gewicht/10)</f>
        <v>0</v>
      </c>
    </row>
    <row r="27" spans="1:5" ht="13.2" x14ac:dyDescent="0.4">
      <c r="A27" s="10" t="s">
        <v>427</v>
      </c>
      <c r="B27" s="11">
        <f>SUM(B28:B29)</f>
        <v>0</v>
      </c>
      <c r="C27" s="11">
        <f>SUM(C28:C29)</f>
        <v>0</v>
      </c>
      <c r="D27" s="11"/>
      <c r="E27" s="12"/>
    </row>
    <row r="28" spans="1:5" x14ac:dyDescent="0.35">
      <c r="A28" s="5" t="s">
        <v>438</v>
      </c>
      <c r="B28">
        <f>ber_PO!G8</f>
        <v>0</v>
      </c>
      <c r="C28">
        <f>B28/(Gewicht/10)</f>
        <v>0</v>
      </c>
    </row>
    <row r="29" spans="1:5" x14ac:dyDescent="0.35">
      <c r="A29" s="5" t="s">
        <v>478</v>
      </c>
      <c r="B29">
        <f>ber_TPN!K24</f>
        <v>0</v>
      </c>
      <c r="C29">
        <f>B29/(Gewicht/10)</f>
        <v>0</v>
      </c>
    </row>
    <row r="30" spans="1:5" ht="13.2" x14ac:dyDescent="0.4">
      <c r="A30" s="10" t="s">
        <v>428</v>
      </c>
      <c r="B30" s="11">
        <f>SUM(B31:B32)</f>
        <v>0</v>
      </c>
      <c r="C30" s="11">
        <f>SUM(C31:C32)</f>
        <v>0</v>
      </c>
      <c r="D30" s="11"/>
      <c r="E30" s="12"/>
    </row>
    <row r="31" spans="1:5" x14ac:dyDescent="0.35">
      <c r="A31" s="5" t="s">
        <v>438</v>
      </c>
      <c r="B31">
        <f>ber_PO!G9</f>
        <v>0</v>
      </c>
      <c r="C31">
        <f>B31/(Gewicht/10)</f>
        <v>0</v>
      </c>
    </row>
    <row r="32" spans="1:5" x14ac:dyDescent="0.35">
      <c r="A32" s="5" t="s">
        <v>478</v>
      </c>
      <c r="B32">
        <f>ber_TPN!M24</f>
        <v>0</v>
      </c>
      <c r="C32">
        <f>B32/(Gewicht/10)</f>
        <v>0</v>
      </c>
    </row>
    <row r="33" spans="1:5" ht="13.2" x14ac:dyDescent="0.4">
      <c r="A33" s="10" t="s">
        <v>429</v>
      </c>
      <c r="B33" s="11">
        <f>SUM(B34:B35)</f>
        <v>0</v>
      </c>
      <c r="C33" s="11">
        <f>SUM(C34:C35)</f>
        <v>0</v>
      </c>
      <c r="D33" s="11"/>
      <c r="E33" s="12"/>
    </row>
    <row r="34" spans="1:5" x14ac:dyDescent="0.35">
      <c r="A34" s="5" t="s">
        <v>438</v>
      </c>
      <c r="B34">
        <f>ber_PO!G10</f>
        <v>0</v>
      </c>
      <c r="C34">
        <f>B34/(Gewicht/10)</f>
        <v>0</v>
      </c>
    </row>
    <row r="35" spans="1:5" x14ac:dyDescent="0.35">
      <c r="A35" s="5" t="s">
        <v>436</v>
      </c>
      <c r="B35">
        <f>ber_TPN!L24</f>
        <v>0</v>
      </c>
      <c r="C35">
        <f>B35/(Gewicht/10)</f>
        <v>0</v>
      </c>
    </row>
    <row r="36" spans="1:5" ht="13.2" x14ac:dyDescent="0.4">
      <c r="A36" s="10" t="s">
        <v>1777</v>
      </c>
      <c r="B36" s="11">
        <f>SUM(B37)</f>
        <v>0</v>
      </c>
      <c r="C36" s="11">
        <f>SUM(C37)</f>
        <v>0</v>
      </c>
      <c r="D36" s="11"/>
      <c r="E36" s="12"/>
    </row>
    <row r="37" spans="1:5" x14ac:dyDescent="0.35">
      <c r="A37" s="5" t="s">
        <v>438</v>
      </c>
      <c r="B37" s="517">
        <f>ber_PO!G11</f>
        <v>0</v>
      </c>
      <c r="C37" s="517">
        <f>B37/(Gewicht/10)</f>
        <v>0</v>
      </c>
      <c r="D37" s="517"/>
      <c r="E37" s="517"/>
    </row>
    <row r="38" spans="1:5" ht="13.2" x14ac:dyDescent="0.4">
      <c r="A38" s="10" t="s">
        <v>1776</v>
      </c>
      <c r="B38" s="11">
        <f>SUM(B39)</f>
        <v>0</v>
      </c>
      <c r="C38" s="11">
        <f>SUM(C39)</f>
        <v>0</v>
      </c>
      <c r="D38" s="11"/>
      <c r="E38" s="12"/>
    </row>
    <row r="39" spans="1:5" x14ac:dyDescent="0.35">
      <c r="A39" s="5" t="s">
        <v>438</v>
      </c>
      <c r="B39" s="517">
        <f>ber_PO!G12</f>
        <v>0</v>
      </c>
      <c r="C39" s="517">
        <f>B39/(Gewicht/10)</f>
        <v>0</v>
      </c>
      <c r="D39" s="517"/>
      <c r="E39" s="517"/>
    </row>
    <row r="40" spans="1:5" ht="13.2" x14ac:dyDescent="0.4">
      <c r="A40" s="10" t="s">
        <v>1775</v>
      </c>
      <c r="B40" s="11">
        <f>SUM(B41)</f>
        <v>0</v>
      </c>
      <c r="C40" s="11">
        <f>SUM(C41)</f>
        <v>0</v>
      </c>
      <c r="D40" s="11"/>
      <c r="E40" s="12"/>
    </row>
    <row r="41" spans="1:5" x14ac:dyDescent="0.35">
      <c r="A41" s="5" t="s">
        <v>438</v>
      </c>
      <c r="B41" s="517">
        <f>ber_PO!G13</f>
        <v>0</v>
      </c>
      <c r="C41" s="517">
        <f>B41/(Gewicht/10)</f>
        <v>0</v>
      </c>
      <c r="D41" s="517"/>
      <c r="E41" s="517"/>
    </row>
    <row r="42" spans="1:5" ht="13.2" x14ac:dyDescent="0.4">
      <c r="A42" s="13" t="s">
        <v>478</v>
      </c>
      <c r="B42" s="11"/>
      <c r="C42" s="11"/>
      <c r="D42" s="11">
        <f>ber_TPN!N24+ber_PO!G2</f>
        <v>0</v>
      </c>
      <c r="E42" s="12">
        <f>D42/(Gewicht/10)</f>
        <v>0</v>
      </c>
    </row>
    <row r="44" spans="1:5" x14ac:dyDescent="0.35">
      <c r="A44" s="5" t="s">
        <v>464</v>
      </c>
      <c r="E44">
        <f>E5+E9+E13+E42</f>
        <v>0</v>
      </c>
    </row>
  </sheetData>
  <customSheetViews>
    <customSheetView guid="{33CCADFA-0D48-46A6-8927-2B2144029216}" state="veryHidden">
      <selection activeCell="D36" sqref="D36"/>
      <pageMargins left="0.75" right="0.75" top="1" bottom="1" header="0.5" footer="0.5"/>
      <pageSetup paperSize="9" orientation="portrait" verticalDpi="300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verticalDpi="300" r:id="rId2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blTPOSheet1">
    <tabColor rgb="FFFFC000"/>
  </sheetPr>
  <dimension ref="A1:Q54"/>
  <sheetViews>
    <sheetView zoomScale="85" zoomScaleNormal="85" workbookViewId="0"/>
  </sheetViews>
  <sheetFormatPr defaultColWidth="9.1328125" defaultRowHeight="12.85" x14ac:dyDescent="0.35"/>
  <cols>
    <col min="1" max="1" width="10.86328125" style="518" bestFit="1" customWidth="1"/>
    <col min="2" max="2" width="32.265625" style="518" bestFit="1" customWidth="1"/>
    <col min="3" max="3" width="37" style="518" bestFit="1" customWidth="1"/>
    <col min="4" max="4" width="17.73046875" style="518" bestFit="1" customWidth="1"/>
    <col min="5" max="7" width="6.1328125" style="518" bestFit="1" customWidth="1"/>
    <col min="8" max="9" width="12.1328125" style="518" bestFit="1" customWidth="1"/>
    <col min="10" max="10" width="9.1328125" style="518" bestFit="1" customWidth="1"/>
    <col min="11" max="12" width="12.1328125" style="518" bestFit="1" customWidth="1"/>
    <col min="13" max="13" width="11.1328125" style="518" bestFit="1" customWidth="1"/>
    <col min="14" max="14" width="8.59765625" style="518" customWidth="1"/>
    <col min="15" max="15" width="12" style="518" bestFit="1" customWidth="1"/>
    <col min="16" max="16" width="9.1328125" style="518"/>
    <col min="17" max="17" width="22.1328125" style="518" bestFit="1" customWidth="1"/>
    <col min="18" max="16384" width="9.1328125" style="518"/>
  </cols>
  <sheetData>
    <row r="1" spans="1:17" ht="13.2" x14ac:dyDescent="0.4">
      <c r="A1" s="583"/>
      <c r="D1" s="518" t="s">
        <v>978</v>
      </c>
      <c r="E1" s="518" t="s">
        <v>62</v>
      </c>
      <c r="F1" s="518" t="s">
        <v>62</v>
      </c>
      <c r="G1" s="518" t="s">
        <v>62</v>
      </c>
      <c r="H1" s="518" t="s">
        <v>364</v>
      </c>
      <c r="I1" s="518" t="s">
        <v>364</v>
      </c>
      <c r="J1" s="518" t="s">
        <v>364</v>
      </c>
      <c r="K1" s="518" t="s">
        <v>364</v>
      </c>
      <c r="L1" s="518" t="s">
        <v>364</v>
      </c>
      <c r="M1" s="518" t="s">
        <v>364</v>
      </c>
      <c r="N1" s="518" t="s">
        <v>950</v>
      </c>
      <c r="O1" s="518" t="s">
        <v>364</v>
      </c>
      <c r="Q1" s="3" t="s">
        <v>445</v>
      </c>
    </row>
    <row r="2" spans="1:17" x14ac:dyDescent="0.35">
      <c r="D2" s="518" t="s">
        <v>479</v>
      </c>
      <c r="E2" s="518" t="s">
        <v>430</v>
      </c>
      <c r="F2" s="518" t="s">
        <v>480</v>
      </c>
      <c r="G2" s="518" t="s">
        <v>431</v>
      </c>
      <c r="H2" s="518" t="s">
        <v>472</v>
      </c>
      <c r="I2" s="518" t="s">
        <v>473</v>
      </c>
      <c r="J2" s="518" t="s">
        <v>474</v>
      </c>
      <c r="K2" s="518" t="s">
        <v>481</v>
      </c>
      <c r="L2" s="518" t="s">
        <v>475</v>
      </c>
      <c r="M2" s="518" t="s">
        <v>1682</v>
      </c>
      <c r="N2" s="518" t="s">
        <v>1683</v>
      </c>
      <c r="O2" s="518" t="s">
        <v>1088</v>
      </c>
      <c r="Q2" s="266" t="s">
        <v>994</v>
      </c>
    </row>
    <row r="3" spans="1:17" x14ac:dyDescent="0.35">
      <c r="Q3" s="266" t="s">
        <v>995</v>
      </c>
    </row>
    <row r="4" spans="1:17" x14ac:dyDescent="0.35">
      <c r="A4" s="518" t="s">
        <v>1685</v>
      </c>
      <c r="B4" s="518" t="s">
        <v>373</v>
      </c>
      <c r="C4" s="518" t="s">
        <v>1962</v>
      </c>
      <c r="D4" s="518">
        <f t="shared" ref="D4:D26" si="0">VLOOKUP(B4,tblVoedingBasislijst,2,FALSE)/100</f>
        <v>0.68</v>
      </c>
      <c r="E4" s="518">
        <f t="shared" ref="E4:E26" si="1">VLOOKUP(B4,tblVoedingBasislijst,3,FALSE)/100</f>
        <v>0.01</v>
      </c>
      <c r="F4" s="518">
        <f t="shared" ref="F4:F26" si="2">VLOOKUP(B4,tblVoedingBasislijst,4,FALSE)/100</f>
        <v>7.0000000000000007E-2</v>
      </c>
      <c r="G4" s="518">
        <f t="shared" ref="G4:G26" si="3">VLOOKUP(B4,tblVoedingBasislijst,5,FALSE)/100</f>
        <v>0.04</v>
      </c>
      <c r="H4" s="518">
        <f t="shared" ref="H4:H26" si="4">VLOOKUP(B4,tblVoedingBasislijst,6,FALSE)*tblOmrekenNA/100</f>
        <v>8.6956000000000012E-3</v>
      </c>
      <c r="I4" s="518">
        <f t="shared" ref="I4:I26" si="5">VLOOKUP(B4,tblVoedingBasislijst,7,FALSE)*tblOmrekenK/100</f>
        <v>1.2820500000000002E-2</v>
      </c>
      <c r="J4" s="518">
        <f t="shared" ref="J4:J26" si="6">VLOOKUP(B4,tblVoedingBasislijst,8,FALSE)*tblOmrekenCa/100</f>
        <v>7.4700000000000001E-3</v>
      </c>
      <c r="K4" s="518">
        <f t="shared" ref="K4:K26" si="7">VLOOKUP(B4,tblVoedingBasislijst,9,FALSE)*tblOmrekenP/100</f>
        <v>4.8433499999999997E-3</v>
      </c>
      <c r="L4" s="518">
        <f t="shared" ref="L4:L26" si="8">VLOOKUP(B4,tblVoedingBasislijst,10,FALSE)*tblOmrekenMg/100</f>
        <v>1.23423E-3</v>
      </c>
      <c r="M4" s="518">
        <f t="shared" ref="M4:M26" si="9">VLOOKUP(B4,tblVoedingBasislijst,11,FALSE)*tblOmrekenFe/100</f>
        <v>1.7899999999999998E-5</v>
      </c>
      <c r="N4" s="518">
        <f t="shared" ref="N4:N26" si="10">VLOOKUP(B4,tblVoedingBasislijst,12,FALSE)*tblOmrekenVitD/100</f>
        <v>0</v>
      </c>
      <c r="O4" s="518">
        <f t="shared" ref="O4:O26" si="11">VLOOKUP(B4,tblVoedingBasislijst,13,FALSE)*tblOmrekenCl/100</f>
        <v>1.212858E-2</v>
      </c>
      <c r="Q4" s="266" t="s">
        <v>996</v>
      </c>
    </row>
    <row r="5" spans="1:17" x14ac:dyDescent="0.35">
      <c r="A5" s="518" t="s">
        <v>1686</v>
      </c>
      <c r="B5" s="518" t="s">
        <v>1687</v>
      </c>
      <c r="C5" s="518" t="s">
        <v>1963</v>
      </c>
      <c r="D5" s="518">
        <f t="shared" si="0"/>
        <v>0.8</v>
      </c>
      <c r="E5" s="518">
        <f t="shared" si="1"/>
        <v>2.6000000000000002E-2</v>
      </c>
      <c r="F5" s="518">
        <f t="shared" si="2"/>
        <v>8.4000000000000005E-2</v>
      </c>
      <c r="G5" s="518">
        <f t="shared" si="3"/>
        <v>3.9E-2</v>
      </c>
      <c r="H5" s="518">
        <f t="shared" si="4"/>
        <v>3.0434599999999999E-2</v>
      </c>
      <c r="I5" s="518">
        <f t="shared" si="5"/>
        <v>2.0512800000000001E-2</v>
      </c>
      <c r="J5" s="518">
        <f t="shared" si="6"/>
        <v>2.4899999999999999E-2</v>
      </c>
      <c r="K5" s="518">
        <f t="shared" si="7"/>
        <v>1.8081839999999998E-2</v>
      </c>
      <c r="L5" s="518">
        <f t="shared" si="8"/>
        <v>3.2912799999999997E-3</v>
      </c>
      <c r="M5" s="518">
        <f t="shared" si="9"/>
        <v>2.8639999999999997E-4</v>
      </c>
      <c r="N5" s="518">
        <f t="shared" si="10"/>
        <v>1.2</v>
      </c>
      <c r="O5" s="518">
        <f t="shared" si="11"/>
        <v>2.3975099999999999E-2</v>
      </c>
      <c r="Q5" s="266" t="s">
        <v>997</v>
      </c>
    </row>
    <row r="6" spans="1:17" x14ac:dyDescent="0.35">
      <c r="A6" s="518" t="s">
        <v>1686</v>
      </c>
      <c r="B6" s="641" t="s">
        <v>1688</v>
      </c>
      <c r="C6" s="518" t="s">
        <v>1964</v>
      </c>
      <c r="D6" s="518">
        <f t="shared" si="0"/>
        <v>0.75</v>
      </c>
      <c r="E6" s="518">
        <f t="shared" si="1"/>
        <v>0.02</v>
      </c>
      <c r="F6" s="518">
        <f t="shared" si="2"/>
        <v>7.4999999999999997E-2</v>
      </c>
      <c r="G6" s="518">
        <f t="shared" si="3"/>
        <v>0.04</v>
      </c>
      <c r="H6" s="518">
        <f t="shared" si="4"/>
        <v>1.217384E-2</v>
      </c>
      <c r="I6" s="518">
        <f t="shared" si="5"/>
        <v>1.9743570000000002E-2</v>
      </c>
      <c r="J6" s="518">
        <f t="shared" si="6"/>
        <v>2.1662999999999998E-2</v>
      </c>
      <c r="K6" s="518">
        <f t="shared" si="7"/>
        <v>1.517583E-2</v>
      </c>
      <c r="L6" s="518">
        <f t="shared" si="8"/>
        <v>2.8798700000000001E-3</v>
      </c>
      <c r="M6" s="518">
        <f t="shared" si="9"/>
        <v>2.1479999999999999E-4</v>
      </c>
      <c r="N6" s="518">
        <f t="shared" si="10"/>
        <v>0.68</v>
      </c>
      <c r="O6" s="518">
        <f t="shared" si="11"/>
        <v>1.5513299999999999E-2</v>
      </c>
      <c r="Q6" s="266" t="s">
        <v>2415</v>
      </c>
    </row>
    <row r="7" spans="1:17" x14ac:dyDescent="0.35">
      <c r="A7" s="518" t="s">
        <v>1260</v>
      </c>
      <c r="B7" s="613" t="s">
        <v>1689</v>
      </c>
      <c r="C7" s="518" t="s">
        <v>1965</v>
      </c>
      <c r="D7" s="518">
        <f t="shared" si="0"/>
        <v>0.66</v>
      </c>
      <c r="E7" s="518">
        <f t="shared" si="1"/>
        <v>1.4999999999999999E-2</v>
      </c>
      <c r="F7" s="518">
        <f t="shared" si="2"/>
        <v>7.2000000000000008E-2</v>
      </c>
      <c r="G7" s="518">
        <f t="shared" si="3"/>
        <v>3.4000000000000002E-2</v>
      </c>
      <c r="H7" s="518">
        <f t="shared" si="4"/>
        <v>1.0869500000000001E-2</v>
      </c>
      <c r="I7" s="518">
        <f t="shared" si="5"/>
        <v>1.8717930000000001E-2</v>
      </c>
      <c r="J7" s="518">
        <f t="shared" si="6"/>
        <v>1.1453999999999999E-2</v>
      </c>
      <c r="K7" s="518">
        <f t="shared" si="7"/>
        <v>8.3951400000000006E-3</v>
      </c>
      <c r="L7" s="518">
        <f t="shared" si="8"/>
        <v>2.0981909999999997E-3</v>
      </c>
      <c r="M7" s="518">
        <f t="shared" si="9"/>
        <v>9.4870000000000005E-5</v>
      </c>
      <c r="N7" s="518">
        <f t="shared" si="10"/>
        <v>0.48</v>
      </c>
      <c r="O7" s="518">
        <f t="shared" si="11"/>
        <v>1.1564459999999999E-2</v>
      </c>
    </row>
    <row r="8" spans="1:17" x14ac:dyDescent="0.35">
      <c r="A8" s="518" t="s">
        <v>977</v>
      </c>
      <c r="B8" s="518" t="s">
        <v>1093</v>
      </c>
      <c r="C8" s="518" t="s">
        <v>1966</v>
      </c>
      <c r="D8" s="518">
        <f t="shared" si="0"/>
        <v>0.66</v>
      </c>
      <c r="E8" s="518">
        <f t="shared" si="1"/>
        <v>1.3000000000000001E-2</v>
      </c>
      <c r="F8" s="518">
        <f t="shared" si="2"/>
        <v>7.2999999999999995E-2</v>
      </c>
      <c r="G8" s="518">
        <f t="shared" si="3"/>
        <v>3.4000000000000002E-2</v>
      </c>
      <c r="H8" s="518">
        <f t="shared" si="4"/>
        <v>7.3912600000000002E-3</v>
      </c>
      <c r="I8" s="518">
        <f t="shared" si="5"/>
        <v>1.7435880000000001E-2</v>
      </c>
      <c r="J8" s="518">
        <f t="shared" si="6"/>
        <v>1.4193000000000001E-2</v>
      </c>
      <c r="K8" s="518">
        <f t="shared" si="7"/>
        <v>1.033248E-2</v>
      </c>
      <c r="L8" s="518">
        <f t="shared" si="8"/>
        <v>2.0981909999999997E-3</v>
      </c>
      <c r="M8" s="518">
        <f t="shared" si="9"/>
        <v>6.981E-4</v>
      </c>
      <c r="N8" s="518">
        <f t="shared" si="10"/>
        <v>3.48</v>
      </c>
      <c r="O8" s="518">
        <f t="shared" si="11"/>
        <v>1.1846520000000001E-2</v>
      </c>
    </row>
    <row r="9" spans="1:17" x14ac:dyDescent="0.35">
      <c r="A9" s="583" t="s">
        <v>977</v>
      </c>
      <c r="B9" s="518" t="s">
        <v>1752</v>
      </c>
      <c r="C9" s="518" t="s">
        <v>1967</v>
      </c>
      <c r="D9" s="518">
        <f t="shared" si="0"/>
        <v>0.68</v>
      </c>
      <c r="E9" s="518">
        <f t="shared" si="1"/>
        <v>1.3999999999999999E-2</v>
      </c>
      <c r="F9" s="518">
        <f t="shared" si="2"/>
        <v>8.5999999999999993E-2</v>
      </c>
      <c r="G9" s="518">
        <f t="shared" si="3"/>
        <v>0.03</v>
      </c>
      <c r="H9" s="518">
        <f t="shared" si="4"/>
        <v>9.9999400000000006E-3</v>
      </c>
      <c r="I9" s="518">
        <f t="shared" si="5"/>
        <v>1.8974339999999999E-2</v>
      </c>
      <c r="J9" s="518">
        <f t="shared" si="6"/>
        <v>1.6184999999999998E-2</v>
      </c>
      <c r="K9" s="518">
        <f t="shared" si="7"/>
        <v>1.162404E-2</v>
      </c>
      <c r="L9" s="518">
        <f t="shared" si="8"/>
        <v>1.974768E-3</v>
      </c>
      <c r="M9" s="518">
        <f t="shared" si="9"/>
        <v>1.253E-3</v>
      </c>
      <c r="N9" s="518">
        <f t="shared" si="10"/>
        <v>0.56000000000000005</v>
      </c>
      <c r="O9" s="518">
        <f t="shared" si="11"/>
        <v>1.3256820000000001E-2</v>
      </c>
    </row>
    <row r="10" spans="1:17" x14ac:dyDescent="0.35">
      <c r="A10" s="518" t="s">
        <v>1685</v>
      </c>
      <c r="B10" s="518" t="s">
        <v>24</v>
      </c>
      <c r="C10" s="518" t="s">
        <v>1968</v>
      </c>
      <c r="D10" s="518">
        <f t="shared" si="0"/>
        <v>1</v>
      </c>
      <c r="E10" s="518">
        <f t="shared" si="1"/>
        <v>2.6000000000000002E-2</v>
      </c>
      <c r="F10" s="518">
        <f t="shared" si="2"/>
        <v>0.10300000000000001</v>
      </c>
      <c r="G10" s="518">
        <f t="shared" si="3"/>
        <v>5.4000000000000006E-2</v>
      </c>
      <c r="H10" s="518">
        <f t="shared" si="4"/>
        <v>1.6086860000000001E-2</v>
      </c>
      <c r="I10" s="518">
        <f t="shared" si="5"/>
        <v>2.4358950000000001E-2</v>
      </c>
      <c r="J10" s="518">
        <f t="shared" si="6"/>
        <v>2.4899999999999999E-2</v>
      </c>
      <c r="K10" s="518">
        <f t="shared" si="7"/>
        <v>1.6144499999999999E-2</v>
      </c>
      <c r="L10" s="518">
        <f t="shared" si="8"/>
        <v>3.7026899999999998E-3</v>
      </c>
      <c r="M10" s="518">
        <f t="shared" si="9"/>
        <v>2.1479999999999999E-4</v>
      </c>
      <c r="N10" s="518">
        <f t="shared" si="10"/>
        <v>0.76</v>
      </c>
      <c r="O10" s="518">
        <f t="shared" si="11"/>
        <v>1.7487719999999998E-2</v>
      </c>
    </row>
    <row r="11" spans="1:17" x14ac:dyDescent="0.35">
      <c r="A11" s="518" t="s">
        <v>1685</v>
      </c>
      <c r="B11" s="518" t="s">
        <v>1947</v>
      </c>
      <c r="C11" s="518" t="s">
        <v>1969</v>
      </c>
      <c r="D11" s="518">
        <f t="shared" si="0"/>
        <v>1</v>
      </c>
      <c r="E11" s="518">
        <f t="shared" si="1"/>
        <v>2.6000000000000002E-2</v>
      </c>
      <c r="F11" s="518">
        <f t="shared" si="2"/>
        <v>0.10300000000000001</v>
      </c>
      <c r="G11" s="518">
        <f t="shared" si="3"/>
        <v>5.4000000000000006E-2</v>
      </c>
      <c r="H11" s="518">
        <f t="shared" si="4"/>
        <v>1.391296E-2</v>
      </c>
      <c r="I11" s="518">
        <f t="shared" si="5"/>
        <v>2.769228E-2</v>
      </c>
      <c r="J11" s="518">
        <f t="shared" si="6"/>
        <v>1.992E-2</v>
      </c>
      <c r="K11" s="518">
        <f t="shared" si="7"/>
        <v>1.2915600000000001E-2</v>
      </c>
      <c r="L11" s="518">
        <f t="shared" si="8"/>
        <v>3.2912799999999997E-3</v>
      </c>
      <c r="M11" s="518">
        <f t="shared" si="9"/>
        <v>1.7899999999999999E-4</v>
      </c>
      <c r="N11" s="518">
        <f t="shared" si="10"/>
        <v>0.68</v>
      </c>
      <c r="O11" s="518">
        <f t="shared" si="11"/>
        <v>1.805184E-2</v>
      </c>
    </row>
    <row r="12" spans="1:17" x14ac:dyDescent="0.35">
      <c r="A12" s="518" t="s">
        <v>1685</v>
      </c>
      <c r="B12" s="518" t="s">
        <v>1769</v>
      </c>
      <c r="C12" s="518" t="s">
        <v>1970</v>
      </c>
      <c r="D12" s="518">
        <f t="shared" si="0"/>
        <v>0.67</v>
      </c>
      <c r="E12" s="518">
        <f t="shared" si="1"/>
        <v>1.6E-2</v>
      </c>
      <c r="F12" s="518">
        <f t="shared" si="2"/>
        <v>7.0000000000000007E-2</v>
      </c>
      <c r="G12" s="518">
        <f t="shared" si="3"/>
        <v>3.5000000000000003E-2</v>
      </c>
      <c r="H12" s="518">
        <f t="shared" si="4"/>
        <v>8.6956000000000012E-3</v>
      </c>
      <c r="I12" s="518">
        <f t="shared" si="5"/>
        <v>2.076921E-2</v>
      </c>
      <c r="J12" s="518">
        <f t="shared" si="6"/>
        <v>1.1702999999999998E-2</v>
      </c>
      <c r="K12" s="518">
        <f t="shared" si="7"/>
        <v>8.3951400000000006E-3</v>
      </c>
      <c r="L12" s="518">
        <f t="shared" si="8"/>
        <v>2.1804729999999996E-3</v>
      </c>
      <c r="M12" s="518">
        <f t="shared" si="9"/>
        <v>9.4870000000000005E-5</v>
      </c>
      <c r="N12" s="518">
        <f t="shared" si="10"/>
        <v>0.52</v>
      </c>
      <c r="O12" s="518">
        <f t="shared" si="11"/>
        <v>1.12824E-2</v>
      </c>
    </row>
    <row r="13" spans="1:17" x14ac:dyDescent="0.35">
      <c r="A13" s="518" t="s">
        <v>980</v>
      </c>
      <c r="B13" s="518" t="s">
        <v>981</v>
      </c>
      <c r="C13" s="518" t="s">
        <v>1971</v>
      </c>
      <c r="D13" s="518">
        <f t="shared" si="0"/>
        <v>1.01</v>
      </c>
      <c r="E13" s="518">
        <f t="shared" si="1"/>
        <v>2.7000000000000003E-2</v>
      </c>
      <c r="F13" s="518">
        <f t="shared" si="2"/>
        <v>0.12300000000000001</v>
      </c>
      <c r="G13" s="518">
        <f t="shared" si="3"/>
        <v>4.4000000000000004E-2</v>
      </c>
      <c r="H13" s="518">
        <f t="shared" si="4"/>
        <v>2.60868E-2</v>
      </c>
      <c r="I13" s="518">
        <f t="shared" si="5"/>
        <v>2.82051E-2</v>
      </c>
      <c r="J13" s="518">
        <f t="shared" si="6"/>
        <v>1.494E-2</v>
      </c>
      <c r="K13" s="518">
        <f t="shared" si="7"/>
        <v>1.6144499999999999E-2</v>
      </c>
      <c r="L13" s="518">
        <f t="shared" si="8"/>
        <v>4.5255099999999999E-3</v>
      </c>
      <c r="M13" s="518">
        <f t="shared" si="9"/>
        <v>1.7899999999999999E-4</v>
      </c>
      <c r="N13" s="518">
        <f t="shared" si="10"/>
        <v>0.4</v>
      </c>
      <c r="O13" s="518">
        <f t="shared" si="11"/>
        <v>2.6795699999999999E-2</v>
      </c>
    </row>
    <row r="14" spans="1:17" x14ac:dyDescent="0.35">
      <c r="A14" s="518" t="s">
        <v>980</v>
      </c>
      <c r="B14" s="518" t="s">
        <v>982</v>
      </c>
      <c r="C14" s="518" t="s">
        <v>1972</v>
      </c>
      <c r="D14" s="518">
        <f t="shared" si="0"/>
        <v>1.51</v>
      </c>
      <c r="E14" s="518">
        <f t="shared" si="1"/>
        <v>0.04</v>
      </c>
      <c r="F14" s="518">
        <f t="shared" si="2"/>
        <v>0.185</v>
      </c>
      <c r="G14" s="518">
        <f t="shared" si="3"/>
        <v>6.7000000000000004E-2</v>
      </c>
      <c r="H14" s="518">
        <f t="shared" si="4"/>
        <v>3.9130200000000004E-2</v>
      </c>
      <c r="I14" s="518">
        <f t="shared" si="5"/>
        <v>4.2307650000000002E-2</v>
      </c>
      <c r="J14" s="518">
        <f t="shared" si="6"/>
        <v>2.2409999999999996E-2</v>
      </c>
      <c r="K14" s="518">
        <f t="shared" si="7"/>
        <v>2.4216749999999999E-2</v>
      </c>
      <c r="L14" s="518">
        <f t="shared" si="8"/>
        <v>6.9939699999999995E-3</v>
      </c>
      <c r="M14" s="518">
        <f t="shared" si="9"/>
        <v>2.6849999999999997E-4</v>
      </c>
      <c r="N14" s="518">
        <f t="shared" si="10"/>
        <v>0.6</v>
      </c>
      <c r="O14" s="518">
        <f t="shared" si="11"/>
        <v>4.0334579999999995E-2</v>
      </c>
    </row>
    <row r="15" spans="1:17" x14ac:dyDescent="0.35">
      <c r="A15" s="518" t="s">
        <v>980</v>
      </c>
      <c r="B15" s="518" t="s">
        <v>1948</v>
      </c>
      <c r="C15" s="518" t="s">
        <v>1973</v>
      </c>
      <c r="D15" s="518">
        <f t="shared" si="0"/>
        <v>1</v>
      </c>
      <c r="E15" s="518">
        <f t="shared" si="1"/>
        <v>2.7999999999999997E-2</v>
      </c>
      <c r="F15" s="518">
        <f t="shared" si="2"/>
        <v>0.13699999999999998</v>
      </c>
      <c r="G15" s="518">
        <f t="shared" si="3"/>
        <v>3.9E-2</v>
      </c>
      <c r="H15" s="518">
        <f t="shared" si="4"/>
        <v>2.60868E-2</v>
      </c>
      <c r="I15" s="518">
        <f t="shared" si="5"/>
        <v>2.82051E-2</v>
      </c>
      <c r="J15" s="518">
        <f t="shared" si="6"/>
        <v>1.494E-2</v>
      </c>
      <c r="K15" s="518">
        <f t="shared" si="7"/>
        <v>1.6144499999999999E-2</v>
      </c>
      <c r="L15" s="518">
        <f t="shared" si="8"/>
        <v>4.5255099999999999E-3</v>
      </c>
      <c r="M15" s="518">
        <f t="shared" si="9"/>
        <v>1.7899999999999999E-4</v>
      </c>
      <c r="N15" s="518">
        <f t="shared" si="10"/>
        <v>0.4</v>
      </c>
      <c r="O15" s="518">
        <f t="shared" si="11"/>
        <v>2.6795699999999999E-2</v>
      </c>
    </row>
    <row r="16" spans="1:17" x14ac:dyDescent="0.35">
      <c r="A16" s="518" t="s">
        <v>980</v>
      </c>
      <c r="B16" s="518" t="s">
        <v>1985</v>
      </c>
      <c r="C16" s="518" t="s">
        <v>1974</v>
      </c>
      <c r="D16" s="518">
        <f t="shared" si="0"/>
        <v>0.68</v>
      </c>
      <c r="E16" s="518">
        <f t="shared" si="1"/>
        <v>1.6E-2</v>
      </c>
      <c r="F16" s="518">
        <f t="shared" si="2"/>
        <v>8.1000000000000003E-2</v>
      </c>
      <c r="G16" s="518">
        <f t="shared" si="3"/>
        <v>3.1E-2</v>
      </c>
      <c r="H16" s="518">
        <f t="shared" si="4"/>
        <v>1.0869500000000001E-2</v>
      </c>
      <c r="I16" s="518">
        <f t="shared" si="5"/>
        <v>1.9999980000000001E-2</v>
      </c>
      <c r="J16" s="518">
        <f t="shared" si="6"/>
        <v>1.5687E-2</v>
      </c>
      <c r="K16" s="518">
        <f t="shared" si="7"/>
        <v>1.194693E-2</v>
      </c>
      <c r="L16" s="518">
        <f t="shared" si="8"/>
        <v>2.262755E-3</v>
      </c>
      <c r="M16" s="518">
        <f t="shared" si="9"/>
        <v>1.7899999999999999E-4</v>
      </c>
      <c r="N16" s="518">
        <f t="shared" si="10"/>
        <v>0.56000000000000005</v>
      </c>
      <c r="O16" s="518">
        <f t="shared" si="11"/>
        <v>1.1846520000000001E-2</v>
      </c>
    </row>
    <row r="17" spans="1:15" x14ac:dyDescent="0.35">
      <c r="A17" s="518" t="s">
        <v>983</v>
      </c>
      <c r="B17" s="518" t="s">
        <v>984</v>
      </c>
      <c r="C17" s="518" t="s">
        <v>1975</v>
      </c>
      <c r="D17" s="518">
        <f t="shared" si="0"/>
        <v>1.02</v>
      </c>
      <c r="E17" s="518">
        <f t="shared" si="1"/>
        <v>3.3000000000000002E-2</v>
      </c>
      <c r="F17" s="518">
        <f t="shared" si="2"/>
        <v>0.12300000000000001</v>
      </c>
      <c r="G17" s="518">
        <f t="shared" si="3"/>
        <v>4.2000000000000003E-2</v>
      </c>
      <c r="H17" s="518">
        <f t="shared" si="4"/>
        <v>3.4782400000000005E-2</v>
      </c>
      <c r="I17" s="518">
        <f t="shared" si="5"/>
        <v>3.5384579999999999E-2</v>
      </c>
      <c r="J17" s="518">
        <f t="shared" si="6"/>
        <v>1.7429999999999998E-2</v>
      </c>
      <c r="K17" s="518">
        <f t="shared" si="7"/>
        <v>1.9373399999999999E-2</v>
      </c>
      <c r="L17" s="518">
        <f t="shared" si="8"/>
        <v>6.9939699999999995E-3</v>
      </c>
      <c r="M17" s="518">
        <f t="shared" si="9"/>
        <v>2.3269999999999999E-4</v>
      </c>
      <c r="N17" s="518">
        <f t="shared" si="10"/>
        <v>0.28000000000000003</v>
      </c>
      <c r="O17" s="518">
        <f t="shared" si="11"/>
        <v>3.5257499999999997E-2</v>
      </c>
    </row>
    <row r="18" spans="1:15" x14ac:dyDescent="0.35">
      <c r="A18" s="518" t="s">
        <v>983</v>
      </c>
      <c r="B18" s="518" t="s">
        <v>985</v>
      </c>
      <c r="C18" s="518" t="s">
        <v>1976</v>
      </c>
      <c r="D18" s="518">
        <f t="shared" si="0"/>
        <v>1.52</v>
      </c>
      <c r="E18" s="518">
        <f t="shared" si="1"/>
        <v>4.8000000000000001E-2</v>
      </c>
      <c r="F18" s="518">
        <f t="shared" si="2"/>
        <v>0.185</v>
      </c>
      <c r="G18" s="518">
        <f t="shared" si="3"/>
        <v>6.3E-2</v>
      </c>
      <c r="H18" s="518">
        <f t="shared" si="4"/>
        <v>4.6521460000000001E-2</v>
      </c>
      <c r="I18" s="518">
        <f t="shared" si="5"/>
        <v>4.769226E-2</v>
      </c>
      <c r="J18" s="518">
        <f t="shared" si="6"/>
        <v>2.3654999999999999E-2</v>
      </c>
      <c r="K18" s="518">
        <f t="shared" si="7"/>
        <v>2.9060099999999998E-2</v>
      </c>
      <c r="L18" s="518">
        <f t="shared" si="8"/>
        <v>1.069666E-2</v>
      </c>
      <c r="M18" s="518">
        <f t="shared" si="9"/>
        <v>3.5799999999999997E-4</v>
      </c>
      <c r="N18" s="518">
        <f t="shared" si="10"/>
        <v>0.44</v>
      </c>
      <c r="O18" s="518">
        <f t="shared" si="11"/>
        <v>4.1462819999999991E-2</v>
      </c>
    </row>
    <row r="19" spans="1:15" x14ac:dyDescent="0.35">
      <c r="A19" s="518" t="s">
        <v>983</v>
      </c>
      <c r="B19" s="518" t="s">
        <v>1948</v>
      </c>
      <c r="C19" s="518" t="s">
        <v>1977</v>
      </c>
      <c r="D19" s="518">
        <f t="shared" si="0"/>
        <v>1</v>
      </c>
      <c r="E19" s="518">
        <f t="shared" si="1"/>
        <v>2.7999999999999997E-2</v>
      </c>
      <c r="F19" s="518">
        <f t="shared" si="2"/>
        <v>0.13699999999999998</v>
      </c>
      <c r="G19" s="518">
        <f t="shared" si="3"/>
        <v>3.9E-2</v>
      </c>
      <c r="H19" s="518">
        <f t="shared" si="4"/>
        <v>2.60868E-2</v>
      </c>
      <c r="I19" s="518">
        <f t="shared" si="5"/>
        <v>2.82051E-2</v>
      </c>
      <c r="J19" s="518">
        <f t="shared" si="6"/>
        <v>1.494E-2</v>
      </c>
      <c r="K19" s="518">
        <f t="shared" si="7"/>
        <v>1.6144499999999999E-2</v>
      </c>
      <c r="L19" s="518">
        <f t="shared" si="8"/>
        <v>4.5255099999999999E-3</v>
      </c>
      <c r="M19" s="518">
        <f t="shared" si="9"/>
        <v>1.7899999999999999E-4</v>
      </c>
      <c r="N19" s="518">
        <f t="shared" si="10"/>
        <v>0.4</v>
      </c>
      <c r="O19" s="518">
        <f t="shared" si="11"/>
        <v>2.6795699999999999E-2</v>
      </c>
    </row>
    <row r="20" spans="1:15" x14ac:dyDescent="0.35">
      <c r="A20" s="518" t="s">
        <v>983</v>
      </c>
      <c r="B20" s="518" t="s">
        <v>1985</v>
      </c>
      <c r="C20" s="518" t="s">
        <v>1978</v>
      </c>
      <c r="D20" s="518">
        <f t="shared" si="0"/>
        <v>0.68</v>
      </c>
      <c r="E20" s="518">
        <f t="shared" si="1"/>
        <v>1.6E-2</v>
      </c>
      <c r="F20" s="518">
        <f t="shared" si="2"/>
        <v>8.1000000000000003E-2</v>
      </c>
      <c r="G20" s="518">
        <f t="shared" si="3"/>
        <v>3.1E-2</v>
      </c>
      <c r="H20" s="518">
        <f t="shared" si="4"/>
        <v>1.0869500000000001E-2</v>
      </c>
      <c r="I20" s="518">
        <f t="shared" si="5"/>
        <v>1.9999980000000001E-2</v>
      </c>
      <c r="J20" s="518">
        <f t="shared" si="6"/>
        <v>1.5687E-2</v>
      </c>
      <c r="K20" s="518">
        <f t="shared" si="7"/>
        <v>1.194693E-2</v>
      </c>
      <c r="L20" s="518">
        <f t="shared" si="8"/>
        <v>2.262755E-3</v>
      </c>
      <c r="M20" s="518">
        <f t="shared" si="9"/>
        <v>1.7899999999999999E-4</v>
      </c>
      <c r="N20" s="518">
        <f t="shared" si="10"/>
        <v>0.56000000000000005</v>
      </c>
      <c r="O20" s="518">
        <f t="shared" si="11"/>
        <v>1.1846520000000001E-2</v>
      </c>
    </row>
    <row r="21" spans="1:15" x14ac:dyDescent="0.35">
      <c r="A21" s="518" t="s">
        <v>986</v>
      </c>
      <c r="B21" s="518" t="s">
        <v>987</v>
      </c>
      <c r="C21" s="518" t="s">
        <v>1979</v>
      </c>
      <c r="D21" s="518">
        <f t="shared" si="0"/>
        <v>1.03</v>
      </c>
      <c r="E21" s="518">
        <f t="shared" si="1"/>
        <v>0.04</v>
      </c>
      <c r="F21" s="518">
        <f t="shared" si="2"/>
        <v>0.12300000000000001</v>
      </c>
      <c r="G21" s="518">
        <f t="shared" si="3"/>
        <v>3.9E-2</v>
      </c>
      <c r="H21" s="518">
        <f t="shared" si="4"/>
        <v>4.3478000000000003E-2</v>
      </c>
      <c r="I21" s="518">
        <f t="shared" si="5"/>
        <v>3.8461500000000003E-2</v>
      </c>
      <c r="J21" s="518">
        <f t="shared" si="6"/>
        <v>1.992E-2</v>
      </c>
      <c r="K21" s="518">
        <f t="shared" si="7"/>
        <v>2.3248080000000001E-2</v>
      </c>
      <c r="L21" s="518">
        <f t="shared" si="8"/>
        <v>9.4624299999999991E-3</v>
      </c>
      <c r="M21" s="518">
        <f t="shared" si="9"/>
        <v>2.8639999999999997E-4</v>
      </c>
      <c r="N21" s="518">
        <f t="shared" si="10"/>
        <v>0.4</v>
      </c>
      <c r="O21" s="518">
        <f t="shared" si="11"/>
        <v>3.5257499999999997E-2</v>
      </c>
    </row>
    <row r="22" spans="1:15" x14ac:dyDescent="0.35">
      <c r="A22" s="518" t="s">
        <v>986</v>
      </c>
      <c r="B22" s="518" t="s">
        <v>988</v>
      </c>
      <c r="C22" s="518" t="s">
        <v>1980</v>
      </c>
      <c r="D22" s="518">
        <f t="shared" si="0"/>
        <v>1.53</v>
      </c>
      <c r="E22" s="518">
        <f t="shared" si="1"/>
        <v>0.06</v>
      </c>
      <c r="F22" s="518">
        <f t="shared" si="2"/>
        <v>0.184</v>
      </c>
      <c r="G22" s="518">
        <f t="shared" si="3"/>
        <v>5.7999999999999996E-2</v>
      </c>
      <c r="H22" s="518">
        <f t="shared" si="4"/>
        <v>5.826052000000001E-2</v>
      </c>
      <c r="I22" s="518">
        <f t="shared" si="5"/>
        <v>5.153841E-2</v>
      </c>
      <c r="J22" s="518">
        <f t="shared" si="6"/>
        <v>2.0915999999999997E-2</v>
      </c>
      <c r="K22" s="518">
        <f t="shared" si="7"/>
        <v>2.7122759999999996E-2</v>
      </c>
      <c r="L22" s="518">
        <f t="shared" si="8"/>
        <v>1.2342299999999999E-2</v>
      </c>
      <c r="M22" s="518">
        <f t="shared" si="9"/>
        <v>4.2959999999999998E-4</v>
      </c>
      <c r="N22" s="518">
        <f t="shared" si="10"/>
        <v>0.6</v>
      </c>
      <c r="O22" s="518">
        <f t="shared" si="11"/>
        <v>2.8205999999999998E-2</v>
      </c>
    </row>
    <row r="23" spans="1:15" x14ac:dyDescent="0.35">
      <c r="A23" s="518" t="s">
        <v>986</v>
      </c>
      <c r="B23" s="518" t="s">
        <v>1949</v>
      </c>
      <c r="C23" s="518" t="s">
        <v>1981</v>
      </c>
      <c r="D23" s="518">
        <f t="shared" si="0"/>
        <v>1</v>
      </c>
      <c r="E23" s="518">
        <f t="shared" si="1"/>
        <v>0.04</v>
      </c>
      <c r="F23" s="518">
        <f t="shared" si="2"/>
        <v>0.17600000000000002</v>
      </c>
      <c r="G23" s="518">
        <f t="shared" si="3"/>
        <v>1.7000000000000001E-2</v>
      </c>
      <c r="H23" s="518">
        <f t="shared" si="4"/>
        <v>4.3478000000000003E-2</v>
      </c>
      <c r="I23" s="518">
        <f t="shared" si="5"/>
        <v>3.8461500000000003E-2</v>
      </c>
      <c r="J23" s="518">
        <f t="shared" si="6"/>
        <v>1.992E-2</v>
      </c>
      <c r="K23" s="518">
        <f t="shared" si="7"/>
        <v>2.3248080000000001E-2</v>
      </c>
      <c r="L23" s="518">
        <f t="shared" si="8"/>
        <v>9.4624299999999991E-3</v>
      </c>
      <c r="M23" s="518">
        <f t="shared" si="9"/>
        <v>2.8639999999999997E-4</v>
      </c>
      <c r="N23" s="518">
        <f t="shared" si="10"/>
        <v>0.28000000000000003</v>
      </c>
      <c r="O23" s="518">
        <f t="shared" si="11"/>
        <v>3.5257499999999997E-2</v>
      </c>
    </row>
    <row r="24" spans="1:15" x14ac:dyDescent="0.35">
      <c r="A24" s="518" t="s">
        <v>986</v>
      </c>
      <c r="B24" s="518" t="s">
        <v>1985</v>
      </c>
      <c r="C24" s="518" t="s">
        <v>1982</v>
      </c>
      <c r="D24" s="518">
        <f t="shared" si="0"/>
        <v>0.68</v>
      </c>
      <c r="E24" s="518">
        <f t="shared" si="1"/>
        <v>1.6E-2</v>
      </c>
      <c r="F24" s="518">
        <f t="shared" si="2"/>
        <v>8.1000000000000003E-2</v>
      </c>
      <c r="G24" s="518">
        <f t="shared" si="3"/>
        <v>3.1E-2</v>
      </c>
      <c r="H24" s="518">
        <f t="shared" si="4"/>
        <v>1.0869500000000001E-2</v>
      </c>
      <c r="I24" s="518">
        <f t="shared" si="5"/>
        <v>1.9999980000000001E-2</v>
      </c>
      <c r="J24" s="518">
        <f t="shared" si="6"/>
        <v>1.5687E-2</v>
      </c>
      <c r="K24" s="518">
        <f t="shared" si="7"/>
        <v>1.194693E-2</v>
      </c>
      <c r="L24" s="518">
        <f t="shared" si="8"/>
        <v>2.262755E-3</v>
      </c>
      <c r="M24" s="518">
        <f t="shared" si="9"/>
        <v>1.7899999999999999E-4</v>
      </c>
      <c r="N24" s="518">
        <f t="shared" si="10"/>
        <v>0.56000000000000005</v>
      </c>
      <c r="O24" s="518">
        <f t="shared" si="11"/>
        <v>1.1846520000000001E-2</v>
      </c>
    </row>
    <row r="25" spans="1:15" x14ac:dyDescent="0.35">
      <c r="A25" s="518" t="s">
        <v>1260</v>
      </c>
      <c r="B25" s="518" t="s">
        <v>1690</v>
      </c>
      <c r="C25" s="518" t="s">
        <v>1983</v>
      </c>
      <c r="D25" s="518">
        <f t="shared" si="0"/>
        <v>0.67</v>
      </c>
      <c r="E25" s="518">
        <f t="shared" si="1"/>
        <v>1.8000000000000002E-2</v>
      </c>
      <c r="F25" s="518">
        <f t="shared" si="2"/>
        <v>7.2000000000000008E-2</v>
      </c>
      <c r="G25" s="518">
        <f t="shared" si="3"/>
        <v>3.4000000000000002E-2</v>
      </c>
      <c r="H25" s="518">
        <f t="shared" si="4"/>
        <v>1.1347758000000001E-2</v>
      </c>
      <c r="I25" s="518">
        <f t="shared" si="5"/>
        <v>1.8589725000000001E-2</v>
      </c>
      <c r="J25" s="518">
        <f t="shared" si="6"/>
        <v>1.6334399999999999E-2</v>
      </c>
      <c r="K25" s="518">
        <f t="shared" si="7"/>
        <v>1.5208118999999999E-2</v>
      </c>
      <c r="L25" s="518">
        <f t="shared" si="8"/>
        <v>2.8798700000000001E-3</v>
      </c>
      <c r="M25" s="518">
        <f t="shared" si="9"/>
        <v>1.7899999999999999E-4</v>
      </c>
      <c r="N25" s="518">
        <f t="shared" si="10"/>
        <v>0.48</v>
      </c>
      <c r="O25" s="518">
        <f t="shared" si="11"/>
        <v>1.5033797999999998E-2</v>
      </c>
    </row>
    <row r="26" spans="1:15" x14ac:dyDescent="0.35">
      <c r="A26" s="518" t="s">
        <v>1260</v>
      </c>
      <c r="B26" s="641" t="s">
        <v>1691</v>
      </c>
      <c r="C26" s="518" t="s">
        <v>1984</v>
      </c>
      <c r="D26" s="518">
        <f t="shared" si="0"/>
        <v>0.66</v>
      </c>
      <c r="E26" s="518">
        <f t="shared" si="1"/>
        <v>1.8000000000000002E-2</v>
      </c>
      <c r="F26" s="518">
        <f t="shared" si="2"/>
        <v>6.8000000000000005E-2</v>
      </c>
      <c r="G26" s="518">
        <f t="shared" si="3"/>
        <v>3.5000000000000003E-2</v>
      </c>
      <c r="H26" s="518">
        <f t="shared" si="4"/>
        <v>7.8260400000000011E-3</v>
      </c>
      <c r="I26" s="518">
        <f t="shared" si="5"/>
        <v>1.6666650000000002E-2</v>
      </c>
      <c r="J26" s="518">
        <f t="shared" si="6"/>
        <v>1.2449999999999999E-2</v>
      </c>
      <c r="K26" s="518">
        <f t="shared" si="7"/>
        <v>9.0409199999999992E-3</v>
      </c>
      <c r="L26" s="518">
        <f t="shared" si="8"/>
        <v>2.0981909999999997E-3</v>
      </c>
      <c r="M26" s="518">
        <f t="shared" si="9"/>
        <v>1.3783E-4</v>
      </c>
      <c r="N26" s="518">
        <f t="shared" si="10"/>
        <v>0.52</v>
      </c>
      <c r="O26" s="518">
        <f t="shared" si="11"/>
        <v>1.12824E-2</v>
      </c>
    </row>
    <row r="27" spans="1:15" s="548" customFormat="1" x14ac:dyDescent="0.35">
      <c r="B27" s="548" t="s">
        <v>374</v>
      </c>
      <c r="C27" s="548" t="s">
        <v>374</v>
      </c>
      <c r="D27" s="548">
        <f>SpecVoed_1/100</f>
        <v>0</v>
      </c>
      <c r="E27" s="548">
        <f>SpecVoed_2/100</f>
        <v>0</v>
      </c>
      <c r="F27" s="548">
        <f>SpecVoed_3/100</f>
        <v>0</v>
      </c>
      <c r="G27" s="548">
        <f>SpecVoed_4/100</f>
        <v>0</v>
      </c>
      <c r="H27" s="548">
        <f>SpecVoed_5/100</f>
        <v>0</v>
      </c>
      <c r="I27" s="548">
        <f>SpecVoed_6/100</f>
        <v>0</v>
      </c>
      <c r="J27" s="548">
        <f>SpecVoed_7/100</f>
        <v>0</v>
      </c>
      <c r="K27" s="548">
        <f>SpecVoed_8/100</f>
        <v>0</v>
      </c>
      <c r="L27" s="548">
        <f>SpecVoed_9/100</f>
        <v>0</v>
      </c>
      <c r="M27" s="548">
        <f>SpecVoed_10/100</f>
        <v>0</v>
      </c>
      <c r="N27" s="548">
        <f>SpecVoed_11/100</f>
        <v>0</v>
      </c>
      <c r="O27" s="548">
        <f>SpecVoed_12/100</f>
        <v>0</v>
      </c>
    </row>
    <row r="28" spans="1:15" x14ac:dyDescent="0.35">
      <c r="A28" s="518" t="s">
        <v>1003</v>
      </c>
    </row>
    <row r="30" spans="1:15" x14ac:dyDescent="0.35">
      <c r="D30" s="518" t="s">
        <v>1760</v>
      </c>
    </row>
    <row r="31" spans="1:15" x14ac:dyDescent="0.35">
      <c r="A31" s="518" t="s">
        <v>1004</v>
      </c>
    </row>
    <row r="32" spans="1:15" x14ac:dyDescent="0.35">
      <c r="B32" s="518" t="s">
        <v>1100</v>
      </c>
      <c r="C32" s="518" t="str">
        <f>IF(A32&lt;&gt;"",A32&amp;": "&amp;B32,B32)</f>
        <v>Nutrilon Nenatal BMF</v>
      </c>
      <c r="D32" s="518">
        <f t="shared" ref="D32:D54" si="12">VLOOKUP(B32,tblVoedingPoeder,2,FALSE)/100</f>
        <v>3.47</v>
      </c>
      <c r="E32" s="518">
        <f t="shared" ref="E32:E54" si="13">VLOOKUP(B32,tblVoedingPoeder,3,FALSE)/100</f>
        <v>0.252</v>
      </c>
      <c r="F32" s="518">
        <f t="shared" ref="F32:F54" si="14">VLOOKUP(B32,tblVoedingPoeder,4,FALSE)/100</f>
        <v>0.622</v>
      </c>
      <c r="G32" s="518">
        <f t="shared" ref="G32:G54" si="15">VLOOKUP(B32,tblVoedingPoeder,5,FALSE)/100</f>
        <v>0</v>
      </c>
      <c r="H32" s="518">
        <f t="shared" ref="H32:H54" si="16">VLOOKUP(B32,tblVoedingPoeder,6,FALSE)*tblOmrekenNA/100</f>
        <v>0.34912834000000004</v>
      </c>
      <c r="I32" s="518">
        <f t="shared" ref="I32:I54" si="17">VLOOKUP(B32,tblVoedingPoeder,7,FALSE)*tblOmrekenK/100</f>
        <v>0.13538448</v>
      </c>
      <c r="J32" s="518">
        <f t="shared" ref="J32:J54" si="18">VLOOKUP(B32,tblVoedingPoeder,8,FALSE)*tblOmrekenCa/100</f>
        <v>0.37125899999999995</v>
      </c>
      <c r="K32" s="518">
        <f t="shared" ref="K32:K54" si="19">VLOOKUP(B32,tblVoedingPoeder,9,FALSE)*tblOmrekenP/100</f>
        <v>0.28156007999999999</v>
      </c>
      <c r="L32" s="518">
        <f t="shared" ref="L32:L54" si="20">VLOOKUP(B32,tblVoedingPoeder,10,FALSE)*tblOmrekenMg/100</f>
        <v>4.7312149999999997E-2</v>
      </c>
      <c r="M32" s="518">
        <f t="shared" ref="M32:M54" si="21">VLOOKUP(B32,tblVoedingPoeder,11,FALSE)*tblOmrekenFe/100</f>
        <v>0</v>
      </c>
      <c r="N32" s="518">
        <f t="shared" ref="N32:N54" si="22">VLOOKUP(B32,tblVoedingPoeder,12,FALSE)*tblOmrekenVitD/100</f>
        <v>46</v>
      </c>
      <c r="O32" s="518">
        <f t="shared" ref="O32:O54" si="23">VLOOKUP(B32,tblVoedingPoeder,13,FALSE)*tblOmrekenCl/100</f>
        <v>0.16162037999999998</v>
      </c>
    </row>
    <row r="33" spans="2:15" x14ac:dyDescent="0.35">
      <c r="B33" s="642" t="s">
        <v>1692</v>
      </c>
      <c r="C33" s="518" t="str">
        <f t="shared" ref="C33:C52" si="24">IF(A33&lt;&gt;"",A33&amp;": "&amp;B33,B33)</f>
        <v>Hero Baby 1 NS Standaard</v>
      </c>
      <c r="D33" s="518">
        <f t="shared" si="12"/>
        <v>5.09</v>
      </c>
      <c r="E33" s="518">
        <f t="shared" si="13"/>
        <v>0.1</v>
      </c>
      <c r="F33" s="518">
        <f t="shared" si="14"/>
        <v>0.56000000000000005</v>
      </c>
      <c r="G33" s="518">
        <f t="shared" si="15"/>
        <v>0.27</v>
      </c>
      <c r="H33" s="518">
        <f t="shared" si="16"/>
        <v>5.2173600000000001E-2</v>
      </c>
      <c r="I33" s="518">
        <f t="shared" si="17"/>
        <v>0.11846142</v>
      </c>
      <c r="J33" s="518">
        <f t="shared" si="18"/>
        <v>8.4162000000000001E-2</v>
      </c>
      <c r="K33" s="518">
        <f t="shared" si="19"/>
        <v>6.4577999999999997E-2</v>
      </c>
      <c r="L33" s="518">
        <f t="shared" si="20"/>
        <v>1.2671428E-2</v>
      </c>
      <c r="M33" s="518">
        <f t="shared" si="21"/>
        <v>5.5489999999999999E-4</v>
      </c>
      <c r="N33" s="518">
        <f t="shared" si="22"/>
        <v>3.68</v>
      </c>
      <c r="O33" s="518">
        <f t="shared" si="23"/>
        <v>8.6874480000000004E-2</v>
      </c>
    </row>
    <row r="34" spans="2:15" x14ac:dyDescent="0.35">
      <c r="B34" s="642" t="s">
        <v>1693</v>
      </c>
      <c r="C34" s="518" t="str">
        <f t="shared" si="24"/>
        <v>Hero Baby 2 NS Standaard</v>
      </c>
      <c r="D34" s="518">
        <f t="shared" si="12"/>
        <v>4.7</v>
      </c>
      <c r="E34" s="518">
        <f t="shared" si="13"/>
        <v>9.5000000000000001E-2</v>
      </c>
      <c r="F34" s="518">
        <f t="shared" si="14"/>
        <v>0.64</v>
      </c>
      <c r="G34" s="518">
        <f t="shared" si="15"/>
        <v>0.19</v>
      </c>
      <c r="H34" s="518">
        <f t="shared" si="16"/>
        <v>6.956480000000001E-2</v>
      </c>
      <c r="I34" s="518">
        <f t="shared" si="17"/>
        <v>0.14205113999999999</v>
      </c>
      <c r="J34" s="518">
        <f t="shared" si="18"/>
        <v>0.100845</v>
      </c>
      <c r="K34" s="518">
        <f t="shared" si="19"/>
        <v>7.8462270000000001E-2</v>
      </c>
      <c r="L34" s="518">
        <f t="shared" si="20"/>
        <v>2.139332E-2</v>
      </c>
      <c r="M34" s="518">
        <f t="shared" si="21"/>
        <v>1.4678E-3</v>
      </c>
      <c r="N34" s="518">
        <f t="shared" si="22"/>
        <v>3.44</v>
      </c>
      <c r="O34" s="518">
        <f t="shared" si="23"/>
        <v>8.3771819999999997E-2</v>
      </c>
    </row>
    <row r="35" spans="2:15" x14ac:dyDescent="0.35">
      <c r="B35" s="642" t="s">
        <v>1694</v>
      </c>
      <c r="C35" s="518" t="str">
        <f t="shared" si="24"/>
        <v>Hero Baby 1 NS Comfort</v>
      </c>
      <c r="D35" s="518">
        <f t="shared" si="12"/>
        <v>5.03</v>
      </c>
      <c r="E35" s="518">
        <f t="shared" si="13"/>
        <v>0.11</v>
      </c>
      <c r="F35" s="518">
        <f t="shared" si="14"/>
        <v>0.52</v>
      </c>
      <c r="G35" s="518">
        <f t="shared" si="15"/>
        <v>0.27</v>
      </c>
      <c r="H35" s="518">
        <f t="shared" si="16"/>
        <v>5.2173600000000001E-2</v>
      </c>
      <c r="I35" s="518">
        <f t="shared" si="17"/>
        <v>0.11846142</v>
      </c>
      <c r="J35" s="518">
        <f t="shared" si="18"/>
        <v>8.4162000000000001E-2</v>
      </c>
      <c r="K35" s="518">
        <f t="shared" si="19"/>
        <v>6.4577999999999997E-2</v>
      </c>
      <c r="L35" s="518">
        <f t="shared" si="20"/>
        <v>1.2671428E-2</v>
      </c>
      <c r="M35" s="518">
        <f t="shared" si="21"/>
        <v>5.5489999999999999E-4</v>
      </c>
      <c r="N35" s="518">
        <f t="shared" si="22"/>
        <v>3.68</v>
      </c>
      <c r="O35" s="518">
        <f t="shared" si="23"/>
        <v>8.6874480000000004E-2</v>
      </c>
    </row>
    <row r="36" spans="2:15" x14ac:dyDescent="0.35">
      <c r="B36" s="642" t="s">
        <v>1695</v>
      </c>
      <c r="C36" s="518" t="str">
        <f t="shared" si="24"/>
        <v>Hero Baby 2 NS Comfort</v>
      </c>
      <c r="D36" s="518">
        <f t="shared" si="12"/>
        <v>5.03</v>
      </c>
      <c r="E36" s="518">
        <f t="shared" si="13"/>
        <v>0.11</v>
      </c>
      <c r="F36" s="518">
        <f t="shared" si="14"/>
        <v>0.52</v>
      </c>
      <c r="G36" s="518">
        <f t="shared" si="15"/>
        <v>0.27</v>
      </c>
      <c r="H36" s="518">
        <f t="shared" si="16"/>
        <v>5.2173600000000001E-2</v>
      </c>
      <c r="I36" s="518">
        <f t="shared" si="17"/>
        <v>0.11846142</v>
      </c>
      <c r="J36" s="518">
        <f t="shared" si="18"/>
        <v>8.4162000000000001E-2</v>
      </c>
      <c r="K36" s="518">
        <f t="shared" si="19"/>
        <v>6.4577999999999997E-2</v>
      </c>
      <c r="L36" s="518">
        <f t="shared" si="20"/>
        <v>1.2671428E-2</v>
      </c>
      <c r="M36" s="518">
        <f t="shared" si="21"/>
        <v>1.5215000000000001E-3</v>
      </c>
      <c r="N36" s="518">
        <f t="shared" si="22"/>
        <v>3.68</v>
      </c>
      <c r="O36" s="518">
        <f t="shared" si="23"/>
        <v>8.6874480000000004E-2</v>
      </c>
    </row>
    <row r="37" spans="2:15" x14ac:dyDescent="0.35">
      <c r="B37" s="642" t="s">
        <v>1696</v>
      </c>
      <c r="C37" s="518" t="str">
        <f t="shared" si="24"/>
        <v>Hero Baby 1 NS Pep</v>
      </c>
      <c r="D37" s="518">
        <f t="shared" si="12"/>
        <v>4.93</v>
      </c>
      <c r="E37" s="518">
        <f t="shared" si="13"/>
        <v>0.13</v>
      </c>
      <c r="F37" s="518">
        <f t="shared" si="14"/>
        <v>0.53</v>
      </c>
      <c r="G37" s="518">
        <f t="shared" si="15"/>
        <v>0.26</v>
      </c>
      <c r="H37" s="518">
        <f t="shared" si="16"/>
        <v>8.8695120000000002E-2</v>
      </c>
      <c r="I37" s="518">
        <f t="shared" si="17"/>
        <v>0.1410255</v>
      </c>
      <c r="J37" s="518">
        <f t="shared" si="18"/>
        <v>9.9599999999999994E-2</v>
      </c>
      <c r="K37" s="518">
        <f t="shared" si="19"/>
        <v>7.4264699999999989E-2</v>
      </c>
      <c r="L37" s="518">
        <f t="shared" si="20"/>
        <v>2.0570499999999999E-2</v>
      </c>
      <c r="M37" s="518">
        <f t="shared" si="21"/>
        <v>6.265E-4</v>
      </c>
      <c r="N37" s="518">
        <f t="shared" si="22"/>
        <v>3.12</v>
      </c>
      <c r="O37" s="518">
        <f t="shared" si="23"/>
        <v>8.8848899999999981E-2</v>
      </c>
    </row>
    <row r="38" spans="2:15" x14ac:dyDescent="0.35">
      <c r="B38" s="642" t="s">
        <v>1697</v>
      </c>
      <c r="C38" s="518" t="str">
        <f t="shared" si="24"/>
        <v>Hero Baby 2 NS Pep</v>
      </c>
      <c r="D38" s="518">
        <f t="shared" si="12"/>
        <v>4.93</v>
      </c>
      <c r="E38" s="518">
        <f t="shared" si="13"/>
        <v>0.13</v>
      </c>
      <c r="F38" s="518">
        <f t="shared" si="14"/>
        <v>0.53</v>
      </c>
      <c r="G38" s="518">
        <f t="shared" si="15"/>
        <v>0.26</v>
      </c>
      <c r="H38" s="518">
        <f t="shared" si="16"/>
        <v>8.8695120000000002E-2</v>
      </c>
      <c r="I38" s="518">
        <f t="shared" si="17"/>
        <v>0.1410255</v>
      </c>
      <c r="J38" s="518">
        <f t="shared" si="18"/>
        <v>9.9599999999999994E-2</v>
      </c>
      <c r="K38" s="518">
        <f t="shared" si="19"/>
        <v>7.4264699999999989E-2</v>
      </c>
      <c r="L38" s="518">
        <f t="shared" si="20"/>
        <v>2.0570499999999999E-2</v>
      </c>
      <c r="M38" s="518">
        <f t="shared" si="21"/>
        <v>1.2708999999999997E-3</v>
      </c>
      <c r="N38" s="518">
        <f t="shared" si="22"/>
        <v>3.12</v>
      </c>
      <c r="O38" s="518">
        <f t="shared" si="23"/>
        <v>8.8848899999999981E-2</v>
      </c>
    </row>
    <row r="39" spans="2:15" x14ac:dyDescent="0.35">
      <c r="B39" s="642" t="s">
        <v>1698</v>
      </c>
      <c r="C39" s="518" t="str">
        <f t="shared" si="24"/>
        <v>Nutramigen 1 LGG pdr</v>
      </c>
      <c r="D39" s="518">
        <f t="shared" si="12"/>
        <v>5</v>
      </c>
      <c r="E39" s="518">
        <f t="shared" si="13"/>
        <v>0.14000000000000001</v>
      </c>
      <c r="F39" s="518">
        <f t="shared" si="14"/>
        <v>0.55000000000000004</v>
      </c>
      <c r="G39" s="518">
        <f t="shared" si="15"/>
        <v>0.25</v>
      </c>
      <c r="H39" s="518">
        <f t="shared" si="16"/>
        <v>0.1043472</v>
      </c>
      <c r="I39" s="518">
        <f t="shared" si="17"/>
        <v>0.1564101</v>
      </c>
      <c r="J39" s="518">
        <f t="shared" si="18"/>
        <v>0.14068499999999998</v>
      </c>
      <c r="K39" s="518">
        <f t="shared" si="19"/>
        <v>0.12592709999999999</v>
      </c>
      <c r="L39" s="518">
        <f t="shared" si="20"/>
        <v>2.0570499999999999E-2</v>
      </c>
      <c r="M39" s="518">
        <f t="shared" si="21"/>
        <v>1.611E-3</v>
      </c>
      <c r="N39" s="518">
        <f t="shared" si="22"/>
        <v>3</v>
      </c>
      <c r="O39" s="518">
        <f t="shared" si="23"/>
        <v>0.13538879999999998</v>
      </c>
    </row>
    <row r="40" spans="2:15" x14ac:dyDescent="0.35">
      <c r="B40" s="642" t="s">
        <v>82</v>
      </c>
      <c r="C40" s="518" t="str">
        <f t="shared" si="24"/>
        <v>Nutramigen 2 LGG pdr</v>
      </c>
      <c r="D40" s="518">
        <f t="shared" si="12"/>
        <v>4.66</v>
      </c>
      <c r="E40" s="518">
        <f t="shared" si="13"/>
        <v>0.11599999999999999</v>
      </c>
      <c r="F40" s="518">
        <f t="shared" si="14"/>
        <v>0.59</v>
      </c>
      <c r="G40" s="518">
        <f t="shared" si="15"/>
        <v>0.2</v>
      </c>
      <c r="H40" s="518">
        <f t="shared" si="16"/>
        <v>7.478216E-2</v>
      </c>
      <c r="I40" s="518">
        <f t="shared" si="17"/>
        <v>0.14564088</v>
      </c>
      <c r="J40" s="518">
        <f t="shared" si="18"/>
        <v>0.15886199999999998</v>
      </c>
      <c r="K40" s="518">
        <f t="shared" si="19"/>
        <v>0.10849103999999998</v>
      </c>
      <c r="L40" s="518">
        <f t="shared" si="20"/>
        <v>1.9336269999999999E-2</v>
      </c>
      <c r="M40" s="518">
        <f t="shared" si="21"/>
        <v>1.4678E-3</v>
      </c>
      <c r="N40" s="518">
        <f t="shared" si="22"/>
        <v>2.92</v>
      </c>
      <c r="O40" s="518">
        <f t="shared" si="23"/>
        <v>0.10520837999999999</v>
      </c>
    </row>
    <row r="41" spans="2:15" x14ac:dyDescent="0.35">
      <c r="B41" s="642" t="s">
        <v>1699</v>
      </c>
      <c r="C41" s="518" t="str">
        <f t="shared" si="24"/>
        <v>Nutrison Advanced Peptisorb Powder</v>
      </c>
      <c r="D41" s="518">
        <f t="shared" si="12"/>
        <v>4.0199999999999996</v>
      </c>
      <c r="E41" s="518">
        <f t="shared" si="13"/>
        <v>0.14699999999999999</v>
      </c>
      <c r="F41" s="518">
        <f t="shared" si="14"/>
        <v>0.71</v>
      </c>
      <c r="G41" s="518">
        <f t="shared" si="15"/>
        <v>6.7000000000000004E-2</v>
      </c>
      <c r="H41" s="518">
        <f t="shared" si="16"/>
        <v>0.17478156000000003</v>
      </c>
      <c r="I41" s="518">
        <f t="shared" si="17"/>
        <v>0.15461522999999999</v>
      </c>
      <c r="J41" s="518">
        <f t="shared" si="18"/>
        <v>8.0177999999999999E-2</v>
      </c>
      <c r="K41" s="518">
        <f t="shared" si="19"/>
        <v>8.6211629999999997E-2</v>
      </c>
      <c r="L41" s="518">
        <f t="shared" si="20"/>
        <v>3.4558439999999996E-2</v>
      </c>
      <c r="M41" s="518">
        <f t="shared" si="21"/>
        <v>1.1455999999999999E-3</v>
      </c>
      <c r="N41" s="518">
        <f t="shared" si="22"/>
        <v>1.1200000000000001</v>
      </c>
      <c r="O41" s="518">
        <f t="shared" si="23"/>
        <v>0.14187617999999999</v>
      </c>
    </row>
    <row r="42" spans="2:15" x14ac:dyDescent="0.35">
      <c r="B42" s="642" t="s">
        <v>1700</v>
      </c>
      <c r="C42" s="518" t="str">
        <f t="shared" si="24"/>
        <v>Nutrilon Pepti Junior pdr</v>
      </c>
      <c r="D42" s="518">
        <f t="shared" si="12"/>
        <v>5.15</v>
      </c>
      <c r="E42" s="518">
        <f t="shared" si="13"/>
        <v>0.14000000000000001</v>
      </c>
      <c r="F42" s="518">
        <f t="shared" si="14"/>
        <v>0.53400000000000003</v>
      </c>
      <c r="G42" s="518">
        <f t="shared" si="15"/>
        <v>0.27300000000000002</v>
      </c>
      <c r="H42" s="518">
        <f t="shared" si="16"/>
        <v>6.0869199999999998E-2</v>
      </c>
      <c r="I42" s="518">
        <f t="shared" si="17"/>
        <v>0.12999987000000002</v>
      </c>
      <c r="J42" s="518">
        <f t="shared" si="18"/>
        <v>9.7110000000000002E-2</v>
      </c>
      <c r="K42" s="518">
        <f t="shared" si="19"/>
        <v>7.0390019999999998E-2</v>
      </c>
      <c r="L42" s="518">
        <f t="shared" si="20"/>
        <v>1.6456399999999996E-2</v>
      </c>
      <c r="M42" s="518">
        <f t="shared" si="21"/>
        <v>1.0739999999999999E-3</v>
      </c>
      <c r="N42" s="518">
        <f t="shared" si="22"/>
        <v>3.92</v>
      </c>
      <c r="O42" s="518">
        <f t="shared" si="23"/>
        <v>8.7438599999999991E-2</v>
      </c>
    </row>
    <row r="43" spans="2:15" x14ac:dyDescent="0.35">
      <c r="B43" s="642" t="s">
        <v>1701</v>
      </c>
      <c r="C43" s="518" t="str">
        <f t="shared" si="24"/>
        <v>Nutrilon Nenatal Start pdr</v>
      </c>
      <c r="D43" s="518">
        <f t="shared" si="12"/>
        <v>4.74</v>
      </c>
      <c r="E43" s="518">
        <f t="shared" si="13"/>
        <v>0.156</v>
      </c>
      <c r="F43" s="518">
        <f t="shared" si="14"/>
        <v>0.22899999999999998</v>
      </c>
      <c r="G43" s="518">
        <f t="shared" si="15"/>
        <v>0.498</v>
      </c>
      <c r="H43" s="518">
        <f t="shared" si="16"/>
        <v>0.1804337</v>
      </c>
      <c r="I43" s="518">
        <f t="shared" si="17"/>
        <v>0.12153833999999999</v>
      </c>
      <c r="J43" s="518">
        <f t="shared" si="18"/>
        <v>0.14765699999999998</v>
      </c>
      <c r="K43" s="518">
        <f t="shared" si="19"/>
        <v>0.10719947999999999</v>
      </c>
      <c r="L43" s="518">
        <f t="shared" si="20"/>
        <v>1.9336269999999999E-2</v>
      </c>
      <c r="M43" s="518">
        <f t="shared" si="21"/>
        <v>1.7004999999999998E-3</v>
      </c>
      <c r="N43" s="518">
        <f t="shared" si="22"/>
        <v>7.2</v>
      </c>
      <c r="O43" s="518">
        <f t="shared" si="23"/>
        <v>0.14215823999999999</v>
      </c>
    </row>
    <row r="44" spans="2:15" x14ac:dyDescent="0.35">
      <c r="B44" s="642" t="s">
        <v>1688</v>
      </c>
      <c r="C44" s="518" t="str">
        <f t="shared" si="24"/>
        <v>Nutrilon Nenatal 1</v>
      </c>
      <c r="D44" s="518">
        <f t="shared" si="12"/>
        <v>4.91</v>
      </c>
      <c r="E44" s="518">
        <f t="shared" si="13"/>
        <v>0.13400000000000001</v>
      </c>
      <c r="F44" s="518">
        <f t="shared" si="14"/>
        <v>0.49099999999999999</v>
      </c>
      <c r="G44" s="518">
        <f t="shared" si="15"/>
        <v>0.26</v>
      </c>
      <c r="H44" s="518">
        <f t="shared" si="16"/>
        <v>7.9564740000000009E-2</v>
      </c>
      <c r="I44" s="518">
        <f t="shared" si="17"/>
        <v>0.12923064000000001</v>
      </c>
      <c r="J44" s="518">
        <f t="shared" si="18"/>
        <v>0.141681</v>
      </c>
      <c r="K44" s="518">
        <f t="shared" si="19"/>
        <v>9.9450120000000003E-2</v>
      </c>
      <c r="L44" s="518">
        <f t="shared" si="20"/>
        <v>1.8924859999999998E-2</v>
      </c>
      <c r="M44" s="518">
        <f t="shared" si="21"/>
        <v>1.4141000000000002E-3</v>
      </c>
      <c r="N44" s="518">
        <f t="shared" si="22"/>
        <v>4.4000000000000004</v>
      </c>
      <c r="O44" s="518">
        <f t="shared" si="23"/>
        <v>0.1015416</v>
      </c>
    </row>
    <row r="45" spans="2:15" x14ac:dyDescent="0.35">
      <c r="B45" s="612" t="s">
        <v>1702</v>
      </c>
      <c r="C45" s="518" t="str">
        <f t="shared" si="24"/>
        <v>Nutrilon Nenatal Protein Fortifier</v>
      </c>
      <c r="D45" s="518">
        <f t="shared" si="12"/>
        <v>3.38</v>
      </c>
      <c r="E45" s="518">
        <f t="shared" si="13"/>
        <v>0.82099999999999995</v>
      </c>
      <c r="F45" s="518">
        <f t="shared" si="14"/>
        <v>2.2000000000000002E-2</v>
      </c>
      <c r="G45" s="518">
        <f t="shared" si="15"/>
        <v>1E-3</v>
      </c>
      <c r="H45" s="518">
        <f t="shared" si="16"/>
        <v>0.33738928000000001</v>
      </c>
      <c r="I45" s="518">
        <f t="shared" si="17"/>
        <v>0.31435866000000001</v>
      </c>
      <c r="J45" s="518">
        <f t="shared" si="18"/>
        <v>0.13047599999999998</v>
      </c>
      <c r="K45" s="518">
        <f t="shared" si="19"/>
        <v>0.16661123999999997</v>
      </c>
      <c r="L45" s="518">
        <f t="shared" si="20"/>
        <v>1.8924859999999998E-2</v>
      </c>
      <c r="M45" s="518">
        <f t="shared" si="21"/>
        <v>0</v>
      </c>
      <c r="N45" s="518">
        <f t="shared" si="22"/>
        <v>0</v>
      </c>
      <c r="O45" s="518">
        <f t="shared" si="23"/>
        <v>1.8615959999999997E-2</v>
      </c>
    </row>
    <row r="46" spans="2:15" x14ac:dyDescent="0.35">
      <c r="B46" s="612" t="s">
        <v>1703</v>
      </c>
      <c r="C46" s="518" t="str">
        <f t="shared" si="24"/>
        <v>Calogen neutraal</v>
      </c>
      <c r="D46" s="518">
        <f t="shared" si="12"/>
        <v>4.5</v>
      </c>
      <c r="E46" s="518">
        <f t="shared" si="13"/>
        <v>0</v>
      </c>
      <c r="F46" s="518">
        <f t="shared" si="14"/>
        <v>0</v>
      </c>
      <c r="G46" s="518">
        <f t="shared" si="15"/>
        <v>0.5</v>
      </c>
      <c r="H46" s="518">
        <f t="shared" si="16"/>
        <v>3.04346E-3</v>
      </c>
      <c r="I46" s="518">
        <f t="shared" si="17"/>
        <v>0</v>
      </c>
      <c r="J46" s="518">
        <f t="shared" si="18"/>
        <v>0</v>
      </c>
      <c r="K46" s="518">
        <f t="shared" si="19"/>
        <v>0</v>
      </c>
      <c r="L46" s="518">
        <f t="shared" si="20"/>
        <v>0</v>
      </c>
      <c r="M46" s="518">
        <f t="shared" si="21"/>
        <v>0</v>
      </c>
      <c r="N46" s="518">
        <f t="shared" si="22"/>
        <v>0</v>
      </c>
      <c r="O46" s="518">
        <f t="shared" si="23"/>
        <v>2.8206000000000001E-5</v>
      </c>
    </row>
    <row r="47" spans="2:15" x14ac:dyDescent="0.35">
      <c r="B47" s="612" t="s">
        <v>1704</v>
      </c>
      <c r="C47" s="518" t="str">
        <f t="shared" si="24"/>
        <v>Liquigen</v>
      </c>
      <c r="D47" s="518">
        <f t="shared" si="12"/>
        <v>4.5</v>
      </c>
      <c r="E47" s="518">
        <f t="shared" si="13"/>
        <v>0</v>
      </c>
      <c r="F47" s="518">
        <f t="shared" si="14"/>
        <v>0</v>
      </c>
      <c r="G47" s="518">
        <f t="shared" si="15"/>
        <v>0.5</v>
      </c>
      <c r="H47" s="518">
        <f t="shared" si="16"/>
        <v>2.1739000000000003E-3</v>
      </c>
      <c r="I47" s="518">
        <f t="shared" si="17"/>
        <v>2.5641000000000001E-5</v>
      </c>
      <c r="J47" s="518">
        <f t="shared" si="18"/>
        <v>7.4699999999999986E-5</v>
      </c>
      <c r="K47" s="518">
        <f t="shared" si="19"/>
        <v>0</v>
      </c>
      <c r="L47" s="518">
        <f t="shared" si="20"/>
        <v>0</v>
      </c>
      <c r="M47" s="518">
        <f t="shared" si="21"/>
        <v>0</v>
      </c>
      <c r="N47" s="518">
        <f t="shared" si="22"/>
        <v>0</v>
      </c>
      <c r="O47" s="518">
        <f t="shared" si="23"/>
        <v>2.8205999999999997E-6</v>
      </c>
    </row>
    <row r="48" spans="2:15" x14ac:dyDescent="0.35">
      <c r="B48" s="612" t="s">
        <v>1038</v>
      </c>
      <c r="C48" s="518" t="str">
        <f t="shared" si="24"/>
        <v>Fantomalt</v>
      </c>
      <c r="D48" s="518">
        <f t="shared" si="12"/>
        <v>3.84</v>
      </c>
      <c r="E48" s="518">
        <f t="shared" si="13"/>
        <v>0</v>
      </c>
      <c r="F48" s="518">
        <f t="shared" si="14"/>
        <v>0.96</v>
      </c>
      <c r="G48" s="518">
        <f t="shared" si="15"/>
        <v>0</v>
      </c>
      <c r="H48" s="518">
        <f t="shared" si="16"/>
        <v>8.6956000000000002E-4</v>
      </c>
      <c r="I48" s="518">
        <f t="shared" si="17"/>
        <v>0</v>
      </c>
      <c r="J48" s="518">
        <f t="shared" si="18"/>
        <v>0</v>
      </c>
      <c r="K48" s="518">
        <f t="shared" si="19"/>
        <v>0</v>
      </c>
      <c r="L48" s="518">
        <f t="shared" si="20"/>
        <v>0</v>
      </c>
      <c r="M48" s="518">
        <f t="shared" si="21"/>
        <v>0</v>
      </c>
      <c r="N48" s="518">
        <f t="shared" si="22"/>
        <v>0</v>
      </c>
      <c r="O48" s="518">
        <f t="shared" si="23"/>
        <v>0</v>
      </c>
    </row>
    <row r="49" spans="2:15" x14ac:dyDescent="0.35">
      <c r="B49" s="612" t="s">
        <v>1705</v>
      </c>
      <c r="C49" s="518" t="str">
        <f t="shared" si="24"/>
        <v>Nutrilon Pepti 1 pdr</v>
      </c>
      <c r="D49" s="518">
        <f t="shared" si="12"/>
        <v>4.93</v>
      </c>
      <c r="E49" s="518">
        <f t="shared" si="13"/>
        <v>0.11599999999999999</v>
      </c>
      <c r="F49" s="518">
        <f t="shared" si="14"/>
        <v>0.51800000000000002</v>
      </c>
      <c r="G49" s="518">
        <f t="shared" si="15"/>
        <v>0.25700000000000001</v>
      </c>
      <c r="H49" s="518">
        <f t="shared" si="16"/>
        <v>6.5216999999999997E-2</v>
      </c>
      <c r="I49" s="518">
        <f t="shared" si="17"/>
        <v>0.15333318000000001</v>
      </c>
      <c r="J49" s="518">
        <f t="shared" si="18"/>
        <v>8.6153999999999994E-2</v>
      </c>
      <c r="K49" s="518">
        <f t="shared" si="19"/>
        <v>6.1671990000000003E-2</v>
      </c>
      <c r="L49" s="518">
        <f t="shared" si="20"/>
        <v>1.6044989999999999E-2</v>
      </c>
      <c r="M49" s="518">
        <f t="shared" si="21"/>
        <v>6.981E-4</v>
      </c>
      <c r="N49" s="518">
        <f t="shared" si="22"/>
        <v>3.76</v>
      </c>
      <c r="O49" s="518">
        <f t="shared" si="23"/>
        <v>8.1797399999999992E-2</v>
      </c>
    </row>
    <row r="50" spans="2:15" x14ac:dyDescent="0.35">
      <c r="B50" s="612" t="s">
        <v>1706</v>
      </c>
      <c r="C50" s="518" t="str">
        <f t="shared" si="24"/>
        <v>Nutrilon Hypoallergeen 1 pdr</v>
      </c>
      <c r="D50" s="518">
        <f t="shared" si="12"/>
        <v>4.83</v>
      </c>
      <c r="E50" s="518">
        <f t="shared" si="13"/>
        <v>0.11</v>
      </c>
      <c r="F50" s="518">
        <f t="shared" si="14"/>
        <v>0.52500000000000002</v>
      </c>
      <c r="G50" s="518">
        <f t="shared" si="15"/>
        <v>0.24600000000000002</v>
      </c>
      <c r="H50" s="518">
        <f t="shared" si="16"/>
        <v>7.8695180000000003E-2</v>
      </c>
      <c r="I50" s="518">
        <f t="shared" si="17"/>
        <v>0.1358973</v>
      </c>
      <c r="J50" s="518">
        <f t="shared" si="18"/>
        <v>8.4410999999999986E-2</v>
      </c>
      <c r="K50" s="518">
        <f t="shared" si="19"/>
        <v>6.1349099999999997E-2</v>
      </c>
      <c r="L50" s="518">
        <f t="shared" si="20"/>
        <v>1.522217E-2</v>
      </c>
      <c r="M50" s="518">
        <f t="shared" si="21"/>
        <v>6.981E-4</v>
      </c>
      <c r="N50" s="518">
        <f t="shared" si="22"/>
        <v>3.52</v>
      </c>
      <c r="O50" s="518">
        <f t="shared" si="23"/>
        <v>8.518212E-2</v>
      </c>
    </row>
    <row r="51" spans="2:15" x14ac:dyDescent="0.35">
      <c r="B51" s="612" t="s">
        <v>1707</v>
      </c>
      <c r="C51" s="518" t="str">
        <f t="shared" si="24"/>
        <v>Neocate LCP</v>
      </c>
      <c r="D51" s="518">
        <f t="shared" si="12"/>
        <v>4.83</v>
      </c>
      <c r="E51" s="518">
        <f t="shared" si="13"/>
        <v>0.13</v>
      </c>
      <c r="F51" s="518">
        <f t="shared" si="14"/>
        <v>0.52500000000000002</v>
      </c>
      <c r="G51" s="518">
        <f t="shared" si="15"/>
        <v>0.245</v>
      </c>
      <c r="H51" s="518">
        <f t="shared" si="16"/>
        <v>8.2173419999999997E-2</v>
      </c>
      <c r="I51" s="518">
        <f t="shared" si="17"/>
        <v>0.13461524999999999</v>
      </c>
      <c r="J51" s="518">
        <f t="shared" si="18"/>
        <v>0.11827499999999999</v>
      </c>
      <c r="K51" s="518">
        <f t="shared" si="19"/>
        <v>0.11010548999999999</v>
      </c>
      <c r="L51" s="518">
        <f t="shared" si="20"/>
        <v>2.0981909999999999E-2</v>
      </c>
      <c r="M51" s="518">
        <f t="shared" si="21"/>
        <v>1.2977500000000001E-3</v>
      </c>
      <c r="N51" s="518">
        <f t="shared" si="22"/>
        <v>3.52</v>
      </c>
      <c r="O51" s="518">
        <f t="shared" si="23"/>
        <v>0.10887516</v>
      </c>
    </row>
    <row r="52" spans="2:15" x14ac:dyDescent="0.35">
      <c r="B52" s="612" t="s">
        <v>1708</v>
      </c>
      <c r="C52" s="518" t="str">
        <f t="shared" si="24"/>
        <v>Neocate Junior</v>
      </c>
      <c r="D52" s="518">
        <f t="shared" si="12"/>
        <v>4.75</v>
      </c>
      <c r="E52" s="518">
        <f t="shared" si="13"/>
        <v>0.13300000000000001</v>
      </c>
      <c r="F52" s="518">
        <f t="shared" si="14"/>
        <v>0.56000000000000005</v>
      </c>
      <c r="G52" s="518">
        <f t="shared" si="15"/>
        <v>0.22</v>
      </c>
      <c r="H52" s="518">
        <f t="shared" si="16"/>
        <v>0.1239123</v>
      </c>
      <c r="I52" s="518">
        <f t="shared" si="17"/>
        <v>0.13999986</v>
      </c>
      <c r="J52" s="518">
        <f t="shared" si="18"/>
        <v>0.106572</v>
      </c>
      <c r="K52" s="518">
        <f t="shared" si="19"/>
        <v>9.9773009999999995E-2</v>
      </c>
      <c r="L52" s="518">
        <f t="shared" si="20"/>
        <v>2.7358764999999997E-2</v>
      </c>
      <c r="M52" s="518">
        <f t="shared" si="21"/>
        <v>1.0203E-3</v>
      </c>
      <c r="N52" s="518">
        <f t="shared" si="22"/>
        <v>2.48</v>
      </c>
      <c r="O52" s="518">
        <f t="shared" si="23"/>
        <v>0.12326022</v>
      </c>
    </row>
    <row r="53" spans="2:15" x14ac:dyDescent="0.35">
      <c r="B53" s="629" t="s">
        <v>1986</v>
      </c>
      <c r="C53" s="629" t="s">
        <v>1761</v>
      </c>
      <c r="D53" s="518">
        <f t="shared" si="12"/>
        <v>4.84</v>
      </c>
      <c r="E53" s="518">
        <f t="shared" si="13"/>
        <v>9.6999999999999989E-2</v>
      </c>
      <c r="F53" s="518">
        <f t="shared" si="14"/>
        <v>0.53799999999999992</v>
      </c>
      <c r="G53" s="518">
        <f t="shared" si="15"/>
        <v>0.247</v>
      </c>
      <c r="H53" s="518">
        <f t="shared" si="16"/>
        <v>5.43475E-2</v>
      </c>
      <c r="I53" s="518">
        <f t="shared" si="17"/>
        <v>0.12846141</v>
      </c>
      <c r="J53" s="518">
        <f t="shared" si="18"/>
        <v>0.10408199999999999</v>
      </c>
      <c r="K53" s="518">
        <f t="shared" si="19"/>
        <v>7.6524929999999991E-2</v>
      </c>
      <c r="L53" s="518">
        <f t="shared" si="20"/>
        <v>1.522217E-2</v>
      </c>
      <c r="M53" s="518">
        <f t="shared" si="21"/>
        <v>6.981E-4</v>
      </c>
      <c r="N53" s="518">
        <f t="shared" si="22"/>
        <v>3.48</v>
      </c>
      <c r="O53" s="518">
        <f t="shared" si="23"/>
        <v>8.5746240000000001E-2</v>
      </c>
    </row>
    <row r="54" spans="2:15" x14ac:dyDescent="0.35">
      <c r="B54" s="629" t="s">
        <v>1762</v>
      </c>
      <c r="C54" s="629" t="s">
        <v>1762</v>
      </c>
      <c r="D54" s="518">
        <f t="shared" si="12"/>
        <v>3.18</v>
      </c>
      <c r="E54" s="518">
        <f t="shared" si="13"/>
        <v>0</v>
      </c>
      <c r="F54" s="518">
        <f t="shared" si="14"/>
        <v>0.66200000000000003</v>
      </c>
      <c r="G54" s="518">
        <f t="shared" si="15"/>
        <v>3.0000000000000001E-3</v>
      </c>
      <c r="H54" s="518">
        <f t="shared" si="16"/>
        <v>2.6086799999999999E-3</v>
      </c>
      <c r="I54" s="518">
        <f t="shared" si="17"/>
        <v>2.3333310000000003E-2</v>
      </c>
      <c r="J54" s="518">
        <f t="shared" si="18"/>
        <v>8.3415000000000003E-2</v>
      </c>
      <c r="K54" s="518">
        <f t="shared" si="19"/>
        <v>3.8746799999999997E-3</v>
      </c>
      <c r="L54" s="518">
        <f t="shared" si="20"/>
        <v>3.7438309999999995E-3</v>
      </c>
      <c r="M54" s="518">
        <f t="shared" si="21"/>
        <v>1.5751999999999999E-3</v>
      </c>
      <c r="N54" s="518">
        <f t="shared" si="22"/>
        <v>0</v>
      </c>
      <c r="O54" s="518">
        <f t="shared" si="23"/>
        <v>3.0744539999999997E-2</v>
      </c>
    </row>
  </sheetData>
  <customSheetViews>
    <customSheetView guid="{33CCADFA-0D48-46A6-8927-2B2144029216}" showRowCol="0" outlineSymbols="0" zeroValues="0">
      <selection activeCell="G47" sqref="G47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Lab">
    <tabColor rgb="FF7030A0"/>
    <pageSetUpPr autoPageBreaks="0"/>
  </sheetPr>
  <dimension ref="A1:CD43"/>
  <sheetViews>
    <sheetView zoomScale="85" zoomScaleNormal="85" workbookViewId="0">
      <pane ySplit="5" topLeftCell="A6" activePane="bottomLeft" state="frozen"/>
      <selection pane="bottomLeft"/>
    </sheetView>
  </sheetViews>
  <sheetFormatPr defaultColWidth="9.1328125" defaultRowHeight="12.85" x14ac:dyDescent="0.35"/>
  <cols>
    <col min="1" max="1" width="3.73046875" style="531" customWidth="1"/>
    <col min="2" max="9" width="10.73046875" style="531" customWidth="1"/>
    <col min="10" max="11" width="2.1328125" style="531" customWidth="1"/>
    <col min="12" max="13" width="10.73046875" style="531" customWidth="1"/>
    <col min="14" max="16384" width="9.1328125" style="531"/>
  </cols>
  <sheetData>
    <row r="1" spans="1:82" s="251" customFormat="1" ht="7.55" customHeight="1" x14ac:dyDescent="0.35">
      <c r="A1" s="587"/>
      <c r="B1" s="250"/>
      <c r="C1" s="250"/>
      <c r="D1" s="250"/>
      <c r="E1" s="250"/>
      <c r="F1" s="250"/>
      <c r="G1" s="250"/>
      <c r="H1" s="250"/>
      <c r="I1" s="250"/>
      <c r="J1" s="250"/>
      <c r="K1" s="250"/>
      <c r="L1" s="250"/>
      <c r="N1" s="250"/>
      <c r="S1" s="250"/>
      <c r="T1" s="250"/>
      <c r="U1" s="250"/>
      <c r="V1" s="250"/>
      <c r="W1" s="250"/>
      <c r="X1" s="250"/>
      <c r="Y1" s="250"/>
    </row>
    <row r="2" spans="1:82" s="251" customFormat="1" ht="17.25" customHeight="1" x14ac:dyDescent="0.4">
      <c r="A2" s="250"/>
      <c r="B2" s="250"/>
      <c r="C2" s="252" t="s">
        <v>623</v>
      </c>
      <c r="D2" s="253" t="e">
        <f ca="1">AfspraakDatum</f>
        <v>#NAME?</v>
      </c>
      <c r="E2" s="254"/>
      <c r="F2" s="252" t="s">
        <v>624</v>
      </c>
      <c r="G2" s="250"/>
      <c r="H2" s="255">
        <f>OpnDatum</f>
        <v>42370</v>
      </c>
      <c r="I2" s="252" t="e">
        <f ca="1">"ICU-dag: "&amp;AfspraakDatum-OpnDatum+1</f>
        <v>#NAME?</v>
      </c>
      <c r="J2" s="258" t="str">
        <f>"Gewicht: "&amp;Gewicht/10&amp;" kg"</f>
        <v>Gewicht: 10 kg</v>
      </c>
      <c r="L2" s="250"/>
      <c r="N2" s="250"/>
      <c r="S2" s="250"/>
      <c r="T2" s="250"/>
      <c r="U2" s="250"/>
      <c r="V2" s="250"/>
      <c r="W2" s="250"/>
      <c r="X2" s="250"/>
      <c r="Y2" s="250"/>
    </row>
    <row r="3" spans="1:82" s="251" customFormat="1" ht="17.25" customHeight="1" x14ac:dyDescent="0.4">
      <c r="A3" s="250"/>
      <c r="B3" s="256"/>
      <c r="C3" s="252" t="s">
        <v>54</v>
      </c>
      <c r="D3" s="257" t="str">
        <f>_AchterNaam&amp;", "&amp;_VoorNaam</f>
        <v>Achternaam, Voornaam</v>
      </c>
      <c r="E3" s="257"/>
      <c r="F3" s="252" t="s">
        <v>638</v>
      </c>
      <c r="G3" s="250"/>
      <c r="H3" s="255">
        <f>GebDatum</f>
        <v>42370</v>
      </c>
      <c r="J3" s="258" t="str">
        <f>"Lengte: "&amp;Lengte&amp;" cm"</f>
        <v>Lengte: 80 cm</v>
      </c>
      <c r="K3" s="252"/>
      <c r="L3" s="250"/>
      <c r="N3" s="516"/>
      <c r="S3" s="250"/>
      <c r="T3" s="250"/>
      <c r="U3" s="250"/>
      <c r="V3" s="250"/>
      <c r="W3" s="250"/>
      <c r="X3" s="250"/>
      <c r="Y3" s="250"/>
    </row>
    <row r="4" spans="1:82" s="251" customFormat="1" ht="17.25" customHeight="1" x14ac:dyDescent="0.4">
      <c r="A4" s="259"/>
      <c r="B4" s="259"/>
      <c r="C4" s="252" t="s">
        <v>707</v>
      </c>
      <c r="D4" s="258">
        <f>PatNummer</f>
        <v>0</v>
      </c>
      <c r="E4" s="254"/>
      <c r="F4" s="252" t="s">
        <v>573</v>
      </c>
      <c r="G4" s="259"/>
      <c r="H4" s="260" t="e">
        <f ca="1">TRUNC((AfspraakDatum-GebDatum)/365,0)&amp;" jaar en "&amp;TRUNC(((AfspraakDatum-GebDatum)-365*TRUNC((AfspraakDatum-GebDatum)/365,0))/30,0)&amp;" maand(-en)"</f>
        <v>#NAME?</v>
      </c>
      <c r="I4" s="252"/>
      <c r="J4" s="252" t="str">
        <f>"Lichamelijk oppervlak: "&amp;ROUND(POWER(Gewicht/10,0.425)*POWER(((Lengte/100)*100),0.725)*0.007184,2)&amp;" m2"</f>
        <v>Lichamelijk oppervlak: 0,46 m2</v>
      </c>
      <c r="K4" s="252"/>
      <c r="L4" s="259"/>
      <c r="N4" s="259"/>
      <c r="S4" s="259"/>
      <c r="T4" s="259"/>
      <c r="U4" s="259"/>
      <c r="V4" s="259"/>
      <c r="W4" s="259"/>
      <c r="X4" s="259"/>
      <c r="Y4" s="259"/>
      <c r="Z4" s="261"/>
      <c r="AA4" s="261"/>
      <c r="AB4" s="261"/>
      <c r="AC4" s="261"/>
      <c r="AD4" s="261"/>
      <c r="AE4" s="261"/>
      <c r="AF4" s="261"/>
      <c r="AG4" s="261"/>
      <c r="AH4" s="261"/>
      <c r="AI4" s="261"/>
      <c r="AJ4" s="261"/>
      <c r="AK4" s="261"/>
      <c r="AL4" s="261"/>
      <c r="AM4" s="261"/>
      <c r="AN4" s="261"/>
      <c r="AO4" s="261"/>
      <c r="AP4" s="261"/>
      <c r="AQ4" s="261"/>
      <c r="AR4" s="261"/>
      <c r="AS4" s="261"/>
      <c r="AT4" s="261"/>
      <c r="AU4" s="261"/>
      <c r="AV4" s="261"/>
      <c r="AW4" s="261"/>
      <c r="AX4" s="261"/>
      <c r="AY4" s="261"/>
      <c r="AZ4" s="261"/>
      <c r="BA4" s="261"/>
      <c r="BB4" s="261"/>
      <c r="BC4" s="261"/>
      <c r="BD4" s="261"/>
      <c r="BE4" s="261"/>
      <c r="BF4" s="261"/>
      <c r="BG4" s="261"/>
      <c r="BH4" s="261"/>
      <c r="BI4" s="261"/>
      <c r="BJ4" s="261"/>
      <c r="BK4" s="261"/>
      <c r="BL4" s="261"/>
      <c r="BM4" s="261"/>
      <c r="BN4" s="261"/>
      <c r="BO4" s="261"/>
      <c r="BP4" s="261"/>
      <c r="BQ4" s="261"/>
      <c r="BR4" s="261"/>
      <c r="BS4" s="261"/>
      <c r="BT4" s="261"/>
      <c r="BU4" s="261"/>
      <c r="BV4" s="261"/>
      <c r="BW4" s="261"/>
      <c r="BX4" s="261"/>
      <c r="BY4" s="261"/>
      <c r="BZ4" s="261"/>
      <c r="CA4" s="261"/>
      <c r="CB4" s="261"/>
      <c r="CC4" s="261"/>
      <c r="CD4" s="261"/>
    </row>
    <row r="5" spans="1:82" s="251" customFormat="1" ht="17.25" customHeight="1" x14ac:dyDescent="0.4">
      <c r="A5" s="259"/>
      <c r="B5" s="259"/>
      <c r="C5" s="268" t="s">
        <v>1002</v>
      </c>
      <c r="D5" s="268">
        <f>BedNummer</f>
        <v>0</v>
      </c>
      <c r="E5" s="254"/>
      <c r="F5" s="252"/>
      <c r="G5" s="259"/>
      <c r="H5" s="260"/>
      <c r="I5" s="252"/>
      <c r="J5" s="252"/>
      <c r="K5" s="252"/>
      <c r="L5" s="259"/>
      <c r="N5" s="259"/>
      <c r="S5" s="259"/>
      <c r="T5" s="259"/>
      <c r="U5" s="259"/>
      <c r="V5" s="259"/>
      <c r="W5" s="259"/>
      <c r="X5" s="259"/>
      <c r="Y5" s="259"/>
      <c r="Z5" s="261"/>
      <c r="AA5" s="261"/>
      <c r="AB5" s="261"/>
      <c r="AC5" s="261"/>
      <c r="AD5" s="261"/>
      <c r="AE5" s="261"/>
      <c r="AF5" s="261"/>
      <c r="AG5" s="261"/>
      <c r="AH5" s="261"/>
      <c r="AI5" s="261"/>
      <c r="AJ5" s="261"/>
      <c r="AK5" s="261"/>
      <c r="AL5" s="261"/>
      <c r="AM5" s="261"/>
      <c r="AN5" s="261"/>
      <c r="AO5" s="261"/>
      <c r="AP5" s="261"/>
      <c r="AQ5" s="261"/>
      <c r="AR5" s="261"/>
      <c r="AS5" s="261"/>
      <c r="AT5" s="261"/>
      <c r="AU5" s="261"/>
      <c r="AV5" s="261"/>
      <c r="AW5" s="261"/>
      <c r="AX5" s="261"/>
      <c r="AY5" s="261"/>
      <c r="AZ5" s="261"/>
      <c r="BA5" s="261"/>
      <c r="BB5" s="261"/>
      <c r="BC5" s="261"/>
      <c r="BD5" s="261"/>
      <c r="BE5" s="261"/>
      <c r="BF5" s="261"/>
      <c r="BG5" s="261"/>
      <c r="BH5" s="261"/>
      <c r="BI5" s="261"/>
      <c r="BJ5" s="261"/>
      <c r="BK5" s="261"/>
      <c r="BL5" s="261"/>
      <c r="BM5" s="261"/>
      <c r="BN5" s="261"/>
      <c r="BO5" s="261"/>
      <c r="BP5" s="261"/>
      <c r="BQ5" s="261"/>
      <c r="BR5" s="261"/>
      <c r="BS5" s="261"/>
      <c r="BT5" s="261"/>
      <c r="BU5" s="261"/>
      <c r="BV5" s="261"/>
      <c r="BW5" s="261"/>
      <c r="BX5" s="261"/>
      <c r="BY5" s="261"/>
      <c r="BZ5" s="261"/>
      <c r="CA5" s="261"/>
      <c r="CB5" s="261"/>
      <c r="CC5" s="261"/>
      <c r="CD5" s="261"/>
    </row>
    <row r="6" spans="1:82" s="847" customFormat="1" x14ac:dyDescent="0.35"/>
    <row r="7" spans="1:82" s="847" customFormat="1" x14ac:dyDescent="0.35"/>
    <row r="8" spans="1:82" ht="11.25" customHeight="1" x14ac:dyDescent="0.4">
      <c r="A8" s="593"/>
      <c r="B8" s="527" t="s">
        <v>285</v>
      </c>
      <c r="C8" s="528"/>
      <c r="D8" s="529" t="s">
        <v>1339</v>
      </c>
      <c r="E8" s="528"/>
      <c r="F8" s="528"/>
      <c r="G8" s="526"/>
      <c r="H8" s="530"/>
      <c r="I8" s="526"/>
      <c r="J8" s="526"/>
    </row>
    <row r="9" spans="1:82" ht="13.2" x14ac:dyDescent="0.4">
      <c r="A9" s="526"/>
      <c r="B9" s="532"/>
    </row>
    <row r="10" spans="1:82" ht="18.75" customHeight="1" x14ac:dyDescent="0.4">
      <c r="A10" s="526"/>
      <c r="B10" s="382" t="s">
        <v>1335</v>
      </c>
      <c r="C10" s="533"/>
      <c r="D10" s="382" t="s">
        <v>926</v>
      </c>
      <c r="E10" s="533"/>
      <c r="F10" s="382" t="s">
        <v>927</v>
      </c>
      <c r="G10" s="533"/>
      <c r="H10" s="382" t="s">
        <v>286</v>
      </c>
      <c r="I10" s="533"/>
      <c r="J10" s="382"/>
      <c r="K10" s="533"/>
      <c r="L10" s="382" t="s">
        <v>25</v>
      </c>
      <c r="M10" s="533"/>
    </row>
    <row r="11" spans="1:82" ht="26.3" customHeight="1" x14ac:dyDescent="0.35">
      <c r="B11" s="534"/>
      <c r="C11" s="535"/>
      <c r="D11" s="534"/>
      <c r="E11" s="534"/>
      <c r="F11" s="534"/>
      <c r="G11" s="534"/>
      <c r="H11" s="534"/>
      <c r="I11" s="534"/>
      <c r="J11" s="534"/>
      <c r="K11" s="534"/>
      <c r="L11" s="534"/>
      <c r="M11" s="534"/>
    </row>
    <row r="12" spans="1:82" ht="26.3" customHeight="1" x14ac:dyDescent="0.35">
      <c r="B12" s="534"/>
      <c r="C12" s="535"/>
      <c r="D12" s="534"/>
      <c r="E12" s="534"/>
      <c r="F12" s="534"/>
      <c r="G12" s="534"/>
      <c r="H12" s="534"/>
      <c r="I12" s="534"/>
      <c r="J12" s="534"/>
      <c r="K12" s="534"/>
      <c r="L12" s="534"/>
      <c r="M12" s="534"/>
    </row>
    <row r="13" spans="1:82" ht="26.3" customHeight="1" x14ac:dyDescent="0.35">
      <c r="A13" s="602"/>
      <c r="B13" s="534"/>
      <c r="C13" s="535"/>
      <c r="D13" s="534"/>
      <c r="E13" s="534"/>
      <c r="F13" s="534"/>
      <c r="G13" s="534"/>
      <c r="H13" s="534"/>
      <c r="I13" s="534"/>
      <c r="J13" s="534"/>
      <c r="K13" s="534"/>
      <c r="L13" s="534"/>
      <c r="M13" s="534"/>
    </row>
    <row r="14" spans="1:82" ht="26.3" customHeight="1" x14ac:dyDescent="0.35">
      <c r="B14" s="534"/>
      <c r="C14" s="535"/>
      <c r="D14" s="534"/>
      <c r="E14" s="534"/>
      <c r="F14" s="534"/>
      <c r="G14" s="534"/>
      <c r="H14" s="534"/>
      <c r="I14" s="534"/>
      <c r="J14" s="534"/>
      <c r="K14" s="534"/>
      <c r="L14" s="534"/>
      <c r="M14" s="534"/>
    </row>
    <row r="15" spans="1:82" ht="26.3" customHeight="1" x14ac:dyDescent="0.35">
      <c r="B15" s="534"/>
      <c r="C15" s="535"/>
      <c r="D15" s="534"/>
      <c r="E15" s="534"/>
      <c r="F15" s="534"/>
      <c r="G15" s="534"/>
      <c r="H15" s="534"/>
      <c r="I15" s="534"/>
      <c r="J15" s="534"/>
      <c r="K15" s="534"/>
      <c r="L15" s="534"/>
      <c r="M15" s="534"/>
    </row>
    <row r="16" spans="1:82" ht="26.3" customHeight="1" x14ac:dyDescent="0.35">
      <c r="B16" s="534"/>
      <c r="C16" s="535"/>
      <c r="D16" s="534"/>
      <c r="E16" s="534"/>
      <c r="F16" s="534"/>
      <c r="G16" s="534"/>
      <c r="H16" s="534"/>
      <c r="I16" s="534"/>
      <c r="J16" s="534"/>
      <c r="K16" s="534"/>
      <c r="L16" s="534"/>
      <c r="M16" s="534"/>
    </row>
    <row r="17" spans="2:13" ht="26.3" customHeight="1" x14ac:dyDescent="0.35">
      <c r="B17" s="534"/>
      <c r="C17" s="535"/>
      <c r="D17" s="534"/>
      <c r="E17" s="534"/>
      <c r="F17" s="534"/>
      <c r="G17" s="534"/>
      <c r="H17" s="534"/>
      <c r="I17" s="534"/>
      <c r="J17" s="534"/>
      <c r="K17" s="534"/>
      <c r="L17" s="534"/>
      <c r="M17" s="534"/>
    </row>
    <row r="18" spans="2:13" ht="26.3" customHeight="1" x14ac:dyDescent="0.35">
      <c r="B18" s="534"/>
      <c r="C18" s="535"/>
      <c r="D18" s="534"/>
      <c r="E18" s="534"/>
      <c r="F18" s="534"/>
      <c r="G18" s="534"/>
      <c r="H18" s="534"/>
      <c r="I18" s="534"/>
      <c r="J18" s="534"/>
      <c r="K18" s="534"/>
      <c r="L18" s="534"/>
      <c r="M18" s="534"/>
    </row>
    <row r="19" spans="2:13" ht="26.3" customHeight="1" x14ac:dyDescent="0.35">
      <c r="B19" s="534"/>
      <c r="C19" s="535"/>
      <c r="D19" s="534"/>
      <c r="E19" s="534"/>
      <c r="F19" s="534"/>
      <c r="G19" s="534"/>
      <c r="H19" s="534"/>
      <c r="I19" s="534"/>
      <c r="J19" s="534"/>
      <c r="K19" s="534"/>
      <c r="L19" s="534"/>
      <c r="M19" s="534"/>
    </row>
    <row r="20" spans="2:13" ht="26.3" customHeight="1" x14ac:dyDescent="0.35">
      <c r="B20" s="534"/>
      <c r="C20" s="535"/>
      <c r="D20" s="534"/>
      <c r="E20" s="534"/>
      <c r="F20" s="534"/>
      <c r="G20" s="534"/>
      <c r="H20" s="534"/>
      <c r="I20" s="534"/>
      <c r="J20" s="534"/>
      <c r="K20" s="534"/>
      <c r="L20" s="534"/>
      <c r="M20" s="534"/>
    </row>
    <row r="21" spans="2:13" ht="26.3" customHeight="1" x14ac:dyDescent="0.35">
      <c r="B21" s="534"/>
      <c r="C21" s="535"/>
      <c r="D21" s="534"/>
      <c r="E21" s="534"/>
      <c r="F21" s="534"/>
      <c r="G21" s="534"/>
      <c r="H21" s="534"/>
      <c r="I21" s="534"/>
      <c r="J21" s="534"/>
      <c r="K21" s="534"/>
      <c r="L21" s="534"/>
      <c r="M21" s="534"/>
    </row>
    <row r="22" spans="2:13" ht="26.3" customHeight="1" x14ac:dyDescent="0.35">
      <c r="B22" s="534"/>
      <c r="C22" s="535"/>
      <c r="D22" s="534"/>
      <c r="E22" s="534"/>
      <c r="F22" s="534"/>
      <c r="G22" s="534"/>
      <c r="H22" s="534"/>
      <c r="I22" s="534"/>
      <c r="J22" s="534"/>
      <c r="K22" s="534"/>
      <c r="L22" s="534"/>
      <c r="M22" s="534"/>
    </row>
    <row r="23" spans="2:13" ht="26.3" customHeight="1" x14ac:dyDescent="0.35">
      <c r="B23" s="534"/>
      <c r="C23" s="535"/>
      <c r="D23" s="534"/>
      <c r="E23" s="534"/>
      <c r="F23" s="534"/>
      <c r="G23" s="534"/>
      <c r="H23" s="534"/>
      <c r="I23" s="534"/>
      <c r="J23" s="534"/>
      <c r="K23" s="534"/>
      <c r="L23" s="534"/>
      <c r="M23" s="534"/>
    </row>
    <row r="24" spans="2:13" ht="26.3" customHeight="1" x14ac:dyDescent="0.35">
      <c r="B24" s="534"/>
      <c r="C24" s="535"/>
      <c r="D24" s="534"/>
      <c r="E24" s="534"/>
      <c r="F24" s="534"/>
      <c r="G24" s="534"/>
      <c r="H24" s="534"/>
      <c r="I24" s="534"/>
      <c r="J24" s="534"/>
      <c r="K24" s="534"/>
      <c r="L24" s="534"/>
      <c r="M24" s="534"/>
    </row>
    <row r="25" spans="2:13" ht="26.3" customHeight="1" x14ac:dyDescent="0.35">
      <c r="B25" s="534"/>
      <c r="C25" s="535"/>
      <c r="D25" s="534"/>
      <c r="E25" s="534"/>
      <c r="F25" s="534"/>
      <c r="G25" s="534"/>
      <c r="H25" s="534"/>
      <c r="I25" s="534"/>
      <c r="J25" s="534"/>
      <c r="K25" s="534"/>
      <c r="L25" s="534"/>
      <c r="M25" s="534"/>
    </row>
    <row r="26" spans="2:13" ht="26.3" customHeight="1" x14ac:dyDescent="0.35">
      <c r="B26" s="534"/>
      <c r="C26" s="535"/>
      <c r="D26" s="534"/>
      <c r="E26" s="534"/>
      <c r="F26" s="534"/>
      <c r="G26" s="534"/>
      <c r="H26" s="534"/>
      <c r="I26" s="534"/>
      <c r="J26" s="534"/>
      <c r="K26" s="534"/>
      <c r="L26" s="534"/>
      <c r="M26" s="534"/>
    </row>
    <row r="27" spans="2:13" ht="26.3" customHeight="1" x14ac:dyDescent="0.35">
      <c r="B27" s="534"/>
      <c r="C27" s="535"/>
      <c r="D27" s="534"/>
      <c r="E27" s="534"/>
      <c r="F27" s="534"/>
      <c r="G27" s="534"/>
      <c r="H27" s="534"/>
      <c r="I27" s="534"/>
      <c r="J27" s="534"/>
      <c r="K27" s="534"/>
      <c r="L27" s="534"/>
      <c r="M27" s="534"/>
    </row>
    <row r="28" spans="2:13" ht="26.3" customHeight="1" x14ac:dyDescent="0.35">
      <c r="B28" s="534"/>
      <c r="C28" s="535"/>
      <c r="D28" s="534"/>
      <c r="E28" s="534"/>
      <c r="F28" s="534"/>
      <c r="G28" s="534"/>
      <c r="H28" s="534"/>
      <c r="I28" s="534"/>
      <c r="J28" s="534"/>
      <c r="K28" s="534"/>
      <c r="L28" s="534"/>
      <c r="M28" s="534"/>
    </row>
    <row r="29" spans="2:13" ht="26.3" customHeight="1" x14ac:dyDescent="0.35">
      <c r="B29" s="534"/>
      <c r="C29" s="535"/>
      <c r="D29" s="534"/>
      <c r="E29" s="534"/>
      <c r="F29" s="534"/>
      <c r="G29" s="534"/>
      <c r="H29" s="534"/>
      <c r="I29" s="534"/>
      <c r="J29" s="534"/>
      <c r="K29" s="534"/>
      <c r="L29" s="534"/>
      <c r="M29" s="534"/>
    </row>
    <row r="30" spans="2:13" ht="26.3" customHeight="1" x14ac:dyDescent="0.35">
      <c r="B30" s="534"/>
      <c r="C30" s="535"/>
      <c r="D30" s="534"/>
      <c r="E30" s="534"/>
      <c r="F30" s="534"/>
      <c r="G30" s="534"/>
      <c r="H30" s="534"/>
      <c r="I30" s="534"/>
      <c r="J30" s="534"/>
      <c r="K30" s="534"/>
      <c r="L30" s="534"/>
      <c r="M30" s="534"/>
    </row>
    <row r="31" spans="2:13" ht="26.3" customHeight="1" x14ac:dyDescent="0.35">
      <c r="B31" s="534"/>
      <c r="C31" s="535"/>
      <c r="D31" s="534"/>
      <c r="E31" s="534"/>
      <c r="F31" s="534"/>
      <c r="G31" s="534"/>
      <c r="H31" s="534"/>
      <c r="I31" s="534"/>
      <c r="J31" s="534"/>
      <c r="K31" s="534"/>
      <c r="L31" s="534"/>
      <c r="M31" s="534"/>
    </row>
    <row r="32" spans="2:13" ht="26.3" customHeight="1" x14ac:dyDescent="0.35">
      <c r="B32" s="534"/>
      <c r="C32" s="535"/>
      <c r="D32" s="534"/>
      <c r="E32" s="534"/>
      <c r="F32" s="534"/>
      <c r="G32" s="534"/>
      <c r="H32" s="534"/>
      <c r="I32" s="534"/>
      <c r="J32" s="534"/>
      <c r="K32" s="534"/>
      <c r="L32" s="534"/>
      <c r="M32" s="534"/>
    </row>
    <row r="33" spans="2:13" ht="26.3" customHeight="1" x14ac:dyDescent="0.35">
      <c r="B33" s="534"/>
      <c r="C33" s="535"/>
      <c r="D33" s="534"/>
      <c r="E33" s="534"/>
      <c r="F33" s="534"/>
      <c r="G33" s="534"/>
      <c r="H33" s="534"/>
      <c r="I33" s="534"/>
      <c r="J33" s="534"/>
      <c r="K33" s="534"/>
      <c r="L33" s="534"/>
      <c r="M33" s="534"/>
    </row>
    <row r="34" spans="2:13" ht="26.3" customHeight="1" x14ac:dyDescent="0.35">
      <c r="B34" s="534"/>
      <c r="C34" s="535"/>
      <c r="D34" s="534"/>
      <c r="E34" s="534"/>
      <c r="F34" s="534"/>
      <c r="G34" s="534"/>
      <c r="H34" s="534"/>
      <c r="I34" s="534"/>
      <c r="J34" s="534"/>
      <c r="K34" s="534"/>
      <c r="L34" s="534"/>
      <c r="M34" s="534"/>
    </row>
    <row r="35" spans="2:13" ht="26.3" customHeight="1" x14ac:dyDescent="0.35">
      <c r="B35" s="534"/>
      <c r="C35" s="535"/>
      <c r="D35" s="534"/>
      <c r="E35" s="534"/>
      <c r="F35" s="534"/>
      <c r="G35" s="534"/>
      <c r="H35" s="534"/>
      <c r="I35" s="534"/>
      <c r="J35" s="534"/>
      <c r="K35" s="534"/>
      <c r="L35" s="534"/>
      <c r="M35" s="534"/>
    </row>
    <row r="36" spans="2:13" ht="26.3" customHeight="1" x14ac:dyDescent="0.35">
      <c r="B36" s="534"/>
      <c r="C36" s="535"/>
      <c r="D36" s="534"/>
      <c r="E36" s="534"/>
      <c r="F36" s="534"/>
      <c r="G36" s="534"/>
      <c r="H36" s="534"/>
      <c r="I36" s="534"/>
      <c r="J36" s="534"/>
      <c r="K36" s="534"/>
      <c r="L36" s="534"/>
      <c r="M36" s="534"/>
    </row>
    <row r="37" spans="2:13" ht="26.3" customHeight="1" x14ac:dyDescent="0.35">
      <c r="B37" s="534"/>
      <c r="C37" s="535"/>
      <c r="D37" s="534"/>
      <c r="E37" s="534"/>
      <c r="F37" s="534"/>
      <c r="G37" s="534"/>
      <c r="H37" s="534"/>
      <c r="I37" s="534"/>
      <c r="J37" s="534"/>
      <c r="K37" s="534"/>
      <c r="L37" s="534"/>
      <c r="M37" s="534"/>
    </row>
    <row r="38" spans="2:13" ht="26.3" customHeight="1" x14ac:dyDescent="0.35">
      <c r="B38" s="534"/>
      <c r="C38" s="535"/>
      <c r="D38" s="534"/>
      <c r="E38" s="534"/>
      <c r="F38" s="534"/>
      <c r="G38" s="534"/>
      <c r="H38" s="534"/>
      <c r="I38" s="534"/>
      <c r="J38" s="534"/>
      <c r="K38" s="534"/>
      <c r="L38" s="534"/>
      <c r="M38" s="534"/>
    </row>
    <row r="39" spans="2:13" ht="26.3" customHeight="1" x14ac:dyDescent="0.35">
      <c r="B39" s="534"/>
      <c r="C39" s="535"/>
      <c r="D39" s="534"/>
      <c r="E39" s="534"/>
      <c r="F39" s="534"/>
      <c r="G39" s="534"/>
      <c r="H39" s="534"/>
      <c r="I39" s="534"/>
      <c r="J39" s="534"/>
      <c r="K39" s="534"/>
      <c r="L39" s="534"/>
      <c r="M39" s="534"/>
    </row>
    <row r="40" spans="2:13" ht="26.3" customHeight="1" x14ac:dyDescent="0.35">
      <c r="B40" s="534"/>
      <c r="C40" s="535"/>
      <c r="D40" s="534"/>
      <c r="E40" s="534"/>
      <c r="F40" s="534"/>
      <c r="G40" s="534"/>
      <c r="H40" s="534"/>
      <c r="I40" s="534"/>
      <c r="J40" s="534"/>
      <c r="K40" s="534"/>
      <c r="L40" s="534"/>
      <c r="M40" s="534"/>
    </row>
    <row r="41" spans="2:13" ht="26.3" customHeight="1" x14ac:dyDescent="0.35">
      <c r="B41" s="534"/>
      <c r="C41" s="535"/>
      <c r="D41" s="534"/>
      <c r="E41" s="534"/>
      <c r="F41" s="534"/>
      <c r="G41" s="534"/>
      <c r="H41" s="534"/>
      <c r="I41" s="534"/>
      <c r="J41" s="534"/>
      <c r="K41" s="534"/>
      <c r="L41" s="534"/>
      <c r="M41" s="534"/>
    </row>
    <row r="42" spans="2:13" ht="26.3" customHeight="1" x14ac:dyDescent="0.35">
      <c r="B42" s="534"/>
      <c r="C42" s="535"/>
      <c r="D42" s="534"/>
      <c r="E42" s="534"/>
      <c r="F42" s="534"/>
      <c r="G42" s="534"/>
      <c r="H42" s="534"/>
      <c r="I42" s="534"/>
      <c r="J42" s="534"/>
      <c r="K42" s="534"/>
      <c r="L42" s="534"/>
      <c r="M42" s="534"/>
    </row>
    <row r="43" spans="2:13" ht="24.8" customHeight="1" x14ac:dyDescent="0.35">
      <c r="B43" s="536" t="s">
        <v>596</v>
      </c>
      <c r="C43" s="531" t="str">
        <f>IF(opmAfsprBlad__9=0,"",opmAfsprBlad__9)</f>
        <v/>
      </c>
    </row>
  </sheetData>
  <sheetProtection algorithmName="SHA-512" hashValue="UA8N1sL0uj54juXQ5ftBtefygFtDBznx7b7JMNdwU6CVT380z4XtEnKJteAkrUZvYOaVMH9zfyvXIQ9+/gkrtg==" saltValue="tSPb6f6weP/RFcb0cJ/ezA==" spinCount="100000" sheet="1" objects="1" scenarios="1" selectLockedCells="1" selectUnlockedCells="1"/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heck Box 1">
              <controlPr defaultSize="0" autoFill="0" autoLine="0" autoPict="0">
                <anchor moveWithCells="1">
                  <from>
                    <xdr:col>1</xdr:col>
                    <xdr:colOff>47874</xdr:colOff>
                    <xdr:row>10</xdr:row>
                    <xdr:rowOff>0</xdr:rowOff>
                  </from>
                  <to>
                    <xdr:col>2</xdr:col>
                    <xdr:colOff>627154</xdr:colOff>
                    <xdr:row>10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eck Box 2">
              <controlPr defaultSize="0" autoFill="0" autoLine="0" autoPict="0">
                <anchor moveWithCells="1">
                  <from>
                    <xdr:col>1</xdr:col>
                    <xdr:colOff>47874</xdr:colOff>
                    <xdr:row>11</xdr:row>
                    <xdr:rowOff>0</xdr:rowOff>
                  </from>
                  <to>
                    <xdr:col>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1" r:id="rId6" name="Check Box 3">
              <controlPr defaultSize="0" autoFill="0" autoLine="0" autoPict="0">
                <anchor moveWithCells="1">
                  <from>
                    <xdr:col>1</xdr:col>
                    <xdr:colOff>47874</xdr:colOff>
                    <xdr:row>13</xdr:row>
                    <xdr:rowOff>0</xdr:rowOff>
                  </from>
                  <to>
                    <xdr:col>2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2" r:id="rId7" name="Check Box 4">
              <controlPr defaultSize="0" autoFill="0" autoLine="0" autoPict="0">
                <anchor moveWithCells="1">
                  <from>
                    <xdr:col>1</xdr:col>
                    <xdr:colOff>47874</xdr:colOff>
                    <xdr:row>14</xdr:row>
                    <xdr:rowOff>0</xdr:rowOff>
                  </from>
                  <to>
                    <xdr:col>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3" r:id="rId8" name="Check Box 5">
              <controlPr defaultSize="0" autoFill="0" autoLine="0" autoPict="0">
                <anchor moveWithCells="1">
                  <from>
                    <xdr:col>1</xdr:col>
                    <xdr:colOff>38299</xdr:colOff>
                    <xdr:row>19</xdr:row>
                    <xdr:rowOff>0</xdr:rowOff>
                  </from>
                  <to>
                    <xdr:col>2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4" r:id="rId9" name="Check Box 6">
              <controlPr defaultSize="0" autoFill="0" autoLine="0" autoPict="0">
                <anchor moveWithCells="1">
                  <from>
                    <xdr:col>1</xdr:col>
                    <xdr:colOff>47874</xdr:colOff>
                    <xdr:row>18</xdr:row>
                    <xdr:rowOff>0</xdr:rowOff>
                  </from>
                  <to>
                    <xdr:col>2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5" r:id="rId10" name="Check Box 7">
              <controlPr defaultSize="0" autoFill="0" autoLine="0" autoPict="0">
                <anchor moveWithCells="1">
                  <from>
                    <xdr:col>1</xdr:col>
                    <xdr:colOff>47874</xdr:colOff>
                    <xdr:row>36</xdr:row>
                    <xdr:rowOff>0</xdr:rowOff>
                  </from>
                  <to>
                    <xdr:col>2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6" r:id="rId11" name="Check Box 8">
              <controlPr defaultSize="0" autoFill="0" autoLine="0" autoPict="0">
                <anchor moveWithCells="1">
                  <from>
                    <xdr:col>1</xdr:col>
                    <xdr:colOff>47874</xdr:colOff>
                    <xdr:row>21</xdr:row>
                    <xdr:rowOff>0</xdr:rowOff>
                  </from>
                  <to>
                    <xdr:col>2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7" r:id="rId12" name="Check Box 9">
              <controlPr defaultSize="0" autoFill="0" autoLine="0" autoPict="0">
                <anchor moveWithCells="1">
                  <from>
                    <xdr:col>1</xdr:col>
                    <xdr:colOff>47874</xdr:colOff>
                    <xdr:row>24</xdr:row>
                    <xdr:rowOff>0</xdr:rowOff>
                  </from>
                  <to>
                    <xdr:col>2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8" r:id="rId13" name="Check Box 10">
              <controlPr defaultSize="0" autoFill="0" autoLine="0" autoPict="0">
                <anchor moveWithCells="1">
                  <from>
                    <xdr:col>1</xdr:col>
                    <xdr:colOff>47874</xdr:colOff>
                    <xdr:row>25</xdr:row>
                    <xdr:rowOff>0</xdr:rowOff>
                  </from>
                  <to>
                    <xdr:col>2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9" r:id="rId14" name="Check Box 11">
              <controlPr defaultSize="0" autoFill="0" autoLine="0" autoPict="0">
                <anchor moveWithCells="1">
                  <from>
                    <xdr:col>1</xdr:col>
                    <xdr:colOff>47874</xdr:colOff>
                    <xdr:row>26</xdr:row>
                    <xdr:rowOff>0</xdr:rowOff>
                  </from>
                  <to>
                    <xdr:col>2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0" r:id="rId15" name="Check Box 12">
              <controlPr defaultSize="0" autoFill="0" autoLine="0" autoPict="0">
                <anchor moveWithCells="1">
                  <from>
                    <xdr:col>1</xdr:col>
                    <xdr:colOff>38299</xdr:colOff>
                    <xdr:row>17</xdr:row>
                    <xdr:rowOff>0</xdr:rowOff>
                  </from>
                  <to>
                    <xdr:col>2</xdr:col>
                    <xdr:colOff>617579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1" r:id="rId16" name="Check Box 13">
              <controlPr defaultSize="0" autoFill="0" autoLine="0" autoPict="0">
                <anchor moveWithCells="1">
                  <from>
                    <xdr:col>1</xdr:col>
                    <xdr:colOff>47874</xdr:colOff>
                    <xdr:row>34</xdr:row>
                    <xdr:rowOff>19150</xdr:rowOff>
                  </from>
                  <to>
                    <xdr:col>2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2" r:id="rId17" name="Check Box 14">
              <controlPr defaultSize="0" autoFill="0" autoLine="0" autoPict="0">
                <anchor moveWithCells="1">
                  <from>
                    <xdr:col>5</xdr:col>
                    <xdr:colOff>47874</xdr:colOff>
                    <xdr:row>10</xdr:row>
                    <xdr:rowOff>0</xdr:rowOff>
                  </from>
                  <to>
                    <xdr:col>6</xdr:col>
                    <xdr:colOff>627154</xdr:colOff>
                    <xdr:row>10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3" r:id="rId18" name="Check Box 15">
              <controlPr defaultSize="0" autoFill="0" autoLine="0" autoPict="0">
                <anchor moveWithCells="1">
                  <from>
                    <xdr:col>5</xdr:col>
                    <xdr:colOff>47874</xdr:colOff>
                    <xdr:row>11</xdr:row>
                    <xdr:rowOff>0</xdr:rowOff>
                  </from>
                  <to>
                    <xdr:col>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4" r:id="rId19" name="Check Box 16">
              <controlPr defaultSize="0" autoFill="0" autoLine="0" autoPict="0">
                <anchor moveWithCells="1">
                  <from>
                    <xdr:col>5</xdr:col>
                    <xdr:colOff>47874</xdr:colOff>
                    <xdr:row>13</xdr:row>
                    <xdr:rowOff>0</xdr:rowOff>
                  </from>
                  <to>
                    <xdr:col>6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5" r:id="rId20" name="Check Box 17">
              <controlPr defaultSize="0" autoFill="0" autoLine="0" autoPict="0">
                <anchor moveWithCells="1">
                  <from>
                    <xdr:col>5</xdr:col>
                    <xdr:colOff>47874</xdr:colOff>
                    <xdr:row>14</xdr:row>
                    <xdr:rowOff>0</xdr:rowOff>
                  </from>
                  <to>
                    <xdr:col>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6" r:id="rId21" name="Check Box 18">
              <controlPr defaultSize="0" autoFill="0" autoLine="0" autoPict="0">
                <anchor moveWithCells="1">
                  <from>
                    <xdr:col>5</xdr:col>
                    <xdr:colOff>38299</xdr:colOff>
                    <xdr:row>19</xdr:row>
                    <xdr:rowOff>0</xdr:rowOff>
                  </from>
                  <to>
                    <xdr:col>6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7" r:id="rId22" name="Check Box 19">
              <controlPr defaultSize="0" autoFill="0" autoLine="0" autoPict="0">
                <anchor moveWithCells="1">
                  <from>
                    <xdr:col>5</xdr:col>
                    <xdr:colOff>47874</xdr:colOff>
                    <xdr:row>18</xdr:row>
                    <xdr:rowOff>0</xdr:rowOff>
                  </from>
                  <to>
                    <xdr:col>6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8" r:id="rId23" name="Check Box 20">
              <controlPr defaultSize="0" autoFill="0" autoLine="0" autoPict="0">
                <anchor moveWithCells="1">
                  <from>
                    <xdr:col>5</xdr:col>
                    <xdr:colOff>47874</xdr:colOff>
                    <xdr:row>36</xdr:row>
                    <xdr:rowOff>0</xdr:rowOff>
                  </from>
                  <to>
                    <xdr:col>6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9" r:id="rId24" name="Check Box 21">
              <controlPr defaultSize="0" autoFill="0" autoLine="0" autoPict="0">
                <anchor moveWithCells="1">
                  <from>
                    <xdr:col>5</xdr:col>
                    <xdr:colOff>47874</xdr:colOff>
                    <xdr:row>21</xdr:row>
                    <xdr:rowOff>0</xdr:rowOff>
                  </from>
                  <to>
                    <xdr:col>6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0" r:id="rId25" name="Check Box 22">
              <controlPr defaultSize="0" autoFill="0" autoLine="0" autoPict="0">
                <anchor moveWithCells="1">
                  <from>
                    <xdr:col>5</xdr:col>
                    <xdr:colOff>47874</xdr:colOff>
                    <xdr:row>24</xdr:row>
                    <xdr:rowOff>0</xdr:rowOff>
                  </from>
                  <to>
                    <xdr:col>6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1" r:id="rId26" name="Check Box 23">
              <controlPr defaultSize="0" autoFill="0" autoLine="0" autoPict="0">
                <anchor moveWithCells="1">
                  <from>
                    <xdr:col>5</xdr:col>
                    <xdr:colOff>47874</xdr:colOff>
                    <xdr:row>25</xdr:row>
                    <xdr:rowOff>0</xdr:rowOff>
                  </from>
                  <to>
                    <xdr:col>6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2" r:id="rId27" name="Check Box 24">
              <controlPr defaultSize="0" autoFill="0" autoLine="0" autoPict="0">
                <anchor moveWithCells="1">
                  <from>
                    <xdr:col>5</xdr:col>
                    <xdr:colOff>47874</xdr:colOff>
                    <xdr:row>26</xdr:row>
                    <xdr:rowOff>0</xdr:rowOff>
                  </from>
                  <to>
                    <xdr:col>6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3" r:id="rId28" name="Check Box 25">
              <controlPr defaultSize="0" autoFill="0" autoLine="0" autoPict="0">
                <anchor moveWithCells="1">
                  <from>
                    <xdr:col>5</xdr:col>
                    <xdr:colOff>38299</xdr:colOff>
                    <xdr:row>17</xdr:row>
                    <xdr:rowOff>0</xdr:rowOff>
                  </from>
                  <to>
                    <xdr:col>6</xdr:col>
                    <xdr:colOff>617579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4" r:id="rId29" name="Check Box 26">
              <controlPr defaultSize="0" autoFill="0" autoLine="0" autoPict="0">
                <anchor moveWithCells="1">
                  <from>
                    <xdr:col>5</xdr:col>
                    <xdr:colOff>47874</xdr:colOff>
                    <xdr:row>34</xdr:row>
                    <xdr:rowOff>19150</xdr:rowOff>
                  </from>
                  <to>
                    <xdr:col>6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5" r:id="rId30" name="Check Box 27">
              <controlPr defaultSize="0" autoFill="0" autoLine="0" autoPict="0">
                <anchor moveWithCells="1">
                  <from>
                    <xdr:col>7</xdr:col>
                    <xdr:colOff>47874</xdr:colOff>
                    <xdr:row>10</xdr:row>
                    <xdr:rowOff>0</xdr:rowOff>
                  </from>
                  <to>
                    <xdr:col>8</xdr:col>
                    <xdr:colOff>627154</xdr:colOff>
                    <xdr:row>10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6" r:id="rId31" name="Check Box 28">
              <controlPr defaultSize="0" autoFill="0" autoLine="0" autoPict="0">
                <anchor moveWithCells="1">
                  <from>
                    <xdr:col>7</xdr:col>
                    <xdr:colOff>47874</xdr:colOff>
                    <xdr:row>11</xdr:row>
                    <xdr:rowOff>0</xdr:rowOff>
                  </from>
                  <to>
                    <xdr:col>8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7" r:id="rId32" name="Check Box 29">
              <controlPr defaultSize="0" autoFill="0" autoLine="0" autoPict="0">
                <anchor moveWithCells="1">
                  <from>
                    <xdr:col>7</xdr:col>
                    <xdr:colOff>47874</xdr:colOff>
                    <xdr:row>13</xdr:row>
                    <xdr:rowOff>0</xdr:rowOff>
                  </from>
                  <to>
                    <xdr:col>8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8" r:id="rId33" name="Check Box 30">
              <controlPr defaultSize="0" autoFill="0" autoLine="0" autoPict="0">
                <anchor moveWithCells="1">
                  <from>
                    <xdr:col>7</xdr:col>
                    <xdr:colOff>47874</xdr:colOff>
                    <xdr:row>14</xdr:row>
                    <xdr:rowOff>0</xdr:rowOff>
                  </from>
                  <to>
                    <xdr:col>8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9" r:id="rId34" name="Check Box 31">
              <controlPr defaultSize="0" autoFill="0" autoLine="0" autoPict="0">
                <anchor moveWithCells="1">
                  <from>
                    <xdr:col>7</xdr:col>
                    <xdr:colOff>38299</xdr:colOff>
                    <xdr:row>19</xdr:row>
                    <xdr:rowOff>0</xdr:rowOff>
                  </from>
                  <to>
                    <xdr:col>8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0" r:id="rId35" name="Check Box 32">
              <controlPr defaultSize="0" autoFill="0" autoLine="0" autoPict="0">
                <anchor moveWithCells="1">
                  <from>
                    <xdr:col>7</xdr:col>
                    <xdr:colOff>47874</xdr:colOff>
                    <xdr:row>18</xdr:row>
                    <xdr:rowOff>0</xdr:rowOff>
                  </from>
                  <to>
                    <xdr:col>8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1" r:id="rId36" name="Check Box 33">
              <controlPr defaultSize="0" autoFill="0" autoLine="0" autoPict="0">
                <anchor moveWithCells="1">
                  <from>
                    <xdr:col>7</xdr:col>
                    <xdr:colOff>47874</xdr:colOff>
                    <xdr:row>36</xdr:row>
                    <xdr:rowOff>0</xdr:rowOff>
                  </from>
                  <to>
                    <xdr:col>8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2" r:id="rId37" name="Check Box 34">
              <controlPr defaultSize="0" autoFill="0" autoLine="0" autoPict="0">
                <anchor moveWithCells="1">
                  <from>
                    <xdr:col>7</xdr:col>
                    <xdr:colOff>47874</xdr:colOff>
                    <xdr:row>21</xdr:row>
                    <xdr:rowOff>0</xdr:rowOff>
                  </from>
                  <to>
                    <xdr:col>8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3" r:id="rId38" name="Check Box 35">
              <controlPr defaultSize="0" autoFill="0" autoLine="0" autoPict="0">
                <anchor moveWithCells="1">
                  <from>
                    <xdr:col>7</xdr:col>
                    <xdr:colOff>47874</xdr:colOff>
                    <xdr:row>24</xdr:row>
                    <xdr:rowOff>0</xdr:rowOff>
                  </from>
                  <to>
                    <xdr:col>8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4" r:id="rId39" name="Check Box 36">
              <controlPr defaultSize="0" autoFill="0" autoLine="0" autoPict="0">
                <anchor moveWithCells="1">
                  <from>
                    <xdr:col>7</xdr:col>
                    <xdr:colOff>47874</xdr:colOff>
                    <xdr:row>25</xdr:row>
                    <xdr:rowOff>0</xdr:rowOff>
                  </from>
                  <to>
                    <xdr:col>8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5" r:id="rId40" name="Check Box 37">
              <controlPr defaultSize="0" autoFill="0" autoLine="0" autoPict="0">
                <anchor moveWithCells="1">
                  <from>
                    <xdr:col>7</xdr:col>
                    <xdr:colOff>47874</xdr:colOff>
                    <xdr:row>26</xdr:row>
                    <xdr:rowOff>0</xdr:rowOff>
                  </from>
                  <to>
                    <xdr:col>8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6" r:id="rId41" name="Check Box 38">
              <controlPr defaultSize="0" autoFill="0" autoLine="0" autoPict="0">
                <anchor moveWithCells="1">
                  <from>
                    <xdr:col>7</xdr:col>
                    <xdr:colOff>38299</xdr:colOff>
                    <xdr:row>17</xdr:row>
                    <xdr:rowOff>0</xdr:rowOff>
                  </from>
                  <to>
                    <xdr:col>8</xdr:col>
                    <xdr:colOff>617579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7" r:id="rId42" name="Check Box 39">
              <controlPr defaultSize="0" autoFill="0" autoLine="0" autoPict="0">
                <anchor moveWithCells="1">
                  <from>
                    <xdr:col>7</xdr:col>
                    <xdr:colOff>47874</xdr:colOff>
                    <xdr:row>34</xdr:row>
                    <xdr:rowOff>19150</xdr:rowOff>
                  </from>
                  <to>
                    <xdr:col>8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8" r:id="rId43" name="Check Box 40">
              <controlPr defaultSize="0" autoFill="0" autoLine="0" autoPict="0">
                <anchor moveWithCells="1">
                  <from>
                    <xdr:col>11</xdr:col>
                    <xdr:colOff>47874</xdr:colOff>
                    <xdr:row>10</xdr:row>
                    <xdr:rowOff>0</xdr:rowOff>
                  </from>
                  <to>
                    <xdr:col>12</xdr:col>
                    <xdr:colOff>627154</xdr:colOff>
                    <xdr:row>10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9" r:id="rId44" name="Check Box 41">
              <controlPr defaultSize="0" autoFill="0" autoLine="0" autoPict="0">
                <anchor moveWithCells="1">
                  <from>
                    <xdr:col>11</xdr:col>
                    <xdr:colOff>47874</xdr:colOff>
                    <xdr:row>11</xdr:row>
                    <xdr:rowOff>0</xdr:rowOff>
                  </from>
                  <to>
                    <xdr:col>12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0" r:id="rId45" name="Check Box 42">
              <controlPr defaultSize="0" autoFill="0" autoLine="0" autoPict="0">
                <anchor moveWithCells="1">
                  <from>
                    <xdr:col>11</xdr:col>
                    <xdr:colOff>47874</xdr:colOff>
                    <xdr:row>13</xdr:row>
                    <xdr:rowOff>0</xdr:rowOff>
                  </from>
                  <to>
                    <xdr:col>12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1" r:id="rId46" name="Check Box 43">
              <controlPr defaultSize="0" autoFill="0" autoLine="0" autoPict="0">
                <anchor moveWithCells="1">
                  <from>
                    <xdr:col>11</xdr:col>
                    <xdr:colOff>47874</xdr:colOff>
                    <xdr:row>14</xdr:row>
                    <xdr:rowOff>0</xdr:rowOff>
                  </from>
                  <to>
                    <xdr:col>12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2" r:id="rId47" name="Check Box 44">
              <controlPr defaultSize="0" autoFill="0" autoLine="0" autoPict="0">
                <anchor moveWithCells="1">
                  <from>
                    <xdr:col>11</xdr:col>
                    <xdr:colOff>38299</xdr:colOff>
                    <xdr:row>19</xdr:row>
                    <xdr:rowOff>0</xdr:rowOff>
                  </from>
                  <to>
                    <xdr:col>12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3" r:id="rId48" name="Check Box 45">
              <controlPr defaultSize="0" autoFill="0" autoLine="0" autoPict="0">
                <anchor moveWithCells="1">
                  <from>
                    <xdr:col>11</xdr:col>
                    <xdr:colOff>47874</xdr:colOff>
                    <xdr:row>18</xdr:row>
                    <xdr:rowOff>0</xdr:rowOff>
                  </from>
                  <to>
                    <xdr:col>12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4" r:id="rId49" name="Check Box 46">
              <controlPr defaultSize="0" autoFill="0" autoLine="0" autoPict="0">
                <anchor moveWithCells="1">
                  <from>
                    <xdr:col>11</xdr:col>
                    <xdr:colOff>47874</xdr:colOff>
                    <xdr:row>36</xdr:row>
                    <xdr:rowOff>0</xdr:rowOff>
                  </from>
                  <to>
                    <xdr:col>12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5" r:id="rId50" name="Check Box 47">
              <controlPr defaultSize="0" autoFill="0" autoLine="0" autoPict="0">
                <anchor moveWithCells="1">
                  <from>
                    <xdr:col>11</xdr:col>
                    <xdr:colOff>47874</xdr:colOff>
                    <xdr:row>21</xdr:row>
                    <xdr:rowOff>0</xdr:rowOff>
                  </from>
                  <to>
                    <xdr:col>12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6" r:id="rId51" name="Check Box 48">
              <controlPr defaultSize="0" autoFill="0" autoLine="0" autoPict="0">
                <anchor moveWithCells="1">
                  <from>
                    <xdr:col>11</xdr:col>
                    <xdr:colOff>47874</xdr:colOff>
                    <xdr:row>24</xdr:row>
                    <xdr:rowOff>0</xdr:rowOff>
                  </from>
                  <to>
                    <xdr:col>12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7" r:id="rId52" name="Check Box 49">
              <controlPr defaultSize="0" autoFill="0" autoLine="0" autoPict="0">
                <anchor moveWithCells="1">
                  <from>
                    <xdr:col>11</xdr:col>
                    <xdr:colOff>47874</xdr:colOff>
                    <xdr:row>25</xdr:row>
                    <xdr:rowOff>0</xdr:rowOff>
                  </from>
                  <to>
                    <xdr:col>12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8" r:id="rId53" name="Check Box 50">
              <controlPr defaultSize="0" autoFill="0" autoLine="0" autoPict="0">
                <anchor moveWithCells="1">
                  <from>
                    <xdr:col>11</xdr:col>
                    <xdr:colOff>47874</xdr:colOff>
                    <xdr:row>26</xdr:row>
                    <xdr:rowOff>0</xdr:rowOff>
                  </from>
                  <to>
                    <xdr:col>12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9" r:id="rId54" name="Check Box 51">
              <controlPr defaultSize="0" autoFill="0" autoLine="0" autoPict="0">
                <anchor moveWithCells="1">
                  <from>
                    <xdr:col>11</xdr:col>
                    <xdr:colOff>38299</xdr:colOff>
                    <xdr:row>17</xdr:row>
                    <xdr:rowOff>0</xdr:rowOff>
                  </from>
                  <to>
                    <xdr:col>12</xdr:col>
                    <xdr:colOff>617579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0" r:id="rId55" name="Check Box 52">
              <controlPr defaultSize="0" autoFill="0" autoLine="0" autoPict="0">
                <anchor moveWithCells="1">
                  <from>
                    <xdr:col>11</xdr:col>
                    <xdr:colOff>47874</xdr:colOff>
                    <xdr:row>34</xdr:row>
                    <xdr:rowOff>19150</xdr:rowOff>
                  </from>
                  <to>
                    <xdr:col>12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1" r:id="rId56" name="Check Box 53">
              <controlPr defaultSize="0" autoFill="0" autoLine="0" autoPict="0">
                <anchor moveWithCells="1">
                  <from>
                    <xdr:col>1</xdr:col>
                    <xdr:colOff>47874</xdr:colOff>
                    <xdr:row>33</xdr:row>
                    <xdr:rowOff>19150</xdr:rowOff>
                  </from>
                  <to>
                    <xdr:col>2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2" r:id="rId57" name="Check Box 54">
              <controlPr defaultSize="0" autoFill="0" autoLine="0" autoPict="0">
                <anchor moveWithCells="1">
                  <from>
                    <xdr:col>5</xdr:col>
                    <xdr:colOff>47874</xdr:colOff>
                    <xdr:row>33</xdr:row>
                    <xdr:rowOff>19150</xdr:rowOff>
                  </from>
                  <to>
                    <xdr:col>6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3" r:id="rId58" name="Check Box 55">
              <controlPr defaultSize="0" autoFill="0" autoLine="0" autoPict="0">
                <anchor moveWithCells="1">
                  <from>
                    <xdr:col>7</xdr:col>
                    <xdr:colOff>47874</xdr:colOff>
                    <xdr:row>33</xdr:row>
                    <xdr:rowOff>19150</xdr:rowOff>
                  </from>
                  <to>
                    <xdr:col>8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4" r:id="rId59" name="Check Box 56">
              <controlPr defaultSize="0" autoFill="0" autoLine="0" autoPict="0">
                <anchor moveWithCells="1">
                  <from>
                    <xdr:col>11</xdr:col>
                    <xdr:colOff>47874</xdr:colOff>
                    <xdr:row>33</xdr:row>
                    <xdr:rowOff>19150</xdr:rowOff>
                  </from>
                  <to>
                    <xdr:col>12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5" r:id="rId60" name="Check Box 57">
              <controlPr defaultSize="0" autoFill="0" autoLine="0" autoPict="0">
                <anchor moveWithCells="1">
                  <from>
                    <xdr:col>1</xdr:col>
                    <xdr:colOff>47874</xdr:colOff>
                    <xdr:row>12</xdr:row>
                    <xdr:rowOff>0</xdr:rowOff>
                  </from>
                  <to>
                    <xdr:col>2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6" r:id="rId61" name="Check Box 58">
              <controlPr defaultSize="0" autoFill="0" autoLine="0" autoPict="0">
                <anchor moveWithCells="1">
                  <from>
                    <xdr:col>5</xdr:col>
                    <xdr:colOff>47874</xdr:colOff>
                    <xdr:row>12</xdr:row>
                    <xdr:rowOff>0</xdr:rowOff>
                  </from>
                  <to>
                    <xdr:col>6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7" r:id="rId62" name="Check Box 59">
              <controlPr defaultSize="0" autoFill="0" autoLine="0" autoPict="0">
                <anchor moveWithCells="1">
                  <from>
                    <xdr:col>7</xdr:col>
                    <xdr:colOff>47874</xdr:colOff>
                    <xdr:row>12</xdr:row>
                    <xdr:rowOff>0</xdr:rowOff>
                  </from>
                  <to>
                    <xdr:col>8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8" r:id="rId63" name="Check Box 60">
              <controlPr defaultSize="0" autoFill="0" autoLine="0" autoPict="0">
                <anchor moveWithCells="1">
                  <from>
                    <xdr:col>11</xdr:col>
                    <xdr:colOff>47874</xdr:colOff>
                    <xdr:row>12</xdr:row>
                    <xdr:rowOff>0</xdr:rowOff>
                  </from>
                  <to>
                    <xdr:col>12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9" r:id="rId64" name="Check Box 61">
              <controlPr defaultSize="0" autoFill="0" autoLine="0" autoPict="0">
                <anchor moveWithCells="1">
                  <from>
                    <xdr:col>1</xdr:col>
                    <xdr:colOff>47874</xdr:colOff>
                    <xdr:row>22</xdr:row>
                    <xdr:rowOff>0</xdr:rowOff>
                  </from>
                  <to>
                    <xdr:col>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0" r:id="rId65" name="Check Box 62">
              <controlPr defaultSize="0" autoFill="0" autoLine="0" autoPict="0">
                <anchor moveWithCells="1">
                  <from>
                    <xdr:col>5</xdr:col>
                    <xdr:colOff>47874</xdr:colOff>
                    <xdr:row>22</xdr:row>
                    <xdr:rowOff>0</xdr:rowOff>
                  </from>
                  <to>
                    <xdr:col>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1" r:id="rId66" name="Check Box 63">
              <controlPr defaultSize="0" autoFill="0" autoLine="0" autoPict="0">
                <anchor moveWithCells="1">
                  <from>
                    <xdr:col>7</xdr:col>
                    <xdr:colOff>47874</xdr:colOff>
                    <xdr:row>22</xdr:row>
                    <xdr:rowOff>0</xdr:rowOff>
                  </from>
                  <to>
                    <xdr:col>8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2" r:id="rId67" name="Check Box 64">
              <controlPr defaultSize="0" autoFill="0" autoLine="0" autoPict="0">
                <anchor moveWithCells="1">
                  <from>
                    <xdr:col>11</xdr:col>
                    <xdr:colOff>47874</xdr:colOff>
                    <xdr:row>22</xdr:row>
                    <xdr:rowOff>0</xdr:rowOff>
                  </from>
                  <to>
                    <xdr:col>12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3" r:id="rId68" name="Check Box 65">
              <controlPr defaultSize="0" autoFill="0" autoLine="0" autoPict="0">
                <anchor moveWithCells="1">
                  <from>
                    <xdr:col>3</xdr:col>
                    <xdr:colOff>47874</xdr:colOff>
                    <xdr:row>10</xdr:row>
                    <xdr:rowOff>0</xdr:rowOff>
                  </from>
                  <to>
                    <xdr:col>4</xdr:col>
                    <xdr:colOff>627154</xdr:colOff>
                    <xdr:row>10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4" r:id="rId69" name="Check Box 66">
              <controlPr defaultSize="0" autoFill="0" autoLine="0" autoPict="0">
                <anchor moveWithCells="1">
                  <from>
                    <xdr:col>3</xdr:col>
                    <xdr:colOff>47874</xdr:colOff>
                    <xdr:row>11</xdr:row>
                    <xdr:rowOff>0</xdr:rowOff>
                  </from>
                  <to>
                    <xdr:col>4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5" r:id="rId70" name="Check Box 67">
              <controlPr defaultSize="0" autoFill="0" autoLine="0" autoPict="0">
                <anchor moveWithCells="1">
                  <from>
                    <xdr:col>3</xdr:col>
                    <xdr:colOff>47874</xdr:colOff>
                    <xdr:row>13</xdr:row>
                    <xdr:rowOff>0</xdr:rowOff>
                  </from>
                  <to>
                    <xdr:col>4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6" r:id="rId71" name="Check Box 68">
              <controlPr defaultSize="0" autoFill="0" autoLine="0" autoPict="0">
                <anchor moveWithCells="1">
                  <from>
                    <xdr:col>3</xdr:col>
                    <xdr:colOff>47874</xdr:colOff>
                    <xdr:row>14</xdr:row>
                    <xdr:rowOff>0</xdr:rowOff>
                  </from>
                  <to>
                    <xdr:col>4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7" r:id="rId72" name="Check Box 69">
              <controlPr defaultSize="0" autoFill="0" autoLine="0" autoPict="0">
                <anchor moveWithCells="1">
                  <from>
                    <xdr:col>3</xdr:col>
                    <xdr:colOff>38299</xdr:colOff>
                    <xdr:row>19</xdr:row>
                    <xdr:rowOff>0</xdr:rowOff>
                  </from>
                  <to>
                    <xdr:col>4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8" r:id="rId73" name="Check Box 70">
              <controlPr defaultSize="0" autoFill="0" autoLine="0" autoPict="0">
                <anchor moveWithCells="1">
                  <from>
                    <xdr:col>3</xdr:col>
                    <xdr:colOff>47874</xdr:colOff>
                    <xdr:row>18</xdr:row>
                    <xdr:rowOff>0</xdr:rowOff>
                  </from>
                  <to>
                    <xdr:col>4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9" r:id="rId74" name="Check Box 71">
              <controlPr defaultSize="0" autoFill="0" autoLine="0" autoPict="0">
                <anchor moveWithCells="1">
                  <from>
                    <xdr:col>3</xdr:col>
                    <xdr:colOff>47874</xdr:colOff>
                    <xdr:row>36</xdr:row>
                    <xdr:rowOff>0</xdr:rowOff>
                  </from>
                  <to>
                    <xdr:col>4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0" r:id="rId75" name="Check Box 72">
              <controlPr defaultSize="0" autoFill="0" autoLine="0" autoPict="0">
                <anchor moveWithCells="1">
                  <from>
                    <xdr:col>3</xdr:col>
                    <xdr:colOff>47874</xdr:colOff>
                    <xdr:row>21</xdr:row>
                    <xdr:rowOff>0</xdr:rowOff>
                  </from>
                  <to>
                    <xdr:col>4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1" r:id="rId76" name="Check Box 73">
              <controlPr defaultSize="0" autoFill="0" autoLine="0" autoPict="0">
                <anchor moveWithCells="1">
                  <from>
                    <xdr:col>3</xdr:col>
                    <xdr:colOff>47874</xdr:colOff>
                    <xdr:row>24</xdr:row>
                    <xdr:rowOff>0</xdr:rowOff>
                  </from>
                  <to>
                    <xdr:col>4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2" r:id="rId77" name="Check Box 74">
              <controlPr defaultSize="0" autoFill="0" autoLine="0" autoPict="0">
                <anchor moveWithCells="1">
                  <from>
                    <xdr:col>3</xdr:col>
                    <xdr:colOff>47874</xdr:colOff>
                    <xdr:row>25</xdr:row>
                    <xdr:rowOff>0</xdr:rowOff>
                  </from>
                  <to>
                    <xdr:col>4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3" r:id="rId78" name="Check Box 75">
              <controlPr defaultSize="0" autoFill="0" autoLine="0" autoPict="0">
                <anchor moveWithCells="1">
                  <from>
                    <xdr:col>3</xdr:col>
                    <xdr:colOff>47874</xdr:colOff>
                    <xdr:row>26</xdr:row>
                    <xdr:rowOff>0</xdr:rowOff>
                  </from>
                  <to>
                    <xdr:col>4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4" r:id="rId79" name="Check Box 76">
              <controlPr defaultSize="0" autoFill="0" autoLine="0" autoPict="0">
                <anchor moveWithCells="1">
                  <from>
                    <xdr:col>3</xdr:col>
                    <xdr:colOff>38299</xdr:colOff>
                    <xdr:row>17</xdr:row>
                    <xdr:rowOff>0</xdr:rowOff>
                  </from>
                  <to>
                    <xdr:col>4</xdr:col>
                    <xdr:colOff>617579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5" r:id="rId80" name="Check Box 77">
              <controlPr defaultSize="0" autoFill="0" autoLine="0" autoPict="0">
                <anchor moveWithCells="1">
                  <from>
                    <xdr:col>3</xdr:col>
                    <xdr:colOff>47874</xdr:colOff>
                    <xdr:row>34</xdr:row>
                    <xdr:rowOff>19150</xdr:rowOff>
                  </from>
                  <to>
                    <xdr:col>4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6" r:id="rId81" name="Check Box 78">
              <controlPr defaultSize="0" autoFill="0" autoLine="0" autoPict="0">
                <anchor moveWithCells="1">
                  <from>
                    <xdr:col>3</xdr:col>
                    <xdr:colOff>47874</xdr:colOff>
                    <xdr:row>33</xdr:row>
                    <xdr:rowOff>19150</xdr:rowOff>
                  </from>
                  <to>
                    <xdr:col>4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7" r:id="rId82" name="Check Box 79">
              <controlPr defaultSize="0" autoFill="0" autoLine="0" autoPict="0">
                <anchor moveWithCells="1">
                  <from>
                    <xdr:col>3</xdr:col>
                    <xdr:colOff>47874</xdr:colOff>
                    <xdr:row>12</xdr:row>
                    <xdr:rowOff>0</xdr:rowOff>
                  </from>
                  <to>
                    <xdr:col>4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8" r:id="rId83" name="Check Box 80">
              <controlPr defaultSize="0" autoFill="0" autoLine="0" autoPict="0">
                <anchor moveWithCells="1">
                  <from>
                    <xdr:col>3</xdr:col>
                    <xdr:colOff>47874</xdr:colOff>
                    <xdr:row>22</xdr:row>
                    <xdr:rowOff>0</xdr:rowOff>
                  </from>
                  <to>
                    <xdr:col>4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1" r:id="rId84" name="Check Box 113">
              <controlPr defaultSize="0" autoFill="0" autoLine="0" autoPict="0">
                <anchor moveWithCells="1">
                  <from>
                    <xdr:col>1</xdr:col>
                    <xdr:colOff>47874</xdr:colOff>
                    <xdr:row>32</xdr:row>
                    <xdr:rowOff>19150</xdr:rowOff>
                  </from>
                  <to>
                    <xdr:col>2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2" r:id="rId85" name="Check Box 114">
              <controlPr defaultSize="0" autoFill="0" autoLine="0" autoPict="0">
                <anchor moveWithCells="1">
                  <from>
                    <xdr:col>5</xdr:col>
                    <xdr:colOff>47874</xdr:colOff>
                    <xdr:row>32</xdr:row>
                    <xdr:rowOff>19150</xdr:rowOff>
                  </from>
                  <to>
                    <xdr:col>6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3" r:id="rId86" name="Check Box 115">
              <controlPr defaultSize="0" autoFill="0" autoLine="0" autoPict="0">
                <anchor moveWithCells="1">
                  <from>
                    <xdr:col>7</xdr:col>
                    <xdr:colOff>47874</xdr:colOff>
                    <xdr:row>32</xdr:row>
                    <xdr:rowOff>19150</xdr:rowOff>
                  </from>
                  <to>
                    <xdr:col>8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4" r:id="rId87" name="Check Box 116">
              <controlPr defaultSize="0" autoFill="0" autoLine="0" autoPict="0">
                <anchor moveWithCells="1">
                  <from>
                    <xdr:col>11</xdr:col>
                    <xdr:colOff>47874</xdr:colOff>
                    <xdr:row>32</xdr:row>
                    <xdr:rowOff>19150</xdr:rowOff>
                  </from>
                  <to>
                    <xdr:col>12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5" r:id="rId88" name="Check Box 117">
              <controlPr defaultSize="0" autoFill="0" autoLine="0" autoPict="0">
                <anchor moveWithCells="1">
                  <from>
                    <xdr:col>3</xdr:col>
                    <xdr:colOff>47874</xdr:colOff>
                    <xdr:row>32</xdr:row>
                    <xdr:rowOff>19150</xdr:rowOff>
                  </from>
                  <to>
                    <xdr:col>4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8" r:id="rId89" name="Check Box 120">
              <controlPr defaultSize="0" autoFill="0" autoLine="0" autoPict="0">
                <anchor moveWithCells="1">
                  <from>
                    <xdr:col>1</xdr:col>
                    <xdr:colOff>47874</xdr:colOff>
                    <xdr:row>38</xdr:row>
                    <xdr:rowOff>19150</xdr:rowOff>
                  </from>
                  <to>
                    <xdr:col>2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9" r:id="rId90" name="Check Box 121">
              <controlPr defaultSize="0" autoFill="0" autoLine="0" autoPict="0">
                <anchor moveWithCells="1">
                  <from>
                    <xdr:col>5</xdr:col>
                    <xdr:colOff>47874</xdr:colOff>
                    <xdr:row>38</xdr:row>
                    <xdr:rowOff>19150</xdr:rowOff>
                  </from>
                  <to>
                    <xdr:col>6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0" r:id="rId91" name="Check Box 122">
              <controlPr defaultSize="0" autoFill="0" autoLine="0" autoPict="0">
                <anchor moveWithCells="1">
                  <from>
                    <xdr:col>7</xdr:col>
                    <xdr:colOff>47874</xdr:colOff>
                    <xdr:row>38</xdr:row>
                    <xdr:rowOff>19150</xdr:rowOff>
                  </from>
                  <to>
                    <xdr:col>8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1" r:id="rId92" name="Check Box 123">
              <controlPr defaultSize="0" autoFill="0" autoLine="0" autoPict="0">
                <anchor moveWithCells="1">
                  <from>
                    <xdr:col>11</xdr:col>
                    <xdr:colOff>47874</xdr:colOff>
                    <xdr:row>38</xdr:row>
                    <xdr:rowOff>19150</xdr:rowOff>
                  </from>
                  <to>
                    <xdr:col>12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2" r:id="rId93" name="Check Box 124">
              <controlPr defaultSize="0" autoFill="0" autoLine="0" autoPict="0">
                <anchor moveWithCells="1">
                  <from>
                    <xdr:col>3</xdr:col>
                    <xdr:colOff>47874</xdr:colOff>
                    <xdr:row>38</xdr:row>
                    <xdr:rowOff>19150</xdr:rowOff>
                  </from>
                  <to>
                    <xdr:col>4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5" r:id="rId94" name="Check Box 127">
              <controlPr defaultSize="0" autoFill="0" autoLine="0" autoPict="0">
                <anchor moveWithCells="1">
                  <from>
                    <xdr:col>1</xdr:col>
                    <xdr:colOff>47874</xdr:colOff>
                    <xdr:row>15</xdr:row>
                    <xdr:rowOff>0</xdr:rowOff>
                  </from>
                  <to>
                    <xdr:col>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6" r:id="rId95" name="Check Box 128">
              <controlPr defaultSize="0" autoFill="0" autoLine="0" autoPict="0">
                <anchor moveWithCells="1">
                  <from>
                    <xdr:col>5</xdr:col>
                    <xdr:colOff>47874</xdr:colOff>
                    <xdr:row>15</xdr:row>
                    <xdr:rowOff>0</xdr:rowOff>
                  </from>
                  <to>
                    <xdr:col>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7" r:id="rId96" name="Check Box 129">
              <controlPr defaultSize="0" autoFill="0" autoLine="0" autoPict="0">
                <anchor moveWithCells="1">
                  <from>
                    <xdr:col>7</xdr:col>
                    <xdr:colOff>47874</xdr:colOff>
                    <xdr:row>15</xdr:row>
                    <xdr:rowOff>0</xdr:rowOff>
                  </from>
                  <to>
                    <xdr:col>8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8" r:id="rId97" name="Check Box 130">
              <controlPr defaultSize="0" autoFill="0" autoLine="0" autoPict="0">
                <anchor moveWithCells="1">
                  <from>
                    <xdr:col>11</xdr:col>
                    <xdr:colOff>47874</xdr:colOff>
                    <xdr:row>15</xdr:row>
                    <xdr:rowOff>0</xdr:rowOff>
                  </from>
                  <to>
                    <xdr:col>12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9" r:id="rId98" name="Check Box 131">
              <controlPr defaultSize="0" autoFill="0" autoLine="0" autoPict="0">
                <anchor moveWithCells="1">
                  <from>
                    <xdr:col>3</xdr:col>
                    <xdr:colOff>47874</xdr:colOff>
                    <xdr:row>15</xdr:row>
                    <xdr:rowOff>0</xdr:rowOff>
                  </from>
                  <to>
                    <xdr:col>4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2" r:id="rId99" name="Check Box 134">
              <controlPr defaultSize="0" autoFill="0" autoLine="0" autoPict="0">
                <anchor moveWithCells="1">
                  <from>
                    <xdr:col>1</xdr:col>
                    <xdr:colOff>47874</xdr:colOff>
                    <xdr:row>16</xdr:row>
                    <xdr:rowOff>0</xdr:rowOff>
                  </from>
                  <to>
                    <xdr:col>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3" r:id="rId100" name="Check Box 135">
              <controlPr defaultSize="0" autoFill="0" autoLine="0" autoPict="0">
                <anchor moveWithCells="1">
                  <from>
                    <xdr:col>5</xdr:col>
                    <xdr:colOff>47874</xdr:colOff>
                    <xdr:row>16</xdr:row>
                    <xdr:rowOff>0</xdr:rowOff>
                  </from>
                  <to>
                    <xdr:col>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4" r:id="rId101" name="Check Box 136">
              <controlPr defaultSize="0" autoFill="0" autoLine="0" autoPict="0">
                <anchor moveWithCells="1">
                  <from>
                    <xdr:col>7</xdr:col>
                    <xdr:colOff>47874</xdr:colOff>
                    <xdr:row>16</xdr:row>
                    <xdr:rowOff>0</xdr:rowOff>
                  </from>
                  <to>
                    <xdr:col>8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5" r:id="rId102" name="Check Box 137">
              <controlPr defaultSize="0" autoFill="0" autoLine="0" autoPict="0">
                <anchor moveWithCells="1">
                  <from>
                    <xdr:col>11</xdr:col>
                    <xdr:colOff>47874</xdr:colOff>
                    <xdr:row>16</xdr:row>
                    <xdr:rowOff>0</xdr:rowOff>
                  </from>
                  <to>
                    <xdr:col>12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6" r:id="rId103" name="Check Box 138">
              <controlPr defaultSize="0" autoFill="0" autoLine="0" autoPict="0">
                <anchor moveWithCells="1">
                  <from>
                    <xdr:col>3</xdr:col>
                    <xdr:colOff>47874</xdr:colOff>
                    <xdr:row>16</xdr:row>
                    <xdr:rowOff>0</xdr:rowOff>
                  </from>
                  <to>
                    <xdr:col>4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9" r:id="rId104" name="Check Box 141">
              <controlPr defaultSize="0" autoFill="0" autoLine="0" autoPict="0">
                <anchor moveWithCells="1">
                  <from>
                    <xdr:col>1</xdr:col>
                    <xdr:colOff>38299</xdr:colOff>
                    <xdr:row>20</xdr:row>
                    <xdr:rowOff>0</xdr:rowOff>
                  </from>
                  <to>
                    <xdr:col>2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0" r:id="rId105" name="Check Box 142">
              <controlPr defaultSize="0" autoFill="0" autoLine="0" autoPict="0">
                <anchor moveWithCells="1">
                  <from>
                    <xdr:col>5</xdr:col>
                    <xdr:colOff>38299</xdr:colOff>
                    <xdr:row>20</xdr:row>
                    <xdr:rowOff>0</xdr:rowOff>
                  </from>
                  <to>
                    <xdr:col>6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1" r:id="rId106" name="Check Box 143">
              <controlPr defaultSize="0" autoFill="0" autoLine="0" autoPict="0">
                <anchor moveWithCells="1">
                  <from>
                    <xdr:col>7</xdr:col>
                    <xdr:colOff>38299</xdr:colOff>
                    <xdr:row>20</xdr:row>
                    <xdr:rowOff>0</xdr:rowOff>
                  </from>
                  <to>
                    <xdr:col>8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2" r:id="rId107" name="Check Box 144">
              <controlPr defaultSize="0" autoFill="0" autoLine="0" autoPict="0">
                <anchor moveWithCells="1">
                  <from>
                    <xdr:col>11</xdr:col>
                    <xdr:colOff>38299</xdr:colOff>
                    <xdr:row>20</xdr:row>
                    <xdr:rowOff>0</xdr:rowOff>
                  </from>
                  <to>
                    <xdr:col>12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3" r:id="rId108" name="Check Box 145">
              <controlPr defaultSize="0" autoFill="0" autoLine="0" autoPict="0">
                <anchor moveWithCells="1">
                  <from>
                    <xdr:col>3</xdr:col>
                    <xdr:colOff>38299</xdr:colOff>
                    <xdr:row>20</xdr:row>
                    <xdr:rowOff>0</xdr:rowOff>
                  </from>
                  <to>
                    <xdr:col>4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6" r:id="rId109" name="Check Box 148">
              <controlPr defaultSize="0" autoFill="0" autoLine="0" autoPict="0">
                <anchor moveWithCells="1">
                  <from>
                    <xdr:col>1</xdr:col>
                    <xdr:colOff>47874</xdr:colOff>
                    <xdr:row>27</xdr:row>
                    <xdr:rowOff>0</xdr:rowOff>
                  </from>
                  <to>
                    <xdr:col>2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7" r:id="rId110" name="Check Box 149">
              <controlPr defaultSize="0" autoFill="0" autoLine="0" autoPict="0">
                <anchor moveWithCells="1">
                  <from>
                    <xdr:col>5</xdr:col>
                    <xdr:colOff>47874</xdr:colOff>
                    <xdr:row>27</xdr:row>
                    <xdr:rowOff>0</xdr:rowOff>
                  </from>
                  <to>
                    <xdr:col>6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8" r:id="rId111" name="Check Box 150">
              <controlPr defaultSize="0" autoFill="0" autoLine="0" autoPict="0">
                <anchor moveWithCells="1">
                  <from>
                    <xdr:col>7</xdr:col>
                    <xdr:colOff>47874</xdr:colOff>
                    <xdr:row>27</xdr:row>
                    <xdr:rowOff>0</xdr:rowOff>
                  </from>
                  <to>
                    <xdr:col>8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9" r:id="rId112" name="Check Box 151">
              <controlPr defaultSize="0" autoFill="0" autoLine="0" autoPict="0">
                <anchor moveWithCells="1">
                  <from>
                    <xdr:col>11</xdr:col>
                    <xdr:colOff>47874</xdr:colOff>
                    <xdr:row>27</xdr:row>
                    <xdr:rowOff>0</xdr:rowOff>
                  </from>
                  <to>
                    <xdr:col>12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0" r:id="rId113" name="Check Box 152">
              <controlPr defaultSize="0" autoFill="0" autoLine="0" autoPict="0">
                <anchor moveWithCells="1">
                  <from>
                    <xdr:col>3</xdr:col>
                    <xdr:colOff>47874</xdr:colOff>
                    <xdr:row>27</xdr:row>
                    <xdr:rowOff>0</xdr:rowOff>
                  </from>
                  <to>
                    <xdr:col>4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3" r:id="rId114" name="Check Box 155">
              <controlPr defaultSize="0" autoFill="0" autoLine="0" autoPict="0">
                <anchor moveWithCells="1">
                  <from>
                    <xdr:col>1</xdr:col>
                    <xdr:colOff>47874</xdr:colOff>
                    <xdr:row>28</xdr:row>
                    <xdr:rowOff>0</xdr:rowOff>
                  </from>
                  <to>
                    <xdr:col>2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4" r:id="rId115" name="Check Box 156">
              <controlPr defaultSize="0" autoFill="0" autoLine="0" autoPict="0">
                <anchor moveWithCells="1">
                  <from>
                    <xdr:col>5</xdr:col>
                    <xdr:colOff>47874</xdr:colOff>
                    <xdr:row>28</xdr:row>
                    <xdr:rowOff>0</xdr:rowOff>
                  </from>
                  <to>
                    <xdr:col>6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5" r:id="rId116" name="Check Box 157">
              <controlPr defaultSize="0" autoFill="0" autoLine="0" autoPict="0">
                <anchor moveWithCells="1">
                  <from>
                    <xdr:col>7</xdr:col>
                    <xdr:colOff>47874</xdr:colOff>
                    <xdr:row>28</xdr:row>
                    <xdr:rowOff>0</xdr:rowOff>
                  </from>
                  <to>
                    <xdr:col>8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6" r:id="rId117" name="Check Box 158">
              <controlPr defaultSize="0" autoFill="0" autoLine="0" autoPict="0">
                <anchor moveWithCells="1">
                  <from>
                    <xdr:col>11</xdr:col>
                    <xdr:colOff>47874</xdr:colOff>
                    <xdr:row>28</xdr:row>
                    <xdr:rowOff>0</xdr:rowOff>
                  </from>
                  <to>
                    <xdr:col>12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7" r:id="rId118" name="Check Box 159">
              <controlPr defaultSize="0" autoFill="0" autoLine="0" autoPict="0">
                <anchor moveWithCells="1">
                  <from>
                    <xdr:col>3</xdr:col>
                    <xdr:colOff>47874</xdr:colOff>
                    <xdr:row>28</xdr:row>
                    <xdr:rowOff>0</xdr:rowOff>
                  </from>
                  <to>
                    <xdr:col>4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0" r:id="rId119" name="Check Box 162">
              <controlPr defaultSize="0" autoFill="0" autoLine="0" autoPict="0">
                <anchor moveWithCells="1">
                  <from>
                    <xdr:col>1</xdr:col>
                    <xdr:colOff>47874</xdr:colOff>
                    <xdr:row>29</xdr:row>
                    <xdr:rowOff>0</xdr:rowOff>
                  </from>
                  <to>
                    <xdr:col>2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1" r:id="rId120" name="Check Box 163">
              <controlPr defaultSize="0" autoFill="0" autoLine="0" autoPict="0">
                <anchor moveWithCells="1">
                  <from>
                    <xdr:col>5</xdr:col>
                    <xdr:colOff>47874</xdr:colOff>
                    <xdr:row>29</xdr:row>
                    <xdr:rowOff>0</xdr:rowOff>
                  </from>
                  <to>
                    <xdr:col>6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2" r:id="rId121" name="Check Box 164">
              <controlPr defaultSize="0" autoFill="0" autoLine="0" autoPict="0">
                <anchor moveWithCells="1">
                  <from>
                    <xdr:col>7</xdr:col>
                    <xdr:colOff>47874</xdr:colOff>
                    <xdr:row>29</xdr:row>
                    <xdr:rowOff>0</xdr:rowOff>
                  </from>
                  <to>
                    <xdr:col>8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3" r:id="rId122" name="Check Box 165">
              <controlPr defaultSize="0" autoFill="0" autoLine="0" autoPict="0">
                <anchor moveWithCells="1">
                  <from>
                    <xdr:col>11</xdr:col>
                    <xdr:colOff>47874</xdr:colOff>
                    <xdr:row>29</xdr:row>
                    <xdr:rowOff>0</xdr:rowOff>
                  </from>
                  <to>
                    <xdr:col>12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4" r:id="rId123" name="Check Box 166">
              <controlPr defaultSize="0" autoFill="0" autoLine="0" autoPict="0">
                <anchor moveWithCells="1">
                  <from>
                    <xdr:col>3</xdr:col>
                    <xdr:colOff>47874</xdr:colOff>
                    <xdr:row>29</xdr:row>
                    <xdr:rowOff>0</xdr:rowOff>
                  </from>
                  <to>
                    <xdr:col>4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7" r:id="rId124" name="Check Box 169">
              <controlPr defaultSize="0" autoFill="0" autoLine="0" autoPict="0">
                <anchor moveWithCells="1">
                  <from>
                    <xdr:col>1</xdr:col>
                    <xdr:colOff>47874</xdr:colOff>
                    <xdr:row>30</xdr:row>
                    <xdr:rowOff>0</xdr:rowOff>
                  </from>
                  <to>
                    <xdr:col>2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8" r:id="rId125" name="Check Box 170">
              <controlPr defaultSize="0" autoFill="0" autoLine="0" autoPict="0">
                <anchor moveWithCells="1">
                  <from>
                    <xdr:col>5</xdr:col>
                    <xdr:colOff>47874</xdr:colOff>
                    <xdr:row>30</xdr:row>
                    <xdr:rowOff>0</xdr:rowOff>
                  </from>
                  <to>
                    <xdr:col>6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9" r:id="rId126" name="Check Box 171">
              <controlPr defaultSize="0" autoFill="0" autoLine="0" autoPict="0">
                <anchor moveWithCells="1">
                  <from>
                    <xdr:col>7</xdr:col>
                    <xdr:colOff>47874</xdr:colOff>
                    <xdr:row>30</xdr:row>
                    <xdr:rowOff>0</xdr:rowOff>
                  </from>
                  <to>
                    <xdr:col>8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0" r:id="rId127" name="Check Box 172">
              <controlPr defaultSize="0" autoFill="0" autoLine="0" autoPict="0">
                <anchor moveWithCells="1">
                  <from>
                    <xdr:col>11</xdr:col>
                    <xdr:colOff>47874</xdr:colOff>
                    <xdr:row>30</xdr:row>
                    <xdr:rowOff>0</xdr:rowOff>
                  </from>
                  <to>
                    <xdr:col>12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1" r:id="rId128" name="Check Box 173">
              <controlPr defaultSize="0" autoFill="0" autoLine="0" autoPict="0">
                <anchor moveWithCells="1">
                  <from>
                    <xdr:col>3</xdr:col>
                    <xdr:colOff>47874</xdr:colOff>
                    <xdr:row>30</xdr:row>
                    <xdr:rowOff>0</xdr:rowOff>
                  </from>
                  <to>
                    <xdr:col>4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4" r:id="rId129" name="Check Box 176">
              <controlPr defaultSize="0" autoFill="0" autoLine="0" autoPict="0">
                <anchor moveWithCells="1">
                  <from>
                    <xdr:col>1</xdr:col>
                    <xdr:colOff>47874</xdr:colOff>
                    <xdr:row>31</xdr:row>
                    <xdr:rowOff>0</xdr:rowOff>
                  </from>
                  <to>
                    <xdr:col>2</xdr:col>
                    <xdr:colOff>627154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5" r:id="rId130" name="Check Box 177">
              <controlPr defaultSize="0" autoFill="0" autoLine="0" autoPict="0">
                <anchor moveWithCells="1">
                  <from>
                    <xdr:col>5</xdr:col>
                    <xdr:colOff>47874</xdr:colOff>
                    <xdr:row>31</xdr:row>
                    <xdr:rowOff>0</xdr:rowOff>
                  </from>
                  <to>
                    <xdr:col>6</xdr:col>
                    <xdr:colOff>627154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6" r:id="rId131" name="Check Box 178">
              <controlPr defaultSize="0" autoFill="0" autoLine="0" autoPict="0">
                <anchor moveWithCells="1">
                  <from>
                    <xdr:col>7</xdr:col>
                    <xdr:colOff>47874</xdr:colOff>
                    <xdr:row>31</xdr:row>
                    <xdr:rowOff>0</xdr:rowOff>
                  </from>
                  <to>
                    <xdr:col>8</xdr:col>
                    <xdr:colOff>627154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7" r:id="rId132" name="Check Box 179">
              <controlPr defaultSize="0" autoFill="0" autoLine="0" autoPict="0">
                <anchor moveWithCells="1">
                  <from>
                    <xdr:col>11</xdr:col>
                    <xdr:colOff>47874</xdr:colOff>
                    <xdr:row>31</xdr:row>
                    <xdr:rowOff>0</xdr:rowOff>
                  </from>
                  <to>
                    <xdr:col>12</xdr:col>
                    <xdr:colOff>627154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8" r:id="rId133" name="Check Box 180">
              <controlPr defaultSize="0" autoFill="0" autoLine="0" autoPict="0">
                <anchor moveWithCells="1">
                  <from>
                    <xdr:col>3</xdr:col>
                    <xdr:colOff>47874</xdr:colOff>
                    <xdr:row>31</xdr:row>
                    <xdr:rowOff>0</xdr:rowOff>
                  </from>
                  <to>
                    <xdr:col>4</xdr:col>
                    <xdr:colOff>627154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1" r:id="rId134" name="Check Box 183">
              <controlPr defaultSize="0" autoFill="0" autoLine="0" autoPict="0">
                <anchor moveWithCells="1">
                  <from>
                    <xdr:col>1</xdr:col>
                    <xdr:colOff>47874</xdr:colOff>
                    <xdr:row>35</xdr:row>
                    <xdr:rowOff>0</xdr:rowOff>
                  </from>
                  <to>
                    <xdr:col>2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2" r:id="rId135" name="Check Box 184">
              <controlPr defaultSize="0" autoFill="0" autoLine="0" autoPict="0">
                <anchor moveWithCells="1">
                  <from>
                    <xdr:col>5</xdr:col>
                    <xdr:colOff>47874</xdr:colOff>
                    <xdr:row>35</xdr:row>
                    <xdr:rowOff>0</xdr:rowOff>
                  </from>
                  <to>
                    <xdr:col>6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3" r:id="rId136" name="Check Box 185">
              <controlPr defaultSize="0" autoFill="0" autoLine="0" autoPict="0">
                <anchor moveWithCells="1">
                  <from>
                    <xdr:col>7</xdr:col>
                    <xdr:colOff>47874</xdr:colOff>
                    <xdr:row>35</xdr:row>
                    <xdr:rowOff>0</xdr:rowOff>
                  </from>
                  <to>
                    <xdr:col>8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4" r:id="rId137" name="Check Box 186">
              <controlPr defaultSize="0" autoFill="0" autoLine="0" autoPict="0">
                <anchor moveWithCells="1">
                  <from>
                    <xdr:col>11</xdr:col>
                    <xdr:colOff>47874</xdr:colOff>
                    <xdr:row>35</xdr:row>
                    <xdr:rowOff>0</xdr:rowOff>
                  </from>
                  <to>
                    <xdr:col>12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5" r:id="rId138" name="Check Box 187">
              <controlPr defaultSize="0" autoFill="0" autoLine="0" autoPict="0">
                <anchor moveWithCells="1">
                  <from>
                    <xdr:col>3</xdr:col>
                    <xdr:colOff>47874</xdr:colOff>
                    <xdr:row>35</xdr:row>
                    <xdr:rowOff>0</xdr:rowOff>
                  </from>
                  <to>
                    <xdr:col>4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8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47874</xdr:colOff>
                    <xdr:row>23</xdr:row>
                    <xdr:rowOff>19150</xdr:rowOff>
                  </from>
                  <to>
                    <xdr:col>2</xdr:col>
                    <xdr:colOff>627154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9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47874</xdr:colOff>
                    <xdr:row>23</xdr:row>
                    <xdr:rowOff>19150</xdr:rowOff>
                  </from>
                  <to>
                    <xdr:col>6</xdr:col>
                    <xdr:colOff>627154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0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47874</xdr:colOff>
                    <xdr:row>23</xdr:row>
                    <xdr:rowOff>19150</xdr:rowOff>
                  </from>
                  <to>
                    <xdr:col>8</xdr:col>
                    <xdr:colOff>627154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1" r:id="rId142" name="Check Box 193">
              <controlPr defaultSize="0" autoFill="0" autoLine="0" autoPict="0" altText="Fosfaat">
                <anchor moveWithCells="1">
                  <from>
                    <xdr:col>11</xdr:col>
                    <xdr:colOff>47874</xdr:colOff>
                    <xdr:row>23</xdr:row>
                    <xdr:rowOff>19150</xdr:rowOff>
                  </from>
                  <to>
                    <xdr:col>12</xdr:col>
                    <xdr:colOff>627154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2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47874</xdr:colOff>
                    <xdr:row>23</xdr:row>
                    <xdr:rowOff>19150</xdr:rowOff>
                  </from>
                  <to>
                    <xdr:col>4</xdr:col>
                    <xdr:colOff>627154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5" r:id="rId144" name="Check Box 197">
              <controlPr defaultSize="0" autoFill="0" autoLine="0" autoPict="0" altText="d-dimeren">
                <anchor moveWithCells="1">
                  <from>
                    <xdr:col>1</xdr:col>
                    <xdr:colOff>47874</xdr:colOff>
                    <xdr:row>37</xdr:row>
                    <xdr:rowOff>19150</xdr:rowOff>
                  </from>
                  <to>
                    <xdr:col>2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6" r:id="rId145" name="Check Box 198">
              <controlPr defaultSize="0" autoFill="0" autoLine="0" autoPict="0" altText="d-dimeren">
                <anchor moveWithCells="1">
                  <from>
                    <xdr:col>5</xdr:col>
                    <xdr:colOff>47874</xdr:colOff>
                    <xdr:row>37</xdr:row>
                    <xdr:rowOff>19150</xdr:rowOff>
                  </from>
                  <to>
                    <xdr:col>6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7" r:id="rId146" name="Check Box 199">
              <controlPr defaultSize="0" autoFill="0" autoLine="0" autoPict="0" altText="d-dimeren">
                <anchor moveWithCells="1">
                  <from>
                    <xdr:col>7</xdr:col>
                    <xdr:colOff>47874</xdr:colOff>
                    <xdr:row>37</xdr:row>
                    <xdr:rowOff>19150</xdr:rowOff>
                  </from>
                  <to>
                    <xdr:col>8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8" r:id="rId147" name="Check Box 200">
              <controlPr defaultSize="0" autoFill="0" autoLine="0" autoPict="0" altText="d-dimeren">
                <anchor moveWithCells="1">
                  <from>
                    <xdr:col>11</xdr:col>
                    <xdr:colOff>47874</xdr:colOff>
                    <xdr:row>37</xdr:row>
                    <xdr:rowOff>19150</xdr:rowOff>
                  </from>
                  <to>
                    <xdr:col>12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9" r:id="rId148" name="Check Box 201">
              <controlPr defaultSize="0" autoFill="0" autoLine="0" autoPict="0" altText="d-dimeren">
                <anchor moveWithCells="1">
                  <from>
                    <xdr:col>3</xdr:col>
                    <xdr:colOff>47874</xdr:colOff>
                    <xdr:row>37</xdr:row>
                    <xdr:rowOff>19150</xdr:rowOff>
                  </from>
                  <to>
                    <xdr:col>4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2" r:id="rId149" name="Check Box 204">
              <controlPr defaultSize="0" autoFill="0" autoLine="0" autoPict="0" altText="ACT">
                <anchor moveWithCells="1">
                  <from>
                    <xdr:col>1</xdr:col>
                    <xdr:colOff>47874</xdr:colOff>
                    <xdr:row>41</xdr:row>
                    <xdr:rowOff>19150</xdr:rowOff>
                  </from>
                  <to>
                    <xdr:col>2</xdr:col>
                    <xdr:colOff>627154</xdr:colOff>
                    <xdr:row>41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3" r:id="rId150" name="Check Box 205">
              <controlPr defaultSize="0" autoFill="0" autoLine="0" autoPict="0">
                <anchor moveWithCells="1">
                  <from>
                    <xdr:col>1</xdr:col>
                    <xdr:colOff>47874</xdr:colOff>
                    <xdr:row>39</xdr:row>
                    <xdr:rowOff>19150</xdr:rowOff>
                  </from>
                  <to>
                    <xdr:col>2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4" r:id="rId151" name="Check Box 206">
              <controlPr defaultSize="0" autoFill="0" autoLine="0" autoPict="0">
                <anchor moveWithCells="1">
                  <from>
                    <xdr:col>5</xdr:col>
                    <xdr:colOff>47874</xdr:colOff>
                    <xdr:row>39</xdr:row>
                    <xdr:rowOff>19150</xdr:rowOff>
                  </from>
                  <to>
                    <xdr:col>6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5" r:id="rId152" name="Check Box 207">
              <controlPr defaultSize="0" autoFill="0" autoLine="0" autoPict="0">
                <anchor moveWithCells="1">
                  <from>
                    <xdr:col>7</xdr:col>
                    <xdr:colOff>47874</xdr:colOff>
                    <xdr:row>39</xdr:row>
                    <xdr:rowOff>19150</xdr:rowOff>
                  </from>
                  <to>
                    <xdr:col>8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6" r:id="rId153" name="Check Box 208">
              <controlPr defaultSize="0" autoFill="0" autoLine="0" autoPict="0">
                <anchor moveWithCells="1">
                  <from>
                    <xdr:col>11</xdr:col>
                    <xdr:colOff>47874</xdr:colOff>
                    <xdr:row>39</xdr:row>
                    <xdr:rowOff>19150</xdr:rowOff>
                  </from>
                  <to>
                    <xdr:col>12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7" r:id="rId154" name="Check Box 209">
              <controlPr defaultSize="0" autoFill="0" autoLine="0" autoPict="0">
                <anchor moveWithCells="1">
                  <from>
                    <xdr:col>3</xdr:col>
                    <xdr:colOff>47874</xdr:colOff>
                    <xdr:row>39</xdr:row>
                    <xdr:rowOff>19150</xdr:rowOff>
                  </from>
                  <to>
                    <xdr:col>4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0" r:id="rId155" name="Check Box 212">
              <controlPr defaultSize="0" autoFill="0" autoLine="0" autoPict="0">
                <anchor moveWithCells="1">
                  <from>
                    <xdr:col>1</xdr:col>
                    <xdr:colOff>47874</xdr:colOff>
                    <xdr:row>40</xdr:row>
                    <xdr:rowOff>19150</xdr:rowOff>
                  </from>
                  <to>
                    <xdr:col>2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1" r:id="rId156" name="Check Box 213">
              <controlPr defaultSize="0" autoFill="0" autoLine="0" autoPict="0">
                <anchor moveWithCells="1">
                  <from>
                    <xdr:col>5</xdr:col>
                    <xdr:colOff>47874</xdr:colOff>
                    <xdr:row>40</xdr:row>
                    <xdr:rowOff>19150</xdr:rowOff>
                  </from>
                  <to>
                    <xdr:col>6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2" r:id="rId157" name="Check Box 214">
              <controlPr defaultSize="0" autoFill="0" autoLine="0" autoPict="0">
                <anchor moveWithCells="1">
                  <from>
                    <xdr:col>7</xdr:col>
                    <xdr:colOff>47874</xdr:colOff>
                    <xdr:row>40</xdr:row>
                    <xdr:rowOff>19150</xdr:rowOff>
                  </from>
                  <to>
                    <xdr:col>8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3" r:id="rId158" name="Check Box 215">
              <controlPr defaultSize="0" autoFill="0" autoLine="0" autoPict="0">
                <anchor moveWithCells="1">
                  <from>
                    <xdr:col>11</xdr:col>
                    <xdr:colOff>47874</xdr:colOff>
                    <xdr:row>40</xdr:row>
                    <xdr:rowOff>19150</xdr:rowOff>
                  </from>
                  <to>
                    <xdr:col>12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4" r:id="rId159" name="Check Box 216">
              <controlPr defaultSize="0" autoFill="0" autoLine="0" autoPict="0">
                <anchor moveWithCells="1">
                  <from>
                    <xdr:col>3</xdr:col>
                    <xdr:colOff>47874</xdr:colOff>
                    <xdr:row>40</xdr:row>
                    <xdr:rowOff>19150</xdr:rowOff>
                  </from>
                  <to>
                    <xdr:col>4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5" r:id="rId160" name="Spinner 217">
              <controlPr defaultSize="0" autoPict="0">
                <anchor moveWithCells="1" sizeWithCells="1">
                  <from>
                    <xdr:col>10</xdr:col>
                    <xdr:colOff>143623</xdr:colOff>
                    <xdr:row>2</xdr:row>
                    <xdr:rowOff>57449</xdr:rowOff>
                  </from>
                  <to>
                    <xdr:col>10</xdr:col>
                    <xdr:colOff>143623</xdr:colOff>
                    <xdr:row>3</xdr:row>
                    <xdr:rowOff>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Lab">
    <tabColor rgb="FF92D050"/>
  </sheetPr>
  <dimension ref="A1:P35"/>
  <sheetViews>
    <sheetView workbookViewId="0">
      <selection activeCell="P4" activeCellId="6" sqref="C4:C35 E4:E34 G4:G34 I4:I34 L4:L34 N4:N34 P4:P34"/>
    </sheetView>
  </sheetViews>
  <sheetFormatPr defaultColWidth="9.1328125" defaultRowHeight="12.85" x14ac:dyDescent="0.35"/>
  <cols>
    <col min="1" max="16384" width="9.1328125" style="271"/>
  </cols>
  <sheetData>
    <row r="1" spans="1:16" x14ac:dyDescent="0.35">
      <c r="A1" s="576"/>
    </row>
    <row r="3" spans="1:16" x14ac:dyDescent="0.35">
      <c r="A3" s="287" t="s">
        <v>1334</v>
      </c>
      <c r="B3" s="271" t="s">
        <v>1335</v>
      </c>
      <c r="D3" s="287" t="s">
        <v>926</v>
      </c>
      <c r="E3" s="271" t="b">
        <v>1</v>
      </c>
      <c r="F3" s="287" t="s">
        <v>927</v>
      </c>
      <c r="G3" s="271" t="b">
        <v>1</v>
      </c>
      <c r="H3" s="287" t="s">
        <v>286</v>
      </c>
      <c r="I3" s="271" t="b">
        <v>1</v>
      </c>
      <c r="K3" s="287" t="s">
        <v>1336</v>
      </c>
      <c r="M3" s="287" t="s">
        <v>1337</v>
      </c>
      <c r="O3" s="287" t="s">
        <v>1338</v>
      </c>
    </row>
    <row r="4" spans="1:16" x14ac:dyDescent="0.35">
      <c r="B4" s="271" t="str">
        <f>IF(C4,"A","")</f>
        <v/>
      </c>
      <c r="C4" s="576"/>
      <c r="D4" s="271" t="str">
        <f>IF(E4,"A","")</f>
        <v>A</v>
      </c>
      <c r="E4" s="576">
        <v>1</v>
      </c>
      <c r="F4" s="271" t="str">
        <f>IF(G4,"A","")</f>
        <v/>
      </c>
      <c r="G4" s="576"/>
      <c r="H4" s="271" t="str">
        <f>IF(I4,"A","")</f>
        <v/>
      </c>
      <c r="I4" s="576"/>
      <c r="K4" s="271" t="str">
        <f>IF(L4,"A","")</f>
        <v/>
      </c>
      <c r="L4" s="576"/>
      <c r="M4" s="271" t="str">
        <f>IF(N4,"A","")</f>
        <v/>
      </c>
      <c r="N4" s="576"/>
      <c r="O4" s="271" t="str">
        <f t="shared" ref="O4" si="0">IF(P4,"A","")</f>
        <v/>
      </c>
      <c r="P4" s="576"/>
    </row>
    <row r="5" spans="1:16" x14ac:dyDescent="0.35">
      <c r="B5" s="271" t="str">
        <f>IF(C5,"Na K","")</f>
        <v/>
      </c>
      <c r="C5" s="576"/>
      <c r="D5" s="271" t="str">
        <f>IF(E5,"Na K","")</f>
        <v/>
      </c>
      <c r="E5" s="576"/>
      <c r="F5" s="271" t="str">
        <f>IF(G5,"Na K","")</f>
        <v/>
      </c>
      <c r="G5" s="576"/>
      <c r="H5" s="271" t="str">
        <f>IF(I5,"Na K","")</f>
        <v/>
      </c>
      <c r="I5" s="576"/>
      <c r="K5" s="271" t="str">
        <f>IF(L5,"Na K","")</f>
        <v/>
      </c>
      <c r="L5" s="576"/>
      <c r="M5" s="271" t="str">
        <f>IF(N5,"Na K","")</f>
        <v/>
      </c>
      <c r="N5" s="576"/>
      <c r="O5" s="271" t="str">
        <f>IF(P5,"Na K","")</f>
        <v/>
      </c>
      <c r="P5" s="576"/>
    </row>
    <row r="6" spans="1:16" x14ac:dyDescent="0.35">
      <c r="A6" s="576"/>
      <c r="B6" s="271" t="str">
        <f>IF(C6,"Cl","")</f>
        <v/>
      </c>
      <c r="C6" s="576"/>
      <c r="D6" s="271" t="str">
        <f>IF(E6,"Cl","")</f>
        <v/>
      </c>
      <c r="E6" s="576"/>
      <c r="F6" s="271" t="str">
        <f>IF(G6,"Cl","")</f>
        <v/>
      </c>
      <c r="G6" s="576"/>
      <c r="H6" s="271" t="str">
        <f>IF(I6,"Cl","")</f>
        <v/>
      </c>
      <c r="I6" s="576"/>
      <c r="K6" s="271" t="str">
        <f>IF(L6,"Cl","")</f>
        <v/>
      </c>
      <c r="L6" s="576"/>
      <c r="M6" s="271" t="str">
        <f>IF(N6,"Cl","")</f>
        <v/>
      </c>
      <c r="N6" s="576"/>
      <c r="O6" s="271" t="str">
        <f>IF(P6,"Cl","")</f>
        <v/>
      </c>
      <c r="P6" s="576"/>
    </row>
    <row r="7" spans="1:16" x14ac:dyDescent="0.35">
      <c r="B7" s="271" t="str">
        <f>IF(C7,"Gluc","")</f>
        <v/>
      </c>
      <c r="C7" s="576"/>
      <c r="D7" s="271" t="str">
        <f>IF(E7,"Gluc","")</f>
        <v/>
      </c>
      <c r="E7" s="576"/>
      <c r="F7" s="271" t="str">
        <f>IF(G7,"Gluc","")</f>
        <v/>
      </c>
      <c r="G7" s="576"/>
      <c r="H7" s="271" t="str">
        <f>IF(I7,"Gluc","")</f>
        <v/>
      </c>
      <c r="I7" s="576"/>
      <c r="K7" s="271" t="str">
        <f>IF(L7,"Gluc","")</f>
        <v/>
      </c>
      <c r="L7" s="576"/>
      <c r="M7" s="271" t="str">
        <f>IF(N7,"Gluc","")</f>
        <v/>
      </c>
      <c r="N7" s="576"/>
      <c r="O7" s="271" t="str">
        <f>IF(P7,"Gluc","")</f>
        <v/>
      </c>
      <c r="P7" s="576"/>
    </row>
    <row r="8" spans="1:16" x14ac:dyDescent="0.35">
      <c r="B8" s="271" t="str">
        <f>IF(C8,"Hb Ht","")</f>
        <v/>
      </c>
      <c r="C8" s="576"/>
      <c r="D8" s="271" t="str">
        <f>IF(E8,"Hb Ht","")</f>
        <v/>
      </c>
      <c r="E8" s="576"/>
      <c r="F8" s="271" t="str">
        <f>IF(G8,"Hb Ht","")</f>
        <v/>
      </c>
      <c r="G8" s="576"/>
      <c r="H8" s="271" t="str">
        <f>IF(I8,"Hb Ht","")</f>
        <v/>
      </c>
      <c r="I8" s="576"/>
      <c r="K8" s="271" t="str">
        <f>IF(L8,"Hb Ht","")</f>
        <v/>
      </c>
      <c r="L8" s="576"/>
      <c r="M8" s="271" t="str">
        <f>IF(N8,"Hb Ht","")</f>
        <v/>
      </c>
      <c r="N8" s="576"/>
      <c r="O8" s="271" t="str">
        <f>IF(P8,"Hb Ht","")</f>
        <v/>
      </c>
      <c r="P8" s="576"/>
    </row>
    <row r="9" spans="1:16" x14ac:dyDescent="0.35">
      <c r="B9" s="271" t="str">
        <f>IF(C9,"L","")</f>
        <v/>
      </c>
      <c r="C9" s="576"/>
      <c r="D9" s="271" t="str">
        <f>IF(E9,"L","")</f>
        <v/>
      </c>
      <c r="E9" s="576"/>
      <c r="F9" s="271" t="str">
        <f>IF(G9,"L","")</f>
        <v/>
      </c>
      <c r="G9" s="576"/>
      <c r="H9" s="271" t="str">
        <f>IF(I9,"L","")</f>
        <v/>
      </c>
      <c r="I9" s="576"/>
      <c r="K9" s="271" t="str">
        <f>IF(L9,"L","")</f>
        <v/>
      </c>
      <c r="L9" s="576"/>
      <c r="M9" s="271" t="str">
        <f>IF(N9,"L","")</f>
        <v/>
      </c>
      <c r="N9" s="576"/>
      <c r="O9" s="271" t="str">
        <f>IF(P9,"L","")</f>
        <v/>
      </c>
      <c r="P9" s="576"/>
    </row>
    <row r="10" spans="1:16" x14ac:dyDescent="0.35">
      <c r="B10" s="271" t="str">
        <f>IF(C10,"T","")</f>
        <v/>
      </c>
      <c r="C10" s="576"/>
      <c r="D10" s="271" t="str">
        <f>IF(E10,"T","")</f>
        <v/>
      </c>
      <c r="E10" s="576"/>
      <c r="F10" s="271" t="str">
        <f>IF(G10,"T","")</f>
        <v/>
      </c>
      <c r="G10" s="576"/>
      <c r="H10" s="271" t="str">
        <f>IF(I10,"T","")</f>
        <v/>
      </c>
      <c r="I10" s="576"/>
      <c r="K10" s="271" t="str">
        <f>IF(L10,"T","")</f>
        <v/>
      </c>
      <c r="L10" s="576"/>
      <c r="M10" s="271" t="str">
        <f>IF(N10,"T","")</f>
        <v/>
      </c>
      <c r="N10" s="576"/>
      <c r="O10" s="271" t="str">
        <f>IF(P10,"T","")</f>
        <v/>
      </c>
      <c r="P10" s="576"/>
    </row>
    <row r="11" spans="1:16" x14ac:dyDescent="0.35">
      <c r="B11" s="271" t="str">
        <f>IF(C11,"CRP","")</f>
        <v/>
      </c>
      <c r="C11" s="576"/>
      <c r="D11" s="271" t="str">
        <f>IF(E11,"CRP","")</f>
        <v/>
      </c>
      <c r="E11" s="576"/>
      <c r="F11" s="271" t="str">
        <f>IF(G11,"CRP","")</f>
        <v/>
      </c>
      <c r="G11" s="576"/>
      <c r="H11" s="271" t="str">
        <f>IF(I11,"CRP","")</f>
        <v/>
      </c>
      <c r="I11" s="576"/>
      <c r="K11" s="271" t="str">
        <f>IF(L11,"CRP","")</f>
        <v/>
      </c>
      <c r="L11" s="576"/>
      <c r="M11" s="271" t="str">
        <f>IF(N11,"CRP","")</f>
        <v/>
      </c>
      <c r="N11" s="576"/>
      <c r="O11" s="271" t="str">
        <f>IF(P11,"CRP","")</f>
        <v/>
      </c>
      <c r="P11" s="576"/>
    </row>
    <row r="12" spans="1:16" x14ac:dyDescent="0.35">
      <c r="B12" s="271" t="str">
        <f>IF(C12,"Lac","")</f>
        <v/>
      </c>
      <c r="C12" s="576"/>
      <c r="D12" s="271" t="str">
        <f>IF(E12,"Lac","")</f>
        <v/>
      </c>
      <c r="E12" s="576"/>
      <c r="F12" s="271" t="str">
        <f>IF(G12,"Lac","")</f>
        <v/>
      </c>
      <c r="G12" s="576"/>
      <c r="H12" s="271" t="str">
        <f>IF(I12,"Lac","")</f>
        <v/>
      </c>
      <c r="I12" s="576"/>
      <c r="K12" s="271" t="str">
        <f>IF(L12,"Lac","")</f>
        <v/>
      </c>
      <c r="L12" s="576"/>
      <c r="M12" s="271" t="str">
        <f>IF(N12,"Lac","")</f>
        <v/>
      </c>
      <c r="N12" s="576"/>
      <c r="O12" s="271" t="str">
        <f>IF(P12,"Lac","")</f>
        <v/>
      </c>
      <c r="P12" s="576"/>
    </row>
    <row r="13" spans="1:16" x14ac:dyDescent="0.35">
      <c r="B13" s="271" t="str">
        <f>IF(C13,"Ur","")</f>
        <v/>
      </c>
      <c r="C13" s="576"/>
      <c r="D13" s="271" t="str">
        <f>IF(E13,"Ur","")</f>
        <v/>
      </c>
      <c r="E13" s="576"/>
      <c r="F13" s="271" t="str">
        <f>IF(G13,"Ur","")</f>
        <v/>
      </c>
      <c r="G13" s="576"/>
      <c r="H13" s="271" t="str">
        <f>IF(I13,"Ur","")</f>
        <v/>
      </c>
      <c r="I13" s="576"/>
      <c r="K13" s="271" t="str">
        <f>IF(L13,"Ur","")</f>
        <v/>
      </c>
      <c r="L13" s="576"/>
      <c r="M13" s="271" t="str">
        <f>IF(N13,"Ur","")</f>
        <v/>
      </c>
      <c r="N13" s="576"/>
      <c r="O13" s="271" t="str">
        <f>IF(P13,"Ur","")</f>
        <v/>
      </c>
      <c r="P13" s="576"/>
    </row>
    <row r="14" spans="1:16" x14ac:dyDescent="0.35">
      <c r="B14" s="271" t="str">
        <f>IF(C14,"Kr","")</f>
        <v/>
      </c>
      <c r="C14" s="576"/>
      <c r="D14" s="271" t="str">
        <f>IF(E14,"Kr","")</f>
        <v/>
      </c>
      <c r="E14" s="576"/>
      <c r="F14" s="271" t="str">
        <f>IF(G14,"Kr","")</f>
        <v/>
      </c>
      <c r="G14" s="576"/>
      <c r="H14" s="271" t="str">
        <f>IF(I14,"Kr","")</f>
        <v/>
      </c>
      <c r="I14" s="576"/>
      <c r="K14" s="271" t="str">
        <f>IF(L14,"Kr","")</f>
        <v/>
      </c>
      <c r="L14" s="576"/>
      <c r="M14" s="271" t="str">
        <f>IF(N14,"Kr","")</f>
        <v/>
      </c>
      <c r="N14" s="576"/>
      <c r="O14" s="271" t="str">
        <f>IF(P14,"Kr","")</f>
        <v/>
      </c>
      <c r="P14" s="576"/>
    </row>
    <row r="15" spans="1:16" x14ac:dyDescent="0.35">
      <c r="B15" s="271" t="str">
        <f>IF(C15,"Ca++","")</f>
        <v/>
      </c>
      <c r="C15" s="576"/>
      <c r="D15" s="271" t="str">
        <f>IF(E15,"Ca++","")</f>
        <v/>
      </c>
      <c r="E15" s="576"/>
      <c r="F15" s="271" t="str">
        <f>IF(G15,"Ca++","")</f>
        <v/>
      </c>
      <c r="G15" s="576"/>
      <c r="H15" s="271" t="str">
        <f>IF(I15,"Ca++","")</f>
        <v/>
      </c>
      <c r="I15" s="576"/>
      <c r="K15" s="271" t="str">
        <f>IF(L15,"Ca++","")</f>
        <v/>
      </c>
      <c r="L15" s="576"/>
      <c r="M15" s="271" t="str">
        <f>IF(N15,"Ca++","")</f>
        <v/>
      </c>
      <c r="N15" s="576"/>
      <c r="O15" s="271" t="str">
        <f>IF(P15,"Ca++","")</f>
        <v/>
      </c>
      <c r="P15" s="576"/>
    </row>
    <row r="16" spans="1:16" x14ac:dyDescent="0.35">
      <c r="B16" s="271" t="str">
        <f>IF(C16,"Mg++","")</f>
        <v/>
      </c>
      <c r="C16" s="576"/>
      <c r="D16" s="271" t="str">
        <f>IF(E16,"Mg++","")</f>
        <v/>
      </c>
      <c r="E16" s="576"/>
      <c r="F16" s="271" t="str">
        <f>IF(G16,"Mg++","")</f>
        <v/>
      </c>
      <c r="G16" s="576"/>
      <c r="H16" s="271" t="str">
        <f>IF(I16,"Mg++","")</f>
        <v/>
      </c>
      <c r="I16" s="576"/>
      <c r="K16" s="271" t="str">
        <f>IF(L16,"Mg++","")</f>
        <v/>
      </c>
      <c r="L16" s="576"/>
      <c r="M16" s="271" t="str">
        <f>IF(N16,"Mg++","")</f>
        <v/>
      </c>
      <c r="N16" s="576"/>
      <c r="O16" s="271" t="str">
        <f>IF(P16,"Mg++","")</f>
        <v/>
      </c>
      <c r="P16" s="576"/>
    </row>
    <row r="17" spans="2:16" x14ac:dyDescent="0.35">
      <c r="B17" s="271" t="str">
        <f>IF(C17,"Fosfaat","")</f>
        <v/>
      </c>
      <c r="C17" s="576"/>
      <c r="D17" s="271" t="str">
        <f>IF(E17,"Fosfaat","")</f>
        <v/>
      </c>
      <c r="E17" s="576"/>
      <c r="F17" s="271" t="str">
        <f>IF(G17,"Fosfaat","")</f>
        <v/>
      </c>
      <c r="G17" s="576"/>
      <c r="H17" s="271" t="str">
        <f>IF(I17,"Fosfaat","")</f>
        <v/>
      </c>
      <c r="I17" s="576"/>
      <c r="K17" s="271" t="str">
        <f>IF(L17,"Fosfaat","")</f>
        <v/>
      </c>
      <c r="L17" s="576"/>
      <c r="M17" s="271" t="str">
        <f>IF(N17,"Fosfaat","")</f>
        <v/>
      </c>
      <c r="N17" s="576"/>
      <c r="O17" s="271" t="str">
        <f>IF(P17,"Fosfaat","")</f>
        <v/>
      </c>
      <c r="P17" s="576"/>
    </row>
    <row r="18" spans="2:16" x14ac:dyDescent="0.35">
      <c r="B18" s="271" t="str">
        <f>IF(C18,"Alb","")</f>
        <v/>
      </c>
      <c r="C18" s="576"/>
      <c r="D18" s="271" t="str">
        <f>IF(E18,"Alb","")</f>
        <v/>
      </c>
      <c r="E18" s="576"/>
      <c r="F18" s="271" t="str">
        <f>IF(G18,"Alb","")</f>
        <v/>
      </c>
      <c r="G18" s="576"/>
      <c r="H18" s="271" t="str">
        <f>IF(I18,"Alb","")</f>
        <v/>
      </c>
      <c r="I18" s="576"/>
      <c r="K18" s="271" t="str">
        <f>IF(L18,"Alb","")</f>
        <v/>
      </c>
      <c r="L18" s="576"/>
      <c r="M18" s="271" t="str">
        <f>IF(N18,"Alb","")</f>
        <v/>
      </c>
      <c r="N18" s="576"/>
      <c r="O18" s="271" t="str">
        <f>IF(P18,"Alb","")</f>
        <v/>
      </c>
      <c r="P18" s="576"/>
    </row>
    <row r="19" spans="2:16" x14ac:dyDescent="0.35">
      <c r="B19" s="271" t="str">
        <f>IF(C19,"Ca","")</f>
        <v/>
      </c>
      <c r="C19" s="576"/>
      <c r="D19" s="271" t="str">
        <f>IF(E19,"Ca","")</f>
        <v/>
      </c>
      <c r="E19" s="576"/>
      <c r="F19" s="271" t="str">
        <f>IF(G19,"Ca","")</f>
        <v/>
      </c>
      <c r="G19" s="576"/>
      <c r="H19" s="271" t="str">
        <f>IF(I19,"Ca","")</f>
        <v/>
      </c>
      <c r="I19" s="576"/>
      <c r="K19" s="271" t="str">
        <f>IF(L19,"Ca","")</f>
        <v/>
      </c>
      <c r="L19" s="576"/>
      <c r="M19" s="271" t="str">
        <f>IF(N19,"Ca","")</f>
        <v/>
      </c>
      <c r="N19" s="576"/>
      <c r="O19" s="271" t="str">
        <f>IF(P19,"Ca","")</f>
        <v/>
      </c>
      <c r="P19" s="576"/>
    </row>
    <row r="20" spans="2:16" x14ac:dyDescent="0.35">
      <c r="B20" s="271" t="str">
        <f>IF(C20,"ASAT","")</f>
        <v/>
      </c>
      <c r="C20" s="576"/>
      <c r="D20" s="271" t="str">
        <f>IF(E20,"ASAT","")</f>
        <v/>
      </c>
      <c r="E20" s="576"/>
      <c r="F20" s="271" t="str">
        <f>IF(G20,"ASAT","")</f>
        <v/>
      </c>
      <c r="G20" s="576"/>
      <c r="H20" s="271" t="str">
        <f>IF(I20,"ASAT","")</f>
        <v/>
      </c>
      <c r="I20" s="576"/>
      <c r="K20" s="271" t="str">
        <f>IF(L20,"ASAT","")</f>
        <v/>
      </c>
      <c r="L20" s="576"/>
      <c r="M20" s="271" t="str">
        <f>IF(N20,"ASAT","")</f>
        <v/>
      </c>
      <c r="N20" s="576"/>
      <c r="O20" s="271" t="str">
        <f>IF(P20,"ASAT","")</f>
        <v/>
      </c>
      <c r="P20" s="576"/>
    </row>
    <row r="21" spans="2:16" x14ac:dyDescent="0.35">
      <c r="B21" s="271" t="str">
        <f>IF(C21,"ALAT","")</f>
        <v/>
      </c>
      <c r="C21" s="576"/>
      <c r="D21" s="271" t="str">
        <f>IF(E21,"ALAT","")</f>
        <v/>
      </c>
      <c r="E21" s="576"/>
      <c r="F21" s="271" t="str">
        <f>IF(G21,"ALAT","")</f>
        <v/>
      </c>
      <c r="G21" s="576"/>
      <c r="H21" s="271" t="str">
        <f>IF(I21,"ALAT","")</f>
        <v/>
      </c>
      <c r="I21" s="576"/>
      <c r="K21" s="271" t="str">
        <f>IF(L21,"Alat","")</f>
        <v/>
      </c>
      <c r="L21" s="576"/>
      <c r="M21" s="271" t="str">
        <f>IF(N21,"ALAT","")</f>
        <v/>
      </c>
      <c r="N21" s="576"/>
      <c r="O21" s="271" t="str">
        <f>IF(P21,"ALAT","")</f>
        <v/>
      </c>
      <c r="P21" s="576"/>
    </row>
    <row r="22" spans="2:16" x14ac:dyDescent="0.35">
      <c r="B22" s="271" t="str">
        <f>IF(C22,"GGT","")</f>
        <v/>
      </c>
      <c r="C22" s="576"/>
      <c r="D22" s="271" t="str">
        <f>IF(E22,"GGT","")</f>
        <v/>
      </c>
      <c r="E22" s="576"/>
      <c r="F22" s="271" t="str">
        <f>IF(G22,"GGT","")</f>
        <v/>
      </c>
      <c r="G22" s="576"/>
      <c r="H22" s="271" t="str">
        <f>IF(I22,"GGT","")</f>
        <v/>
      </c>
      <c r="I22" s="576"/>
      <c r="K22" s="271" t="str">
        <f>IF(L22,"GGT","")</f>
        <v/>
      </c>
      <c r="L22" s="576"/>
      <c r="M22" s="271" t="str">
        <f>IF(N22,"GGT","")</f>
        <v/>
      </c>
      <c r="N22" s="576"/>
      <c r="O22" s="271" t="str">
        <f>IF(P22,"GGT","")</f>
        <v/>
      </c>
      <c r="P22" s="576"/>
    </row>
    <row r="23" spans="2:16" x14ac:dyDescent="0.35">
      <c r="B23" s="271" t="str">
        <f>IF(C23,"AF","")</f>
        <v/>
      </c>
      <c r="C23" s="576"/>
      <c r="D23" s="271" t="str">
        <f>IF(E23,"AF","")</f>
        <v/>
      </c>
      <c r="E23" s="576"/>
      <c r="F23" s="271" t="str">
        <f>IF(G23,"AF","")</f>
        <v/>
      </c>
      <c r="G23" s="576"/>
      <c r="H23" s="271" t="str">
        <f>IF(I23,"AF","")</f>
        <v/>
      </c>
      <c r="I23" s="576"/>
      <c r="K23" s="271" t="str">
        <f>IF(L23,"AF","")</f>
        <v/>
      </c>
      <c r="L23" s="576"/>
      <c r="M23" s="271" t="str">
        <f>IF(N23,"AF","")</f>
        <v/>
      </c>
      <c r="N23" s="576"/>
      <c r="O23" s="271" t="str">
        <f>IF(P23,"AF","")</f>
        <v/>
      </c>
      <c r="P23" s="576"/>
    </row>
    <row r="24" spans="2:16" x14ac:dyDescent="0.35">
      <c r="B24" s="271" t="str">
        <f>IF(C24,"LDH","")</f>
        <v/>
      </c>
      <c r="C24" s="576"/>
      <c r="D24" s="271" t="str">
        <f>IF(E24,"LDH","")</f>
        <v/>
      </c>
      <c r="E24" s="576"/>
      <c r="F24" s="271" t="str">
        <f>IF(G24,"LDH","")</f>
        <v/>
      </c>
      <c r="G24" s="576"/>
      <c r="H24" s="271" t="str">
        <f>IF(I24,"LDH","")</f>
        <v/>
      </c>
      <c r="I24" s="576"/>
      <c r="K24" s="271" t="str">
        <f>IF(L24,"LDH","")</f>
        <v/>
      </c>
      <c r="L24" s="576"/>
      <c r="M24" s="271" t="str">
        <f>IF(N24,"LDH","")</f>
        <v/>
      </c>
      <c r="N24" s="576"/>
      <c r="O24" s="271" t="str">
        <f>IF(P24,"LDH","")</f>
        <v/>
      </c>
      <c r="P24" s="576"/>
    </row>
    <row r="25" spans="2:16" x14ac:dyDescent="0.35">
      <c r="B25" s="271" t="str">
        <f>IF(C25,"Bili","")</f>
        <v/>
      </c>
      <c r="C25" s="576"/>
      <c r="D25" s="271" t="str">
        <f>IF(E25,"Bili","")</f>
        <v/>
      </c>
      <c r="E25" s="576"/>
      <c r="F25" s="271" t="str">
        <f>IF(G25,"Bili","")</f>
        <v/>
      </c>
      <c r="G25" s="576"/>
      <c r="H25" s="271" t="str">
        <f>IF(I25,"Bili","")</f>
        <v/>
      </c>
      <c r="I25" s="576"/>
      <c r="K25" s="271" t="str">
        <f>IF(L25,"Blil","")</f>
        <v/>
      </c>
      <c r="L25" s="576"/>
      <c r="M25" s="271" t="str">
        <f>IF(N25,"Bili","")</f>
        <v/>
      </c>
      <c r="N25" s="576"/>
      <c r="O25" s="271" t="str">
        <f>IF(P25,"Bili","")</f>
        <v/>
      </c>
      <c r="P25" s="576"/>
    </row>
    <row r="26" spans="2:16" x14ac:dyDescent="0.35">
      <c r="B26" s="271" t="str">
        <f>IF(C26,"CK","")</f>
        <v/>
      </c>
      <c r="C26" s="576"/>
      <c r="D26" s="271" t="str">
        <f>IF(E26,"CK","")</f>
        <v/>
      </c>
      <c r="E26" s="576"/>
      <c r="F26" s="271" t="str">
        <f>IF(G26,"CK","")</f>
        <v/>
      </c>
      <c r="G26" s="576"/>
      <c r="H26" s="271" t="str">
        <f>IF(I26,"CK","")</f>
        <v/>
      </c>
      <c r="I26" s="576"/>
      <c r="K26" s="271" t="str">
        <f>IF(L26,"CK","")</f>
        <v/>
      </c>
      <c r="L26" s="576"/>
      <c r="M26" s="271" t="str">
        <f>IF(N26,"CK","")</f>
        <v/>
      </c>
      <c r="N26" s="576"/>
      <c r="O26" s="271" t="str">
        <f>IF(P26,"CK","")</f>
        <v/>
      </c>
      <c r="P26" s="576"/>
    </row>
    <row r="27" spans="2:16" x14ac:dyDescent="0.35">
      <c r="B27" s="271" t="str">
        <f>IF(C27,"TG","")</f>
        <v/>
      </c>
      <c r="C27" s="576"/>
      <c r="D27" s="271" t="str">
        <f>IF(E27,"TG","")</f>
        <v/>
      </c>
      <c r="E27" s="576"/>
      <c r="F27" s="271" t="str">
        <f>IF(G27,"TG","")</f>
        <v/>
      </c>
      <c r="G27" s="576"/>
      <c r="H27" s="271" t="str">
        <f>IF(I27,"TG","")</f>
        <v/>
      </c>
      <c r="I27" s="576"/>
      <c r="K27" s="271" t="str">
        <f>IF(L27,"TG","")</f>
        <v/>
      </c>
      <c r="L27" s="576"/>
      <c r="M27" s="271" t="str">
        <f>IF(N27,"TG","")</f>
        <v/>
      </c>
      <c r="N27" s="576"/>
      <c r="O27" s="271" t="str">
        <f>IF(P27,"TG","")</f>
        <v/>
      </c>
      <c r="P27" s="576"/>
    </row>
    <row r="28" spans="2:16" x14ac:dyDescent="0.35">
      <c r="B28" s="271" t="str">
        <f>IF(C28,"BG","")</f>
        <v/>
      </c>
      <c r="C28" s="576"/>
      <c r="D28" s="271" t="str">
        <f>IF(E28,"BG","")</f>
        <v/>
      </c>
      <c r="E28" s="576"/>
      <c r="F28" s="271" t="str">
        <f>IF(G28,"BG","")</f>
        <v/>
      </c>
      <c r="G28" s="576"/>
      <c r="H28" s="271" t="str">
        <f>IF(I28,"BG","")</f>
        <v/>
      </c>
      <c r="I28" s="576"/>
      <c r="K28" s="271" t="str">
        <f>IF(L28,"BG","")</f>
        <v/>
      </c>
      <c r="L28" s="576"/>
      <c r="M28" s="271" t="str">
        <f>IF(N28,"BG","")</f>
        <v/>
      </c>
      <c r="N28" s="576"/>
      <c r="O28" s="271" t="str">
        <f>IF(P28,"BG","")</f>
        <v/>
      </c>
      <c r="P28" s="576"/>
    </row>
    <row r="29" spans="2:16" x14ac:dyDescent="0.35">
      <c r="B29" s="271" t="str">
        <f>IF(C29,"PT","")</f>
        <v/>
      </c>
      <c r="C29" s="576"/>
      <c r="D29" s="271" t="str">
        <f>IF(E29,"PT","")</f>
        <v/>
      </c>
      <c r="E29" s="576"/>
      <c r="F29" s="271" t="str">
        <f>IF(G29,"PT","")</f>
        <v/>
      </c>
      <c r="G29" s="576"/>
      <c r="H29" s="271" t="str">
        <f>IF(I29,"PT","")</f>
        <v/>
      </c>
      <c r="I29" s="576"/>
      <c r="K29" s="271" t="str">
        <f>IF(L29,"PT","")</f>
        <v/>
      </c>
      <c r="L29" s="576"/>
      <c r="M29" s="271" t="str">
        <f>IF(N29,"PT","")</f>
        <v/>
      </c>
      <c r="N29" s="576"/>
      <c r="O29" s="271" t="str">
        <f>IF(P29,"PT","")</f>
        <v/>
      </c>
      <c r="P29" s="576"/>
    </row>
    <row r="30" spans="2:16" x14ac:dyDescent="0.35">
      <c r="B30" s="271" t="str">
        <f>IF(C30,"APTT","")</f>
        <v/>
      </c>
      <c r="C30" s="576"/>
      <c r="D30" s="271" t="str">
        <f>IF(E30,"APTT","")</f>
        <v/>
      </c>
      <c r="E30" s="576"/>
      <c r="F30" s="271" t="str">
        <f>IF(G30,"APTT","")</f>
        <v/>
      </c>
      <c r="G30" s="576"/>
      <c r="H30" s="271" t="str">
        <f>IF(I30,"APTT","")</f>
        <v/>
      </c>
      <c r="I30" s="576"/>
      <c r="K30" s="271" t="str">
        <f>IF(L30,"APTT","")</f>
        <v/>
      </c>
      <c r="L30" s="576"/>
      <c r="M30" s="271" t="str">
        <f>IF(N30,"APTT","")</f>
        <v/>
      </c>
      <c r="N30" s="576"/>
      <c r="O30" s="271" t="str">
        <f>IF(P30,"APTT","")</f>
        <v/>
      </c>
      <c r="P30" s="576"/>
    </row>
    <row r="31" spans="2:16" x14ac:dyDescent="0.35">
      <c r="B31" s="271" t="str">
        <f>IF(C31,"d-dimeren","")</f>
        <v/>
      </c>
      <c r="C31" s="576"/>
      <c r="D31" s="271" t="str">
        <f>IF(E31,"d-dimeren","")</f>
        <v/>
      </c>
      <c r="E31" s="576"/>
      <c r="F31" s="271" t="str">
        <f>IF(G31,"d-dimeren","")</f>
        <v/>
      </c>
      <c r="G31" s="576"/>
      <c r="H31" s="271" t="str">
        <f>IF(I31,"d-dimeren","")</f>
        <v/>
      </c>
      <c r="I31" s="576"/>
      <c r="K31" s="271" t="str">
        <f>IF(L31,"d-dimeren","")</f>
        <v/>
      </c>
      <c r="L31" s="576"/>
      <c r="M31" s="271" t="str">
        <f>IF(N31,"d-dimeren","")</f>
        <v/>
      </c>
      <c r="N31" s="576"/>
      <c r="O31" s="271" t="str">
        <f>IF(P31,"d-dimeren","")</f>
        <v/>
      </c>
      <c r="P31" s="576"/>
    </row>
    <row r="32" spans="2:16" x14ac:dyDescent="0.35">
      <c r="B32" s="271" t="str">
        <f>IF(C32,"INR","")</f>
        <v/>
      </c>
      <c r="C32" s="576"/>
      <c r="D32" s="271" t="str">
        <f>IF(E32,"INR","")</f>
        <v/>
      </c>
      <c r="E32" s="576"/>
      <c r="F32" s="271" t="str">
        <f t="shared" ref="F32" si="1">IF(G32,"INR","")</f>
        <v/>
      </c>
      <c r="G32" s="576"/>
      <c r="H32" s="271" t="str">
        <f t="shared" ref="H32" si="2">IF(I32,"INR","")</f>
        <v/>
      </c>
      <c r="I32" s="576"/>
      <c r="K32" s="271" t="str">
        <f t="shared" ref="K32:K35" si="3">IF(L32,"INR","")</f>
        <v/>
      </c>
      <c r="L32" s="576"/>
      <c r="M32" s="271" t="str">
        <f>IF(N32,"INR","")</f>
        <v/>
      </c>
      <c r="N32" s="576"/>
      <c r="O32" s="271" t="str">
        <f>IF(P32,"INR","")</f>
        <v/>
      </c>
      <c r="P32" s="576"/>
    </row>
    <row r="33" spans="2:16" x14ac:dyDescent="0.35">
      <c r="B33" s="271" t="str">
        <f>IF(C33,"Hep-ratio","")</f>
        <v/>
      </c>
      <c r="C33" s="576"/>
      <c r="D33" s="271" t="str">
        <f>IF(E33,"Hep-ratio","")</f>
        <v/>
      </c>
      <c r="E33" s="576"/>
      <c r="F33" s="271" t="str">
        <f>IF(G33,"Hep-ratio","")</f>
        <v/>
      </c>
      <c r="G33" s="576"/>
      <c r="H33" s="271" t="str">
        <f>IF(I33,"Hep-ratio","")</f>
        <v/>
      </c>
      <c r="I33" s="576"/>
      <c r="K33" s="271" t="str">
        <f>IF(L33,"Hep-ratio","")</f>
        <v/>
      </c>
      <c r="L33" s="576"/>
      <c r="M33" s="271" t="str">
        <f>IF(N33,"Hep-ratio","")</f>
        <v/>
      </c>
      <c r="N33" s="576"/>
      <c r="O33" s="271" t="str">
        <f>IF(P33,"Hep-ratio","")</f>
        <v/>
      </c>
      <c r="P33" s="576"/>
    </row>
    <row r="34" spans="2:16" x14ac:dyDescent="0.35">
      <c r="B34" s="271" t="str">
        <f>IF(C34,"BNP","")</f>
        <v/>
      </c>
      <c r="C34" s="576"/>
      <c r="D34" s="271" t="str">
        <f>IF(E34,"BNP","")</f>
        <v/>
      </c>
      <c r="E34" s="576"/>
      <c r="F34" s="271" t="str">
        <f>IF(G34,"BNP","")</f>
        <v/>
      </c>
      <c r="G34" s="576"/>
      <c r="H34" s="271" t="str">
        <f>IF(I34,"BNP","")</f>
        <v/>
      </c>
      <c r="I34" s="576"/>
      <c r="K34" s="271" t="str">
        <f>IF(L34,"BNP","")</f>
        <v/>
      </c>
      <c r="L34" s="576"/>
      <c r="M34" s="271" t="str">
        <f>IF(N34,"BNP","")</f>
        <v/>
      </c>
      <c r="N34" s="576"/>
      <c r="O34" s="271" t="str">
        <f>IF(P34,"BNP","")</f>
        <v/>
      </c>
      <c r="P34" s="576"/>
    </row>
    <row r="35" spans="2:16" x14ac:dyDescent="0.35">
      <c r="B35" s="271" t="str">
        <f>IF(C35,"ACT","")</f>
        <v/>
      </c>
      <c r="C35" s="576"/>
      <c r="K35" s="271" t="str">
        <f t="shared" si="3"/>
        <v/>
      </c>
    </row>
  </sheetData>
  <pageMargins left="0.75" right="0.75" top="1" bottom="1" header="0.5" footer="0.5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AanvullendeAfsprakenPed">
    <tabColor rgb="FF7030A0"/>
  </sheetPr>
  <dimension ref="A1:Q77"/>
  <sheetViews>
    <sheetView workbookViewId="0">
      <pane ySplit="4" topLeftCell="A5" activePane="bottomLeft" state="frozen"/>
      <selection pane="bottomLeft" activeCell="A6" sqref="A6"/>
    </sheetView>
  </sheetViews>
  <sheetFormatPr defaultColWidth="9.1328125" defaultRowHeight="12.85" x14ac:dyDescent="0.35"/>
  <cols>
    <col min="1" max="1" width="9.86328125" style="557" customWidth="1"/>
    <col min="2" max="2" width="25" style="557" customWidth="1"/>
    <col min="3" max="3" width="16.265625" style="557" customWidth="1"/>
    <col min="4" max="4" width="16.73046875" style="557" customWidth="1"/>
    <col min="5" max="5" width="15" style="557" bestFit="1" customWidth="1"/>
    <col min="6" max="6" width="21.86328125" style="557" bestFit="1" customWidth="1"/>
    <col min="7" max="7" width="21.59765625" style="557" customWidth="1"/>
    <col min="8" max="8" width="11.59765625" style="557" customWidth="1"/>
    <col min="9" max="9" width="27" style="557" customWidth="1"/>
    <col min="10" max="10" width="15.59765625" style="557" customWidth="1"/>
    <col min="11" max="11" width="13" style="557" customWidth="1"/>
    <col min="12" max="45" width="9.1328125" style="557" customWidth="1"/>
    <col min="46" max="16384" width="9.1328125" style="557"/>
  </cols>
  <sheetData>
    <row r="1" spans="1:17" s="564" customFormat="1" x14ac:dyDescent="0.35">
      <c r="A1" s="586"/>
    </row>
    <row r="2" spans="1:17" s="564" customFormat="1" ht="17.25" customHeight="1" x14ac:dyDescent="0.4">
      <c r="B2" s="565" t="s">
        <v>623</v>
      </c>
      <c r="C2" s="566" t="e">
        <f ca="1">AfspraakDatum</f>
        <v>#NAME?</v>
      </c>
      <c r="D2" s="567"/>
      <c r="E2" s="565" t="s">
        <v>624</v>
      </c>
      <c r="F2" s="568">
        <f>OpnDatum</f>
        <v>42370</v>
      </c>
      <c r="G2" s="565" t="e">
        <f ca="1">"ICU-dag: "&amp;AfspraakDatum-OpnDatum+1</f>
        <v>#NAME?</v>
      </c>
      <c r="H2" s="565"/>
      <c r="I2" s="565" t="s">
        <v>1002</v>
      </c>
      <c r="J2" s="569">
        <f>BedNummer</f>
        <v>0</v>
      </c>
    </row>
    <row r="3" spans="1:17" s="564" customFormat="1" ht="17.25" customHeight="1" x14ac:dyDescent="0.4">
      <c r="B3" s="565" t="s">
        <v>54</v>
      </c>
      <c r="C3" s="570" t="str">
        <f>_AchterNaam&amp;", "&amp;_VoorNaam</f>
        <v>Achternaam, Voornaam</v>
      </c>
      <c r="D3" s="570"/>
      <c r="E3" s="565" t="s">
        <v>638</v>
      </c>
      <c r="F3" s="568">
        <f>GebDatum</f>
        <v>42370</v>
      </c>
      <c r="G3" s="569" t="str">
        <f>"Gewicht: "&amp;Gewicht/10&amp;" kg"</f>
        <v>Gewicht: 10 kg</v>
      </c>
      <c r="H3" s="565"/>
      <c r="I3" s="569" t="str">
        <f>"Lengte: "&amp;Lengte&amp;" cm"</f>
        <v>Lengte: 80 cm</v>
      </c>
      <c r="J3" s="565"/>
    </row>
    <row r="4" spans="1:17" s="564" customFormat="1" ht="17.25" customHeight="1" x14ac:dyDescent="0.4">
      <c r="A4" s="571"/>
      <c r="B4" s="565" t="s">
        <v>707</v>
      </c>
      <c r="C4" s="569">
        <f>PatNummer</f>
        <v>0</v>
      </c>
      <c r="D4" s="567"/>
      <c r="E4" s="565" t="s">
        <v>573</v>
      </c>
      <c r="F4" s="572" t="e">
        <f ca="1">TRUNC((AfspraakDatum-GebDatum)/365,0)&amp;" jaar en "&amp;TRUNC(((AfspraakDatum-GebDatum)-365*TRUNC((AfspraakDatum-GebDatum)/365,0))/30,0)&amp;" maand(-en)"</f>
        <v>#NAME?</v>
      </c>
      <c r="G4" s="565"/>
      <c r="I4" s="565" t="str">
        <f>"Lichamelijk oppervlak: "&amp;ROUND(POWER(Gewicht/10,0.425)*POWER(((Lengte/100)*100),0.725)*0.007184,2)&amp;" m2"</f>
        <v>Lichamelijk oppervlak: 0,46 m2</v>
      </c>
      <c r="J4" s="565"/>
    </row>
    <row r="6" spans="1:17" ht="13.2" x14ac:dyDescent="0.4">
      <c r="A6" s="579"/>
      <c r="B6" s="556" t="s">
        <v>1474</v>
      </c>
      <c r="F6" s="556" t="s">
        <v>1481</v>
      </c>
      <c r="H6" s="556"/>
      <c r="Q6" s="560"/>
    </row>
    <row r="7" spans="1:17" ht="18" customHeight="1" x14ac:dyDescent="0.35">
      <c r="Q7" s="560"/>
    </row>
    <row r="8" spans="1:17" ht="18" customHeight="1" x14ac:dyDescent="0.35">
      <c r="C8" s="615" t="str">
        <f>IF(ber_AanvullendeAfsprakenPed!C7=0,"",ber_AanvullendeAfsprakenPed!C7)</f>
        <v/>
      </c>
      <c r="G8" s="574"/>
      <c r="Q8" s="560"/>
    </row>
    <row r="9" spans="1:17" ht="18" customHeight="1" x14ac:dyDescent="0.35">
      <c r="C9" s="615" t="str">
        <f>IF(ber_AanvullendeAfsprakenPed!C8=0,"",ber_AanvullendeAfsprakenPed!C8)</f>
        <v/>
      </c>
      <c r="G9" s="548" t="str">
        <f>CONCATENATE("à ",ber_AanvullendeAfsprakenPed!G16," uur")</f>
        <v>à  uur</v>
      </c>
      <c r="H9"/>
    </row>
    <row r="10" spans="1:17" ht="18" customHeight="1" x14ac:dyDescent="0.35">
      <c r="C10" s="615" t="str">
        <f>IF(ber_AanvullendeAfsprakenPed!C9=0,"",ber_AanvullendeAfsprakenPed!C9)</f>
        <v/>
      </c>
      <c r="G10" s="548" t="str">
        <f>CONCATENATE("à ",ber_AanvullendeAfsprakenPed!G18," uur")</f>
        <v>à  uur</v>
      </c>
      <c r="H10" s="622" t="s">
        <v>1747</v>
      </c>
      <c r="I10" s="623" t="str">
        <f>IF(Aanvullend_Verliezen_Ped=0,"",Aanvullend_Verliezen_Ped)</f>
        <v/>
      </c>
      <c r="J10" s="620"/>
      <c r="K10" s="620"/>
    </row>
    <row r="11" spans="1:17" ht="18" customHeight="1" x14ac:dyDescent="0.35">
      <c r="C11" s="573" t="str">
        <f>CONCATENATE(ber_AanvullendeAfsprakenPed!$B$12," dd")</f>
        <v xml:space="preserve"> dd</v>
      </c>
      <c r="D11" s="574"/>
      <c r="F11" s="582"/>
      <c r="I11" s="620"/>
      <c r="J11" s="620"/>
      <c r="K11" s="620"/>
    </row>
    <row r="12" spans="1:17" ht="18" customHeight="1" x14ac:dyDescent="0.35">
      <c r="F12" s="582"/>
      <c r="I12" s="620"/>
      <c r="J12" s="620"/>
      <c r="K12" s="620"/>
    </row>
    <row r="13" spans="1:17" ht="18" customHeight="1" x14ac:dyDescent="0.35">
      <c r="F13" s="582"/>
      <c r="I13" s="621"/>
      <c r="M13" s="560"/>
    </row>
    <row r="14" spans="1:17" ht="18" customHeight="1" x14ac:dyDescent="0.35">
      <c r="F14" s="582"/>
      <c r="M14" s="560"/>
    </row>
    <row r="15" spans="1:17" ht="18" customHeight="1" x14ac:dyDescent="0.35">
      <c r="F15" s="582"/>
    </row>
    <row r="16" spans="1:17" ht="18" customHeight="1" x14ac:dyDescent="0.35">
      <c r="F16" s="582"/>
      <c r="M16" s="560"/>
    </row>
    <row r="17" spans="1:14" ht="18" customHeight="1" x14ac:dyDescent="0.35">
      <c r="F17" s="582" t="s">
        <v>1655</v>
      </c>
      <c r="M17" s="560"/>
    </row>
    <row r="18" spans="1:14" ht="18" customHeight="1" x14ac:dyDescent="0.35">
      <c r="C18" s="573" t="str">
        <f>CONCATENATE(ber_AanvullendeAfsprakenPed!$C$42," dd")</f>
        <v xml:space="preserve"> dd</v>
      </c>
      <c r="F18" s="872" t="str">
        <f>IF(Aanvullend_Overige_Ped=0,"",Aanvullend_Overige_Ped)</f>
        <v/>
      </c>
      <c r="G18" s="872"/>
      <c r="H18" s="872"/>
      <c r="K18" s="573"/>
      <c r="M18" s="560"/>
      <c r="N18" s="560"/>
    </row>
    <row r="19" spans="1:14" ht="18" customHeight="1" x14ac:dyDescent="0.35">
      <c r="C19" s="573" t="str">
        <f>CONCATENATE(ber_AanvullendeAfsprakenPed!$C$43," dd")</f>
        <v xml:space="preserve"> dd</v>
      </c>
      <c r="F19" s="872"/>
      <c r="G19" s="872"/>
      <c r="H19" s="872"/>
      <c r="K19" s="574"/>
      <c r="N19" s="560"/>
    </row>
    <row r="20" spans="1:14" ht="18" customHeight="1" x14ac:dyDescent="0.35">
      <c r="F20" s="872"/>
      <c r="G20" s="872"/>
      <c r="H20" s="872"/>
      <c r="K20" s="573"/>
      <c r="M20" s="560"/>
      <c r="N20" s="560"/>
    </row>
    <row r="21" spans="1:14" ht="18" customHeight="1" x14ac:dyDescent="0.35">
      <c r="F21" s="582"/>
      <c r="G21" s="608"/>
      <c r="H21" s="581"/>
      <c r="M21" s="560"/>
      <c r="N21" s="560"/>
    </row>
    <row r="22" spans="1:14" ht="18" customHeight="1" x14ac:dyDescent="0.4">
      <c r="B22" s="556" t="s">
        <v>1480</v>
      </c>
      <c r="F22" s="582"/>
      <c r="G22" s="608"/>
      <c r="H22" s="581"/>
      <c r="M22" s="560"/>
    </row>
    <row r="23" spans="1:14" ht="18" customHeight="1" x14ac:dyDescent="0.35">
      <c r="F23" s="582"/>
      <c r="G23" s="608"/>
      <c r="H23" s="581"/>
      <c r="M23" s="560"/>
    </row>
    <row r="24" spans="1:14" ht="18" customHeight="1" x14ac:dyDescent="0.35">
      <c r="F24" s="582"/>
    </row>
    <row r="25" spans="1:14" ht="18" customHeight="1" x14ac:dyDescent="0.35"/>
    <row r="26" spans="1:14" ht="18" customHeight="1" x14ac:dyDescent="0.35"/>
    <row r="27" spans="1:14" ht="18" customHeight="1" x14ac:dyDescent="0.35"/>
    <row r="28" spans="1:14" ht="18" customHeight="1" x14ac:dyDescent="0.4">
      <c r="B28" s="556" t="s">
        <v>1723</v>
      </c>
    </row>
    <row r="29" spans="1:14" ht="18" customHeight="1" x14ac:dyDescent="0.35">
      <c r="A29" s="517"/>
    </row>
    <row r="30" spans="1:14" ht="18" customHeight="1" x14ac:dyDescent="0.35">
      <c r="A30" s="517"/>
      <c r="E30" s="582"/>
    </row>
    <row r="31" spans="1:14" ht="18" customHeight="1" x14ac:dyDescent="0.35">
      <c r="A31" s="517"/>
      <c r="E31" s="582"/>
      <c r="M31" s="560"/>
    </row>
    <row r="32" spans="1:14" ht="18" customHeight="1" x14ac:dyDescent="0.35">
      <c r="A32" s="517"/>
      <c r="B32" s="518"/>
      <c r="C32" s="518"/>
      <c r="D32" s="517"/>
      <c r="E32" s="517"/>
      <c r="M32" s="560"/>
    </row>
    <row r="33" spans="2:13" ht="18" customHeight="1" x14ac:dyDescent="0.35">
      <c r="B33" s="518"/>
      <c r="C33" s="518"/>
      <c r="D33" s="517"/>
      <c r="E33" s="517"/>
      <c r="M33" s="560"/>
    </row>
    <row r="34" spans="2:13" ht="18" customHeight="1" x14ac:dyDescent="0.35">
      <c r="B34" s="518"/>
      <c r="C34" s="518"/>
      <c r="D34" s="517"/>
      <c r="E34" s="517"/>
      <c r="M34" s="560"/>
    </row>
    <row r="35" spans="2:13" ht="18" customHeight="1" x14ac:dyDescent="0.35">
      <c r="B35" s="518"/>
      <c r="C35" s="518"/>
      <c r="D35" s="616">
        <f>ber_AanvullendeAfsprakenPed!D40</f>
        <v>0</v>
      </c>
      <c r="E35" s="517" t="s">
        <v>1725</v>
      </c>
      <c r="M35" s="560"/>
    </row>
    <row r="36" spans="2:13" ht="18" customHeight="1" x14ac:dyDescent="0.35">
      <c r="E36" s="582"/>
      <c r="M36" s="560"/>
    </row>
    <row r="37" spans="2:13" ht="18" customHeight="1" x14ac:dyDescent="0.35">
      <c r="M37" s="560"/>
    </row>
    <row r="38" spans="2:13" ht="18" customHeight="1" x14ac:dyDescent="0.35">
      <c r="E38" s="582"/>
      <c r="M38" s="560"/>
    </row>
    <row r="39" spans="2:13" ht="18" customHeight="1" x14ac:dyDescent="0.35">
      <c r="M39" s="560"/>
    </row>
    <row r="40" spans="2:13" ht="18" customHeight="1" x14ac:dyDescent="0.4">
      <c r="B40" s="556" t="s">
        <v>1319</v>
      </c>
      <c r="M40" s="560"/>
    </row>
    <row r="41" spans="2:13" ht="18" customHeight="1" x14ac:dyDescent="0.35">
      <c r="B41" s="560" t="s">
        <v>1474</v>
      </c>
      <c r="C41" s="557" t="str">
        <f>IFERROR(LEFT(_Aanvullend_Controles_Ped,LEN(_Aanvullend_Controles_Ped)-3),"")</f>
        <v/>
      </c>
      <c r="M41" s="560"/>
    </row>
    <row r="42" spans="2:13" ht="18" customHeight="1" x14ac:dyDescent="0.35">
      <c r="B42" s="560" t="s">
        <v>1480</v>
      </c>
      <c r="C42" s="557" t="str">
        <f>IFERROR(LEFT(_Aanvullend_Onderzoek_Ped,LEN(_Aanvullend_Onderzoek_Ped)-3),"")</f>
        <v/>
      </c>
    </row>
    <row r="43" spans="2:13" ht="18" customHeight="1" x14ac:dyDescent="0.35">
      <c r="B43" s="557" t="s">
        <v>1723</v>
      </c>
      <c r="C43" s="557" t="str">
        <f>IFERROR(LEFT(_Aanvullend_Instellingen_Ped,LEN(_Aanvullend_Instellingen_Ped)-3),"")</f>
        <v/>
      </c>
      <c r="M43" s="560"/>
    </row>
    <row r="44" spans="2:13" ht="18" customHeight="1" x14ac:dyDescent="0.35">
      <c r="B44" s="560" t="s">
        <v>1332</v>
      </c>
      <c r="C44" s="557" t="str">
        <f>IFERROR(LEFT(_Aanvullend_Overig_Ped,LEN(_Aanvullend_Overig_Ped)-3),"")</f>
        <v/>
      </c>
      <c r="M44" s="560"/>
    </row>
    <row r="45" spans="2:13" ht="18" customHeight="1" x14ac:dyDescent="0.35">
      <c r="M45" s="560"/>
    </row>
    <row r="46" spans="2:13" ht="18" customHeight="1" x14ac:dyDescent="0.35">
      <c r="M46" s="560"/>
    </row>
    <row r="47" spans="2:13" ht="18" customHeight="1" x14ac:dyDescent="0.35">
      <c r="M47" s="560"/>
    </row>
    <row r="48" spans="2:13" ht="18" customHeight="1" x14ac:dyDescent="0.35"/>
    <row r="49" spans="13:13" ht="18" customHeight="1" x14ac:dyDescent="0.35"/>
    <row r="50" spans="13:13" ht="18" customHeight="1" x14ac:dyDescent="0.35">
      <c r="M50" s="575"/>
    </row>
    <row r="51" spans="13:13" ht="18" customHeight="1" x14ac:dyDescent="0.35"/>
    <row r="52" spans="13:13" ht="18" customHeight="1" x14ac:dyDescent="0.35"/>
    <row r="53" spans="13:13" ht="18" customHeight="1" x14ac:dyDescent="0.35"/>
    <row r="54" spans="13:13" ht="18" customHeight="1" x14ac:dyDescent="0.35"/>
    <row r="55" spans="13:13" ht="18" customHeight="1" x14ac:dyDescent="0.35"/>
    <row r="56" spans="13:13" ht="18" customHeight="1" x14ac:dyDescent="0.35"/>
    <row r="57" spans="13:13" ht="18" customHeight="1" x14ac:dyDescent="0.35"/>
    <row r="58" spans="13:13" ht="18" customHeight="1" x14ac:dyDescent="0.35"/>
    <row r="59" spans="13:13" ht="18" customHeight="1" x14ac:dyDescent="0.35"/>
    <row r="60" spans="13:13" ht="18" customHeight="1" x14ac:dyDescent="0.35"/>
    <row r="61" spans="13:13" ht="18" customHeight="1" x14ac:dyDescent="0.35"/>
    <row r="62" spans="13:13" ht="18" customHeight="1" x14ac:dyDescent="0.35"/>
    <row r="63" spans="13:13" ht="18" customHeight="1" x14ac:dyDescent="0.35"/>
    <row r="64" spans="13:13" ht="18" customHeight="1" x14ac:dyDescent="0.35"/>
    <row r="65" ht="18" customHeight="1" x14ac:dyDescent="0.35"/>
    <row r="66" ht="18" customHeight="1" x14ac:dyDescent="0.35"/>
    <row r="67" ht="18" customHeight="1" x14ac:dyDescent="0.35"/>
    <row r="68" ht="18" customHeight="1" x14ac:dyDescent="0.35"/>
    <row r="69" ht="18" customHeight="1" x14ac:dyDescent="0.35"/>
    <row r="70" ht="18" customHeight="1" x14ac:dyDescent="0.35"/>
    <row r="71" ht="18" customHeight="1" x14ac:dyDescent="0.35"/>
    <row r="72" ht="18" customHeight="1" x14ac:dyDescent="0.35"/>
    <row r="73" ht="18" customHeight="1" x14ac:dyDescent="0.35"/>
    <row r="74" ht="18" customHeight="1" x14ac:dyDescent="0.35"/>
    <row r="75" ht="18" customHeight="1" x14ac:dyDescent="0.35"/>
    <row r="76" ht="18" customHeight="1" x14ac:dyDescent="0.35"/>
    <row r="77" ht="18" customHeight="1" x14ac:dyDescent="0.35"/>
  </sheetData>
  <sheetProtection algorithmName="SHA-512" hashValue="CZdfbFg7rhMSbOtJGzzQIYE9Y+yJWeqJn++2O9tDTOIx3hZpHWuFC/Jn4M7FahgSKiqp7vBrPbm9QE9VilFJEA==" saltValue="OV8bh/IvakNFGrWrHPNXDQ==" spinCount="100000" sheet="1" objects="1" scenarios="1" selectLockedCells="1" selectUnlockedCells="1"/>
  <mergeCells count="1">
    <mergeCell ref="F18:H2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657" r:id="rId4" name="Spinner 1">
              <controlPr defaultSize="0" autoPict="0">
                <anchor moveWithCells="1" sizeWithCells="1">
                  <from>
                    <xdr:col>9</xdr:col>
                    <xdr:colOff>411719</xdr:colOff>
                    <xdr:row>2</xdr:row>
                    <xdr:rowOff>0</xdr:rowOff>
                  </from>
                  <to>
                    <xdr:col>9</xdr:col>
                    <xdr:colOff>588854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89" r:id="rId5" name="Check Box 33">
              <controlPr defaultSize="0" autoFill="0" autoLine="0" autoPict="0">
                <anchor moveWithCells="1">
                  <from>
                    <xdr:col>5</xdr:col>
                    <xdr:colOff>9575</xdr:colOff>
                    <xdr:row>6</xdr:row>
                    <xdr:rowOff>19150</xdr:rowOff>
                  </from>
                  <to>
                    <xdr:col>5</xdr:col>
                    <xdr:colOff>1230371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1" r:id="rId6" name="Check Box 45">
              <controlPr defaultSize="0" autoFill="0" autoLine="0" autoPict="0">
                <anchor moveWithCells="1">
                  <from>
                    <xdr:col>5</xdr:col>
                    <xdr:colOff>9575</xdr:colOff>
                    <xdr:row>7</xdr:row>
                    <xdr:rowOff>19150</xdr:rowOff>
                  </from>
                  <to>
                    <xdr:col>5</xdr:col>
                    <xdr:colOff>1230371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3" r:id="rId7" name="Spinner 57">
              <controlPr defaultSize="0" autoPict="0">
                <anchor moveWithCells="1" sizeWithCells="1">
                  <from>
                    <xdr:col>2</xdr:col>
                    <xdr:colOff>531405</xdr:colOff>
                    <xdr:row>10</xdr:row>
                    <xdr:rowOff>28725</xdr:rowOff>
                  </from>
                  <to>
                    <xdr:col>2</xdr:col>
                    <xdr:colOff>713328</xdr:colOff>
                    <xdr:row>10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7" r:id="rId8" name="Check Box 61">
              <controlPr defaultSize="0" autoFill="0" autoLine="0" autoPict="0">
                <anchor moveWithCells="1">
                  <from>
                    <xdr:col>1</xdr:col>
                    <xdr:colOff>9575</xdr:colOff>
                    <xdr:row>24</xdr:row>
                    <xdr:rowOff>19150</xdr:rowOff>
                  </from>
                  <to>
                    <xdr:col>1</xdr:col>
                    <xdr:colOff>1230371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8" r:id="rId9" name="Check Box 62">
              <controlPr defaultSize="0" autoFill="0" autoLine="0" autoPict="0">
                <anchor moveWithCells="1">
                  <from>
                    <xdr:col>1</xdr:col>
                    <xdr:colOff>9575</xdr:colOff>
                    <xdr:row>25</xdr:row>
                    <xdr:rowOff>28725</xdr:rowOff>
                  </from>
                  <to>
                    <xdr:col>1</xdr:col>
                    <xdr:colOff>1560704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0" r:id="rId10" name="Check Box 64">
              <controlPr defaultSize="0" autoFill="0" autoLine="0" autoPict="0">
                <anchor moveWithCells="1">
                  <from>
                    <xdr:col>1</xdr:col>
                    <xdr:colOff>9575</xdr:colOff>
                    <xdr:row>28</xdr:row>
                    <xdr:rowOff>19150</xdr:rowOff>
                  </from>
                  <to>
                    <xdr:col>1</xdr:col>
                    <xdr:colOff>1230371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3" r:id="rId11" name="Drop Down 67">
              <controlPr defaultSize="0" autoLine="0" autoPict="0">
                <anchor moveWithCells="1">
                  <from>
                    <xdr:col>2</xdr:col>
                    <xdr:colOff>9575</xdr:colOff>
                    <xdr:row>28</xdr:row>
                    <xdr:rowOff>9575</xdr:rowOff>
                  </from>
                  <to>
                    <xdr:col>2</xdr:col>
                    <xdr:colOff>1029298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4" r:id="rId12" name="Drop Down 68">
              <controlPr defaultSize="0" autoLine="0" autoPict="0">
                <anchor moveWithCells="1">
                  <from>
                    <xdr:col>3</xdr:col>
                    <xdr:colOff>9575</xdr:colOff>
                    <xdr:row>28</xdr:row>
                    <xdr:rowOff>9575</xdr:rowOff>
                  </from>
                  <to>
                    <xdr:col>3</xdr:col>
                    <xdr:colOff>923975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5" r:id="rId13" name="Check Box 69">
              <controlPr defaultSize="0" autoFill="0" autoLine="0" autoPict="0">
                <anchor moveWithCells="1">
                  <from>
                    <xdr:col>1</xdr:col>
                    <xdr:colOff>9575</xdr:colOff>
                    <xdr:row>29</xdr:row>
                    <xdr:rowOff>19150</xdr:rowOff>
                  </from>
                  <to>
                    <xdr:col>1</xdr:col>
                    <xdr:colOff>1230371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8" r:id="rId14" name="Drop Down 72">
              <controlPr defaultSize="0" autoLine="0" autoPict="0">
                <anchor moveWithCells="1">
                  <from>
                    <xdr:col>2</xdr:col>
                    <xdr:colOff>9575</xdr:colOff>
                    <xdr:row>29</xdr:row>
                    <xdr:rowOff>9575</xdr:rowOff>
                  </from>
                  <to>
                    <xdr:col>2</xdr:col>
                    <xdr:colOff>1029298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9" r:id="rId15" name="Drop Down 73">
              <controlPr defaultSize="0" autoLine="0" autoPict="0">
                <anchor moveWithCells="1">
                  <from>
                    <xdr:col>3</xdr:col>
                    <xdr:colOff>9575</xdr:colOff>
                    <xdr:row>29</xdr:row>
                    <xdr:rowOff>9575</xdr:rowOff>
                  </from>
                  <to>
                    <xdr:col>3</xdr:col>
                    <xdr:colOff>923975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1" r:id="rId16" name="Check Box 75">
              <controlPr defaultSize="0" autoFill="0" autoLine="0" autoPict="0">
                <anchor moveWithCells="1">
                  <from>
                    <xdr:col>1</xdr:col>
                    <xdr:colOff>9575</xdr:colOff>
                    <xdr:row>7</xdr:row>
                    <xdr:rowOff>19150</xdr:rowOff>
                  </from>
                  <to>
                    <xdr:col>1</xdr:col>
                    <xdr:colOff>1230371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2" r:id="rId17" name="Check Box 76">
              <controlPr defaultSize="0" autoFill="0" autoLine="0" autoPict="0">
                <anchor moveWithCells="1">
                  <from>
                    <xdr:col>1</xdr:col>
                    <xdr:colOff>9575</xdr:colOff>
                    <xdr:row>8</xdr:row>
                    <xdr:rowOff>19150</xdr:rowOff>
                  </from>
                  <to>
                    <xdr:col>1</xdr:col>
                    <xdr:colOff>1230371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9" r:id="rId18" name="Check Box 83">
              <controlPr defaultSize="0" autoFill="0" autoLine="0" autoPict="0">
                <anchor moveWithCells="1">
                  <from>
                    <xdr:col>1</xdr:col>
                    <xdr:colOff>9575</xdr:colOff>
                    <xdr:row>23</xdr:row>
                    <xdr:rowOff>19150</xdr:rowOff>
                  </from>
                  <to>
                    <xdr:col>1</xdr:col>
                    <xdr:colOff>1230371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2" r:id="rId19" name="Check Box 86">
              <controlPr defaultSize="0" autoFill="0" autoLine="0" autoPict="0">
                <anchor moveWithCells="1">
                  <from>
                    <xdr:col>1</xdr:col>
                    <xdr:colOff>9575</xdr:colOff>
                    <xdr:row>10</xdr:row>
                    <xdr:rowOff>19150</xdr:rowOff>
                  </from>
                  <to>
                    <xdr:col>1</xdr:col>
                    <xdr:colOff>1230371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3" r:id="rId20" name="Check Box 87">
              <controlPr defaultSize="0" autoFill="0" autoLine="0" autoPict="0">
                <anchor moveWithCells="1">
                  <from>
                    <xdr:col>1</xdr:col>
                    <xdr:colOff>9575</xdr:colOff>
                    <xdr:row>14</xdr:row>
                    <xdr:rowOff>19150</xdr:rowOff>
                  </from>
                  <to>
                    <xdr:col>1</xdr:col>
                    <xdr:colOff>1493680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4" r:id="rId21" name="Check Box 88">
              <controlPr defaultSize="0" autoFill="0" autoLine="0" autoPict="0">
                <anchor moveWithCells="1">
                  <from>
                    <xdr:col>1</xdr:col>
                    <xdr:colOff>9575</xdr:colOff>
                    <xdr:row>15</xdr:row>
                    <xdr:rowOff>19150</xdr:rowOff>
                  </from>
                  <to>
                    <xdr:col>1</xdr:col>
                    <xdr:colOff>1493680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5" r:id="rId22" name="Check Box 89">
              <controlPr defaultSize="0" autoFill="0" autoLine="0" autoPict="0">
                <anchor moveWithCells="1">
                  <from>
                    <xdr:col>1</xdr:col>
                    <xdr:colOff>9575</xdr:colOff>
                    <xdr:row>16</xdr:row>
                    <xdr:rowOff>19150</xdr:rowOff>
                  </from>
                  <to>
                    <xdr:col>1</xdr:col>
                    <xdr:colOff>1493680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8" r:id="rId23" name="Check Box 92">
              <controlPr defaultSize="0" autoFill="0" autoLine="0" autoPict="0">
                <anchor moveWithCells="1">
                  <from>
                    <xdr:col>3</xdr:col>
                    <xdr:colOff>9575</xdr:colOff>
                    <xdr:row>10</xdr:row>
                    <xdr:rowOff>19150</xdr:rowOff>
                  </from>
                  <to>
                    <xdr:col>3</xdr:col>
                    <xdr:colOff>923975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9" r:id="rId24" name="Check Box 93">
              <controlPr defaultSize="0" autoFill="0" autoLine="0" autoPict="0">
                <anchor moveWithCells="1">
                  <from>
                    <xdr:col>3</xdr:col>
                    <xdr:colOff>9575</xdr:colOff>
                    <xdr:row>11</xdr:row>
                    <xdr:rowOff>19150</xdr:rowOff>
                  </from>
                  <to>
                    <xdr:col>3</xdr:col>
                    <xdr:colOff>923975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0" r:id="rId25" name="Check Box 94">
              <controlPr defaultSize="0" autoFill="0" autoLine="0" autoPict="0">
                <anchor moveWithCells="1">
                  <from>
                    <xdr:col>3</xdr:col>
                    <xdr:colOff>9575</xdr:colOff>
                    <xdr:row>12</xdr:row>
                    <xdr:rowOff>19150</xdr:rowOff>
                  </from>
                  <to>
                    <xdr:col>3</xdr:col>
                    <xdr:colOff>923975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1" r:id="rId26" name="Check Box 95">
              <controlPr defaultSize="0" autoFill="0" autoLine="0" autoPict="0">
                <anchor moveWithCells="1">
                  <from>
                    <xdr:col>3</xdr:col>
                    <xdr:colOff>9575</xdr:colOff>
                    <xdr:row>13</xdr:row>
                    <xdr:rowOff>19150</xdr:rowOff>
                  </from>
                  <to>
                    <xdr:col>3</xdr:col>
                    <xdr:colOff>923975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3" r:id="rId27" name="Check Box 97">
              <controlPr defaultSize="0" autoFill="0" autoLine="0" autoPict="0">
                <anchor moveWithCells="1">
                  <from>
                    <xdr:col>1</xdr:col>
                    <xdr:colOff>9575</xdr:colOff>
                    <xdr:row>22</xdr:row>
                    <xdr:rowOff>19150</xdr:rowOff>
                  </from>
                  <to>
                    <xdr:col>1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5" r:id="rId28" name="Check Box 109">
              <controlPr defaultSize="0" autoFill="0" autoLine="0" autoPict="0">
                <anchor moveWithCells="1">
                  <from>
                    <xdr:col>1</xdr:col>
                    <xdr:colOff>9575</xdr:colOff>
                    <xdr:row>9</xdr:row>
                    <xdr:rowOff>19150</xdr:rowOff>
                  </from>
                  <to>
                    <xdr:col>1</xdr:col>
                    <xdr:colOff>1230371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9" r:id="rId29" name="Spinner 113">
              <controlPr defaultSize="0" autoPict="0">
                <anchor moveWithCells="1" sizeWithCells="1">
                  <from>
                    <xdr:col>2</xdr:col>
                    <xdr:colOff>531405</xdr:colOff>
                    <xdr:row>7</xdr:row>
                    <xdr:rowOff>28725</xdr:rowOff>
                  </from>
                  <to>
                    <xdr:col>2</xdr:col>
                    <xdr:colOff>713328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0" r:id="rId30" name="Spinner 114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1" r:id="rId31" name="Spinner 115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3" r:id="rId32" name="Drop Down 117">
              <controlPr defaultSize="0" autoLine="0" autoPict="0">
                <anchor moveWithCells="1">
                  <from>
                    <xdr:col>3</xdr:col>
                    <xdr:colOff>9575</xdr:colOff>
                    <xdr:row>7</xdr:row>
                    <xdr:rowOff>9575</xdr:rowOff>
                  </from>
                  <to>
                    <xdr:col>3</xdr:col>
                    <xdr:colOff>1029298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4" r:id="rId33" name="Drop Down 118">
              <controlPr defaultSize="0" autoLine="0" autoPict="0">
                <anchor moveWithCells="1">
                  <from>
                    <xdr:col>3</xdr:col>
                    <xdr:colOff>9575</xdr:colOff>
                    <xdr:row>8</xdr:row>
                    <xdr:rowOff>9575</xdr:rowOff>
                  </from>
                  <to>
                    <xdr:col>3</xdr:col>
                    <xdr:colOff>1029298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5" r:id="rId34" name="Drop Down 119">
              <controlPr defaultSize="0" autoLine="0" autoPict="0">
                <anchor moveWithCells="1">
                  <from>
                    <xdr:col>3</xdr:col>
                    <xdr:colOff>9575</xdr:colOff>
                    <xdr:row>9</xdr:row>
                    <xdr:rowOff>9575</xdr:rowOff>
                  </from>
                  <to>
                    <xdr:col>3</xdr:col>
                    <xdr:colOff>1029298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7" r:id="rId35" name="Spinner 121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8" r:id="rId36" name="Spinner 122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2" r:id="rId37" name="Drop Down 126">
              <controlPr defaultSize="0" autoLine="0" autoPict="0">
                <anchor moveWithCells="1">
                  <from>
                    <xdr:col>4</xdr:col>
                    <xdr:colOff>9575</xdr:colOff>
                    <xdr:row>28</xdr:row>
                    <xdr:rowOff>9575</xdr:rowOff>
                  </from>
                  <to>
                    <xdr:col>4</xdr:col>
                    <xdr:colOff>923975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3" r:id="rId38" name="Drop Down 127">
              <controlPr defaultSize="0" autoLine="0" autoPict="0">
                <anchor moveWithCells="1">
                  <from>
                    <xdr:col>4</xdr:col>
                    <xdr:colOff>9575</xdr:colOff>
                    <xdr:row>29</xdr:row>
                    <xdr:rowOff>9575</xdr:rowOff>
                  </from>
                  <to>
                    <xdr:col>4</xdr:col>
                    <xdr:colOff>923975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4" r:id="rId39" name="Check Box 128">
              <controlPr defaultSize="0" autoFill="0" autoLine="0" autoPict="0">
                <anchor moveWithCells="1">
                  <from>
                    <xdr:col>1</xdr:col>
                    <xdr:colOff>9575</xdr:colOff>
                    <xdr:row>30</xdr:row>
                    <xdr:rowOff>19150</xdr:rowOff>
                  </from>
                  <to>
                    <xdr:col>1</xdr:col>
                    <xdr:colOff>1230371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5" r:id="rId40" name="Drop Down 129">
              <controlPr defaultSize="0" autoLine="0" autoPict="0">
                <anchor moveWithCells="1">
                  <from>
                    <xdr:col>2</xdr:col>
                    <xdr:colOff>9575</xdr:colOff>
                    <xdr:row>30</xdr:row>
                    <xdr:rowOff>9575</xdr:rowOff>
                  </from>
                  <to>
                    <xdr:col>2</xdr:col>
                    <xdr:colOff>1029298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6" r:id="rId41" name="Drop Down 130">
              <controlPr defaultSize="0" autoLine="0" autoPict="0">
                <anchor moveWithCells="1">
                  <from>
                    <xdr:col>3</xdr:col>
                    <xdr:colOff>9575</xdr:colOff>
                    <xdr:row>30</xdr:row>
                    <xdr:rowOff>9575</xdr:rowOff>
                  </from>
                  <to>
                    <xdr:col>3</xdr:col>
                    <xdr:colOff>923975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7" r:id="rId42" name="Drop Down 131">
              <controlPr defaultSize="0" autoLine="0" autoPict="0">
                <anchor moveWithCells="1">
                  <from>
                    <xdr:col>4</xdr:col>
                    <xdr:colOff>9575</xdr:colOff>
                    <xdr:row>30</xdr:row>
                    <xdr:rowOff>9575</xdr:rowOff>
                  </from>
                  <to>
                    <xdr:col>4</xdr:col>
                    <xdr:colOff>923975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7" r:id="rId43" name="Check Box 141">
              <controlPr defaultSize="0" autoFill="0" autoLine="0" autoPict="0">
                <anchor moveWithCells="1">
                  <from>
                    <xdr:col>1</xdr:col>
                    <xdr:colOff>9575</xdr:colOff>
                    <xdr:row>31</xdr:row>
                    <xdr:rowOff>19150</xdr:rowOff>
                  </from>
                  <to>
                    <xdr:col>1</xdr:col>
                    <xdr:colOff>1230371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8" r:id="rId44" name="Check Box 142">
              <controlPr defaultSize="0" autoFill="0" autoLine="0" autoPict="0">
                <anchor moveWithCells="1">
                  <from>
                    <xdr:col>1</xdr:col>
                    <xdr:colOff>9575</xdr:colOff>
                    <xdr:row>33</xdr:row>
                    <xdr:rowOff>19150</xdr:rowOff>
                  </from>
                  <to>
                    <xdr:col>1</xdr:col>
                    <xdr:colOff>1230371</xdr:colOff>
                    <xdr:row>33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9" r:id="rId45" name="Check Box 143">
              <controlPr defaultSize="0" autoFill="0" autoLine="0" autoPict="0">
                <anchor moveWithCells="1">
                  <from>
                    <xdr:col>1</xdr:col>
                    <xdr:colOff>9575</xdr:colOff>
                    <xdr:row>32</xdr:row>
                    <xdr:rowOff>19150</xdr:rowOff>
                  </from>
                  <to>
                    <xdr:col>1</xdr:col>
                    <xdr:colOff>1230371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0" r:id="rId46" name="Check Box 144">
              <controlPr defaultSize="0" autoFill="0" autoLine="0" autoPict="0">
                <anchor moveWithCells="1">
                  <from>
                    <xdr:col>2</xdr:col>
                    <xdr:colOff>9575</xdr:colOff>
                    <xdr:row>31</xdr:row>
                    <xdr:rowOff>19150</xdr:rowOff>
                  </from>
                  <to>
                    <xdr:col>3</xdr:col>
                    <xdr:colOff>143623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1" r:id="rId47" name="Check Box 145">
              <controlPr defaultSize="0" autoFill="0" autoLine="0" autoPict="0">
                <anchor moveWithCells="1">
                  <from>
                    <xdr:col>2</xdr:col>
                    <xdr:colOff>9575</xdr:colOff>
                    <xdr:row>32</xdr:row>
                    <xdr:rowOff>19150</xdr:rowOff>
                  </from>
                  <to>
                    <xdr:col>3</xdr:col>
                    <xdr:colOff>143623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2" r:id="rId48" name="Check Box 146">
              <controlPr defaultSize="0" autoFill="0" autoLine="0" autoPict="0">
                <anchor moveWithCells="1">
                  <from>
                    <xdr:col>2</xdr:col>
                    <xdr:colOff>9575</xdr:colOff>
                    <xdr:row>33</xdr:row>
                    <xdr:rowOff>19150</xdr:rowOff>
                  </from>
                  <to>
                    <xdr:col>3</xdr:col>
                    <xdr:colOff>143623</xdr:colOff>
                    <xdr:row>33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3" r:id="rId49" name="Drop Down 147">
              <controlPr defaultSize="0" autoLine="0" autoPict="0">
                <anchor moveWithCells="1">
                  <from>
                    <xdr:col>2</xdr:col>
                    <xdr:colOff>9575</xdr:colOff>
                    <xdr:row>34</xdr:row>
                    <xdr:rowOff>9575</xdr:rowOff>
                  </from>
                  <to>
                    <xdr:col>2</xdr:col>
                    <xdr:colOff>923975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4" r:id="rId50" name="Spinner 148">
              <controlPr defaultSize="0" autoPict="0">
                <anchor moveWithCells="1" sizeWithCells="1">
                  <from>
                    <xdr:col>3</xdr:col>
                    <xdr:colOff>531405</xdr:colOff>
                    <xdr:row>34</xdr:row>
                    <xdr:rowOff>28725</xdr:rowOff>
                  </from>
                  <to>
                    <xdr:col>3</xdr:col>
                    <xdr:colOff>713328</xdr:colOff>
                    <xdr:row>34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5" r:id="rId51" name="Check Box 149">
              <controlPr defaultSize="0" autoFill="0" autoLine="0" autoPict="0">
                <anchor moveWithCells="1">
                  <from>
                    <xdr:col>1</xdr:col>
                    <xdr:colOff>9575</xdr:colOff>
                    <xdr:row>34</xdr:row>
                    <xdr:rowOff>19150</xdr:rowOff>
                  </from>
                  <to>
                    <xdr:col>1</xdr:col>
                    <xdr:colOff>1230371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7" r:id="rId52" name="Check Box 151">
              <controlPr defaultSize="0" autoFill="0" autoLine="0" autoPict="0">
                <anchor moveWithCells="1">
                  <from>
                    <xdr:col>5</xdr:col>
                    <xdr:colOff>9575</xdr:colOff>
                    <xdr:row>10</xdr:row>
                    <xdr:rowOff>19150</xdr:rowOff>
                  </from>
                  <to>
                    <xdr:col>5</xdr:col>
                    <xdr:colOff>1230371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8" r:id="rId53" name="Check Box 152">
              <controlPr defaultSize="0" autoFill="0" autoLine="0" autoPict="0">
                <anchor moveWithCells="1">
                  <from>
                    <xdr:col>5</xdr:col>
                    <xdr:colOff>9575</xdr:colOff>
                    <xdr:row>11</xdr:row>
                    <xdr:rowOff>19150</xdr:rowOff>
                  </from>
                  <to>
                    <xdr:col>5</xdr:col>
                    <xdr:colOff>1230371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0" r:id="rId54" name="Check Box 154">
              <controlPr defaultSize="0" autoFill="0" autoLine="0" autoPict="0">
                <anchor moveWithCells="1">
                  <from>
                    <xdr:col>5</xdr:col>
                    <xdr:colOff>9575</xdr:colOff>
                    <xdr:row>12</xdr:row>
                    <xdr:rowOff>19150</xdr:rowOff>
                  </from>
                  <to>
                    <xdr:col>5</xdr:col>
                    <xdr:colOff>1230371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3" r:id="rId55" name="Check Box 157">
              <controlPr defaultSize="0" autoFill="0" autoLine="0" autoPict="0">
                <anchor moveWithCells="1">
                  <from>
                    <xdr:col>5</xdr:col>
                    <xdr:colOff>9575</xdr:colOff>
                    <xdr:row>13</xdr:row>
                    <xdr:rowOff>19150</xdr:rowOff>
                  </from>
                  <to>
                    <xdr:col>5</xdr:col>
                    <xdr:colOff>1230371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4" r:id="rId56" name="Check Box 158">
              <controlPr defaultSize="0" autoFill="0" autoLine="0" autoPict="0">
                <anchor moveWithCells="1">
                  <from>
                    <xdr:col>5</xdr:col>
                    <xdr:colOff>9575</xdr:colOff>
                    <xdr:row>14</xdr:row>
                    <xdr:rowOff>19150</xdr:rowOff>
                  </from>
                  <to>
                    <xdr:col>5</xdr:col>
                    <xdr:colOff>1230371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5" r:id="rId57" name="Check Box 159">
              <controlPr defaultSize="0" autoFill="0" autoLine="0" autoPict="0">
                <anchor moveWithCells="1">
                  <from>
                    <xdr:col>5</xdr:col>
                    <xdr:colOff>9575</xdr:colOff>
                    <xdr:row>15</xdr:row>
                    <xdr:rowOff>19150</xdr:rowOff>
                  </from>
                  <to>
                    <xdr:col>5</xdr:col>
                    <xdr:colOff>1230371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8" r:id="rId58" name="Check Box 162">
              <controlPr defaultSize="0" autoFill="0" autoLine="0" autoPict="0">
                <anchor moveWithCells="1">
                  <from>
                    <xdr:col>2</xdr:col>
                    <xdr:colOff>9575</xdr:colOff>
                    <xdr:row>22</xdr:row>
                    <xdr:rowOff>19150</xdr:rowOff>
                  </from>
                  <to>
                    <xdr:col>3</xdr:col>
                    <xdr:colOff>143623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9" r:id="rId59" name="Check Box 163">
              <controlPr defaultSize="0" autoFill="0" autoLine="0" autoPict="0">
                <anchor moveWithCells="1">
                  <from>
                    <xdr:col>2</xdr:col>
                    <xdr:colOff>9575</xdr:colOff>
                    <xdr:row>23</xdr:row>
                    <xdr:rowOff>19150</xdr:rowOff>
                  </from>
                  <to>
                    <xdr:col>3</xdr:col>
                    <xdr:colOff>143623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0" r:id="rId60" name="Spinner 164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1" r:id="rId61" name="Spinner 165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3" r:id="rId62" name="Check Box 167">
              <controlPr defaultSize="0" autoFill="0" autoLine="0" autoPict="0">
                <anchor moveWithCells="1">
                  <from>
                    <xdr:col>5</xdr:col>
                    <xdr:colOff>9575</xdr:colOff>
                    <xdr:row>8</xdr:row>
                    <xdr:rowOff>19150</xdr:rowOff>
                  </from>
                  <to>
                    <xdr:col>5</xdr:col>
                    <xdr:colOff>1230371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4" r:id="rId63" name="Spinner 168">
              <controlPr defaultSize="0" autoPict="0">
                <anchor moveWithCells="1" sizeWithCells="1">
                  <from>
                    <xdr:col>6</xdr:col>
                    <xdr:colOff>627154</xdr:colOff>
                    <xdr:row>8</xdr:row>
                    <xdr:rowOff>28725</xdr:rowOff>
                  </from>
                  <to>
                    <xdr:col>6</xdr:col>
                    <xdr:colOff>809076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5" r:id="rId64" name="Spinner 169">
              <controlPr defaultSize="0" autoPict="0">
                <anchor moveWithCells="1" sizeWithCells="1">
                  <from>
                    <xdr:col>6</xdr:col>
                    <xdr:colOff>627154</xdr:colOff>
                    <xdr:row>9</xdr:row>
                    <xdr:rowOff>28725</xdr:rowOff>
                  </from>
                  <to>
                    <xdr:col>6</xdr:col>
                    <xdr:colOff>809076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6" r:id="rId65" name="Check Box 170">
              <controlPr defaultSize="0" autoFill="0" autoLine="0" autoPict="0">
                <anchor moveWithCells="1">
                  <from>
                    <xdr:col>5</xdr:col>
                    <xdr:colOff>9575</xdr:colOff>
                    <xdr:row>9</xdr:row>
                    <xdr:rowOff>19150</xdr:rowOff>
                  </from>
                  <to>
                    <xdr:col>5</xdr:col>
                    <xdr:colOff>1230371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7" r:id="rId66" name="Check Box 171">
              <controlPr defaultSize="0" autoFill="0" autoLine="0" autoPict="0">
                <anchor moveWithCells="1">
                  <from>
                    <xdr:col>1</xdr:col>
                    <xdr:colOff>9575</xdr:colOff>
                    <xdr:row>17</xdr:row>
                    <xdr:rowOff>19150</xdr:rowOff>
                  </from>
                  <to>
                    <xdr:col>1</xdr:col>
                    <xdr:colOff>1493680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8" r:id="rId67" name="Check Box 172">
              <controlPr defaultSize="0" autoFill="0" autoLine="0" autoPict="0">
                <anchor moveWithCells="1">
                  <from>
                    <xdr:col>1</xdr:col>
                    <xdr:colOff>9575</xdr:colOff>
                    <xdr:row>18</xdr:row>
                    <xdr:rowOff>19150</xdr:rowOff>
                  </from>
                  <to>
                    <xdr:col>1</xdr:col>
                    <xdr:colOff>1493680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9" r:id="rId68" name="Check Box 173">
              <controlPr defaultSize="0" autoFill="0" autoLine="0" autoPict="0">
                <anchor moveWithCells="1">
                  <from>
                    <xdr:col>1</xdr:col>
                    <xdr:colOff>9575</xdr:colOff>
                    <xdr:row>19</xdr:row>
                    <xdr:rowOff>19150</xdr:rowOff>
                  </from>
                  <to>
                    <xdr:col>1</xdr:col>
                    <xdr:colOff>1493680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0" r:id="rId69" name="Spinner 174">
              <controlPr defaultSize="0" autoPict="0">
                <anchor moveWithCells="1" sizeWithCells="1">
                  <from>
                    <xdr:col>2</xdr:col>
                    <xdr:colOff>531405</xdr:colOff>
                    <xdr:row>17</xdr:row>
                    <xdr:rowOff>28725</xdr:rowOff>
                  </from>
                  <to>
                    <xdr:col>2</xdr:col>
                    <xdr:colOff>713328</xdr:colOff>
                    <xdr:row>17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1" r:id="rId70" name="Spinner 175">
              <controlPr defaultSize="0" autoPict="0">
                <anchor moveWithCells="1" sizeWithCells="1">
                  <from>
                    <xdr:col>2</xdr:col>
                    <xdr:colOff>531405</xdr:colOff>
                    <xdr:row>18</xdr:row>
                    <xdr:rowOff>28725</xdr:rowOff>
                  </from>
                  <to>
                    <xdr:col>2</xdr:col>
                    <xdr:colOff>713328</xdr:colOff>
                    <xdr:row>18</xdr:row>
                    <xdr:rowOff>210647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AanvullendeBerPed">
    <tabColor rgb="FF92D050"/>
  </sheetPr>
  <dimension ref="A1:H95"/>
  <sheetViews>
    <sheetView topLeftCell="A2" zoomScaleNormal="100" workbookViewId="0">
      <selection activeCell="C43" activeCellId="25" sqref="D7 D8 D9 D10 B12 D27 D28 D29 D30 D31 D32 D33 D34 D35 D39 D40 F17 C7 C8 C9 C10 G16 G18 H18 C42 C43"/>
    </sheetView>
  </sheetViews>
  <sheetFormatPr defaultColWidth="9.1328125" defaultRowHeight="12.85" x14ac:dyDescent="0.35"/>
  <cols>
    <col min="1" max="1" width="34.73046875" style="557" bestFit="1" customWidth="1"/>
    <col min="2" max="2" width="9.1328125" style="557"/>
    <col min="3" max="3" width="14" style="557" customWidth="1"/>
    <col min="4" max="4" width="9.1328125" style="558"/>
    <col min="5" max="5" width="28" style="563" bestFit="1" customWidth="1"/>
    <col min="6" max="6" width="9.1328125" style="557"/>
    <col min="7" max="7" width="13.59765625" style="557" customWidth="1"/>
    <col min="8" max="16384" width="9.1328125" style="557"/>
  </cols>
  <sheetData>
    <row r="1" spans="1:8" x14ac:dyDescent="0.35">
      <c r="A1" s="579"/>
    </row>
    <row r="6" spans="1:8" ht="13.2" x14ac:dyDescent="0.4">
      <c r="A6" s="599" t="s">
        <v>1474</v>
      </c>
      <c r="E6" s="559" t="s">
        <v>1332</v>
      </c>
    </row>
    <row r="7" spans="1:8" x14ac:dyDescent="0.35">
      <c r="A7" s="560" t="s">
        <v>572</v>
      </c>
      <c r="B7" s="579"/>
      <c r="C7" s="579"/>
      <c r="D7" s="580"/>
      <c r="E7" s="561" t="s">
        <v>1318</v>
      </c>
      <c r="F7" s="579"/>
    </row>
    <row r="8" spans="1:8" x14ac:dyDescent="0.35">
      <c r="A8" s="560" t="s">
        <v>265</v>
      </c>
      <c r="B8" s="579"/>
      <c r="C8" s="579"/>
      <c r="D8" s="580"/>
      <c r="E8" s="561" t="s">
        <v>1328</v>
      </c>
      <c r="F8" s="579"/>
    </row>
    <row r="9" spans="1:8" x14ac:dyDescent="0.35">
      <c r="A9" s="557" t="s">
        <v>1652</v>
      </c>
      <c r="B9" s="579"/>
      <c r="C9" s="579"/>
      <c r="D9" s="580"/>
      <c r="E9" s="561" t="s">
        <v>1732</v>
      </c>
      <c r="F9" s="579"/>
    </row>
    <row r="10" spans="1:8" x14ac:dyDescent="0.35">
      <c r="A10" s="557" t="s">
        <v>1711</v>
      </c>
      <c r="B10" s="579"/>
      <c r="C10" s="579"/>
      <c r="D10" s="580"/>
      <c r="E10" s="561" t="s">
        <v>1733</v>
      </c>
      <c r="F10" s="579"/>
    </row>
    <row r="11" spans="1:8" x14ac:dyDescent="0.35">
      <c r="A11" s="560" t="s">
        <v>1532</v>
      </c>
      <c r="B11" s="579"/>
      <c r="C11" s="560" t="s">
        <v>1476</v>
      </c>
      <c r="D11" s="580"/>
      <c r="E11" s="561" t="s">
        <v>1734</v>
      </c>
      <c r="F11" s="579"/>
    </row>
    <row r="12" spans="1:8" x14ac:dyDescent="0.35">
      <c r="A12" s="560" t="s">
        <v>1534</v>
      </c>
      <c r="B12" s="617"/>
      <c r="C12" s="562" t="s">
        <v>1477</v>
      </c>
      <c r="D12" s="580"/>
      <c r="E12" s="561" t="s">
        <v>1326</v>
      </c>
      <c r="F12" s="579"/>
    </row>
    <row r="13" spans="1:8" x14ac:dyDescent="0.35">
      <c r="B13" s="579"/>
      <c r="C13" s="560" t="s">
        <v>1478</v>
      </c>
      <c r="D13" s="580"/>
      <c r="E13" s="563" t="s">
        <v>1735</v>
      </c>
      <c r="F13" s="579"/>
    </row>
    <row r="14" spans="1:8" x14ac:dyDescent="0.35">
      <c r="B14" s="579"/>
      <c r="C14" s="560" t="s">
        <v>1479</v>
      </c>
      <c r="D14" s="580"/>
      <c r="E14" s="563" t="s">
        <v>1736</v>
      </c>
      <c r="F14" s="579"/>
    </row>
    <row r="15" spans="1:8" x14ac:dyDescent="0.35">
      <c r="A15" s="560" t="s">
        <v>1533</v>
      </c>
      <c r="B15" s="579"/>
      <c r="D15" s="580"/>
      <c r="E15" s="563" t="s">
        <v>1737</v>
      </c>
      <c r="F15" s="579"/>
    </row>
    <row r="16" spans="1:8" x14ac:dyDescent="0.35">
      <c r="A16" s="557" t="s">
        <v>1274</v>
      </c>
      <c r="B16" s="579"/>
      <c r="D16" s="580"/>
      <c r="E16" s="561" t="s">
        <v>1746</v>
      </c>
      <c r="F16" s="579"/>
      <c r="G16" s="579"/>
      <c r="H16" s="560"/>
    </row>
    <row r="17" spans="1:8" x14ac:dyDescent="0.35">
      <c r="A17" s="560" t="s">
        <v>1273</v>
      </c>
      <c r="B17" s="579"/>
      <c r="D17" s="580"/>
      <c r="E17" s="561" t="s">
        <v>1332</v>
      </c>
      <c r="F17" s="579"/>
    </row>
    <row r="18" spans="1:8" x14ac:dyDescent="0.35">
      <c r="E18" s="561" t="s">
        <v>1638</v>
      </c>
      <c r="F18" s="579"/>
      <c r="G18" s="579"/>
      <c r="H18" s="579"/>
    </row>
    <row r="19" spans="1:8" ht="13.2" x14ac:dyDescent="0.4">
      <c r="A19" s="556" t="s">
        <v>1480</v>
      </c>
      <c r="B19" s="579"/>
      <c r="E19" s="561"/>
    </row>
    <row r="20" spans="1:8" x14ac:dyDescent="0.35">
      <c r="A20" s="560" t="s">
        <v>1709</v>
      </c>
      <c r="B20" s="579"/>
      <c r="D20" s="580"/>
      <c r="E20" s="561"/>
    </row>
    <row r="21" spans="1:8" x14ac:dyDescent="0.35">
      <c r="A21" s="560" t="s">
        <v>64</v>
      </c>
      <c r="B21" s="579"/>
      <c r="D21" s="580"/>
    </row>
    <row r="22" spans="1:8" x14ac:dyDescent="0.35">
      <c r="A22" s="560" t="s">
        <v>1535</v>
      </c>
      <c r="B22" s="579"/>
      <c r="D22" s="580"/>
    </row>
    <row r="23" spans="1:8" x14ac:dyDescent="0.35">
      <c r="A23" s="560" t="s">
        <v>1536</v>
      </c>
      <c r="B23" s="579"/>
      <c r="D23" s="580"/>
    </row>
    <row r="24" spans="1:8" x14ac:dyDescent="0.35">
      <c r="A24" s="557" t="s">
        <v>1738</v>
      </c>
      <c r="B24" s="579"/>
      <c r="D24" s="580"/>
    </row>
    <row r="25" spans="1:8" x14ac:dyDescent="0.35">
      <c r="A25" s="557" t="s">
        <v>1739</v>
      </c>
      <c r="B25" s="579"/>
      <c r="D25" s="580"/>
    </row>
    <row r="26" spans="1:8" ht="13.2" x14ac:dyDescent="0.4">
      <c r="A26" s="556" t="s">
        <v>1723</v>
      </c>
      <c r="B26" s="579"/>
      <c r="D26" s="580"/>
    </row>
    <row r="27" spans="1:8" x14ac:dyDescent="0.35">
      <c r="A27" s="560" t="s">
        <v>1537</v>
      </c>
      <c r="B27" s="579"/>
      <c r="C27" s="557" t="str">
        <f t="shared" ref="C27:C35" si="0">IF(OR(D27=0,D27=1,D27=""),"",INDEX(Aanvullend_ThoraxDrainSub2,D27,0))</f>
        <v/>
      </c>
      <c r="D27" s="579"/>
    </row>
    <row r="28" spans="1:8" x14ac:dyDescent="0.35">
      <c r="B28" s="579"/>
      <c r="C28" s="557" t="str">
        <f>IF(OR(D28=0,D28=1,D28=""),"",INDEX(Aanvullend_ThoraxDrainSub3,D28,0))</f>
        <v/>
      </c>
      <c r="D28" s="579"/>
    </row>
    <row r="29" spans="1:8" x14ac:dyDescent="0.35">
      <c r="B29" s="579"/>
      <c r="C29" s="557" t="str">
        <f>IF(OR(D29=0,D29=1,D29=""),"",INDEX(Aanvullend_ThoraxDrainSub1,D29,0))</f>
        <v/>
      </c>
      <c r="D29" s="579"/>
    </row>
    <row r="30" spans="1:8" x14ac:dyDescent="0.35">
      <c r="A30" s="560" t="s">
        <v>1635</v>
      </c>
      <c r="B30" s="579"/>
      <c r="C30" s="557" t="str">
        <f t="shared" si="0"/>
        <v/>
      </c>
      <c r="D30" s="579"/>
    </row>
    <row r="31" spans="1:8" x14ac:dyDescent="0.35">
      <c r="B31" s="579"/>
      <c r="C31" s="557" t="str">
        <f>IF(OR(D31=0,D31=1,D31=""),"",INDEX(Aanvullend_ThoraxDrainSub3,D31,0))</f>
        <v/>
      </c>
      <c r="D31" s="579"/>
    </row>
    <row r="32" spans="1:8" x14ac:dyDescent="0.35">
      <c r="B32" s="579"/>
      <c r="C32" s="557" t="str">
        <f>IF(OR(D32=0,D32=1,D32=""),"",INDEX(Aanvullend_ThoraxDrainSub1,D32,0))</f>
        <v/>
      </c>
      <c r="D32" s="579"/>
    </row>
    <row r="33" spans="1:5" x14ac:dyDescent="0.35">
      <c r="A33" s="560" t="s">
        <v>1726</v>
      </c>
      <c r="B33" s="579"/>
      <c r="C33" s="557" t="str">
        <f t="shared" si="0"/>
        <v/>
      </c>
      <c r="D33" s="579"/>
    </row>
    <row r="34" spans="1:5" x14ac:dyDescent="0.35">
      <c r="B34" s="579"/>
      <c r="C34" s="557" t="str">
        <f t="shared" si="0"/>
        <v/>
      </c>
      <c r="D34" s="579"/>
    </row>
    <row r="35" spans="1:5" x14ac:dyDescent="0.35">
      <c r="B35" s="579"/>
      <c r="C35" s="557" t="str">
        <f t="shared" si="0"/>
        <v/>
      </c>
      <c r="D35" s="579"/>
    </row>
    <row r="36" spans="1:5" x14ac:dyDescent="0.35">
      <c r="A36" s="554" t="s">
        <v>1330</v>
      </c>
      <c r="B36" s="577"/>
      <c r="C36" s="518" t="s">
        <v>1727</v>
      </c>
      <c r="D36" s="578"/>
      <c r="E36" s="563" t="str">
        <f>IF(B36,CONCATENATE(A36,IF(D36,CONCATENATE(" (",C36,")"),"")," - "),"")</f>
        <v/>
      </c>
    </row>
    <row r="37" spans="1:5" x14ac:dyDescent="0.35">
      <c r="A37" s="518" t="s">
        <v>1654</v>
      </c>
      <c r="B37" s="577"/>
      <c r="C37" s="518" t="s">
        <v>1727</v>
      </c>
      <c r="D37" s="577"/>
      <c r="E37" s="563" t="str">
        <f t="shared" ref="E37:E38" si="1">IF(B37,CONCATENATE(A37,IF(D37,CONCATENATE(" (",C37,")"),"")," - "),"")</f>
        <v/>
      </c>
    </row>
    <row r="38" spans="1:5" x14ac:dyDescent="0.35">
      <c r="A38" s="554" t="s">
        <v>1329</v>
      </c>
      <c r="B38" s="577"/>
      <c r="C38" s="518" t="s">
        <v>1727</v>
      </c>
      <c r="D38" s="577"/>
      <c r="E38" s="563" t="str">
        <f t="shared" si="1"/>
        <v/>
      </c>
    </row>
    <row r="39" spans="1:5" x14ac:dyDescent="0.35">
      <c r="A39" s="518" t="s">
        <v>1724</v>
      </c>
      <c r="B39" s="577"/>
      <c r="C39" s="517" t="str">
        <f>IF(OR(D39=0,D39=1,D39=""),"",INDEX(Aanvullend_LiquorDrainSub1,D39,0))</f>
        <v/>
      </c>
      <c r="D39" s="578"/>
    </row>
    <row r="40" spans="1:5" x14ac:dyDescent="0.35">
      <c r="A40" s="517"/>
      <c r="B40" s="577"/>
      <c r="C40" s="517" t="s">
        <v>1725</v>
      </c>
      <c r="D40" s="578"/>
    </row>
    <row r="42" spans="1:5" x14ac:dyDescent="0.35">
      <c r="A42" s="557" t="s">
        <v>1748</v>
      </c>
      <c r="B42" s="579"/>
      <c r="C42" s="579"/>
    </row>
    <row r="43" spans="1:5" x14ac:dyDescent="0.35">
      <c r="A43" s="557" t="s">
        <v>1749</v>
      </c>
      <c r="B43" s="579"/>
      <c r="C43" s="579"/>
    </row>
    <row r="44" spans="1:5" x14ac:dyDescent="0.35">
      <c r="A44" s="557" t="s">
        <v>1750</v>
      </c>
      <c r="B44" s="579"/>
    </row>
    <row r="46" spans="1:5" ht="13.2" x14ac:dyDescent="0.4">
      <c r="A46" s="556" t="s">
        <v>1319</v>
      </c>
    </row>
    <row r="47" spans="1:5" x14ac:dyDescent="0.35">
      <c r="A47" s="560" t="s">
        <v>1474</v>
      </c>
      <c r="B47" s="557" t="str">
        <f>CONCATENATE(IF(B7,CONCATENATE(A7, " (",C7, " keer per ",INDEX(Aanvullend_PerPeriode,D7,0),")") &amp; " - ",""),IF(B8,CONCATENATE(A8, " (",C8, " keer per ",INDEX(Aanvullend_PerPeriode,D8,0),")") &amp; " - ",""),IF(B9,CONCATENATE(A9, " (",C9, " keer per ",INDEX(Aanvullend_PerPeriode,D9,0),")") &amp; " - ",""),IF(B10,CONCATENATE(A10, " (",C10, " keer per ",INDEX(Aanvullend_PerPeriode,D10,0),")")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f>
        <v/>
      </c>
    </row>
    <row r="48" spans="1:5" x14ac:dyDescent="0.35">
      <c r="A48" s="560" t="s">
        <v>1480</v>
      </c>
      <c r="B48" s="557" t="str">
        <f>CONCATENATE(IF(B20,CONCATENATE(A20," - "),""),IF(B21,A21 &amp; " - ",""),IF(B22,A22 &amp; " - ",""),IF(B23,A23 &amp; " - ",""),IF(B24,A24 &amp; " - ",""),IF(B25,A25 &amp; " - ",""),)</f>
        <v/>
      </c>
    </row>
    <row r="49" spans="1:2" x14ac:dyDescent="0.35">
      <c r="A49" s="557" t="s">
        <v>1723</v>
      </c>
      <c r="B49" s="557" t="str">
        <f>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f>
        <v/>
      </c>
    </row>
    <row r="50" spans="1:2" x14ac:dyDescent="0.35">
      <c r="A50" s="560" t="s">
        <v>1332</v>
      </c>
      <c r="B50" s="557" t="str">
        <f>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",""),IF(Aanvullend_Overige_Ped="","",Aanvullend_Overige_Ped), " - ")</f>
        <v xml:space="preserve"> - </v>
      </c>
    </row>
    <row r="56" spans="1:2" x14ac:dyDescent="0.35">
      <c r="A56" s="560"/>
    </row>
    <row r="58" spans="1:2" x14ac:dyDescent="0.35">
      <c r="A58" s="560"/>
    </row>
    <row r="60" spans="1:2" x14ac:dyDescent="0.35">
      <c r="A60" s="560"/>
    </row>
    <row r="61" spans="1:2" x14ac:dyDescent="0.35">
      <c r="A61" s="560"/>
    </row>
    <row r="62" spans="1:2" x14ac:dyDescent="0.35">
      <c r="A62" s="560"/>
    </row>
    <row r="63" spans="1:2" x14ac:dyDescent="0.35">
      <c r="A63" s="560"/>
    </row>
    <row r="64" spans="1:2" x14ac:dyDescent="0.35">
      <c r="A64" s="560"/>
    </row>
    <row r="65" spans="1:1" x14ac:dyDescent="0.35">
      <c r="A65" s="560"/>
    </row>
    <row r="66" spans="1:1" x14ac:dyDescent="0.35">
      <c r="A66" s="560"/>
    </row>
    <row r="67" spans="1:1" x14ac:dyDescent="0.35">
      <c r="A67" s="560"/>
    </row>
    <row r="68" spans="1:1" x14ac:dyDescent="0.35">
      <c r="A68" s="560"/>
    </row>
    <row r="69" spans="1:1" x14ac:dyDescent="0.35">
      <c r="A69" s="560"/>
    </row>
    <row r="70" spans="1:1" x14ac:dyDescent="0.35">
      <c r="A70" s="560"/>
    </row>
    <row r="71" spans="1:1" x14ac:dyDescent="0.35">
      <c r="A71" s="560"/>
    </row>
    <row r="73" spans="1:1" x14ac:dyDescent="0.35">
      <c r="A73" s="560"/>
    </row>
    <row r="74" spans="1:1" x14ac:dyDescent="0.35">
      <c r="A74" s="560"/>
    </row>
    <row r="75" spans="1:1" x14ac:dyDescent="0.35">
      <c r="A75" s="560"/>
    </row>
    <row r="76" spans="1:1" x14ac:dyDescent="0.35">
      <c r="A76" s="560"/>
    </row>
    <row r="77" spans="1:1" x14ac:dyDescent="0.35">
      <c r="A77" s="560"/>
    </row>
    <row r="78" spans="1:1" x14ac:dyDescent="0.35">
      <c r="A78" s="560"/>
    </row>
    <row r="79" spans="1:1" x14ac:dyDescent="0.35">
      <c r="A79" s="560"/>
    </row>
    <row r="80" spans="1:1" x14ac:dyDescent="0.35">
      <c r="A80" s="560"/>
    </row>
    <row r="81" spans="1:1" x14ac:dyDescent="0.35">
      <c r="A81" s="560"/>
    </row>
    <row r="82" spans="1:1" x14ac:dyDescent="0.35">
      <c r="A82" s="560"/>
    </row>
    <row r="83" spans="1:1" x14ac:dyDescent="0.35">
      <c r="A83" s="560"/>
    </row>
    <row r="84" spans="1:1" x14ac:dyDescent="0.35">
      <c r="A84" s="560"/>
    </row>
    <row r="85" spans="1:1" x14ac:dyDescent="0.35">
      <c r="A85" s="560"/>
    </row>
    <row r="86" spans="1:1" x14ac:dyDescent="0.35">
      <c r="A86" s="560"/>
    </row>
    <row r="87" spans="1:1" x14ac:dyDescent="0.35">
      <c r="A87" s="560"/>
    </row>
    <row r="88" spans="1:1" x14ac:dyDescent="0.35">
      <c r="A88" s="560"/>
    </row>
    <row r="89" spans="1:1" x14ac:dyDescent="0.35">
      <c r="A89" s="560"/>
    </row>
    <row r="90" spans="1:1" x14ac:dyDescent="0.35">
      <c r="A90" s="560"/>
    </row>
    <row r="91" spans="1:1" x14ac:dyDescent="0.35">
      <c r="A91" s="560"/>
    </row>
    <row r="92" spans="1:1" x14ac:dyDescent="0.35">
      <c r="A92" s="560"/>
    </row>
    <row r="93" spans="1:1" x14ac:dyDescent="0.35">
      <c r="A93" s="560"/>
    </row>
    <row r="94" spans="1:1" x14ac:dyDescent="0.35">
      <c r="A94" s="560"/>
    </row>
    <row r="95" spans="1:1" x14ac:dyDescent="0.35">
      <c r="A95" s="560"/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AanvullendeTbl">
    <tabColor rgb="FFFFC000"/>
  </sheetPr>
  <dimension ref="A1:P98"/>
  <sheetViews>
    <sheetView workbookViewId="0"/>
  </sheetViews>
  <sheetFormatPr defaultRowHeight="12.85" x14ac:dyDescent="0.35"/>
  <cols>
    <col min="1" max="1" width="11.59765625" bestFit="1" customWidth="1"/>
    <col min="2" max="3" width="18.265625" bestFit="1" customWidth="1"/>
    <col min="4" max="4" width="18.265625" style="517" customWidth="1"/>
    <col min="5" max="5" width="11" bestFit="1" customWidth="1"/>
    <col min="6" max="6" width="12.1328125" bestFit="1" customWidth="1"/>
    <col min="8" max="8" width="9.1328125" style="236"/>
    <col min="9" max="9" width="19.265625" bestFit="1" customWidth="1"/>
    <col min="10" max="10" width="17.73046875" bestFit="1" customWidth="1"/>
  </cols>
  <sheetData>
    <row r="1" spans="1:16" s="517" customFormat="1" ht="13.2" x14ac:dyDescent="0.4">
      <c r="A1" s="591" t="s">
        <v>1287</v>
      </c>
      <c r="B1" s="3" t="s">
        <v>1322</v>
      </c>
      <c r="C1" s="3" t="s">
        <v>1323</v>
      </c>
      <c r="D1" s="3" t="s">
        <v>1719</v>
      </c>
      <c r="E1" s="3" t="s">
        <v>1475</v>
      </c>
      <c r="F1" s="3" t="s">
        <v>1482</v>
      </c>
      <c r="G1" s="3" t="s">
        <v>1538</v>
      </c>
      <c r="H1" s="552"/>
      <c r="I1" s="3" t="s">
        <v>1710</v>
      </c>
      <c r="J1" s="3" t="s">
        <v>1728</v>
      </c>
    </row>
    <row r="2" spans="1:16" x14ac:dyDescent="0.35">
      <c r="G2">
        <v>1</v>
      </c>
    </row>
    <row r="3" spans="1:16" x14ac:dyDescent="0.35">
      <c r="A3" s="518" t="s">
        <v>1283</v>
      </c>
      <c r="B3" s="525" t="s">
        <v>1712</v>
      </c>
      <c r="C3" s="518" t="s">
        <v>1715</v>
      </c>
      <c r="D3" s="518" t="s">
        <v>1720</v>
      </c>
      <c r="E3" s="518" t="s">
        <v>1476</v>
      </c>
      <c r="F3" s="518" t="s">
        <v>1483</v>
      </c>
      <c r="G3">
        <v>2</v>
      </c>
      <c r="H3" s="517" t="s">
        <v>1539</v>
      </c>
      <c r="I3" s="614" t="s">
        <v>1740</v>
      </c>
      <c r="J3" t="s">
        <v>1729</v>
      </c>
      <c r="N3" s="522"/>
      <c r="O3" s="517"/>
      <c r="P3" s="517"/>
    </row>
    <row r="4" spans="1:16" x14ac:dyDescent="0.35">
      <c r="A4" s="518" t="s">
        <v>1284</v>
      </c>
      <c r="B4" s="525" t="s">
        <v>1320</v>
      </c>
      <c r="C4" s="518" t="s">
        <v>1716</v>
      </c>
      <c r="D4" s="518" t="s">
        <v>1721</v>
      </c>
      <c r="E4" s="518" t="s">
        <v>1477</v>
      </c>
      <c r="F4" s="518" t="s">
        <v>1484</v>
      </c>
      <c r="G4">
        <v>3</v>
      </c>
      <c r="H4" s="517" t="s">
        <v>1540</v>
      </c>
      <c r="I4" s="614" t="s">
        <v>1741</v>
      </c>
      <c r="J4" t="s">
        <v>1730</v>
      </c>
      <c r="N4" s="518"/>
      <c r="O4" s="517"/>
      <c r="P4" s="517"/>
    </row>
    <row r="5" spans="1:16" x14ac:dyDescent="0.35">
      <c r="A5" s="518" t="s">
        <v>1285</v>
      </c>
      <c r="B5" s="525" t="s">
        <v>1321</v>
      </c>
      <c r="C5" s="518" t="s">
        <v>1717</v>
      </c>
      <c r="D5" s="518" t="s">
        <v>1722</v>
      </c>
      <c r="E5" s="518" t="s">
        <v>1478</v>
      </c>
      <c r="F5" s="518" t="s">
        <v>1485</v>
      </c>
      <c r="G5" s="517">
        <v>4</v>
      </c>
      <c r="H5" s="517" t="s">
        <v>1541</v>
      </c>
      <c r="I5" s="614" t="s">
        <v>1742</v>
      </c>
      <c r="J5" t="s">
        <v>1731</v>
      </c>
      <c r="N5" s="518"/>
      <c r="O5" s="517"/>
      <c r="P5" s="517"/>
    </row>
    <row r="6" spans="1:16" x14ac:dyDescent="0.35">
      <c r="A6" s="577"/>
      <c r="B6" s="525" t="s">
        <v>1653</v>
      </c>
      <c r="C6" t="s">
        <v>1718</v>
      </c>
      <c r="E6" s="518" t="s">
        <v>1479</v>
      </c>
      <c r="F6" s="518" t="s">
        <v>1486</v>
      </c>
      <c r="G6" s="517">
        <v>5</v>
      </c>
      <c r="H6" s="517" t="s">
        <v>1542</v>
      </c>
      <c r="I6" s="551"/>
      <c r="N6" s="517"/>
      <c r="O6" s="517"/>
      <c r="P6" s="517"/>
    </row>
    <row r="7" spans="1:16" x14ac:dyDescent="0.35">
      <c r="B7" s="525" t="s">
        <v>1713</v>
      </c>
      <c r="E7" s="518"/>
      <c r="G7" s="517">
        <v>6</v>
      </c>
      <c r="H7" s="517" t="s">
        <v>1543</v>
      </c>
      <c r="I7" s="551"/>
      <c r="N7" s="517"/>
      <c r="O7" s="517"/>
      <c r="P7" s="517"/>
    </row>
    <row r="8" spans="1:16" x14ac:dyDescent="0.35">
      <c r="B8" s="525" t="s">
        <v>1714</v>
      </c>
      <c r="G8" s="517">
        <v>7</v>
      </c>
      <c r="H8" s="517" t="s">
        <v>1544</v>
      </c>
      <c r="I8" s="551"/>
      <c r="N8" s="517"/>
      <c r="O8" s="517"/>
      <c r="P8" s="517"/>
    </row>
    <row r="9" spans="1:16" x14ac:dyDescent="0.35">
      <c r="G9" s="517">
        <v>8</v>
      </c>
      <c r="H9" s="517" t="s">
        <v>1545</v>
      </c>
      <c r="I9" s="551"/>
      <c r="N9" s="517"/>
      <c r="O9" s="517"/>
      <c r="P9" s="517"/>
    </row>
    <row r="10" spans="1:16" x14ac:dyDescent="0.35">
      <c r="G10" s="517">
        <v>9</v>
      </c>
      <c r="H10" s="517" t="s">
        <v>1546</v>
      </c>
      <c r="I10" s="551"/>
      <c r="N10" s="517"/>
      <c r="O10" s="517"/>
      <c r="P10" s="517"/>
    </row>
    <row r="11" spans="1:16" x14ac:dyDescent="0.35">
      <c r="G11" s="517">
        <v>10</v>
      </c>
      <c r="H11" s="517" t="s">
        <v>1547</v>
      </c>
      <c r="I11" s="551"/>
      <c r="N11" s="517"/>
      <c r="O11" s="517"/>
      <c r="P11" s="517"/>
    </row>
    <row r="12" spans="1:16" x14ac:dyDescent="0.35">
      <c r="G12" s="517">
        <v>11</v>
      </c>
      <c r="H12" s="517" t="s">
        <v>1548</v>
      </c>
      <c r="I12" s="551"/>
      <c r="N12" s="517"/>
      <c r="O12" s="517"/>
      <c r="P12" s="517"/>
    </row>
    <row r="13" spans="1:16" x14ac:dyDescent="0.35">
      <c r="G13" s="517">
        <v>12</v>
      </c>
      <c r="H13" s="517" t="s">
        <v>1549</v>
      </c>
      <c r="I13" s="551"/>
      <c r="N13" s="517"/>
      <c r="O13" s="517"/>
      <c r="P13" s="517"/>
    </row>
    <row r="14" spans="1:16" x14ac:dyDescent="0.35">
      <c r="G14" s="517">
        <v>13</v>
      </c>
      <c r="H14" s="517" t="s">
        <v>1550</v>
      </c>
      <c r="I14" s="551"/>
      <c r="N14" s="517"/>
      <c r="O14" s="517"/>
      <c r="P14" s="517"/>
    </row>
    <row r="15" spans="1:16" x14ac:dyDescent="0.35">
      <c r="G15" s="517">
        <v>14</v>
      </c>
      <c r="H15" s="517" t="s">
        <v>1551</v>
      </c>
      <c r="I15" s="551"/>
      <c r="N15" s="518"/>
      <c r="O15" s="517"/>
      <c r="P15" s="517"/>
    </row>
    <row r="16" spans="1:16" x14ac:dyDescent="0.35">
      <c r="G16" s="517">
        <v>15</v>
      </c>
      <c r="H16" s="517" t="s">
        <v>1552</v>
      </c>
      <c r="I16" s="551"/>
      <c r="N16" s="518"/>
      <c r="O16" s="517"/>
      <c r="P16" s="517"/>
    </row>
    <row r="17" spans="7:16" x14ac:dyDescent="0.35">
      <c r="G17" s="517">
        <v>16</v>
      </c>
      <c r="H17" s="517" t="s">
        <v>1553</v>
      </c>
      <c r="I17" s="551"/>
      <c r="N17" s="518"/>
      <c r="O17" s="517"/>
      <c r="P17" s="517"/>
    </row>
    <row r="18" spans="7:16" x14ac:dyDescent="0.35">
      <c r="G18" s="517">
        <v>17</v>
      </c>
      <c r="H18" s="517" t="s">
        <v>1554</v>
      </c>
      <c r="I18" s="551"/>
      <c r="N18" s="518"/>
      <c r="O18" s="517"/>
      <c r="P18" s="517"/>
    </row>
    <row r="19" spans="7:16" x14ac:dyDescent="0.35">
      <c r="G19" s="517">
        <v>18</v>
      </c>
      <c r="H19" s="517" t="s">
        <v>1555</v>
      </c>
      <c r="I19" s="551"/>
      <c r="N19" s="518"/>
      <c r="O19" s="517"/>
      <c r="P19" s="517"/>
    </row>
    <row r="20" spans="7:16" x14ac:dyDescent="0.35">
      <c r="G20" s="517">
        <v>19</v>
      </c>
      <c r="H20" s="517" t="s">
        <v>1556</v>
      </c>
      <c r="I20" s="551"/>
      <c r="N20" s="518"/>
      <c r="O20" s="517"/>
      <c r="P20" s="517"/>
    </row>
    <row r="21" spans="7:16" x14ac:dyDescent="0.35">
      <c r="G21" s="517">
        <v>20</v>
      </c>
      <c r="H21" s="517" t="s">
        <v>1557</v>
      </c>
      <c r="I21" s="551"/>
      <c r="N21" s="517"/>
      <c r="O21" s="517"/>
      <c r="P21" s="517"/>
    </row>
    <row r="22" spans="7:16" x14ac:dyDescent="0.35">
      <c r="G22" s="517">
        <v>21</v>
      </c>
      <c r="H22" s="517" t="s">
        <v>1558</v>
      </c>
      <c r="I22" s="551"/>
      <c r="N22" s="518"/>
      <c r="O22" s="517"/>
      <c r="P22" s="517"/>
    </row>
    <row r="23" spans="7:16" x14ac:dyDescent="0.35">
      <c r="G23" s="517">
        <v>22</v>
      </c>
      <c r="H23" s="517" t="s">
        <v>1559</v>
      </c>
      <c r="I23" s="551"/>
      <c r="N23" s="518"/>
      <c r="O23" s="517"/>
      <c r="P23" s="517"/>
    </row>
    <row r="24" spans="7:16" x14ac:dyDescent="0.35">
      <c r="G24" s="517">
        <v>23</v>
      </c>
      <c r="H24" s="517" t="s">
        <v>1560</v>
      </c>
      <c r="I24" s="551"/>
      <c r="N24" s="518"/>
      <c r="O24" s="517"/>
      <c r="P24" s="517"/>
    </row>
    <row r="25" spans="7:16" x14ac:dyDescent="0.35">
      <c r="G25" s="517">
        <v>24</v>
      </c>
      <c r="H25" s="517" t="s">
        <v>1561</v>
      </c>
      <c r="I25" s="551"/>
      <c r="N25" s="517"/>
      <c r="O25" s="517"/>
      <c r="P25" s="517"/>
    </row>
    <row r="26" spans="7:16" x14ac:dyDescent="0.35">
      <c r="G26" s="517">
        <v>25</v>
      </c>
      <c r="H26" s="517" t="s">
        <v>1562</v>
      </c>
      <c r="I26" s="551"/>
      <c r="N26" s="518"/>
      <c r="O26" s="517"/>
      <c r="P26" s="517"/>
    </row>
    <row r="27" spans="7:16" x14ac:dyDescent="0.35">
      <c r="G27" s="517">
        <v>26</v>
      </c>
      <c r="H27" s="517" t="s">
        <v>1563</v>
      </c>
      <c r="I27" s="551"/>
      <c r="N27" s="517"/>
      <c r="O27" s="517"/>
      <c r="P27" s="517"/>
    </row>
    <row r="28" spans="7:16" x14ac:dyDescent="0.35">
      <c r="G28" s="517">
        <v>27</v>
      </c>
      <c r="H28" s="517" t="s">
        <v>1564</v>
      </c>
      <c r="I28" s="551"/>
      <c r="N28" s="518"/>
      <c r="O28" s="517"/>
      <c r="P28" s="517"/>
    </row>
    <row r="29" spans="7:16" x14ac:dyDescent="0.35">
      <c r="G29" s="517">
        <v>28</v>
      </c>
      <c r="H29" s="517" t="s">
        <v>1565</v>
      </c>
      <c r="I29" s="551"/>
      <c r="N29" s="517"/>
      <c r="O29" s="517"/>
      <c r="P29" s="517"/>
    </row>
    <row r="30" spans="7:16" x14ac:dyDescent="0.35">
      <c r="G30" s="517">
        <v>29</v>
      </c>
      <c r="H30" s="517" t="s">
        <v>1566</v>
      </c>
      <c r="I30" s="551"/>
      <c r="N30" s="518"/>
      <c r="O30" s="517"/>
      <c r="P30" s="517"/>
    </row>
    <row r="31" spans="7:16" x14ac:dyDescent="0.35">
      <c r="G31" s="517">
        <v>30</v>
      </c>
      <c r="H31" s="517" t="s">
        <v>1567</v>
      </c>
      <c r="I31" s="551"/>
      <c r="N31" s="518"/>
      <c r="O31" s="517"/>
      <c r="P31" s="517"/>
    </row>
    <row r="32" spans="7:16" x14ac:dyDescent="0.35">
      <c r="G32" s="517">
        <v>31</v>
      </c>
      <c r="H32" s="517" t="s">
        <v>1568</v>
      </c>
      <c r="I32" s="551"/>
      <c r="N32" s="518"/>
      <c r="O32" s="517"/>
      <c r="P32" s="517"/>
    </row>
    <row r="33" spans="7:16" x14ac:dyDescent="0.35">
      <c r="G33" s="517">
        <v>32</v>
      </c>
      <c r="H33" s="517" t="s">
        <v>1569</v>
      </c>
      <c r="I33" s="551"/>
      <c r="N33" s="522"/>
      <c r="O33" s="517"/>
      <c r="P33" s="517"/>
    </row>
    <row r="34" spans="7:16" x14ac:dyDescent="0.35">
      <c r="G34" s="517">
        <v>33</v>
      </c>
      <c r="H34" s="517" t="s">
        <v>1570</v>
      </c>
      <c r="I34" s="551"/>
      <c r="N34" s="518"/>
      <c r="O34" s="517"/>
      <c r="P34" s="517"/>
    </row>
    <row r="35" spans="7:16" x14ac:dyDescent="0.35">
      <c r="G35" s="517">
        <v>34</v>
      </c>
      <c r="H35" s="517" t="s">
        <v>1571</v>
      </c>
      <c r="I35" s="551"/>
      <c r="N35" s="518"/>
      <c r="O35" s="517"/>
      <c r="P35" s="517"/>
    </row>
    <row r="36" spans="7:16" x14ac:dyDescent="0.35">
      <c r="G36" s="517">
        <v>35</v>
      </c>
      <c r="H36" s="517" t="s">
        <v>1572</v>
      </c>
      <c r="I36" s="551"/>
      <c r="N36" s="518"/>
      <c r="O36" s="517"/>
      <c r="P36" s="517"/>
    </row>
    <row r="37" spans="7:16" x14ac:dyDescent="0.35">
      <c r="G37" s="517">
        <v>36</v>
      </c>
      <c r="H37" s="517" t="s">
        <v>1573</v>
      </c>
      <c r="I37" s="551"/>
      <c r="N37" s="517"/>
      <c r="O37" s="517"/>
      <c r="P37" s="517"/>
    </row>
    <row r="38" spans="7:16" x14ac:dyDescent="0.35">
      <c r="G38" s="517">
        <v>37</v>
      </c>
      <c r="H38" s="517" t="s">
        <v>1574</v>
      </c>
      <c r="I38" s="551"/>
      <c r="N38" s="518"/>
      <c r="O38" s="517"/>
      <c r="P38" s="517"/>
    </row>
    <row r="39" spans="7:16" x14ac:dyDescent="0.35">
      <c r="G39" s="517">
        <v>38</v>
      </c>
      <c r="H39" s="517" t="s">
        <v>1575</v>
      </c>
      <c r="I39" s="551"/>
      <c r="N39" s="518"/>
      <c r="O39" s="517"/>
      <c r="P39" s="517"/>
    </row>
    <row r="40" spans="7:16" x14ac:dyDescent="0.35">
      <c r="G40" s="517">
        <v>39</v>
      </c>
      <c r="H40" s="517" t="s">
        <v>1576</v>
      </c>
      <c r="I40" s="551"/>
      <c r="N40" s="517"/>
      <c r="O40" s="517"/>
      <c r="P40" s="517"/>
    </row>
    <row r="41" spans="7:16" x14ac:dyDescent="0.35">
      <c r="G41" s="517">
        <v>40</v>
      </c>
      <c r="H41" s="517" t="s">
        <v>1577</v>
      </c>
      <c r="I41" s="551"/>
      <c r="N41" s="517"/>
      <c r="O41" s="517"/>
      <c r="P41" s="517"/>
    </row>
    <row r="42" spans="7:16" x14ac:dyDescent="0.35">
      <c r="G42" s="517">
        <v>41</v>
      </c>
      <c r="H42" s="517" t="s">
        <v>1578</v>
      </c>
      <c r="I42" s="551"/>
      <c r="N42" s="517"/>
      <c r="O42" s="517"/>
      <c r="P42" s="517"/>
    </row>
    <row r="43" spans="7:16" x14ac:dyDescent="0.35">
      <c r="G43" s="517">
        <v>42</v>
      </c>
      <c r="H43" s="517" t="s">
        <v>1579</v>
      </c>
      <c r="I43" s="551"/>
      <c r="N43" s="517"/>
      <c r="O43" s="517"/>
      <c r="P43" s="517"/>
    </row>
    <row r="44" spans="7:16" x14ac:dyDescent="0.35">
      <c r="G44" s="517">
        <v>43</v>
      </c>
      <c r="H44" s="517" t="s">
        <v>1580</v>
      </c>
      <c r="I44" s="551"/>
      <c r="N44" s="518"/>
      <c r="O44" s="517"/>
      <c r="P44" s="517"/>
    </row>
    <row r="45" spans="7:16" x14ac:dyDescent="0.35">
      <c r="G45" s="517">
        <v>44</v>
      </c>
      <c r="H45" s="517" t="s">
        <v>1581</v>
      </c>
      <c r="I45" s="551"/>
      <c r="N45" s="518"/>
      <c r="O45" s="517"/>
      <c r="P45" s="517"/>
    </row>
    <row r="46" spans="7:16" x14ac:dyDescent="0.35">
      <c r="G46" s="517">
        <v>45</v>
      </c>
      <c r="H46" s="517" t="s">
        <v>1582</v>
      </c>
      <c r="I46" s="551"/>
      <c r="N46" s="518"/>
      <c r="O46" s="517"/>
      <c r="P46" s="517"/>
    </row>
    <row r="47" spans="7:16" x14ac:dyDescent="0.35">
      <c r="G47" s="517">
        <v>46</v>
      </c>
      <c r="H47" s="517" t="s">
        <v>1583</v>
      </c>
      <c r="I47" s="551"/>
      <c r="N47" s="518"/>
      <c r="O47" s="517"/>
      <c r="P47" s="517"/>
    </row>
    <row r="48" spans="7:16" x14ac:dyDescent="0.35">
      <c r="G48" s="517">
        <v>47</v>
      </c>
      <c r="H48" s="517" t="s">
        <v>1584</v>
      </c>
      <c r="I48" s="551"/>
      <c r="N48" s="518"/>
      <c r="O48" s="517"/>
      <c r="P48" s="517"/>
    </row>
    <row r="49" spans="7:16" x14ac:dyDescent="0.35">
      <c r="G49" s="517">
        <v>48</v>
      </c>
      <c r="H49" s="517" t="s">
        <v>1585</v>
      </c>
      <c r="I49" s="551"/>
      <c r="N49" s="518"/>
      <c r="O49" s="517"/>
      <c r="P49" s="517"/>
    </row>
    <row r="50" spans="7:16" x14ac:dyDescent="0.35">
      <c r="G50" s="517">
        <v>49</v>
      </c>
      <c r="H50" s="517" t="s">
        <v>1586</v>
      </c>
      <c r="I50" s="551"/>
      <c r="N50" s="518"/>
      <c r="O50" s="517"/>
      <c r="P50" s="517"/>
    </row>
    <row r="51" spans="7:16" x14ac:dyDescent="0.35">
      <c r="G51" s="517">
        <v>50</v>
      </c>
      <c r="H51" s="517" t="s">
        <v>1587</v>
      </c>
      <c r="I51" s="551"/>
      <c r="N51" s="518"/>
      <c r="O51" s="517"/>
      <c r="P51" s="517"/>
    </row>
    <row r="52" spans="7:16" x14ac:dyDescent="0.35">
      <c r="G52" s="517">
        <v>51</v>
      </c>
      <c r="H52" s="517" t="s">
        <v>1588</v>
      </c>
      <c r="I52" s="551"/>
      <c r="N52" s="518"/>
      <c r="O52" s="517"/>
      <c r="P52" s="517"/>
    </row>
    <row r="53" spans="7:16" x14ac:dyDescent="0.35">
      <c r="G53" s="517">
        <v>52</v>
      </c>
      <c r="H53" s="517" t="s">
        <v>1589</v>
      </c>
      <c r="I53" s="551"/>
      <c r="N53" s="518"/>
      <c r="O53" s="517"/>
      <c r="P53" s="517"/>
    </row>
    <row r="54" spans="7:16" x14ac:dyDescent="0.35">
      <c r="G54" s="517">
        <v>53</v>
      </c>
      <c r="H54" s="517" t="s">
        <v>1590</v>
      </c>
      <c r="I54" s="551"/>
      <c r="N54" s="518"/>
      <c r="O54" s="517"/>
      <c r="P54" s="517"/>
    </row>
    <row r="55" spans="7:16" x14ac:dyDescent="0.35">
      <c r="G55" s="517">
        <v>54</v>
      </c>
      <c r="H55" s="517" t="s">
        <v>1591</v>
      </c>
      <c r="I55" s="551"/>
      <c r="N55" s="518"/>
      <c r="O55" s="517"/>
      <c r="P55" s="517"/>
    </row>
    <row r="56" spans="7:16" x14ac:dyDescent="0.35">
      <c r="G56" s="517">
        <v>55</v>
      </c>
      <c r="H56" s="517" t="s">
        <v>1592</v>
      </c>
      <c r="I56" s="551"/>
      <c r="N56" s="517"/>
      <c r="O56" s="517"/>
      <c r="P56" s="517"/>
    </row>
    <row r="57" spans="7:16" x14ac:dyDescent="0.35">
      <c r="G57" s="517">
        <v>56</v>
      </c>
      <c r="H57" s="517" t="s">
        <v>1593</v>
      </c>
      <c r="I57" s="551"/>
      <c r="N57" s="517"/>
      <c r="O57" s="517"/>
      <c r="P57" s="517"/>
    </row>
    <row r="58" spans="7:16" x14ac:dyDescent="0.35">
      <c r="G58" s="517">
        <v>57</v>
      </c>
      <c r="H58" s="517" t="s">
        <v>1594</v>
      </c>
      <c r="I58" s="551"/>
      <c r="N58" s="518"/>
      <c r="O58" s="517"/>
      <c r="P58" s="517"/>
    </row>
    <row r="59" spans="7:16" x14ac:dyDescent="0.35">
      <c r="G59" s="517">
        <v>58</v>
      </c>
      <c r="H59" s="517" t="s">
        <v>1595</v>
      </c>
      <c r="I59" s="551"/>
      <c r="N59" s="517"/>
      <c r="O59" s="517"/>
      <c r="P59" s="517"/>
    </row>
    <row r="60" spans="7:16" x14ac:dyDescent="0.35">
      <c r="G60" s="517">
        <v>59</v>
      </c>
      <c r="H60" s="517" t="s">
        <v>1596</v>
      </c>
      <c r="I60" s="551"/>
      <c r="N60" s="518"/>
      <c r="O60" s="517"/>
      <c r="P60" s="517"/>
    </row>
    <row r="61" spans="7:16" x14ac:dyDescent="0.35">
      <c r="G61" s="517">
        <v>60</v>
      </c>
      <c r="H61" s="517" t="s">
        <v>1597</v>
      </c>
      <c r="I61" s="551"/>
      <c r="N61" s="518"/>
      <c r="O61" s="517"/>
      <c r="P61" s="517"/>
    </row>
    <row r="62" spans="7:16" x14ac:dyDescent="0.35">
      <c r="G62" s="517">
        <v>61</v>
      </c>
      <c r="H62" s="517" t="s">
        <v>1598</v>
      </c>
      <c r="I62" s="551"/>
      <c r="N62" s="517"/>
      <c r="O62" s="517"/>
      <c r="P62" s="517"/>
    </row>
    <row r="63" spans="7:16" x14ac:dyDescent="0.35">
      <c r="G63" s="517">
        <v>62</v>
      </c>
      <c r="H63" s="517" t="s">
        <v>1599</v>
      </c>
      <c r="I63" s="551"/>
      <c r="N63" s="518"/>
      <c r="O63" s="517"/>
      <c r="P63" s="517"/>
    </row>
    <row r="64" spans="7:16" x14ac:dyDescent="0.35">
      <c r="G64" s="517">
        <v>63</v>
      </c>
      <c r="H64" s="517" t="s">
        <v>1600</v>
      </c>
      <c r="I64" s="551"/>
      <c r="N64" s="518"/>
      <c r="O64" s="517"/>
      <c r="P64" s="517"/>
    </row>
    <row r="65" spans="7:16" x14ac:dyDescent="0.35">
      <c r="G65" s="517">
        <v>64</v>
      </c>
      <c r="H65" s="517" t="s">
        <v>1601</v>
      </c>
      <c r="I65" s="551"/>
      <c r="N65" s="518"/>
      <c r="O65" s="517"/>
      <c r="P65" s="517"/>
    </row>
    <row r="66" spans="7:16" x14ac:dyDescent="0.35">
      <c r="G66" s="517">
        <v>65</v>
      </c>
      <c r="H66" s="517" t="s">
        <v>1602</v>
      </c>
      <c r="I66" s="551"/>
      <c r="N66" s="518"/>
      <c r="O66" s="517"/>
      <c r="P66" s="517"/>
    </row>
    <row r="67" spans="7:16" x14ac:dyDescent="0.35">
      <c r="G67" s="517">
        <v>66</v>
      </c>
      <c r="H67" s="517" t="s">
        <v>1603</v>
      </c>
      <c r="I67" s="551"/>
      <c r="N67" s="517"/>
      <c r="O67" s="517"/>
      <c r="P67" s="517"/>
    </row>
    <row r="68" spans="7:16" x14ac:dyDescent="0.35">
      <c r="G68" s="517">
        <v>67</v>
      </c>
      <c r="H68" s="517" t="s">
        <v>1604</v>
      </c>
      <c r="I68" s="551"/>
      <c r="N68" s="518"/>
      <c r="O68" s="517"/>
      <c r="P68" s="517"/>
    </row>
    <row r="69" spans="7:16" x14ac:dyDescent="0.35">
      <c r="G69" s="517">
        <v>68</v>
      </c>
      <c r="H69" s="517" t="s">
        <v>1605</v>
      </c>
      <c r="I69" s="551"/>
      <c r="N69" s="518"/>
      <c r="O69" s="517"/>
      <c r="P69" s="517"/>
    </row>
    <row r="70" spans="7:16" x14ac:dyDescent="0.35">
      <c r="G70" s="517">
        <v>69</v>
      </c>
      <c r="H70" s="517" t="s">
        <v>1606</v>
      </c>
      <c r="I70" s="551"/>
      <c r="N70" s="518"/>
      <c r="O70" s="517"/>
      <c r="P70" s="517"/>
    </row>
    <row r="71" spans="7:16" x14ac:dyDescent="0.35">
      <c r="G71" s="517">
        <v>70</v>
      </c>
      <c r="H71" s="517" t="s">
        <v>1607</v>
      </c>
      <c r="I71" s="551"/>
      <c r="N71" s="518"/>
      <c r="O71" s="517"/>
      <c r="P71" s="517"/>
    </row>
    <row r="72" spans="7:16" x14ac:dyDescent="0.35">
      <c r="G72" s="517">
        <v>71</v>
      </c>
      <c r="H72" s="517" t="s">
        <v>1608</v>
      </c>
      <c r="I72" s="551"/>
      <c r="N72" s="518"/>
      <c r="O72" s="517"/>
      <c r="P72" s="517"/>
    </row>
    <row r="73" spans="7:16" x14ac:dyDescent="0.35">
      <c r="G73" s="517">
        <v>72</v>
      </c>
      <c r="H73" s="517" t="s">
        <v>1609</v>
      </c>
      <c r="I73" s="551"/>
      <c r="N73" s="518"/>
      <c r="O73" s="517"/>
      <c r="P73" s="517"/>
    </row>
    <row r="74" spans="7:16" x14ac:dyDescent="0.35">
      <c r="G74" s="517">
        <v>73</v>
      </c>
      <c r="H74" s="517" t="s">
        <v>1610</v>
      </c>
      <c r="I74" s="551"/>
      <c r="N74" s="517"/>
      <c r="O74" s="517"/>
      <c r="P74" s="517"/>
    </row>
    <row r="75" spans="7:16" x14ac:dyDescent="0.35">
      <c r="G75" s="517">
        <v>74</v>
      </c>
      <c r="H75" s="517" t="s">
        <v>1611</v>
      </c>
      <c r="I75" s="551"/>
      <c r="N75" s="517"/>
      <c r="O75" s="517"/>
      <c r="P75" s="517"/>
    </row>
    <row r="76" spans="7:16" x14ac:dyDescent="0.35">
      <c r="G76" s="517">
        <v>75</v>
      </c>
      <c r="H76" s="517" t="s">
        <v>1612</v>
      </c>
      <c r="I76" s="551"/>
    </row>
    <row r="77" spans="7:16" x14ac:dyDescent="0.35">
      <c r="G77" s="517">
        <v>76</v>
      </c>
      <c r="H77" s="517" t="s">
        <v>1613</v>
      </c>
      <c r="I77" s="551"/>
    </row>
    <row r="78" spans="7:16" x14ac:dyDescent="0.35">
      <c r="G78" s="517">
        <v>77</v>
      </c>
      <c r="H78" s="517" t="s">
        <v>1614</v>
      </c>
      <c r="I78" s="551"/>
    </row>
    <row r="79" spans="7:16" x14ac:dyDescent="0.35">
      <c r="G79" s="517">
        <v>78</v>
      </c>
      <c r="H79" s="517" t="s">
        <v>1615</v>
      </c>
      <c r="I79" s="551"/>
    </row>
    <row r="80" spans="7:16" x14ac:dyDescent="0.35">
      <c r="G80" s="517">
        <v>79</v>
      </c>
      <c r="H80" s="517" t="s">
        <v>1616</v>
      </c>
      <c r="I80" s="551"/>
    </row>
    <row r="81" spans="7:9" x14ac:dyDescent="0.35">
      <c r="G81" s="517">
        <v>80</v>
      </c>
      <c r="H81" s="517" t="s">
        <v>1617</v>
      </c>
      <c r="I81" s="551"/>
    </row>
    <row r="82" spans="7:9" x14ac:dyDescent="0.35">
      <c r="G82" s="517">
        <v>81</v>
      </c>
      <c r="H82" s="517" t="s">
        <v>1618</v>
      </c>
      <c r="I82" s="551"/>
    </row>
    <row r="83" spans="7:9" x14ac:dyDescent="0.35">
      <c r="G83" s="517">
        <v>82</v>
      </c>
      <c r="H83" s="517" t="s">
        <v>1619</v>
      </c>
      <c r="I83" s="551"/>
    </row>
    <row r="84" spans="7:9" x14ac:dyDescent="0.35">
      <c r="G84" s="517">
        <v>83</v>
      </c>
      <c r="H84" s="517" t="s">
        <v>1620</v>
      </c>
      <c r="I84" s="551"/>
    </row>
    <row r="85" spans="7:9" x14ac:dyDescent="0.35">
      <c r="G85" s="517">
        <v>84</v>
      </c>
      <c r="H85" s="517" t="s">
        <v>1621</v>
      </c>
      <c r="I85" s="551"/>
    </row>
    <row r="86" spans="7:9" x14ac:dyDescent="0.35">
      <c r="G86" s="517">
        <v>85</v>
      </c>
      <c r="H86" s="517" t="s">
        <v>1622</v>
      </c>
      <c r="I86" s="551"/>
    </row>
    <row r="87" spans="7:9" x14ac:dyDescent="0.35">
      <c r="G87" s="517">
        <v>86</v>
      </c>
      <c r="H87" s="517" t="s">
        <v>1623</v>
      </c>
      <c r="I87" s="551"/>
    </row>
    <row r="88" spans="7:9" x14ac:dyDescent="0.35">
      <c r="G88" s="517">
        <v>87</v>
      </c>
      <c r="H88" s="517" t="s">
        <v>1624</v>
      </c>
      <c r="I88" s="551"/>
    </row>
    <row r="89" spans="7:9" x14ac:dyDescent="0.35">
      <c r="G89" s="517">
        <v>88</v>
      </c>
      <c r="H89" s="517" t="s">
        <v>1625</v>
      </c>
      <c r="I89" s="551"/>
    </row>
    <row r="90" spans="7:9" x14ac:dyDescent="0.35">
      <c r="G90" s="517">
        <v>89</v>
      </c>
      <c r="H90" s="517" t="s">
        <v>1626</v>
      </c>
      <c r="I90" s="551"/>
    </row>
    <row r="91" spans="7:9" x14ac:dyDescent="0.35">
      <c r="G91" s="517">
        <v>90</v>
      </c>
      <c r="H91" s="517" t="s">
        <v>1627</v>
      </c>
      <c r="I91" s="551"/>
    </row>
    <row r="92" spans="7:9" x14ac:dyDescent="0.35">
      <c r="G92" s="517">
        <v>91</v>
      </c>
      <c r="H92" s="517" t="s">
        <v>1628</v>
      </c>
      <c r="I92" s="551"/>
    </row>
    <row r="93" spans="7:9" x14ac:dyDescent="0.35">
      <c r="G93" s="517">
        <v>92</v>
      </c>
      <c r="H93" s="517" t="s">
        <v>1629</v>
      </c>
      <c r="I93" s="551"/>
    </row>
    <row r="94" spans="7:9" x14ac:dyDescent="0.35">
      <c r="G94" s="517">
        <v>93</v>
      </c>
      <c r="H94" s="517" t="s">
        <v>1630</v>
      </c>
      <c r="I94" s="551"/>
    </row>
    <row r="95" spans="7:9" x14ac:dyDescent="0.35">
      <c r="G95" s="517">
        <v>94</v>
      </c>
      <c r="H95" s="517" t="s">
        <v>1631</v>
      </c>
      <c r="I95" s="551"/>
    </row>
    <row r="96" spans="7:9" x14ac:dyDescent="0.35">
      <c r="G96" s="517">
        <v>95</v>
      </c>
      <c r="H96" s="517" t="s">
        <v>1632</v>
      </c>
      <c r="I96" s="551"/>
    </row>
    <row r="97" spans="7:9" x14ac:dyDescent="0.35">
      <c r="G97" s="517">
        <v>96</v>
      </c>
      <c r="H97" s="517" t="s">
        <v>1633</v>
      </c>
      <c r="I97" s="551"/>
    </row>
    <row r="98" spans="7:9" x14ac:dyDescent="0.35">
      <c r="G98" s="517">
        <v>97</v>
      </c>
      <c r="H98" s="517" t="s">
        <v>1634</v>
      </c>
      <c r="I98" s="551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uiAcuteOpvang">
    <tabColor rgb="FF7030A0"/>
    <pageSetUpPr autoPageBreaks="0"/>
  </sheetPr>
  <dimension ref="A1:FIO452"/>
  <sheetViews>
    <sheetView zoomScaleNormal="100" zoomScaleSheetLayoutView="100" workbookViewId="0"/>
  </sheetViews>
  <sheetFormatPr defaultColWidth="9.1328125" defaultRowHeight="12.85" x14ac:dyDescent="0.35"/>
  <cols>
    <col min="1" max="1" width="9.1328125" style="45"/>
    <col min="2" max="2" width="10.265625" style="9" customWidth="1"/>
    <col min="3" max="3" width="19.73046875" style="45" customWidth="1"/>
    <col min="4" max="4" width="24.59765625" style="45" customWidth="1"/>
    <col min="5" max="5" width="17.73046875" style="45" customWidth="1"/>
    <col min="6" max="7" width="18.73046875" style="45" customWidth="1"/>
    <col min="8" max="11" width="9.1328125" style="45"/>
    <col min="12" max="21" width="0" style="45" hidden="1" customWidth="1"/>
    <col min="22" max="16384" width="9.1328125" style="45"/>
  </cols>
  <sheetData>
    <row r="1" spans="1:25 4305:4305" x14ac:dyDescent="0.35">
      <c r="A1" s="585"/>
      <c r="J1" s="185"/>
      <c r="K1" s="185"/>
      <c r="L1" s="544" t="s">
        <v>1521</v>
      </c>
      <c r="M1" s="544" t="s">
        <v>1529</v>
      </c>
      <c r="N1" s="544" t="s">
        <v>1522</v>
      </c>
      <c r="O1" s="544"/>
      <c r="P1" s="544"/>
      <c r="Q1" s="544"/>
      <c r="R1" s="544"/>
      <c r="S1" s="544" t="s">
        <v>1530</v>
      </c>
      <c r="T1" s="544" t="s">
        <v>1531</v>
      </c>
      <c r="U1" s="544"/>
      <c r="V1" s="544"/>
      <c r="W1" s="544"/>
      <c r="X1" s="544"/>
      <c r="Y1" s="185"/>
    </row>
    <row r="2" spans="1:25 4305:4305" ht="15" customHeight="1" x14ac:dyDescent="0.4">
      <c r="B2" s="176" t="str">
        <f>"Patient: "&amp;_AchterNaam&amp;", "&amp;_VoorNaam</f>
        <v>Patient: Achternaam, Voornaam</v>
      </c>
      <c r="C2" s="174"/>
      <c r="D2" s="132"/>
      <c r="E2" s="177" t="e">
        <f ca="1">"Geschatte lengte: "&amp;VLOOKUP(C5+D5/12,HEIGHTNL.CRF!A2:D45,4)&amp;" cm"</f>
        <v>#NAME?</v>
      </c>
      <c r="F2" s="132"/>
      <c r="G2" s="140"/>
      <c r="H2" s="46"/>
      <c r="I2" s="46"/>
      <c r="J2" s="185"/>
      <c r="K2" s="185"/>
      <c r="L2" s="544">
        <v>0</v>
      </c>
      <c r="M2" s="544">
        <v>40</v>
      </c>
      <c r="N2" s="544">
        <v>3.5</v>
      </c>
      <c r="O2" s="544">
        <v>0</v>
      </c>
      <c r="P2" s="544">
        <v>3.5</v>
      </c>
      <c r="Q2" s="544">
        <v>51</v>
      </c>
      <c r="R2" s="544"/>
      <c r="S2" s="544">
        <v>1</v>
      </c>
      <c r="T2" s="544">
        <v>1</v>
      </c>
      <c r="U2" s="544">
        <v>1</v>
      </c>
      <c r="V2" s="544"/>
      <c r="W2" s="544"/>
      <c r="X2" s="544"/>
      <c r="Y2" s="185"/>
      <c r="FIO2" s="45">
        <v>30</v>
      </c>
    </row>
    <row r="3" spans="1:25 4305:4305" ht="15" customHeight="1" x14ac:dyDescent="0.35">
      <c r="B3" s="176" t="str">
        <f>"Geb datum.: "</f>
        <v xml:space="preserve">Geb datum.: </v>
      </c>
      <c r="C3" s="190">
        <f>GebDatum</f>
        <v>42370</v>
      </c>
      <c r="D3" s="132"/>
      <c r="E3" s="177" t="e">
        <f ca="1">"Geschat gewicht: "&amp;VLOOKUP(C5+D5/12,WEIGHTNL.CRF!A2:T49,20)&amp;" kg"</f>
        <v>#NAME?</v>
      </c>
      <c r="F3" s="170"/>
      <c r="G3" s="140"/>
      <c r="H3" s="46"/>
      <c r="I3" s="46"/>
      <c r="J3" s="185"/>
      <c r="K3" s="185"/>
      <c r="L3" s="544">
        <v>1</v>
      </c>
      <c r="M3" s="544">
        <v>30</v>
      </c>
      <c r="N3" s="544">
        <v>4.5</v>
      </c>
      <c r="O3" s="544">
        <v>1</v>
      </c>
      <c r="P3" s="544">
        <v>4.2</v>
      </c>
      <c r="Q3" s="544">
        <v>54</v>
      </c>
      <c r="R3" s="544"/>
      <c r="S3" s="544">
        <v>2</v>
      </c>
      <c r="T3" s="544">
        <v>2</v>
      </c>
      <c r="U3" s="544">
        <v>2</v>
      </c>
      <c r="V3" s="544"/>
      <c r="W3" s="544"/>
      <c r="X3" s="544"/>
      <c r="Y3" s="185"/>
    </row>
    <row r="4" spans="1:25 4305:4305" ht="15.75" customHeight="1" x14ac:dyDescent="0.4">
      <c r="B4" s="163"/>
      <c r="C4" s="172" t="s">
        <v>893</v>
      </c>
      <c r="D4" s="172" t="s">
        <v>894</v>
      </c>
      <c r="E4" s="172" t="s">
        <v>572</v>
      </c>
      <c r="F4" s="172" t="s">
        <v>265</v>
      </c>
      <c r="G4" s="172" t="s">
        <v>97</v>
      </c>
      <c r="H4" s="46"/>
      <c r="J4" s="186"/>
      <c r="K4" s="186"/>
      <c r="L4" s="544">
        <v>2</v>
      </c>
      <c r="M4" s="544">
        <v>25</v>
      </c>
      <c r="N4" s="544">
        <v>4.5</v>
      </c>
      <c r="O4" s="544">
        <v>2</v>
      </c>
      <c r="P4" s="544">
        <v>5</v>
      </c>
      <c r="Q4" s="544">
        <v>57</v>
      </c>
      <c r="R4" s="544"/>
      <c r="S4" s="544">
        <v>3</v>
      </c>
      <c r="T4" s="544">
        <v>3</v>
      </c>
      <c r="U4" s="544">
        <v>3</v>
      </c>
      <c r="V4" s="544"/>
      <c r="W4" s="544"/>
      <c r="X4" s="544"/>
      <c r="Y4" s="185"/>
    </row>
    <row r="5" spans="1:25 4305:4305" ht="15" customHeight="1" x14ac:dyDescent="0.4">
      <c r="B5" s="163"/>
      <c r="C5" s="172" t="e">
        <f ca="1">TRUNC((AfspraakDatum-GebDatum)/365,0)</f>
        <v>#NAME?</v>
      </c>
      <c r="D5" s="172" t="e">
        <f ca="1">TRUNC(((AfspraakDatum-GebDatum)-365*TRUNC((AfspraakDatum-GebDatum)/365,0))/30,0)</f>
        <v>#NAME?</v>
      </c>
      <c r="E5" s="172">
        <f>Gewicht/10</f>
        <v>10</v>
      </c>
      <c r="F5" s="172">
        <f>Lengte</f>
        <v>80</v>
      </c>
      <c r="G5" s="172">
        <f>ROUND(POWER(E5,0.425)*POWER(((F5/100)*100),0.725)*0.007184,2)</f>
        <v>0.46</v>
      </c>
      <c r="H5" s="46"/>
      <c r="J5" s="186"/>
      <c r="K5" s="186"/>
      <c r="L5" s="544">
        <v>3</v>
      </c>
      <c r="M5" s="544">
        <v>25</v>
      </c>
      <c r="N5" s="544">
        <v>5</v>
      </c>
      <c r="O5" s="544">
        <v>3</v>
      </c>
      <c r="P5" s="544">
        <v>5.7</v>
      </c>
      <c r="Q5" s="544">
        <v>60</v>
      </c>
      <c r="R5" s="544"/>
      <c r="S5" s="544">
        <v>4</v>
      </c>
      <c r="T5" s="544">
        <v>3</v>
      </c>
      <c r="U5" s="544"/>
      <c r="V5" s="544"/>
      <c r="W5" s="544"/>
      <c r="X5" s="544"/>
      <c r="Y5" s="185"/>
    </row>
    <row r="6" spans="1:25 4305:4305" ht="15" customHeight="1" thickBot="1" x14ac:dyDescent="0.45">
      <c r="A6" s="585"/>
      <c r="B6" s="24"/>
      <c r="C6" s="175"/>
      <c r="D6" s="175"/>
      <c r="E6" s="175"/>
      <c r="F6" s="175"/>
      <c r="G6" s="175"/>
      <c r="H6" s="46"/>
      <c r="J6" s="186"/>
      <c r="K6" s="186"/>
      <c r="L6" s="544">
        <v>4</v>
      </c>
      <c r="M6" s="544">
        <v>25</v>
      </c>
      <c r="N6" s="544">
        <v>5</v>
      </c>
      <c r="O6" s="544">
        <v>4</v>
      </c>
      <c r="P6" s="544">
        <v>6.5</v>
      </c>
      <c r="Q6" s="544">
        <v>63</v>
      </c>
      <c r="R6" s="544"/>
      <c r="S6" s="544">
        <v>5</v>
      </c>
      <c r="T6" s="544">
        <v>5</v>
      </c>
      <c r="U6" s="544">
        <v>5</v>
      </c>
      <c r="V6" s="544"/>
      <c r="W6" s="544"/>
      <c r="X6" s="544"/>
      <c r="Y6" s="185"/>
    </row>
    <row r="7" spans="1:25 4305:4305" ht="20.100000000000001" customHeight="1" x14ac:dyDescent="0.4">
      <c r="B7" s="163" t="s">
        <v>641</v>
      </c>
      <c r="C7" s="178" t="s">
        <v>98</v>
      </c>
      <c r="D7" s="179" t="e">
        <f ca="1">"Maat: "&amp;VLOOKUP(C5,L2:N20,3)&amp;", Lengte: "&amp;IF(C5&gt;1,ROUND((C5/2+15)/2,0)*2,IF(C5=0,12,15))&amp;" cm"&amp;" nasaal, "&amp;ROUND((C5/2+12)/2,0)*2&amp;" cm oraal"</f>
        <v>#NAME?</v>
      </c>
      <c r="E7" s="180"/>
      <c r="F7" s="180"/>
      <c r="G7" s="239"/>
      <c r="H7" s="46"/>
      <c r="I7" s="46"/>
      <c r="J7" s="185"/>
      <c r="K7" s="185"/>
      <c r="L7" s="544">
        <v>5</v>
      </c>
      <c r="M7" s="544">
        <v>25</v>
      </c>
      <c r="N7" s="544">
        <v>5.5</v>
      </c>
      <c r="O7" s="544">
        <v>5</v>
      </c>
      <c r="P7" s="544">
        <v>7</v>
      </c>
      <c r="Q7" s="544">
        <v>65</v>
      </c>
      <c r="R7" s="544"/>
      <c r="S7" s="544">
        <v>6</v>
      </c>
      <c r="T7" s="544">
        <v>5</v>
      </c>
      <c r="U7" s="544"/>
      <c r="V7" s="544"/>
      <c r="W7" s="544"/>
      <c r="X7" s="544"/>
      <c r="Y7" s="185"/>
    </row>
    <row r="8" spans="1:25 4305:4305" ht="20.100000000000001" customHeight="1" x14ac:dyDescent="0.4">
      <c r="B8" s="163"/>
      <c r="C8" s="162" t="s">
        <v>99</v>
      </c>
      <c r="D8" s="47" t="str">
        <f>IF(ROUND((E5)*4,0)&gt;150,150,VLOOKUP(ROUND(E5*4,0),S2:T362,2))&amp;" Joules Asynchroon"</f>
        <v>50 Joules Asynchroon</v>
      </c>
      <c r="E8" s="46"/>
      <c r="F8" s="46"/>
      <c r="G8" s="240" t="s">
        <v>0</v>
      </c>
      <c r="H8" s="46"/>
      <c r="I8" s="46"/>
      <c r="J8" s="185"/>
      <c r="K8" s="185"/>
      <c r="L8" s="544">
        <v>6</v>
      </c>
      <c r="M8" s="544">
        <v>20</v>
      </c>
      <c r="N8" s="544">
        <v>5.5</v>
      </c>
      <c r="O8" s="544">
        <v>6</v>
      </c>
      <c r="P8" s="544">
        <v>7.7</v>
      </c>
      <c r="Q8" s="544">
        <v>67</v>
      </c>
      <c r="R8" s="544"/>
      <c r="S8" s="544">
        <v>7</v>
      </c>
      <c r="T8" s="544">
        <v>7</v>
      </c>
      <c r="U8" s="544">
        <v>7</v>
      </c>
      <c r="V8" s="544"/>
      <c r="W8" s="544"/>
      <c r="X8" s="544"/>
      <c r="Y8" s="185"/>
    </row>
    <row r="9" spans="1:25 4305:4305" ht="20.100000000000001" customHeight="1" x14ac:dyDescent="0.4">
      <c r="B9" s="163"/>
      <c r="C9" s="162" t="s">
        <v>250</v>
      </c>
      <c r="D9" s="47" t="e">
        <f ca="1">IF(OR(ROUND(0.01*(E5),2)&gt;1,C5&gt;=18),"1 mg iv",ROUND(0.01*(E5),2)&amp;" mg iv")</f>
        <v>#NAME?</v>
      </c>
      <c r="E9" s="46" t="str">
        <f>"= "&amp;IF(ROUND(0.01*(E5),2)&gt;1,"1 ml van 1mg = 10 ml (1:10.000)",ROUND(0.1*(E5),1)&amp;" ml van 1mg = 10 ml (1:10.000)")</f>
        <v>= 1 ml van 1mg = 10 ml (1:10.000)</v>
      </c>
      <c r="F9" s="46"/>
      <c r="G9" s="240" t="s">
        <v>1</v>
      </c>
      <c r="H9" s="46"/>
      <c r="I9" s="46"/>
      <c r="J9" s="185"/>
      <c r="K9" s="185"/>
      <c r="L9" s="544">
        <v>7</v>
      </c>
      <c r="M9" s="544">
        <v>20</v>
      </c>
      <c r="N9" s="544">
        <v>6</v>
      </c>
      <c r="O9" s="544">
        <v>7</v>
      </c>
      <c r="P9" s="544">
        <v>8.1999999999999993</v>
      </c>
      <c r="Q9" s="544">
        <v>69</v>
      </c>
      <c r="R9" s="544"/>
      <c r="S9" s="544">
        <v>8</v>
      </c>
      <c r="T9" s="544">
        <v>7</v>
      </c>
      <c r="U9" s="544"/>
      <c r="V9" s="544"/>
      <c r="W9" s="544"/>
      <c r="X9" s="544"/>
      <c r="Y9" s="185"/>
    </row>
    <row r="10" spans="1:25 4305:4305" ht="20.100000000000001" customHeight="1" x14ac:dyDescent="0.4">
      <c r="B10" s="163"/>
      <c r="C10" s="162" t="s">
        <v>100</v>
      </c>
      <c r="D10" s="47" t="str">
        <f>ROUND(IF(E5&gt;50,50,0.5*E5),0)&amp;" ml iv"</f>
        <v>5 ml iv</v>
      </c>
      <c r="E10" s="46"/>
      <c r="F10" s="46"/>
      <c r="G10" s="240" t="s">
        <v>2</v>
      </c>
      <c r="H10" s="46"/>
      <c r="I10" s="46"/>
      <c r="J10" s="185"/>
      <c r="K10" s="185"/>
      <c r="L10" s="544">
        <v>8</v>
      </c>
      <c r="M10" s="544">
        <v>20</v>
      </c>
      <c r="N10" s="544">
        <v>6</v>
      </c>
      <c r="O10" s="544">
        <v>8</v>
      </c>
      <c r="P10" s="544">
        <v>8.5</v>
      </c>
      <c r="Q10" s="544">
        <v>70</v>
      </c>
      <c r="R10" s="544"/>
      <c r="S10" s="544">
        <v>9</v>
      </c>
      <c r="T10" s="544">
        <v>7</v>
      </c>
      <c r="U10" s="544"/>
      <c r="V10" s="544"/>
      <c r="W10" s="544"/>
      <c r="X10" s="544"/>
      <c r="Y10" s="185"/>
    </row>
    <row r="11" spans="1:25 4305:4305" ht="20.100000000000001" customHeight="1" x14ac:dyDescent="0.4">
      <c r="B11" s="163"/>
      <c r="C11" s="162" t="s">
        <v>425</v>
      </c>
      <c r="D11" s="47" t="str">
        <f>IF(0.2*E5&lt;=25,0.2*E5&amp;" gram iv","25 gram iv")</f>
        <v>2 gram iv</v>
      </c>
      <c r="E11" s="46" t="str">
        <f>"="&amp;" "&amp;IF(2*E5&lt;=250,ROUND(2*E5,0)&amp;" ml glucose 10%","250 ml glucose 10%")</f>
        <v>= 20 ml glucose 10%</v>
      </c>
      <c r="F11" s="46"/>
      <c r="G11" s="240" t="s">
        <v>3</v>
      </c>
      <c r="H11" s="46"/>
      <c r="I11" s="46"/>
      <c r="J11" s="185"/>
      <c r="K11" s="185"/>
      <c r="L11" s="544">
        <v>9</v>
      </c>
      <c r="M11" s="544">
        <v>20</v>
      </c>
      <c r="N11" s="544">
        <v>6.5</v>
      </c>
      <c r="O11" s="544">
        <v>9</v>
      </c>
      <c r="P11" s="544">
        <v>9</v>
      </c>
      <c r="Q11" s="544">
        <v>72</v>
      </c>
      <c r="R11" s="544"/>
      <c r="S11" s="544">
        <v>10</v>
      </c>
      <c r="T11" s="544">
        <v>10</v>
      </c>
      <c r="U11" s="544">
        <v>10</v>
      </c>
      <c r="V11" s="544"/>
      <c r="W11" s="544"/>
      <c r="X11" s="544"/>
      <c r="Y11" s="185"/>
    </row>
    <row r="12" spans="1:25 4305:4305" ht="20.100000000000001" customHeight="1" thickBot="1" x14ac:dyDescent="0.45">
      <c r="B12" s="163"/>
      <c r="C12" s="181" t="s">
        <v>101</v>
      </c>
      <c r="D12" s="182" t="str">
        <f>IF(ROUND(20*E5/10,0)*10&gt;500,500,ROUND(20*E5/10,0)*10)&amp;" ml fysiologisch zout iv per bolus"</f>
        <v>200 ml fysiologisch zout iv per bolus</v>
      </c>
      <c r="E12" s="183"/>
      <c r="F12" s="183"/>
      <c r="G12" s="241" t="s">
        <v>4</v>
      </c>
      <c r="H12" s="46"/>
      <c r="I12" s="46"/>
      <c r="J12" s="185"/>
      <c r="K12" s="185"/>
      <c r="L12" s="544">
        <v>10</v>
      </c>
      <c r="M12" s="544">
        <v>20</v>
      </c>
      <c r="N12" s="544">
        <v>6.5</v>
      </c>
      <c r="O12" s="544">
        <v>10</v>
      </c>
      <c r="P12" s="544">
        <v>9.3000000000000007</v>
      </c>
      <c r="Q12" s="544">
        <v>73</v>
      </c>
      <c r="R12" s="544"/>
      <c r="S12" s="544">
        <v>11</v>
      </c>
      <c r="T12" s="544">
        <v>10</v>
      </c>
      <c r="U12" s="544"/>
      <c r="V12" s="544"/>
      <c r="W12" s="544"/>
      <c r="X12" s="544"/>
      <c r="Y12" s="185"/>
    </row>
    <row r="13" spans="1:25 4305:4305" ht="20.100000000000001" customHeight="1" thickBot="1" x14ac:dyDescent="0.45">
      <c r="B13" s="24"/>
      <c r="C13" s="46"/>
      <c r="D13" s="47"/>
      <c r="E13" s="46"/>
      <c r="F13" s="46"/>
      <c r="G13" s="240"/>
      <c r="H13" s="46"/>
      <c r="I13" s="46"/>
      <c r="J13" s="185"/>
      <c r="K13" s="185"/>
      <c r="L13" s="544">
        <v>11</v>
      </c>
      <c r="M13" s="544">
        <v>20</v>
      </c>
      <c r="N13" s="544">
        <v>7</v>
      </c>
      <c r="O13" s="544">
        <v>11</v>
      </c>
      <c r="P13" s="544">
        <v>9.5</v>
      </c>
      <c r="Q13" s="544">
        <v>74</v>
      </c>
      <c r="R13" s="544"/>
      <c r="S13" s="544">
        <v>12</v>
      </c>
      <c r="T13" s="544">
        <v>10</v>
      </c>
      <c r="U13" s="544"/>
      <c r="V13" s="544"/>
      <c r="W13" s="544"/>
      <c r="X13" s="544"/>
      <c r="Y13" s="185"/>
    </row>
    <row r="14" spans="1:25 4305:4305" ht="20.100000000000001" customHeight="1" x14ac:dyDescent="0.4">
      <c r="B14" s="163" t="s">
        <v>772</v>
      </c>
      <c r="C14" s="178" t="s">
        <v>653</v>
      </c>
      <c r="D14" s="179" t="str">
        <f>IF(0.5*E5&gt;20,"20 mg iv",0.5*E5&amp;" mg iv")</f>
        <v>5 mg iv</v>
      </c>
      <c r="E14" s="180" t="str">
        <f>"= "&amp;IF(0.5*E5&gt;20,"10 ml van een 2 mg/ml oplossing",ROUND(0.5*E5*0.5,1)&amp;" ml van een 2 mg/ml oplossing")</f>
        <v>= 2,5 ml van een 2 mg/ml oplossing</v>
      </c>
      <c r="F14" s="180"/>
      <c r="G14" s="239" t="s">
        <v>5</v>
      </c>
      <c r="H14" s="46"/>
      <c r="I14" s="46"/>
      <c r="J14" s="185"/>
      <c r="K14" s="185"/>
      <c r="L14" s="544">
        <v>12</v>
      </c>
      <c r="M14" s="544">
        <v>15</v>
      </c>
      <c r="N14" s="544">
        <v>7</v>
      </c>
      <c r="O14" s="544">
        <v>12</v>
      </c>
      <c r="P14" s="544">
        <v>10</v>
      </c>
      <c r="Q14" s="544">
        <v>76</v>
      </c>
      <c r="R14" s="544"/>
      <c r="S14" s="544">
        <v>13</v>
      </c>
      <c r="T14" s="544">
        <v>10</v>
      </c>
      <c r="U14" s="544"/>
      <c r="V14" s="544"/>
      <c r="W14" s="544"/>
      <c r="X14" s="544"/>
      <c r="Y14" s="185"/>
    </row>
    <row r="15" spans="1:25 4305:4305" ht="20.100000000000001" customHeight="1" x14ac:dyDescent="0.4">
      <c r="B15" s="163"/>
      <c r="C15" s="162" t="s">
        <v>571</v>
      </c>
      <c r="D15" s="47" t="str">
        <f>IF(ROUND(1*(E5),1)&gt;100,"100 mg iv",ROUND(1*(E5),1)&amp;" mg iv")</f>
        <v>10 mg iv</v>
      </c>
      <c r="E15" s="46" t="str">
        <f>"= "&amp;IF(ROUND(1*(E5),1)&gt;100,"10 ml"&amp;" van een 1mg/ml oplossing",ROUND(0.1*(E5),1)&amp;" ml"&amp;" van een 10 mg/ml oplossing")</f>
        <v>= 1 ml van een 10 mg/ml oplossing</v>
      </c>
      <c r="F15" s="46"/>
      <c r="G15" s="240" t="s">
        <v>6</v>
      </c>
      <c r="H15" s="46"/>
      <c r="I15" s="46"/>
      <c r="J15" s="185"/>
      <c r="K15" s="185"/>
      <c r="L15" s="544">
        <v>13</v>
      </c>
      <c r="M15" s="544">
        <v>15</v>
      </c>
      <c r="N15" s="544">
        <v>7</v>
      </c>
      <c r="O15" s="544"/>
      <c r="P15" s="544"/>
      <c r="Q15" s="544"/>
      <c r="R15" s="544"/>
      <c r="S15" s="544">
        <v>14</v>
      </c>
      <c r="T15" s="544">
        <v>10</v>
      </c>
      <c r="U15" s="544"/>
      <c r="V15" s="544"/>
      <c r="W15" s="544"/>
      <c r="X15" s="544"/>
      <c r="Y15" s="185"/>
    </row>
    <row r="16" spans="1:25 4305:4305" ht="20.100000000000001" customHeight="1" x14ac:dyDescent="0.4">
      <c r="B16" s="163"/>
      <c r="C16" s="162" t="s">
        <v>654</v>
      </c>
      <c r="D16" s="47" t="str">
        <f>IF(ROUND(0.02*(E5),1)&lt;0.1,"0,1 mg iv",IF(ROUND(0.02*(E5),1)&gt;0.5,"0,5 mg iv",ROUND(0.02*(E5),1)&amp;" mg iv"))</f>
        <v>0,2 mg iv</v>
      </c>
      <c r="E16" s="876" t="str">
        <f>"= "&amp;IF(ROUND(0.02*(E5),1)&lt;0.1,0.1,IF(ROUND(0.02*(E5),1)&gt;0.5,0.5,ROUND(0.02*(E5),1)))*2&amp;" ml van 0,5 mg/ml (min 0,1 mg)"</f>
        <v>= 0,4 ml van 0,5 mg/ml (min 0,1 mg)</v>
      </c>
      <c r="F16" s="876"/>
      <c r="G16" s="240" t="s">
        <v>7</v>
      </c>
      <c r="H16" s="46"/>
      <c r="I16" s="46"/>
      <c r="J16" s="185"/>
      <c r="K16" s="185"/>
      <c r="L16" s="544">
        <v>14</v>
      </c>
      <c r="M16" s="544">
        <v>15</v>
      </c>
      <c r="N16" s="544">
        <v>7</v>
      </c>
      <c r="O16" s="544"/>
      <c r="P16" s="544"/>
      <c r="Q16" s="544"/>
      <c r="R16" s="544"/>
      <c r="S16" s="544">
        <v>15</v>
      </c>
      <c r="T16" s="544">
        <v>10</v>
      </c>
      <c r="U16" s="544"/>
      <c r="V16" s="544"/>
      <c r="W16" s="544"/>
      <c r="X16" s="544"/>
      <c r="Y16" s="185"/>
    </row>
    <row r="17" spans="2:25" ht="20.100000000000001" customHeight="1" thickBot="1" x14ac:dyDescent="0.45">
      <c r="B17" s="163"/>
      <c r="C17" s="181"/>
      <c r="D17" s="182"/>
      <c r="E17" s="877"/>
      <c r="F17" s="877"/>
      <c r="G17" s="241"/>
      <c r="H17" s="46"/>
      <c r="I17" s="46"/>
      <c r="J17" s="185"/>
      <c r="K17" s="185"/>
      <c r="L17" s="544">
        <v>15</v>
      </c>
      <c r="M17" s="544">
        <v>15</v>
      </c>
      <c r="N17" s="544">
        <v>7</v>
      </c>
      <c r="O17" s="544"/>
      <c r="P17" s="544"/>
      <c r="Q17" s="544"/>
      <c r="R17" s="544"/>
      <c r="S17" s="544">
        <v>16</v>
      </c>
      <c r="T17" s="544">
        <v>20</v>
      </c>
      <c r="U17" s="544"/>
      <c r="V17" s="544"/>
      <c r="W17" s="544"/>
      <c r="X17" s="544"/>
      <c r="Y17" s="185"/>
    </row>
    <row r="18" spans="2:25" ht="15.75" customHeight="1" thickBot="1" x14ac:dyDescent="0.45">
      <c r="B18" s="24"/>
      <c r="C18" s="143"/>
      <c r="D18" s="47"/>
      <c r="E18" s="173"/>
      <c r="F18" s="173"/>
      <c r="G18" s="240"/>
      <c r="H18" s="171"/>
      <c r="I18" s="171"/>
      <c r="J18" s="187"/>
      <c r="K18" s="185"/>
      <c r="L18" s="544">
        <v>16</v>
      </c>
      <c r="M18" s="544">
        <v>15</v>
      </c>
      <c r="N18" s="544">
        <v>7</v>
      </c>
      <c r="O18" s="544"/>
      <c r="P18" s="544"/>
      <c r="Q18" s="544"/>
      <c r="R18" s="544"/>
      <c r="S18" s="544">
        <v>17</v>
      </c>
      <c r="T18" s="544">
        <v>20</v>
      </c>
      <c r="U18" s="544"/>
      <c r="V18" s="544"/>
      <c r="W18" s="544"/>
      <c r="X18" s="544"/>
      <c r="Y18" s="185"/>
    </row>
    <row r="19" spans="2:25" ht="20.100000000000001" customHeight="1" x14ac:dyDescent="0.4">
      <c r="B19" s="163" t="s">
        <v>565</v>
      </c>
      <c r="C19" s="178" t="s">
        <v>195</v>
      </c>
      <c r="D19" s="179" t="str">
        <f>IF(0.02*E5&gt;0.3,"0,3 mg iv",0.02*E5&amp;" mg iv")</f>
        <v>0,2 mg iv</v>
      </c>
      <c r="E19" s="180" t="str">
        <f>"= "&amp;IF(0.02*E5&gt;1,"10 ml van anexate 0,1 mg/ml",ROUND((0.02*E5)/0.1,1)&amp;" ml van anexate 0,1 mg/ml")</f>
        <v>= 2 ml van anexate 0,1 mg/ml</v>
      </c>
      <c r="F19" s="180"/>
      <c r="G19" s="239" t="s">
        <v>8</v>
      </c>
      <c r="H19" s="171"/>
      <c r="I19" s="171"/>
      <c r="J19" s="187"/>
      <c r="K19" s="185"/>
      <c r="L19" s="544">
        <v>17</v>
      </c>
      <c r="M19" s="544">
        <v>15</v>
      </c>
      <c r="N19" s="544">
        <v>7</v>
      </c>
      <c r="O19" s="544"/>
      <c r="P19" s="544"/>
      <c r="Q19" s="544"/>
      <c r="R19" s="544"/>
      <c r="S19" s="544">
        <v>18</v>
      </c>
      <c r="T19" s="544">
        <v>20</v>
      </c>
      <c r="U19" s="544"/>
      <c r="V19" s="544"/>
      <c r="W19" s="544"/>
      <c r="X19" s="544"/>
      <c r="Y19" s="185"/>
    </row>
    <row r="20" spans="2:25" ht="20.100000000000001" customHeight="1" x14ac:dyDescent="0.4">
      <c r="B20" s="163"/>
      <c r="C20" s="162" t="s">
        <v>655</v>
      </c>
      <c r="D20" s="47" t="str">
        <f>IF(0.01*E5&gt;0.4,"0,4 mg iv",0.01*E5&amp;" mg iv")</f>
        <v>0,1 mg iv</v>
      </c>
      <c r="E20" s="876" t="str">
        <f>"= "&amp;IF(0.01*E5&gt;0.4,"20 ml van naloxon 20 mcg/ml of "&amp;"1 ml van 0,4 mg/ml",ROUND((0.01*E5)/0.02,1)&amp;" ml van naloxon 20 mcg/ml of "&amp;ROUND((0.01*E5)/0.4,1)&amp;" ml van 0,4 mg/ml")</f>
        <v>= 5 ml van naloxon 20 mcg/ml of 0,3 ml van 0,4 mg/ml</v>
      </c>
      <c r="F20" s="876"/>
      <c r="G20" s="240" t="s">
        <v>9</v>
      </c>
      <c r="H20" s="46"/>
      <c r="I20" s="46"/>
      <c r="J20" s="185"/>
      <c r="K20" s="185"/>
      <c r="L20" s="544">
        <v>18</v>
      </c>
      <c r="M20" s="544">
        <v>15</v>
      </c>
      <c r="N20" s="544">
        <v>7</v>
      </c>
      <c r="O20" s="544"/>
      <c r="P20" s="544"/>
      <c r="Q20" s="544"/>
      <c r="R20" s="544"/>
      <c r="S20" s="544">
        <v>19</v>
      </c>
      <c r="T20" s="544">
        <v>20</v>
      </c>
      <c r="U20" s="544"/>
      <c r="V20" s="544"/>
      <c r="W20" s="544"/>
      <c r="X20" s="544"/>
      <c r="Y20" s="185"/>
    </row>
    <row r="21" spans="2:25" ht="20.100000000000001" customHeight="1" thickBot="1" x14ac:dyDescent="0.45">
      <c r="B21" s="163"/>
      <c r="C21" s="181"/>
      <c r="D21" s="182"/>
      <c r="E21" s="877"/>
      <c r="F21" s="877"/>
      <c r="G21" s="241"/>
      <c r="H21" s="46"/>
      <c r="I21" s="46"/>
      <c r="J21" s="185"/>
      <c r="K21" s="185"/>
      <c r="L21" s="544"/>
      <c r="M21" s="544"/>
      <c r="N21" s="544"/>
      <c r="O21" s="544"/>
      <c r="P21" s="544"/>
      <c r="Q21" s="544"/>
      <c r="R21" s="544"/>
      <c r="S21" s="544">
        <v>20</v>
      </c>
      <c r="T21" s="544">
        <v>20</v>
      </c>
      <c r="U21" s="544">
        <v>20</v>
      </c>
      <c r="V21" s="544"/>
      <c r="W21" s="544"/>
      <c r="X21" s="544"/>
      <c r="Y21" s="185"/>
    </row>
    <row r="22" spans="2:25" ht="20.100000000000001" customHeight="1" thickBot="1" x14ac:dyDescent="0.45">
      <c r="B22" s="24"/>
      <c r="C22" s="143"/>
      <c r="D22" s="47"/>
      <c r="E22" s="173"/>
      <c r="F22" s="173"/>
      <c r="G22" s="240"/>
      <c r="H22" s="46"/>
      <c r="I22" s="46"/>
      <c r="J22" s="185"/>
      <c r="K22" s="185"/>
      <c r="L22" s="544"/>
      <c r="M22" s="544"/>
      <c r="N22" s="544"/>
      <c r="O22" s="544"/>
      <c r="P22" s="544"/>
      <c r="Q22" s="544"/>
      <c r="R22" s="544"/>
      <c r="S22" s="544">
        <v>21</v>
      </c>
      <c r="T22" s="544">
        <v>30</v>
      </c>
      <c r="U22" s="544"/>
      <c r="V22" s="544"/>
      <c r="W22" s="544"/>
      <c r="X22" s="544"/>
      <c r="Y22" s="185"/>
    </row>
    <row r="23" spans="2:25" ht="20.100000000000001" customHeight="1" x14ac:dyDescent="0.4">
      <c r="B23" s="163" t="s">
        <v>566</v>
      </c>
      <c r="C23" s="178" t="e">
        <f ca="1">IF(C5=0,"alprostadil (Prostin)","")</f>
        <v>#NAME?</v>
      </c>
      <c r="D23" s="179" t="e">
        <f ca="1">IF(C5=0,"0,5 mg in 50 ml NaCl 0.9%","")</f>
        <v>#NAME?</v>
      </c>
      <c r="E23" s="180" t="e">
        <f ca="1">IF(C5=0,"1 ml/uur = "&amp;ROUND(1000*(0.5/50)*24/(E5)/1.44,0)&amp;" nanog/kg/min iv","")</f>
        <v>#NAME?</v>
      </c>
      <c r="F23" s="180"/>
      <c r="G23" s="239" t="s">
        <v>645</v>
      </c>
      <c r="H23" s="46"/>
      <c r="I23" s="46"/>
      <c r="J23" s="185"/>
      <c r="K23" s="185"/>
      <c r="L23" s="544"/>
      <c r="M23" s="544"/>
      <c r="N23" s="544"/>
      <c r="O23" s="544"/>
      <c r="P23" s="544"/>
      <c r="Q23" s="544"/>
      <c r="R23" s="544"/>
      <c r="S23" s="544">
        <v>22</v>
      </c>
      <c r="T23" s="544">
        <v>30</v>
      </c>
      <c r="U23" s="544"/>
      <c r="V23" s="544"/>
      <c r="W23" s="544"/>
      <c r="X23" s="544"/>
      <c r="Y23" s="185"/>
    </row>
    <row r="24" spans="2:25" ht="20.100000000000001" customHeight="1" x14ac:dyDescent="0.4">
      <c r="B24" s="163"/>
      <c r="C24" s="162" t="s">
        <v>212</v>
      </c>
      <c r="D24" s="47" t="str">
        <f>IF(E5&gt;5,"200 mg in 50 ml NaCl 0.9%",ROUND(((E5)*24*60*(10/1000)/(24/50))/50,0)*50&amp;" mg in 50 ml NaCl 0.9%")</f>
        <v>200 mg in 50 ml NaCl 0.9%</v>
      </c>
      <c r="E24" s="46" t="str">
        <f>"1 ml/uur = "&amp;IF(E5&gt;5,ROUND((200/50/E5/60)*1000,1),ROUND(24*ROUND(((E5)*24*60*(10/1000)/(24/50))/50,0)*50/50/1.44/E5,1))&amp;" mcg/kg/min"</f>
        <v>1 ml/uur = 6,7 mcg/kg/min</v>
      </c>
      <c r="F24" s="46"/>
      <c r="G24" s="240" t="s">
        <v>682</v>
      </c>
      <c r="H24" s="46"/>
      <c r="I24" s="46"/>
      <c r="J24" s="185"/>
      <c r="K24" s="185"/>
      <c r="L24" s="544"/>
      <c r="M24" s="544"/>
      <c r="N24" s="544"/>
      <c r="O24" s="544"/>
      <c r="P24" s="544"/>
      <c r="Q24" s="544"/>
      <c r="R24" s="544"/>
      <c r="S24" s="544">
        <v>23</v>
      </c>
      <c r="T24" s="544">
        <v>30</v>
      </c>
      <c r="U24" s="544"/>
      <c r="V24" s="544"/>
      <c r="W24" s="544"/>
      <c r="X24" s="544"/>
      <c r="Y24" s="185"/>
    </row>
    <row r="25" spans="2:25" ht="20.100000000000001" customHeight="1" thickBot="1" x14ac:dyDescent="0.45">
      <c r="B25" s="163"/>
      <c r="C25" s="181" t="s">
        <v>213</v>
      </c>
      <c r="D25" s="182" t="str">
        <f>IF(Gewicht/15&gt;5,"10 mg in 50 ml NaCl 0.9%",ROUND((E5)*24*60*(0.1/1000)/(24/50)/5,1)*5&amp;" mg in 50 ml NaCl 0.9%")</f>
        <v>10 mg in 50 ml NaCl 0.9%</v>
      </c>
      <c r="E25" s="183" t="str">
        <f>"1 ml/uur = "&amp;IF(E5&gt;5,ROUND((10/50/E5/60)*1000,2),ROUND(24*ROUND((E5)*24*60*(0.1/1000)/(24/50)/5,1)*5/50/1.44/E5,2))&amp;" mcg/kg/min"</f>
        <v>1 ml/uur = 0,33 mcg/kg/min</v>
      </c>
      <c r="F25" s="183"/>
      <c r="G25" s="241" t="s">
        <v>837</v>
      </c>
      <c r="H25" s="46"/>
      <c r="I25" s="46"/>
      <c r="J25" s="185"/>
      <c r="K25" s="185"/>
      <c r="L25" s="544"/>
      <c r="M25" s="544"/>
      <c r="N25" s="544"/>
      <c r="O25" s="544"/>
      <c r="P25" s="544"/>
      <c r="Q25" s="544"/>
      <c r="R25" s="544"/>
      <c r="S25" s="544">
        <v>24</v>
      </c>
      <c r="T25" s="544">
        <v>30</v>
      </c>
      <c r="U25" s="544"/>
      <c r="V25" s="544"/>
      <c r="W25" s="544"/>
      <c r="X25" s="544"/>
      <c r="Y25" s="185"/>
    </row>
    <row r="26" spans="2:25" ht="20.100000000000001" customHeight="1" thickBot="1" x14ac:dyDescent="0.45">
      <c r="B26" s="24"/>
      <c r="C26" s="46"/>
      <c r="D26" s="47"/>
      <c r="E26" s="46"/>
      <c r="F26" s="46"/>
      <c r="G26" s="240"/>
      <c r="H26" s="46"/>
      <c r="I26" s="46"/>
      <c r="J26" s="185"/>
      <c r="K26" s="185"/>
      <c r="L26" s="544"/>
      <c r="M26" s="544"/>
      <c r="N26" s="544"/>
      <c r="O26" s="544"/>
      <c r="P26" s="544"/>
      <c r="Q26" s="544"/>
      <c r="R26" s="544"/>
      <c r="S26" s="544">
        <v>25</v>
      </c>
      <c r="T26" s="544">
        <v>30</v>
      </c>
      <c r="U26" s="544"/>
      <c r="V26" s="544"/>
      <c r="W26" s="544"/>
      <c r="X26" s="544"/>
      <c r="Y26" s="185"/>
    </row>
    <row r="27" spans="2:25" ht="20.100000000000001" customHeight="1" x14ac:dyDescent="0.4">
      <c r="B27" s="874" t="s">
        <v>567</v>
      </c>
      <c r="C27" s="178" t="s">
        <v>906</v>
      </c>
      <c r="D27" s="179" t="str">
        <f>IF(ROUND(E5/2,0)*2&gt;50,"300 mg iv",ROUND(E5*5,0)&amp;" mg iv")</f>
        <v>50 mg iv</v>
      </c>
      <c r="E27" s="180" t="str">
        <f>IF(ROUND(E5/2,0)*2&gt;50,"6 ml van amiodarone 50 mg/ml iv",ROUND(E5*0.1,1)&amp;" ml van amiodarone 50 mg/ml iv")</f>
        <v>1 ml van amiodarone 50 mg/ml iv</v>
      </c>
      <c r="F27" s="180"/>
      <c r="G27" s="239" t="s">
        <v>10</v>
      </c>
      <c r="H27" s="46"/>
      <c r="I27" s="46"/>
      <c r="J27" s="185"/>
      <c r="K27" s="185"/>
      <c r="L27" s="544"/>
      <c r="M27" s="544"/>
      <c r="N27" s="544"/>
      <c r="O27" s="544"/>
      <c r="P27" s="544"/>
      <c r="Q27" s="544"/>
      <c r="R27" s="544"/>
      <c r="S27" s="544">
        <v>26</v>
      </c>
      <c r="T27" s="544">
        <v>30</v>
      </c>
      <c r="U27" s="544"/>
      <c r="V27" s="544"/>
      <c r="W27" s="544"/>
      <c r="X27" s="544"/>
      <c r="Y27" s="185"/>
    </row>
    <row r="28" spans="2:25" ht="20.100000000000001" customHeight="1" thickBot="1" x14ac:dyDescent="0.45">
      <c r="B28" s="875"/>
      <c r="C28" s="181" t="s">
        <v>640</v>
      </c>
      <c r="D28" s="182" t="str">
        <f>IF(E5/10&gt;10,"10 ml iv",E5/10 &amp;" ml iv")</f>
        <v>1 ml iv</v>
      </c>
      <c r="E28" s="183" t="s">
        <v>496</v>
      </c>
      <c r="F28" s="183"/>
      <c r="G28" s="241" t="s">
        <v>11</v>
      </c>
      <c r="H28" s="46"/>
      <c r="I28" s="46"/>
      <c r="J28" s="185"/>
      <c r="K28" s="185"/>
      <c r="L28" s="544"/>
      <c r="M28" s="544"/>
      <c r="N28" s="544"/>
      <c r="O28" s="544"/>
      <c r="P28" s="544"/>
      <c r="Q28" s="544"/>
      <c r="R28" s="544"/>
      <c r="S28" s="544">
        <v>27</v>
      </c>
      <c r="T28" s="544">
        <v>30</v>
      </c>
      <c r="U28" s="544"/>
      <c r="V28" s="544"/>
      <c r="W28" s="544"/>
      <c r="X28" s="544"/>
      <c r="Y28" s="185"/>
    </row>
    <row r="29" spans="2:25" ht="20.100000000000001" customHeight="1" thickBot="1" x14ac:dyDescent="0.45">
      <c r="B29" s="24"/>
      <c r="C29" s="46"/>
      <c r="D29" s="47"/>
      <c r="E29" s="46"/>
      <c r="F29" s="46"/>
      <c r="G29" s="240"/>
      <c r="H29" s="46"/>
      <c r="I29" s="46"/>
      <c r="J29" s="185"/>
      <c r="K29" s="185"/>
      <c r="L29" s="544"/>
      <c r="M29" s="544"/>
      <c r="N29" s="544"/>
      <c r="O29" s="544"/>
      <c r="P29" s="544"/>
      <c r="Q29" s="544"/>
      <c r="R29" s="544"/>
      <c r="S29" s="544">
        <v>28</v>
      </c>
      <c r="T29" s="544">
        <v>30</v>
      </c>
      <c r="U29" s="544"/>
      <c r="V29" s="544"/>
      <c r="W29" s="544"/>
      <c r="X29" s="544"/>
      <c r="Y29" s="185"/>
    </row>
    <row r="30" spans="2:25" ht="20.100000000000001" customHeight="1" x14ac:dyDescent="0.4">
      <c r="B30" s="873" t="s">
        <v>189</v>
      </c>
      <c r="C30" s="178" t="s">
        <v>214</v>
      </c>
      <c r="D30" s="179" t="str">
        <f>IF((0.5*E5)&gt;10,"10 mg rect",(0.5*E5)&amp;" mg rect")</f>
        <v>5 mg rect</v>
      </c>
      <c r="E30" s="180" t="str">
        <f>"= "&amp;IF((0.5*E5)&gt;10,"5 ml van diazepam 2 mg/ml",ROUND((0.5*E5)/2,1)&amp;" ml van diazepam 2 mg/ml")</f>
        <v>= 2,5 ml van diazepam 2 mg/ml</v>
      </c>
      <c r="F30" s="180"/>
      <c r="G30" s="239" t="s">
        <v>12</v>
      </c>
      <c r="H30" s="46"/>
      <c r="I30" s="46"/>
      <c r="J30" s="185"/>
      <c r="K30" s="185"/>
      <c r="L30" s="544"/>
      <c r="M30" s="544"/>
      <c r="N30" s="544"/>
      <c r="O30" s="544"/>
      <c r="P30" s="544"/>
      <c r="Q30" s="544"/>
      <c r="R30" s="544"/>
      <c r="S30" s="544">
        <v>29</v>
      </c>
      <c r="T30" s="544">
        <v>30</v>
      </c>
      <c r="U30" s="544"/>
      <c r="V30" s="544"/>
      <c r="W30" s="544"/>
      <c r="X30" s="544"/>
      <c r="Y30" s="185"/>
    </row>
    <row r="31" spans="2:25" ht="20.100000000000001" customHeight="1" x14ac:dyDescent="0.4">
      <c r="B31" s="873"/>
      <c r="C31" s="162" t="s">
        <v>570</v>
      </c>
      <c r="D31" s="47" t="str">
        <f>IF((20*E5)&gt;1500,"1500 mg iv",20*E5&amp;" mg iv")</f>
        <v>200 mg iv</v>
      </c>
      <c r="E31" s="876" t="str">
        <f>"= "&amp;IF((20*E5)&gt;750,"15 ml van fenytoine 50 mg/ml in 20 ml NaCl 0.9% langzaam iv",ROUND((15*E5)/50,1)&amp;" ml van fenytoine 50 mg/ml in 20 ml NaCl 0.9% langzaam iv")</f>
        <v>= 3 ml van fenytoine 50 mg/ml in 20 ml NaCl 0.9% langzaam iv</v>
      </c>
      <c r="F31" s="876"/>
      <c r="G31" s="242" t="s">
        <v>55</v>
      </c>
      <c r="H31" s="46"/>
      <c r="I31" s="46"/>
      <c r="J31" s="185"/>
      <c r="L31" s="544"/>
      <c r="M31" s="544"/>
      <c r="N31" s="544"/>
      <c r="O31" s="544"/>
      <c r="P31" s="544"/>
      <c r="Q31" s="544"/>
      <c r="R31" s="544"/>
      <c r="S31" s="544">
        <v>30</v>
      </c>
      <c r="T31" s="544">
        <v>30</v>
      </c>
      <c r="U31" s="544">
        <v>30</v>
      </c>
      <c r="V31" s="544"/>
      <c r="W31" s="544"/>
      <c r="X31" s="544"/>
      <c r="Y31" s="185"/>
    </row>
    <row r="32" spans="2:25" ht="20.100000000000001" customHeight="1" x14ac:dyDescent="0.4">
      <c r="B32" s="163"/>
      <c r="C32" s="162"/>
      <c r="D32" s="47"/>
      <c r="E32" s="876"/>
      <c r="F32" s="876"/>
      <c r="G32" s="240"/>
      <c r="H32" s="46"/>
      <c r="I32" s="46"/>
      <c r="L32" s="544"/>
      <c r="M32" s="544"/>
      <c r="N32" s="544"/>
      <c r="O32" s="544"/>
      <c r="P32" s="544"/>
      <c r="Q32" s="544"/>
      <c r="R32" s="544"/>
      <c r="S32" s="544">
        <v>31</v>
      </c>
      <c r="T32" s="544">
        <v>50</v>
      </c>
      <c r="U32" s="544"/>
      <c r="V32" s="544"/>
      <c r="W32" s="544"/>
      <c r="X32" s="544"/>
      <c r="Y32" s="185"/>
    </row>
    <row r="33" spans="2:25" ht="12.75" customHeight="1" thickBot="1" x14ac:dyDescent="0.45">
      <c r="B33" s="163"/>
      <c r="C33" s="181" t="s">
        <v>730</v>
      </c>
      <c r="D33" s="182" t="str">
        <f>IF((0.1*E5)&gt;10,"10 mg iv",0.1*E5&amp;" mg iv")</f>
        <v>1 mg iv</v>
      </c>
      <c r="E33" s="183" t="str">
        <f>"= "&amp;IF((0.1*E5)&gt;15,10,ROUND((0.1*E5),1))&amp;" ml van dormicum 1 mg/ml iv"</f>
        <v>= 1 ml van dormicum 1 mg/ml iv</v>
      </c>
      <c r="F33" s="183"/>
      <c r="G33" s="243" t="s">
        <v>13</v>
      </c>
      <c r="H33" s="46"/>
      <c r="I33" s="46"/>
      <c r="L33" s="544"/>
      <c r="M33" s="544"/>
      <c r="N33" s="544"/>
      <c r="O33" s="544"/>
      <c r="P33" s="544"/>
      <c r="Q33" s="544"/>
      <c r="R33" s="544"/>
      <c r="S33" s="544">
        <v>32</v>
      </c>
      <c r="T33" s="544">
        <v>50</v>
      </c>
      <c r="U33" s="544"/>
      <c r="V33" s="544"/>
      <c r="W33" s="544"/>
      <c r="X33" s="544"/>
      <c r="Y33" s="185"/>
    </row>
    <row r="34" spans="2:25" ht="13.5" customHeight="1" thickBot="1" x14ac:dyDescent="0.45">
      <c r="B34" s="24"/>
      <c r="C34" s="46"/>
      <c r="D34" s="47"/>
      <c r="E34" s="46"/>
      <c r="F34" s="46"/>
      <c r="G34" s="244"/>
      <c r="H34" s="46"/>
      <c r="I34" s="46"/>
      <c r="L34" s="544"/>
      <c r="M34" s="544"/>
      <c r="N34" s="544"/>
      <c r="O34" s="544"/>
      <c r="P34" s="544"/>
      <c r="Q34" s="544"/>
      <c r="R34" s="544"/>
      <c r="S34" s="544">
        <v>33</v>
      </c>
      <c r="T34" s="544">
        <v>50</v>
      </c>
      <c r="U34" s="544"/>
      <c r="V34" s="544"/>
      <c r="W34" s="544"/>
      <c r="X34" s="544"/>
      <c r="Y34" s="185"/>
    </row>
    <row r="35" spans="2:25" ht="19.55" customHeight="1" x14ac:dyDescent="0.4">
      <c r="B35" s="163" t="s">
        <v>190</v>
      </c>
      <c r="C35" s="178" t="s">
        <v>860</v>
      </c>
      <c r="D35" s="179" t="str">
        <f>IF(1*(E5&gt;25),"25 mg iv",1*(E5)&amp;" mg iv")</f>
        <v>10 mg iv</v>
      </c>
      <c r="E35" s="180"/>
      <c r="F35" s="180"/>
      <c r="G35" s="239" t="s">
        <v>14</v>
      </c>
      <c r="H35" s="46"/>
      <c r="I35" s="46"/>
      <c r="L35" s="544"/>
      <c r="M35" s="544"/>
      <c r="N35" s="544"/>
      <c r="O35" s="544"/>
      <c r="P35" s="544"/>
      <c r="Q35" s="544"/>
      <c r="R35" s="544"/>
      <c r="S35" s="544">
        <v>34</v>
      </c>
      <c r="T35" s="544">
        <v>50</v>
      </c>
      <c r="U35" s="544"/>
      <c r="V35" s="544"/>
      <c r="W35" s="544"/>
      <c r="X35" s="544"/>
      <c r="Y35" s="185"/>
    </row>
    <row r="36" spans="2:25" ht="19.55" customHeight="1" thickBot="1" x14ac:dyDescent="0.45">
      <c r="B36" s="163"/>
      <c r="C36" s="181" t="s">
        <v>215</v>
      </c>
      <c r="D36" s="182" t="str">
        <f>IF(ROUND((0.5*E5),1)&gt;50,"50 gram iv",ROUND((0.5*E5),1)&amp;" gram iv")</f>
        <v>5 gram iv</v>
      </c>
      <c r="E36" s="183" t="str">
        <f>"= "&amp;IF(ROUND((0.5*E5),1)&gt;50,ROUND(50/0.15,0),ROUND((0.5*E5)/0.15,0))&amp;" ml van mannitol 15% in 30 min iv"</f>
        <v>= 33 ml van mannitol 15% in 30 min iv</v>
      </c>
      <c r="F36" s="183"/>
      <c r="G36" s="241" t="s">
        <v>15</v>
      </c>
      <c r="H36" s="46"/>
      <c r="I36" s="46"/>
      <c r="L36" s="544"/>
      <c r="M36" s="544"/>
      <c r="N36" s="544"/>
      <c r="O36" s="544"/>
      <c r="P36" s="544"/>
      <c r="Q36" s="544"/>
      <c r="R36" s="544"/>
      <c r="S36" s="544">
        <v>35</v>
      </c>
      <c r="T36" s="544">
        <v>50</v>
      </c>
      <c r="U36" s="544"/>
      <c r="V36" s="544"/>
      <c r="W36" s="544"/>
      <c r="X36" s="544"/>
      <c r="Y36" s="185"/>
    </row>
    <row r="37" spans="2:25" ht="25.55" customHeight="1" thickBot="1" x14ac:dyDescent="0.45">
      <c r="B37" s="24"/>
      <c r="C37" s="46"/>
      <c r="D37" s="47"/>
      <c r="E37" s="46"/>
      <c r="F37" s="46"/>
      <c r="G37" s="245"/>
      <c r="H37" s="46"/>
      <c r="I37" s="46"/>
      <c r="L37" s="544"/>
      <c r="M37" s="544"/>
      <c r="N37" s="544"/>
      <c r="O37" s="544"/>
      <c r="P37" s="544"/>
      <c r="Q37" s="544"/>
      <c r="R37" s="544"/>
      <c r="S37" s="544">
        <v>36</v>
      </c>
      <c r="T37" s="544">
        <v>50</v>
      </c>
      <c r="U37" s="544"/>
      <c r="V37" s="544"/>
      <c r="W37" s="544"/>
      <c r="X37" s="544"/>
      <c r="Y37" s="185"/>
    </row>
    <row r="38" spans="2:25" ht="19.55" customHeight="1" x14ac:dyDescent="0.4">
      <c r="B38" s="163" t="s">
        <v>216</v>
      </c>
      <c r="C38" s="238" t="s">
        <v>615</v>
      </c>
      <c r="D38" s="179" t="e">
        <f ca="1">"AMV "&amp;ROUND(E5*8*VLOOKUP(C5,L2:M20,2)/1000,1)&amp;" L/min"</f>
        <v>#NAME?</v>
      </c>
      <c r="E38" s="180"/>
      <c r="F38" s="179" t="s">
        <v>217</v>
      </c>
      <c r="G38" s="180"/>
      <c r="H38" s="46"/>
      <c r="I38" s="46"/>
      <c r="L38" s="544"/>
      <c r="M38" s="544"/>
      <c r="N38" s="544"/>
      <c r="O38" s="544"/>
      <c r="P38" s="544"/>
      <c r="Q38" s="544"/>
      <c r="R38" s="544"/>
      <c r="S38" s="544"/>
      <c r="T38" s="544"/>
      <c r="U38" s="544"/>
      <c r="V38" s="544"/>
      <c r="W38" s="544"/>
      <c r="X38" s="544"/>
      <c r="Y38" s="185"/>
    </row>
    <row r="39" spans="2:25" ht="19.55" customHeight="1" x14ac:dyDescent="0.4">
      <c r="B39" s="163"/>
      <c r="C39" s="49"/>
      <c r="D39" s="47" t="e">
        <f ca="1">"frequentie "&amp;VLOOKUP(C5,L2:M20,2)&amp;"/min"</f>
        <v>#NAME?</v>
      </c>
      <c r="E39" s="46"/>
      <c r="F39" s="47" t="s">
        <v>218</v>
      </c>
      <c r="G39" s="46"/>
      <c r="H39" s="46"/>
      <c r="I39" s="46"/>
      <c r="L39" s="544"/>
      <c r="M39" s="544"/>
      <c r="N39" s="544"/>
      <c r="O39" s="544"/>
      <c r="P39" s="544"/>
      <c r="Q39" s="544"/>
      <c r="R39" s="544"/>
      <c r="S39" s="544">
        <v>37</v>
      </c>
      <c r="T39" s="544">
        <v>50</v>
      </c>
      <c r="U39" s="544"/>
      <c r="V39" s="544"/>
      <c r="W39" s="544"/>
      <c r="X39" s="544"/>
      <c r="Y39" s="185"/>
    </row>
    <row r="40" spans="2:25" ht="19.55" customHeight="1" x14ac:dyDescent="0.4">
      <c r="B40" s="163"/>
      <c r="C40" s="49"/>
      <c r="D40" s="47" t="s">
        <v>907</v>
      </c>
      <c r="E40" s="46"/>
      <c r="F40" s="47" t="s">
        <v>889</v>
      </c>
      <c r="G40" s="46"/>
      <c r="H40" s="46"/>
      <c r="I40" s="46"/>
      <c r="L40" s="544"/>
      <c r="M40" s="544"/>
      <c r="N40" s="544"/>
      <c r="O40" s="544"/>
      <c r="P40" s="544"/>
      <c r="Q40" s="544"/>
      <c r="R40" s="544"/>
      <c r="S40" s="544">
        <v>38</v>
      </c>
      <c r="T40" s="544">
        <v>50</v>
      </c>
      <c r="U40" s="544"/>
      <c r="V40" s="544"/>
      <c r="W40" s="544"/>
      <c r="X40" s="544"/>
      <c r="Y40" s="185"/>
    </row>
    <row r="41" spans="2:25" ht="19.55" customHeight="1" x14ac:dyDescent="0.4">
      <c r="B41" s="163"/>
      <c r="C41" s="49"/>
      <c r="D41" s="47" t="s">
        <v>890</v>
      </c>
      <c r="E41" s="46"/>
      <c r="F41" s="47"/>
      <c r="G41" s="46"/>
      <c r="H41" s="46"/>
      <c r="I41" s="46"/>
      <c r="L41" s="544"/>
      <c r="M41" s="544"/>
      <c r="N41" s="544"/>
      <c r="O41" s="544"/>
      <c r="P41" s="544"/>
      <c r="Q41" s="544"/>
      <c r="R41" s="544"/>
      <c r="S41" s="544">
        <v>39</v>
      </c>
      <c r="T41" s="544">
        <v>50</v>
      </c>
      <c r="U41" s="544"/>
      <c r="V41" s="544"/>
      <c r="W41" s="544"/>
      <c r="X41" s="544"/>
      <c r="Y41" s="185"/>
    </row>
    <row r="42" spans="2:25" ht="19.55" customHeight="1" thickBot="1" x14ac:dyDescent="0.45">
      <c r="B42" s="163"/>
      <c r="C42" s="184"/>
      <c r="D42" s="182"/>
      <c r="E42" s="183"/>
      <c r="F42" s="182"/>
      <c r="G42" s="183"/>
      <c r="H42" s="46"/>
      <c r="I42" s="46"/>
      <c r="L42" s="544"/>
      <c r="M42" s="544"/>
      <c r="N42" s="544"/>
      <c r="O42" s="544"/>
      <c r="P42" s="544"/>
      <c r="Q42" s="544"/>
      <c r="R42" s="544"/>
      <c r="S42" s="544">
        <v>40</v>
      </c>
      <c r="T42" s="544">
        <v>50</v>
      </c>
      <c r="U42" s="544"/>
      <c r="V42" s="544"/>
      <c r="W42" s="544"/>
      <c r="X42" s="544"/>
      <c r="Y42" s="185"/>
    </row>
    <row r="43" spans="2:25" ht="19.55" customHeight="1" x14ac:dyDescent="0.35">
      <c r="B43" s="23"/>
      <c r="C43" s="46"/>
      <c r="D43" s="46"/>
      <c r="E43" s="46"/>
      <c r="F43" s="46"/>
      <c r="G43" s="46"/>
      <c r="H43" s="46"/>
      <c r="I43" s="46"/>
      <c r="L43" s="544"/>
      <c r="M43" s="544"/>
      <c r="N43" s="544"/>
      <c r="O43" s="544"/>
      <c r="P43" s="544"/>
      <c r="Q43" s="544"/>
      <c r="R43" s="544"/>
      <c r="S43" s="544">
        <v>41</v>
      </c>
      <c r="T43" s="544">
        <v>50</v>
      </c>
      <c r="U43" s="544"/>
      <c r="V43" s="544"/>
      <c r="W43" s="544"/>
      <c r="X43" s="544"/>
      <c r="Y43" s="185"/>
    </row>
    <row r="44" spans="2:25" ht="19.55" customHeight="1" x14ac:dyDescent="0.35">
      <c r="B44" s="140" t="s">
        <v>182</v>
      </c>
      <c r="C44" s="48"/>
      <c r="D44" s="46"/>
      <c r="E44" s="46"/>
      <c r="F44" s="46"/>
      <c r="G44" s="46"/>
      <c r="H44" s="46"/>
      <c r="I44" s="46"/>
      <c r="L44" s="544"/>
      <c r="M44" s="544"/>
      <c r="N44" s="544"/>
      <c r="O44" s="544"/>
      <c r="P44" s="544"/>
      <c r="Q44" s="544"/>
      <c r="R44" s="544"/>
      <c r="S44" s="544">
        <v>42</v>
      </c>
      <c r="T44" s="544">
        <v>50</v>
      </c>
      <c r="U44" s="544"/>
      <c r="V44" s="544"/>
      <c r="W44" s="544"/>
      <c r="X44" s="544"/>
      <c r="Y44" s="185"/>
    </row>
    <row r="45" spans="2:25" ht="19.55" customHeight="1" x14ac:dyDescent="0.35">
      <c r="B45" s="55"/>
      <c r="C45" s="46"/>
      <c r="D45" s="46"/>
      <c r="E45" s="46"/>
      <c r="F45" s="46"/>
      <c r="G45" s="46"/>
      <c r="H45" s="46"/>
      <c r="I45" s="46"/>
      <c r="L45" s="544"/>
      <c r="M45" s="544"/>
      <c r="N45" s="544"/>
      <c r="O45" s="544"/>
      <c r="P45" s="544"/>
      <c r="Q45" s="544"/>
      <c r="R45" s="544"/>
      <c r="S45" s="544">
        <v>43</v>
      </c>
      <c r="T45" s="544">
        <v>50</v>
      </c>
      <c r="U45" s="544"/>
      <c r="V45" s="544"/>
      <c r="W45" s="544"/>
      <c r="X45" s="544"/>
      <c r="Y45" s="185"/>
    </row>
    <row r="46" spans="2:25" ht="19.55" customHeight="1" x14ac:dyDescent="0.35">
      <c r="B46" s="55"/>
      <c r="C46" s="46"/>
      <c r="D46" s="46"/>
      <c r="E46" s="46"/>
      <c r="F46" s="46"/>
      <c r="G46" s="46"/>
      <c r="H46" s="46"/>
      <c r="I46" s="46"/>
      <c r="L46" s="544"/>
      <c r="M46" s="544"/>
      <c r="N46" s="544"/>
      <c r="O46" s="544"/>
      <c r="P46" s="544"/>
      <c r="Q46" s="544"/>
      <c r="R46" s="544"/>
      <c r="S46" s="544">
        <v>44</v>
      </c>
      <c r="T46" s="544">
        <v>50</v>
      </c>
      <c r="U46" s="544"/>
      <c r="V46" s="544"/>
      <c r="W46" s="544"/>
      <c r="X46" s="544"/>
      <c r="Y46" s="185"/>
    </row>
    <row r="47" spans="2:25" x14ac:dyDescent="0.35">
      <c r="B47" s="55"/>
      <c r="C47" s="46"/>
      <c r="D47" s="46"/>
      <c r="E47" s="46"/>
      <c r="F47" s="46"/>
      <c r="G47" s="46"/>
      <c r="H47" s="46"/>
      <c r="I47" s="46"/>
      <c r="L47" s="544"/>
      <c r="M47" s="544"/>
      <c r="N47" s="544"/>
      <c r="O47" s="544"/>
      <c r="P47" s="544"/>
      <c r="Q47" s="544"/>
      <c r="R47" s="544"/>
      <c r="S47" s="544">
        <v>45</v>
      </c>
      <c r="T47" s="544">
        <v>50</v>
      </c>
      <c r="U47" s="544"/>
      <c r="V47" s="544"/>
      <c r="W47" s="544"/>
      <c r="X47" s="544"/>
      <c r="Y47" s="185"/>
    </row>
    <row r="48" spans="2:25" x14ac:dyDescent="0.35">
      <c r="B48" s="55"/>
      <c r="C48" s="46"/>
      <c r="D48" s="46"/>
      <c r="E48" s="46"/>
      <c r="F48" s="46"/>
      <c r="G48" s="46"/>
      <c r="H48" s="46"/>
      <c r="I48" s="46"/>
      <c r="L48" s="544"/>
      <c r="M48" s="544"/>
      <c r="N48" s="544"/>
      <c r="O48" s="544"/>
      <c r="P48" s="544"/>
      <c r="Q48" s="544"/>
      <c r="R48" s="544"/>
      <c r="S48" s="544">
        <v>46</v>
      </c>
      <c r="T48" s="544">
        <v>50</v>
      </c>
      <c r="U48" s="544"/>
      <c r="V48" s="544"/>
      <c r="W48" s="544"/>
      <c r="X48" s="544"/>
      <c r="Y48" s="185"/>
    </row>
    <row r="49" spans="2:25" x14ac:dyDescent="0.35">
      <c r="B49" s="55"/>
      <c r="C49" s="46"/>
      <c r="D49" s="46"/>
      <c r="E49" s="46"/>
      <c r="F49" s="46"/>
      <c r="G49" s="46"/>
      <c r="H49" s="46"/>
      <c r="I49" s="46"/>
      <c r="L49" s="544"/>
      <c r="M49" s="544"/>
      <c r="N49" s="544"/>
      <c r="O49" s="544"/>
      <c r="P49" s="544"/>
      <c r="Q49" s="544"/>
      <c r="R49" s="544"/>
      <c r="S49" s="544">
        <v>47</v>
      </c>
      <c r="T49" s="544">
        <v>50</v>
      </c>
      <c r="U49" s="544"/>
      <c r="V49" s="544"/>
      <c r="W49" s="544"/>
      <c r="X49" s="544"/>
      <c r="Y49" s="185"/>
    </row>
    <row r="50" spans="2:25" x14ac:dyDescent="0.35">
      <c r="B50" s="55"/>
      <c r="C50" s="46"/>
      <c r="D50" s="46"/>
      <c r="E50" s="46"/>
      <c r="F50" s="46"/>
      <c r="G50" s="46"/>
      <c r="H50" s="46"/>
      <c r="I50" s="46"/>
      <c r="L50" s="544"/>
      <c r="M50" s="544"/>
      <c r="N50" s="544"/>
      <c r="O50" s="544"/>
      <c r="P50" s="544"/>
      <c r="Q50" s="544"/>
      <c r="R50" s="544"/>
      <c r="S50" s="544">
        <v>48</v>
      </c>
      <c r="T50" s="544">
        <v>50</v>
      </c>
      <c r="U50" s="544"/>
      <c r="V50" s="544"/>
      <c r="W50" s="544"/>
      <c r="X50" s="544"/>
      <c r="Y50" s="185"/>
    </row>
    <row r="51" spans="2:25" x14ac:dyDescent="0.35">
      <c r="B51" s="55"/>
      <c r="C51" s="46"/>
      <c r="D51" s="46"/>
      <c r="E51" s="46"/>
      <c r="F51" s="46"/>
      <c r="G51" s="46"/>
      <c r="H51" s="46"/>
      <c r="I51" s="46"/>
      <c r="L51" s="544"/>
      <c r="M51" s="544"/>
      <c r="N51" s="544"/>
      <c r="O51" s="544"/>
      <c r="P51" s="544"/>
      <c r="Q51" s="544"/>
      <c r="R51" s="544"/>
      <c r="S51" s="544">
        <v>49</v>
      </c>
      <c r="T51" s="544">
        <v>50</v>
      </c>
      <c r="U51" s="544"/>
      <c r="V51" s="544"/>
      <c r="W51" s="544"/>
      <c r="X51" s="544"/>
      <c r="Y51" s="185"/>
    </row>
    <row r="52" spans="2:25" x14ac:dyDescent="0.35">
      <c r="B52" s="55"/>
      <c r="C52" s="46"/>
      <c r="D52" s="46"/>
      <c r="E52" s="46"/>
      <c r="F52" s="46"/>
      <c r="G52" s="46"/>
      <c r="H52" s="46"/>
      <c r="I52" s="46"/>
      <c r="L52" s="544"/>
      <c r="M52" s="544"/>
      <c r="N52" s="544"/>
      <c r="O52" s="544"/>
      <c r="P52" s="544"/>
      <c r="Q52" s="544"/>
      <c r="R52" s="544"/>
      <c r="S52" s="544">
        <v>50</v>
      </c>
      <c r="T52" s="544">
        <v>50</v>
      </c>
      <c r="U52" s="544">
        <v>50</v>
      </c>
      <c r="V52" s="544"/>
      <c r="W52" s="544"/>
      <c r="X52" s="544"/>
      <c r="Y52" s="185"/>
    </row>
    <row r="53" spans="2:25" x14ac:dyDescent="0.35">
      <c r="B53" s="55"/>
      <c r="C53" s="46"/>
      <c r="D53" s="46"/>
      <c r="E53" s="46"/>
      <c r="F53" s="46"/>
      <c r="G53" s="46"/>
      <c r="H53" s="46"/>
      <c r="I53" s="46"/>
      <c r="L53" s="544"/>
      <c r="M53" s="544"/>
      <c r="N53" s="544"/>
      <c r="O53" s="544"/>
      <c r="P53" s="544"/>
      <c r="Q53" s="544"/>
      <c r="R53" s="544"/>
      <c r="S53" s="544">
        <v>51</v>
      </c>
      <c r="T53" s="544">
        <v>70</v>
      </c>
      <c r="U53" s="544"/>
      <c r="V53" s="544"/>
      <c r="W53" s="544"/>
      <c r="X53" s="544"/>
      <c r="Y53" s="185"/>
    </row>
    <row r="54" spans="2:25" x14ac:dyDescent="0.35">
      <c r="B54" s="55"/>
      <c r="C54" s="46"/>
      <c r="D54" s="46"/>
      <c r="E54" s="46"/>
      <c r="F54" s="46"/>
      <c r="G54" s="46"/>
      <c r="H54" s="46"/>
      <c r="I54" s="46"/>
      <c r="L54" s="544"/>
      <c r="M54" s="544"/>
      <c r="N54" s="544"/>
      <c r="O54" s="544"/>
      <c r="P54" s="544"/>
      <c r="Q54" s="544"/>
      <c r="R54" s="544"/>
      <c r="S54" s="544">
        <v>52</v>
      </c>
      <c r="T54" s="544">
        <v>70</v>
      </c>
      <c r="U54" s="544"/>
      <c r="V54" s="544"/>
      <c r="W54" s="544"/>
      <c r="X54" s="544"/>
      <c r="Y54" s="185"/>
    </row>
    <row r="55" spans="2:25" x14ac:dyDescent="0.35">
      <c r="B55" s="55"/>
      <c r="C55" s="46"/>
      <c r="D55" s="46"/>
      <c r="E55" s="46"/>
      <c r="F55" s="46"/>
      <c r="G55" s="46"/>
      <c r="H55" s="46"/>
      <c r="I55" s="46"/>
      <c r="L55" s="544"/>
      <c r="M55" s="544"/>
      <c r="N55" s="544"/>
      <c r="O55" s="544"/>
      <c r="P55" s="544"/>
      <c r="Q55" s="544"/>
      <c r="R55" s="544"/>
      <c r="S55" s="544">
        <v>53</v>
      </c>
      <c r="T55" s="544">
        <v>70</v>
      </c>
      <c r="U55" s="544"/>
      <c r="V55" s="544"/>
      <c r="W55" s="544"/>
      <c r="X55" s="544"/>
      <c r="Y55" s="185"/>
    </row>
    <row r="56" spans="2:25" x14ac:dyDescent="0.35">
      <c r="B56" s="55"/>
      <c r="C56" s="46"/>
      <c r="D56" s="46"/>
      <c r="E56" s="46"/>
      <c r="F56" s="46"/>
      <c r="G56" s="46"/>
      <c r="H56" s="46"/>
      <c r="I56" s="46"/>
      <c r="L56" s="544"/>
      <c r="M56" s="544"/>
      <c r="N56" s="544"/>
      <c r="O56" s="544"/>
      <c r="P56" s="544"/>
      <c r="Q56" s="544"/>
      <c r="R56" s="544"/>
      <c r="S56" s="544">
        <v>54</v>
      </c>
      <c r="T56" s="544">
        <v>70</v>
      </c>
      <c r="U56" s="544"/>
      <c r="V56" s="544"/>
      <c r="W56" s="544"/>
      <c r="X56" s="544"/>
      <c r="Y56" s="185"/>
    </row>
    <row r="57" spans="2:25" x14ac:dyDescent="0.35">
      <c r="B57" s="55"/>
      <c r="C57" s="46"/>
      <c r="D57" s="46"/>
      <c r="E57" s="46"/>
      <c r="F57" s="46"/>
      <c r="G57" s="46"/>
      <c r="H57" s="46"/>
      <c r="I57" s="46"/>
      <c r="L57" s="544"/>
      <c r="M57" s="544"/>
      <c r="N57" s="544"/>
      <c r="O57" s="544"/>
      <c r="P57" s="544"/>
      <c r="Q57" s="544"/>
      <c r="R57" s="544"/>
      <c r="S57" s="544">
        <v>55</v>
      </c>
      <c r="T57" s="544">
        <v>70</v>
      </c>
      <c r="U57" s="544"/>
      <c r="V57" s="544"/>
      <c r="W57" s="544"/>
      <c r="X57" s="544"/>
      <c r="Y57" s="185"/>
    </row>
    <row r="58" spans="2:25" x14ac:dyDescent="0.35">
      <c r="B58" s="55"/>
      <c r="C58" s="46"/>
      <c r="D58" s="46"/>
      <c r="E58" s="46"/>
      <c r="F58" s="46"/>
      <c r="G58" s="46"/>
      <c r="H58" s="46"/>
      <c r="I58" s="46"/>
      <c r="L58" s="544"/>
      <c r="M58" s="544"/>
      <c r="N58" s="544"/>
      <c r="O58" s="544"/>
      <c r="P58" s="544"/>
      <c r="Q58" s="544"/>
      <c r="R58" s="544"/>
      <c r="S58" s="544">
        <v>56</v>
      </c>
      <c r="T58" s="544">
        <v>70</v>
      </c>
      <c r="U58" s="544"/>
      <c r="V58" s="544"/>
      <c r="W58" s="544"/>
      <c r="X58" s="544"/>
      <c r="Y58" s="185"/>
    </row>
    <row r="59" spans="2:25" x14ac:dyDescent="0.35">
      <c r="B59" s="55"/>
      <c r="C59" s="46"/>
      <c r="D59" s="46"/>
      <c r="E59" s="46"/>
      <c r="F59" s="46"/>
      <c r="G59" s="46"/>
      <c r="H59" s="46"/>
      <c r="I59" s="46"/>
      <c r="L59" s="544"/>
      <c r="M59" s="544"/>
      <c r="N59" s="544"/>
      <c r="O59" s="544"/>
      <c r="P59" s="544"/>
      <c r="Q59" s="544"/>
      <c r="R59" s="544"/>
      <c r="S59" s="544">
        <v>57</v>
      </c>
      <c r="T59" s="544">
        <v>70</v>
      </c>
      <c r="U59" s="544"/>
      <c r="V59" s="544"/>
      <c r="W59" s="544"/>
      <c r="X59" s="544"/>
      <c r="Y59" s="185"/>
    </row>
    <row r="60" spans="2:25" x14ac:dyDescent="0.35">
      <c r="B60" s="55"/>
      <c r="C60" s="46"/>
      <c r="D60" s="46"/>
      <c r="E60" s="46"/>
      <c r="F60" s="46"/>
      <c r="G60" s="46"/>
      <c r="H60" s="46"/>
      <c r="I60" s="46"/>
      <c r="L60" s="544"/>
      <c r="M60" s="544"/>
      <c r="N60" s="544"/>
      <c r="O60" s="544"/>
      <c r="P60" s="544"/>
      <c r="Q60" s="544"/>
      <c r="R60" s="544"/>
      <c r="S60" s="544">
        <v>58</v>
      </c>
      <c r="T60" s="544">
        <v>70</v>
      </c>
      <c r="U60" s="544"/>
      <c r="V60" s="544"/>
      <c r="W60" s="544"/>
      <c r="X60" s="544"/>
      <c r="Y60" s="185"/>
    </row>
    <row r="61" spans="2:25" x14ac:dyDescent="0.35">
      <c r="B61" s="55"/>
      <c r="C61" s="46"/>
      <c r="D61" s="46"/>
      <c r="E61" s="46"/>
      <c r="F61" s="46"/>
      <c r="G61" s="46"/>
      <c r="H61" s="46"/>
      <c r="I61" s="46"/>
      <c r="L61" s="544"/>
      <c r="M61" s="544"/>
      <c r="N61" s="544"/>
      <c r="O61" s="544"/>
      <c r="P61" s="544"/>
      <c r="Q61" s="544"/>
      <c r="R61" s="544"/>
      <c r="S61" s="544">
        <v>59</v>
      </c>
      <c r="T61" s="544">
        <v>70</v>
      </c>
      <c r="U61" s="544"/>
      <c r="V61" s="544"/>
      <c r="W61" s="544"/>
      <c r="X61" s="544"/>
      <c r="Y61" s="185"/>
    </row>
    <row r="62" spans="2:25" x14ac:dyDescent="0.35">
      <c r="B62" s="55"/>
      <c r="C62" s="46"/>
      <c r="D62" s="46"/>
      <c r="E62" s="46"/>
      <c r="F62" s="46"/>
      <c r="G62" s="46"/>
      <c r="H62" s="46"/>
      <c r="I62" s="46"/>
      <c r="L62" s="544"/>
      <c r="M62" s="544"/>
      <c r="N62" s="544"/>
      <c r="O62" s="544"/>
      <c r="P62" s="544"/>
      <c r="Q62" s="544"/>
      <c r="R62" s="544"/>
      <c r="S62" s="544">
        <v>60</v>
      </c>
      <c r="T62" s="544">
        <v>70</v>
      </c>
      <c r="U62" s="544"/>
      <c r="V62" s="544"/>
      <c r="W62" s="544"/>
      <c r="X62" s="544"/>
      <c r="Y62" s="185"/>
    </row>
    <row r="63" spans="2:25" x14ac:dyDescent="0.35">
      <c r="B63" s="55"/>
      <c r="C63" s="46"/>
      <c r="D63" s="46"/>
      <c r="E63" s="46"/>
      <c r="F63" s="46"/>
      <c r="G63" s="46"/>
      <c r="H63" s="46"/>
      <c r="I63" s="46"/>
      <c r="L63" s="544"/>
      <c r="M63" s="544"/>
      <c r="N63" s="544"/>
      <c r="O63" s="544"/>
      <c r="P63" s="544"/>
      <c r="Q63" s="544"/>
      <c r="R63" s="544"/>
      <c r="S63" s="544">
        <v>61</v>
      </c>
      <c r="T63" s="544">
        <v>70</v>
      </c>
      <c r="U63" s="544"/>
      <c r="V63" s="544"/>
      <c r="W63" s="544"/>
      <c r="X63" s="544"/>
      <c r="Y63" s="185"/>
    </row>
    <row r="64" spans="2:25" x14ac:dyDescent="0.35">
      <c r="B64" s="55"/>
      <c r="C64" s="46"/>
      <c r="D64" s="46"/>
      <c r="E64" s="46"/>
      <c r="F64" s="46"/>
      <c r="G64" s="46"/>
      <c r="H64" s="46"/>
      <c r="I64" s="46"/>
      <c r="L64" s="544"/>
      <c r="M64" s="544"/>
      <c r="N64" s="544"/>
      <c r="O64" s="544"/>
      <c r="P64" s="544"/>
      <c r="Q64" s="544"/>
      <c r="R64" s="544"/>
      <c r="S64" s="544">
        <v>62</v>
      </c>
      <c r="T64" s="544">
        <v>70</v>
      </c>
      <c r="U64" s="544"/>
      <c r="V64" s="544"/>
      <c r="W64" s="544"/>
      <c r="X64" s="544"/>
      <c r="Y64" s="185"/>
    </row>
    <row r="65" spans="2:25" x14ac:dyDescent="0.35">
      <c r="B65" s="55"/>
      <c r="C65" s="46"/>
      <c r="D65" s="46"/>
      <c r="E65" s="46"/>
      <c r="F65" s="46"/>
      <c r="G65" s="46"/>
      <c r="H65" s="46"/>
      <c r="I65" s="46"/>
      <c r="L65" s="544"/>
      <c r="M65" s="544"/>
      <c r="N65" s="544"/>
      <c r="O65" s="544"/>
      <c r="P65" s="544"/>
      <c r="Q65" s="544"/>
      <c r="R65" s="544"/>
      <c r="S65" s="544">
        <v>63</v>
      </c>
      <c r="T65" s="544">
        <v>70</v>
      </c>
      <c r="U65" s="544"/>
      <c r="V65" s="544"/>
      <c r="W65" s="544"/>
      <c r="X65" s="544"/>
      <c r="Y65" s="185"/>
    </row>
    <row r="66" spans="2:25" x14ac:dyDescent="0.35">
      <c r="B66" s="55"/>
      <c r="C66" s="46"/>
      <c r="D66" s="46"/>
      <c r="E66" s="46"/>
      <c r="F66" s="46"/>
      <c r="G66" s="46"/>
      <c r="H66" s="46"/>
      <c r="I66" s="46"/>
      <c r="L66" s="544"/>
      <c r="M66" s="544"/>
      <c r="N66" s="544"/>
      <c r="O66" s="544"/>
      <c r="P66" s="544"/>
      <c r="Q66" s="544"/>
      <c r="R66" s="544"/>
      <c r="S66" s="544">
        <v>64</v>
      </c>
      <c r="T66" s="544">
        <v>70</v>
      </c>
      <c r="U66" s="544"/>
      <c r="V66" s="544"/>
      <c r="W66" s="544"/>
      <c r="X66" s="544"/>
      <c r="Y66" s="185"/>
    </row>
    <row r="67" spans="2:25" x14ac:dyDescent="0.35">
      <c r="B67" s="55"/>
      <c r="C67" s="46"/>
      <c r="D67" s="46"/>
      <c r="E67" s="46"/>
      <c r="F67" s="46"/>
      <c r="G67" s="46"/>
      <c r="H67" s="46"/>
      <c r="I67" s="46"/>
      <c r="L67" s="544"/>
      <c r="M67" s="544"/>
      <c r="N67" s="544"/>
      <c r="O67" s="544"/>
      <c r="P67" s="544"/>
      <c r="Q67" s="544"/>
      <c r="R67" s="544"/>
      <c r="S67" s="544">
        <v>65</v>
      </c>
      <c r="T67" s="544">
        <v>70</v>
      </c>
      <c r="U67" s="544"/>
      <c r="V67" s="544"/>
      <c r="W67" s="544"/>
      <c r="X67" s="544"/>
      <c r="Y67" s="185"/>
    </row>
    <row r="68" spans="2:25" x14ac:dyDescent="0.35">
      <c r="B68" s="55"/>
      <c r="C68" s="46"/>
      <c r="D68" s="46"/>
      <c r="E68" s="46"/>
      <c r="F68" s="46"/>
      <c r="G68" s="46"/>
      <c r="H68" s="46"/>
      <c r="I68" s="46"/>
      <c r="L68" s="544"/>
      <c r="M68" s="544"/>
      <c r="N68" s="544"/>
      <c r="O68" s="544"/>
      <c r="P68" s="544"/>
      <c r="Q68" s="544"/>
      <c r="R68" s="544"/>
      <c r="S68" s="544">
        <v>66</v>
      </c>
      <c r="T68" s="544">
        <v>70</v>
      </c>
      <c r="U68" s="544"/>
      <c r="V68" s="544"/>
      <c r="W68" s="544"/>
      <c r="X68" s="544"/>
      <c r="Y68" s="185"/>
    </row>
    <row r="69" spans="2:25" x14ac:dyDescent="0.35">
      <c r="B69" s="55"/>
      <c r="C69" s="46"/>
      <c r="D69" s="46"/>
      <c r="E69" s="46"/>
      <c r="F69" s="46"/>
      <c r="G69" s="46"/>
      <c r="H69" s="46"/>
      <c r="I69" s="46"/>
      <c r="L69" s="544"/>
      <c r="M69" s="544"/>
      <c r="N69" s="544"/>
      <c r="O69" s="544"/>
      <c r="P69" s="544"/>
      <c r="Q69" s="544"/>
      <c r="R69" s="544"/>
      <c r="S69" s="544">
        <v>67</v>
      </c>
      <c r="T69" s="544">
        <v>70</v>
      </c>
      <c r="U69" s="544"/>
      <c r="V69" s="544"/>
      <c r="W69" s="544"/>
      <c r="X69" s="544"/>
      <c r="Y69" s="185"/>
    </row>
    <row r="70" spans="2:25" x14ac:dyDescent="0.35">
      <c r="B70" s="55"/>
      <c r="C70" s="46"/>
      <c r="D70" s="46"/>
      <c r="E70" s="46"/>
      <c r="F70" s="46"/>
      <c r="G70" s="46"/>
      <c r="H70" s="46"/>
      <c r="I70" s="46"/>
      <c r="L70" s="544"/>
      <c r="M70" s="544"/>
      <c r="N70" s="544"/>
      <c r="O70" s="544"/>
      <c r="P70" s="544"/>
      <c r="Q70" s="544"/>
      <c r="R70" s="544"/>
      <c r="S70" s="544">
        <v>68</v>
      </c>
      <c r="T70" s="544">
        <v>70</v>
      </c>
      <c r="U70" s="544"/>
      <c r="V70" s="544"/>
      <c r="W70" s="544"/>
      <c r="X70" s="544"/>
      <c r="Y70" s="185"/>
    </row>
    <row r="71" spans="2:25" x14ac:dyDescent="0.35">
      <c r="B71" s="55"/>
      <c r="C71" s="46"/>
      <c r="D71" s="46"/>
      <c r="E71" s="46"/>
      <c r="F71" s="46"/>
      <c r="G71" s="46"/>
      <c r="H71" s="46"/>
      <c r="I71" s="46"/>
      <c r="L71" s="544"/>
      <c r="M71" s="544"/>
      <c r="N71" s="544"/>
      <c r="O71" s="544"/>
      <c r="P71" s="544"/>
      <c r="Q71" s="544"/>
      <c r="R71" s="544"/>
      <c r="S71" s="544">
        <v>69</v>
      </c>
      <c r="T71" s="544">
        <v>70</v>
      </c>
      <c r="U71" s="544"/>
      <c r="V71" s="544"/>
      <c r="W71" s="544"/>
      <c r="X71" s="544"/>
      <c r="Y71" s="185"/>
    </row>
    <row r="72" spans="2:25" x14ac:dyDescent="0.35">
      <c r="B72" s="55"/>
      <c r="C72" s="46"/>
      <c r="D72" s="46"/>
      <c r="E72" s="46"/>
      <c r="F72" s="46"/>
      <c r="G72" s="46"/>
      <c r="H72" s="46"/>
      <c r="I72" s="46"/>
      <c r="L72" s="544"/>
      <c r="M72" s="544"/>
      <c r="N72" s="544"/>
      <c r="O72" s="544"/>
      <c r="P72" s="544"/>
      <c r="Q72" s="544"/>
      <c r="R72" s="544"/>
      <c r="S72" s="544">
        <v>70</v>
      </c>
      <c r="T72" s="544">
        <v>70</v>
      </c>
      <c r="U72" s="544">
        <v>70</v>
      </c>
      <c r="V72" s="544"/>
      <c r="W72" s="544"/>
      <c r="X72" s="544"/>
      <c r="Y72" s="185"/>
    </row>
    <row r="73" spans="2:25" x14ac:dyDescent="0.35">
      <c r="B73" s="55"/>
      <c r="C73" s="46"/>
      <c r="D73" s="46"/>
      <c r="E73" s="46"/>
      <c r="F73" s="46"/>
      <c r="G73" s="46"/>
      <c r="H73" s="46"/>
      <c r="I73" s="46"/>
      <c r="L73" s="544"/>
      <c r="M73" s="544"/>
      <c r="N73" s="544"/>
      <c r="O73" s="544"/>
      <c r="P73" s="544"/>
      <c r="Q73" s="544"/>
      <c r="R73" s="544"/>
      <c r="S73" s="544">
        <v>71</v>
      </c>
      <c r="T73" s="544">
        <v>100</v>
      </c>
      <c r="U73" s="544"/>
      <c r="V73" s="544"/>
      <c r="W73" s="544"/>
      <c r="X73" s="544"/>
      <c r="Y73" s="185"/>
    </row>
    <row r="74" spans="2:25" x14ac:dyDescent="0.35">
      <c r="B74" s="55"/>
      <c r="C74" s="46"/>
      <c r="D74" s="46"/>
      <c r="E74" s="46"/>
      <c r="F74" s="46"/>
      <c r="G74" s="46"/>
      <c r="H74" s="46"/>
      <c r="I74" s="46"/>
      <c r="L74" s="544"/>
      <c r="M74" s="544"/>
      <c r="N74" s="544"/>
      <c r="O74" s="544"/>
      <c r="P74" s="544"/>
      <c r="Q74" s="544"/>
      <c r="R74" s="544"/>
      <c r="S74" s="544">
        <v>72</v>
      </c>
      <c r="T74" s="544">
        <v>100</v>
      </c>
      <c r="U74" s="544"/>
      <c r="V74" s="544"/>
      <c r="W74" s="544"/>
      <c r="X74" s="544"/>
      <c r="Y74" s="185"/>
    </row>
    <row r="75" spans="2:25" x14ac:dyDescent="0.35">
      <c r="B75" s="55"/>
      <c r="C75" s="46"/>
      <c r="D75" s="46"/>
      <c r="E75" s="46"/>
      <c r="F75" s="46"/>
      <c r="G75" s="46"/>
      <c r="H75" s="46"/>
      <c r="I75" s="46"/>
      <c r="L75" s="544"/>
      <c r="M75" s="544"/>
      <c r="N75" s="544"/>
      <c r="O75" s="544"/>
      <c r="P75" s="544"/>
      <c r="Q75" s="544"/>
      <c r="R75" s="544"/>
      <c r="S75" s="544">
        <v>73</v>
      </c>
      <c r="T75" s="544">
        <v>100</v>
      </c>
      <c r="U75" s="544"/>
      <c r="V75" s="544"/>
      <c r="W75" s="544"/>
      <c r="X75" s="544"/>
      <c r="Y75" s="185"/>
    </row>
    <row r="76" spans="2:25" x14ac:dyDescent="0.35">
      <c r="B76" s="55"/>
      <c r="C76" s="46"/>
      <c r="D76" s="46"/>
      <c r="E76" s="46"/>
      <c r="F76" s="46"/>
      <c r="G76" s="46"/>
      <c r="H76" s="46"/>
      <c r="I76" s="46"/>
      <c r="L76" s="544"/>
      <c r="M76" s="544"/>
      <c r="N76" s="544"/>
      <c r="O76" s="544"/>
      <c r="P76" s="544"/>
      <c r="Q76" s="544"/>
      <c r="R76" s="544"/>
      <c r="S76" s="544">
        <v>74</v>
      </c>
      <c r="T76" s="544">
        <v>100</v>
      </c>
      <c r="U76" s="544"/>
      <c r="V76" s="544"/>
      <c r="W76" s="544"/>
      <c r="X76" s="544"/>
      <c r="Y76" s="185"/>
    </row>
    <row r="77" spans="2:25" x14ac:dyDescent="0.35">
      <c r="H77" s="46"/>
      <c r="I77" s="46"/>
      <c r="L77" s="544"/>
      <c r="M77" s="544"/>
      <c r="N77" s="544"/>
      <c r="O77" s="544"/>
      <c r="P77" s="544"/>
      <c r="Q77" s="544"/>
      <c r="R77" s="544"/>
      <c r="S77" s="544">
        <v>75</v>
      </c>
      <c r="T77" s="544">
        <v>100</v>
      </c>
      <c r="U77" s="544"/>
      <c r="V77" s="544"/>
      <c r="W77" s="544"/>
      <c r="X77" s="544"/>
      <c r="Y77" s="185"/>
    </row>
    <row r="78" spans="2:25" x14ac:dyDescent="0.35">
      <c r="L78" s="544"/>
      <c r="M78" s="544"/>
      <c r="N78" s="544"/>
      <c r="O78" s="544"/>
      <c r="P78" s="544"/>
      <c r="Q78" s="544"/>
      <c r="R78" s="544"/>
      <c r="S78" s="544">
        <v>76</v>
      </c>
      <c r="T78" s="544">
        <v>100</v>
      </c>
      <c r="U78" s="544"/>
      <c r="V78" s="544"/>
      <c r="W78" s="544"/>
      <c r="X78" s="544"/>
      <c r="Y78" s="185"/>
    </row>
    <row r="79" spans="2:25" x14ac:dyDescent="0.35">
      <c r="L79" s="544"/>
      <c r="M79" s="544"/>
      <c r="N79" s="544"/>
      <c r="O79" s="544"/>
      <c r="P79" s="544"/>
      <c r="Q79" s="544"/>
      <c r="R79" s="544"/>
      <c r="S79" s="544">
        <v>77</v>
      </c>
      <c r="T79" s="544">
        <v>100</v>
      </c>
      <c r="U79" s="544"/>
      <c r="V79" s="544"/>
      <c r="W79" s="544"/>
      <c r="X79" s="544"/>
      <c r="Y79" s="185"/>
    </row>
    <row r="80" spans="2:25" x14ac:dyDescent="0.35">
      <c r="L80" s="544"/>
      <c r="M80" s="544"/>
      <c r="N80" s="544"/>
      <c r="O80" s="544"/>
      <c r="P80" s="544"/>
      <c r="Q80" s="544"/>
      <c r="R80" s="544"/>
      <c r="S80" s="544">
        <v>78</v>
      </c>
      <c r="T80" s="544">
        <v>100</v>
      </c>
      <c r="U80" s="544"/>
      <c r="V80" s="544"/>
      <c r="W80" s="544"/>
      <c r="X80" s="544"/>
      <c r="Y80" s="185"/>
    </row>
    <row r="81" spans="12:25" x14ac:dyDescent="0.35">
      <c r="L81" s="544"/>
      <c r="M81" s="544"/>
      <c r="N81" s="544"/>
      <c r="O81" s="544"/>
      <c r="P81" s="544"/>
      <c r="Q81" s="544"/>
      <c r="R81" s="544"/>
      <c r="S81" s="544">
        <v>79</v>
      </c>
      <c r="T81" s="544">
        <v>100</v>
      </c>
      <c r="U81" s="544"/>
      <c r="V81" s="544"/>
      <c r="W81" s="544"/>
      <c r="X81" s="544"/>
      <c r="Y81" s="185"/>
    </row>
    <row r="82" spans="12:25" x14ac:dyDescent="0.35">
      <c r="L82" s="544"/>
      <c r="M82" s="544"/>
      <c r="N82" s="544"/>
      <c r="O82" s="544"/>
      <c r="P82" s="544"/>
      <c r="Q82" s="544"/>
      <c r="R82" s="544"/>
      <c r="S82" s="544">
        <v>80</v>
      </c>
      <c r="T82" s="544">
        <v>100</v>
      </c>
      <c r="U82" s="544"/>
      <c r="V82" s="544"/>
      <c r="W82" s="544"/>
      <c r="X82" s="544"/>
      <c r="Y82" s="185"/>
    </row>
    <row r="83" spans="12:25" x14ac:dyDescent="0.35">
      <c r="L83" s="544"/>
      <c r="M83" s="544"/>
      <c r="N83" s="544"/>
      <c r="O83" s="544"/>
      <c r="P83" s="544"/>
      <c r="Q83" s="544"/>
      <c r="R83" s="544"/>
      <c r="S83" s="544">
        <v>81</v>
      </c>
      <c r="T83" s="544">
        <v>100</v>
      </c>
      <c r="U83" s="544"/>
      <c r="V83" s="544"/>
      <c r="W83" s="544"/>
      <c r="X83" s="544"/>
      <c r="Y83" s="185"/>
    </row>
    <row r="84" spans="12:25" x14ac:dyDescent="0.35">
      <c r="L84" s="544"/>
      <c r="M84" s="544"/>
      <c r="N84" s="544"/>
      <c r="O84" s="544"/>
      <c r="P84" s="544"/>
      <c r="Q84" s="544"/>
      <c r="R84" s="544"/>
      <c r="S84" s="544">
        <v>82</v>
      </c>
      <c r="T84" s="544">
        <v>100</v>
      </c>
      <c r="U84" s="544"/>
      <c r="V84" s="544"/>
      <c r="W84" s="544"/>
      <c r="X84" s="544"/>
      <c r="Y84" s="185"/>
    </row>
    <row r="85" spans="12:25" x14ac:dyDescent="0.35">
      <c r="L85" s="544"/>
      <c r="M85" s="544"/>
      <c r="N85" s="544"/>
      <c r="O85" s="544"/>
      <c r="P85" s="544"/>
      <c r="Q85" s="544"/>
      <c r="R85" s="544"/>
      <c r="S85" s="544">
        <v>83</v>
      </c>
      <c r="T85" s="544">
        <v>100</v>
      </c>
      <c r="U85" s="544"/>
      <c r="V85" s="544"/>
      <c r="W85" s="544"/>
      <c r="X85" s="544"/>
      <c r="Y85" s="185"/>
    </row>
    <row r="86" spans="12:25" x14ac:dyDescent="0.35">
      <c r="L86" s="544"/>
      <c r="M86" s="544"/>
      <c r="N86" s="544"/>
      <c r="O86" s="544"/>
      <c r="P86" s="544"/>
      <c r="Q86" s="544"/>
      <c r="R86" s="544"/>
      <c r="S86" s="544">
        <v>84</v>
      </c>
      <c r="T86" s="544">
        <v>100</v>
      </c>
      <c r="U86" s="544"/>
      <c r="V86" s="544"/>
      <c r="W86" s="544"/>
      <c r="X86" s="544"/>
      <c r="Y86" s="185"/>
    </row>
    <row r="87" spans="12:25" x14ac:dyDescent="0.35">
      <c r="L87" s="544"/>
      <c r="M87" s="544"/>
      <c r="N87" s="544"/>
      <c r="O87" s="544"/>
      <c r="P87" s="544"/>
      <c r="Q87" s="544"/>
      <c r="R87" s="544"/>
      <c r="S87" s="544">
        <v>85</v>
      </c>
      <c r="T87" s="544">
        <v>100</v>
      </c>
      <c r="U87" s="544"/>
      <c r="V87" s="544"/>
      <c r="W87" s="544"/>
      <c r="X87" s="544"/>
      <c r="Y87" s="185"/>
    </row>
    <row r="88" spans="12:25" x14ac:dyDescent="0.35">
      <c r="L88" s="544"/>
      <c r="M88" s="544"/>
      <c r="N88" s="544"/>
      <c r="O88" s="544"/>
      <c r="P88" s="544"/>
      <c r="Q88" s="544"/>
      <c r="R88" s="544"/>
      <c r="S88" s="544">
        <v>86</v>
      </c>
      <c r="T88" s="544">
        <v>100</v>
      </c>
      <c r="U88" s="544"/>
      <c r="V88" s="544"/>
      <c r="W88" s="544"/>
      <c r="X88" s="544"/>
      <c r="Y88" s="185"/>
    </row>
    <row r="89" spans="12:25" x14ac:dyDescent="0.35">
      <c r="L89" s="544"/>
      <c r="M89" s="544"/>
      <c r="N89" s="544"/>
      <c r="O89" s="544"/>
      <c r="P89" s="544"/>
      <c r="Q89" s="544"/>
      <c r="R89" s="544"/>
      <c r="S89" s="544">
        <v>87</v>
      </c>
      <c r="T89" s="544">
        <v>100</v>
      </c>
      <c r="U89" s="544"/>
      <c r="V89" s="544"/>
      <c r="W89" s="544"/>
      <c r="X89" s="544"/>
      <c r="Y89" s="185"/>
    </row>
    <row r="90" spans="12:25" x14ac:dyDescent="0.35">
      <c r="L90" s="544"/>
      <c r="M90" s="544"/>
      <c r="N90" s="544"/>
      <c r="O90" s="544"/>
      <c r="P90" s="544"/>
      <c r="Q90" s="544"/>
      <c r="R90" s="544"/>
      <c r="S90" s="544">
        <v>88</v>
      </c>
      <c r="T90" s="544">
        <v>100</v>
      </c>
      <c r="U90" s="544"/>
      <c r="V90" s="544"/>
      <c r="W90" s="544"/>
      <c r="X90" s="544"/>
      <c r="Y90" s="185"/>
    </row>
    <row r="91" spans="12:25" x14ac:dyDescent="0.35">
      <c r="L91" s="544"/>
      <c r="M91" s="544"/>
      <c r="N91" s="544"/>
      <c r="O91" s="544"/>
      <c r="P91" s="544"/>
      <c r="Q91" s="544"/>
      <c r="R91" s="544"/>
      <c r="S91" s="544">
        <v>89</v>
      </c>
      <c r="T91" s="544">
        <v>100</v>
      </c>
      <c r="U91" s="544"/>
      <c r="V91" s="544"/>
      <c r="W91" s="544"/>
      <c r="X91" s="544"/>
      <c r="Y91" s="185"/>
    </row>
    <row r="92" spans="12:25" x14ac:dyDescent="0.35">
      <c r="L92" s="544"/>
      <c r="M92" s="544"/>
      <c r="N92" s="544"/>
      <c r="O92" s="544"/>
      <c r="P92" s="544"/>
      <c r="Q92" s="544"/>
      <c r="R92" s="544"/>
      <c r="S92" s="544">
        <v>90</v>
      </c>
      <c r="T92" s="544">
        <v>100</v>
      </c>
      <c r="U92" s="544"/>
      <c r="V92" s="544"/>
      <c r="W92" s="544"/>
      <c r="X92" s="544"/>
      <c r="Y92" s="185"/>
    </row>
    <row r="93" spans="12:25" x14ac:dyDescent="0.35">
      <c r="L93" s="544"/>
      <c r="M93" s="544"/>
      <c r="N93" s="544"/>
      <c r="O93" s="544"/>
      <c r="P93" s="544"/>
      <c r="Q93" s="544"/>
      <c r="R93" s="544"/>
      <c r="S93" s="544">
        <v>91</v>
      </c>
      <c r="T93" s="544">
        <v>100</v>
      </c>
      <c r="U93" s="544"/>
      <c r="V93" s="544"/>
      <c r="W93" s="544"/>
      <c r="X93" s="544"/>
      <c r="Y93" s="185"/>
    </row>
    <row r="94" spans="12:25" x14ac:dyDescent="0.35">
      <c r="L94" s="544"/>
      <c r="M94" s="544"/>
      <c r="N94" s="544"/>
      <c r="O94" s="544"/>
      <c r="P94" s="544"/>
      <c r="Q94" s="544"/>
      <c r="R94" s="544"/>
      <c r="S94" s="544">
        <v>92</v>
      </c>
      <c r="T94" s="544">
        <v>100</v>
      </c>
      <c r="U94" s="544"/>
      <c r="V94" s="544"/>
      <c r="W94" s="544"/>
      <c r="X94" s="544"/>
      <c r="Y94" s="185"/>
    </row>
    <row r="95" spans="12:25" x14ac:dyDescent="0.35">
      <c r="L95" s="544"/>
      <c r="M95" s="544"/>
      <c r="N95" s="544"/>
      <c r="O95" s="544"/>
      <c r="P95" s="544"/>
      <c r="Q95" s="544"/>
      <c r="R95" s="544"/>
      <c r="S95" s="544">
        <v>93</v>
      </c>
      <c r="T95" s="544">
        <v>100</v>
      </c>
      <c r="U95" s="544"/>
      <c r="V95" s="544"/>
      <c r="W95" s="544"/>
      <c r="X95" s="544"/>
      <c r="Y95" s="185"/>
    </row>
    <row r="96" spans="12:25" x14ac:dyDescent="0.35">
      <c r="L96" s="544"/>
      <c r="M96" s="544"/>
      <c r="N96" s="544"/>
      <c r="O96" s="544"/>
      <c r="P96" s="544"/>
      <c r="Q96" s="544"/>
      <c r="R96" s="544"/>
      <c r="S96" s="544">
        <v>94</v>
      </c>
      <c r="T96" s="544">
        <v>100</v>
      </c>
      <c r="U96" s="544"/>
      <c r="V96" s="544"/>
      <c r="W96" s="544"/>
      <c r="X96" s="544"/>
      <c r="Y96" s="185"/>
    </row>
    <row r="97" spans="12:25" x14ac:dyDescent="0.35">
      <c r="L97" s="544"/>
      <c r="M97" s="544"/>
      <c r="N97" s="544"/>
      <c r="O97" s="544"/>
      <c r="P97" s="544"/>
      <c r="Q97" s="544"/>
      <c r="R97" s="544"/>
      <c r="S97" s="544">
        <v>95</v>
      </c>
      <c r="T97" s="544">
        <v>100</v>
      </c>
      <c r="U97" s="544"/>
      <c r="V97" s="544"/>
      <c r="W97" s="544"/>
      <c r="X97" s="544"/>
      <c r="Y97" s="185"/>
    </row>
    <row r="98" spans="12:25" x14ac:dyDescent="0.35">
      <c r="L98" s="544"/>
      <c r="M98" s="544"/>
      <c r="N98" s="544"/>
      <c r="O98" s="544"/>
      <c r="P98" s="544"/>
      <c r="Q98" s="544"/>
      <c r="R98" s="544"/>
      <c r="S98" s="544">
        <v>96</v>
      </c>
      <c r="T98" s="544">
        <v>100</v>
      </c>
      <c r="U98" s="544"/>
      <c r="V98" s="544"/>
      <c r="W98" s="544"/>
      <c r="X98" s="544"/>
      <c r="Y98" s="185"/>
    </row>
    <row r="99" spans="12:25" x14ac:dyDescent="0.35">
      <c r="L99" s="544"/>
      <c r="M99" s="544"/>
      <c r="N99" s="544"/>
      <c r="O99" s="544"/>
      <c r="P99" s="544"/>
      <c r="Q99" s="544"/>
      <c r="R99" s="544"/>
      <c r="S99" s="544">
        <v>97</v>
      </c>
      <c r="T99" s="544">
        <v>100</v>
      </c>
      <c r="U99" s="544"/>
      <c r="V99" s="544"/>
      <c r="W99" s="544"/>
      <c r="X99" s="544"/>
      <c r="Y99" s="185"/>
    </row>
    <row r="100" spans="12:25" x14ac:dyDescent="0.35">
      <c r="L100" s="544"/>
      <c r="M100" s="544"/>
      <c r="N100" s="544"/>
      <c r="O100" s="544"/>
      <c r="P100" s="544"/>
      <c r="Q100" s="544"/>
      <c r="R100" s="544"/>
      <c r="S100" s="544">
        <v>98</v>
      </c>
      <c r="T100" s="544">
        <v>100</v>
      </c>
      <c r="U100" s="544"/>
      <c r="V100" s="544"/>
      <c r="W100" s="544"/>
      <c r="X100" s="544"/>
      <c r="Y100" s="185"/>
    </row>
    <row r="101" spans="12:25" x14ac:dyDescent="0.35">
      <c r="L101" s="544"/>
      <c r="M101" s="544"/>
      <c r="N101" s="544"/>
      <c r="O101" s="544"/>
      <c r="P101" s="544"/>
      <c r="Q101" s="544"/>
      <c r="R101" s="544"/>
      <c r="S101" s="544">
        <v>99</v>
      </c>
      <c r="T101" s="544">
        <v>100</v>
      </c>
      <c r="U101" s="544"/>
      <c r="V101" s="544"/>
      <c r="W101" s="544"/>
      <c r="X101" s="544"/>
      <c r="Y101" s="185"/>
    </row>
    <row r="102" spans="12:25" x14ac:dyDescent="0.35">
      <c r="L102" s="544"/>
      <c r="M102" s="544"/>
      <c r="N102" s="544"/>
      <c r="O102" s="544"/>
      <c r="P102" s="544"/>
      <c r="Q102" s="544"/>
      <c r="R102" s="544"/>
      <c r="S102" s="544">
        <v>100</v>
      </c>
      <c r="T102" s="544">
        <v>100</v>
      </c>
      <c r="U102" s="544">
        <v>100</v>
      </c>
      <c r="V102" s="544"/>
      <c r="W102" s="544"/>
      <c r="X102" s="544"/>
      <c r="Y102" s="185"/>
    </row>
    <row r="103" spans="12:25" x14ac:dyDescent="0.35">
      <c r="L103" s="544"/>
      <c r="M103" s="544"/>
      <c r="N103" s="544"/>
      <c r="O103" s="544"/>
      <c r="P103" s="544"/>
      <c r="Q103" s="544"/>
      <c r="R103" s="544"/>
      <c r="S103" s="544">
        <v>101</v>
      </c>
      <c r="T103" s="544">
        <v>150</v>
      </c>
      <c r="U103" s="544"/>
      <c r="V103" s="544"/>
      <c r="W103" s="544"/>
      <c r="X103" s="544"/>
      <c r="Y103" s="185"/>
    </row>
    <row r="104" spans="12:25" x14ac:dyDescent="0.35">
      <c r="L104" s="544"/>
      <c r="M104" s="544"/>
      <c r="N104" s="544"/>
      <c r="O104" s="544"/>
      <c r="P104" s="544"/>
      <c r="Q104" s="544"/>
      <c r="R104" s="544"/>
      <c r="S104" s="544">
        <v>102</v>
      </c>
      <c r="T104" s="544">
        <v>150</v>
      </c>
      <c r="U104" s="544"/>
      <c r="V104" s="544"/>
      <c r="W104" s="544"/>
      <c r="X104" s="544"/>
      <c r="Y104" s="185"/>
    </row>
    <row r="105" spans="12:25" x14ac:dyDescent="0.35">
      <c r="L105" s="544"/>
      <c r="M105" s="544"/>
      <c r="N105" s="544"/>
      <c r="O105" s="544"/>
      <c r="P105" s="544"/>
      <c r="Q105" s="544"/>
      <c r="R105" s="544"/>
      <c r="S105" s="544">
        <v>103</v>
      </c>
      <c r="T105" s="544">
        <v>150</v>
      </c>
      <c r="U105" s="544"/>
      <c r="V105" s="544"/>
      <c r="W105" s="544"/>
      <c r="X105" s="544"/>
      <c r="Y105" s="185"/>
    </row>
    <row r="106" spans="12:25" x14ac:dyDescent="0.35">
      <c r="L106" s="544"/>
      <c r="M106" s="544"/>
      <c r="N106" s="544"/>
      <c r="O106" s="544"/>
      <c r="P106" s="544"/>
      <c r="Q106" s="544"/>
      <c r="R106" s="544"/>
      <c r="S106" s="544">
        <v>104</v>
      </c>
      <c r="T106" s="544">
        <v>150</v>
      </c>
      <c r="U106" s="544"/>
      <c r="V106" s="544"/>
      <c r="W106" s="544"/>
      <c r="X106" s="544"/>
      <c r="Y106" s="185"/>
    </row>
    <row r="107" spans="12:25" x14ac:dyDescent="0.35">
      <c r="L107" s="544"/>
      <c r="M107" s="544"/>
      <c r="N107" s="544"/>
      <c r="O107" s="544"/>
      <c r="P107" s="544"/>
      <c r="Q107" s="544"/>
      <c r="R107" s="544"/>
      <c r="S107" s="544">
        <v>105</v>
      </c>
      <c r="T107" s="544">
        <v>150</v>
      </c>
      <c r="U107" s="544"/>
      <c r="V107" s="544"/>
      <c r="W107" s="544"/>
      <c r="X107" s="544"/>
      <c r="Y107" s="185"/>
    </row>
    <row r="108" spans="12:25" x14ac:dyDescent="0.35">
      <c r="L108" s="544"/>
      <c r="M108" s="544"/>
      <c r="N108" s="544"/>
      <c r="O108" s="544"/>
      <c r="P108" s="544"/>
      <c r="Q108" s="544"/>
      <c r="R108" s="544"/>
      <c r="S108" s="544">
        <v>106</v>
      </c>
      <c r="T108" s="544">
        <v>150</v>
      </c>
      <c r="U108" s="544"/>
      <c r="V108" s="544"/>
      <c r="W108" s="544"/>
      <c r="X108" s="544"/>
      <c r="Y108" s="185"/>
    </row>
    <row r="109" spans="12:25" x14ac:dyDescent="0.35">
      <c r="L109" s="544"/>
      <c r="M109" s="544"/>
      <c r="N109" s="544"/>
      <c r="O109" s="544"/>
      <c r="P109" s="544"/>
      <c r="Q109" s="544"/>
      <c r="R109" s="544"/>
      <c r="S109" s="544">
        <v>107</v>
      </c>
      <c r="T109" s="544">
        <v>150</v>
      </c>
      <c r="U109" s="544"/>
      <c r="V109" s="544"/>
      <c r="W109" s="544"/>
      <c r="X109" s="544"/>
      <c r="Y109" s="185"/>
    </row>
    <row r="110" spans="12:25" x14ac:dyDescent="0.35">
      <c r="L110" s="544"/>
      <c r="M110" s="544"/>
      <c r="N110" s="544"/>
      <c r="O110" s="544"/>
      <c r="P110" s="544"/>
      <c r="Q110" s="544"/>
      <c r="R110" s="544"/>
      <c r="S110" s="544">
        <v>108</v>
      </c>
      <c r="T110" s="544">
        <v>150</v>
      </c>
      <c r="U110" s="544"/>
      <c r="V110" s="544"/>
      <c r="W110" s="544"/>
      <c r="X110" s="544"/>
      <c r="Y110" s="185"/>
    </row>
    <row r="111" spans="12:25" x14ac:dyDescent="0.35">
      <c r="L111" s="544"/>
      <c r="M111" s="544"/>
      <c r="N111" s="544"/>
      <c r="O111" s="544"/>
      <c r="P111" s="544"/>
      <c r="Q111" s="544"/>
      <c r="R111" s="544"/>
      <c r="S111" s="544">
        <v>109</v>
      </c>
      <c r="T111" s="544">
        <v>150</v>
      </c>
      <c r="U111" s="544"/>
      <c r="V111" s="544"/>
      <c r="W111" s="544"/>
      <c r="X111" s="544"/>
      <c r="Y111" s="185"/>
    </row>
    <row r="112" spans="12:25" x14ac:dyDescent="0.35">
      <c r="L112" s="544"/>
      <c r="M112" s="544"/>
      <c r="N112" s="544"/>
      <c r="O112" s="544"/>
      <c r="P112" s="544"/>
      <c r="Q112" s="544"/>
      <c r="R112" s="544"/>
      <c r="S112" s="544">
        <v>110</v>
      </c>
      <c r="T112" s="544">
        <v>150</v>
      </c>
      <c r="U112" s="544"/>
      <c r="V112" s="544"/>
      <c r="W112" s="544"/>
      <c r="X112" s="544"/>
      <c r="Y112" s="185"/>
    </row>
    <row r="113" spans="12:25" x14ac:dyDescent="0.35">
      <c r="L113" s="544"/>
      <c r="M113" s="544"/>
      <c r="N113" s="544"/>
      <c r="O113" s="544"/>
      <c r="P113" s="544"/>
      <c r="Q113" s="544"/>
      <c r="R113" s="544"/>
      <c r="S113" s="544">
        <v>111</v>
      </c>
      <c r="T113" s="544">
        <v>150</v>
      </c>
      <c r="U113" s="544"/>
      <c r="V113" s="544"/>
      <c r="W113" s="544"/>
      <c r="X113" s="544"/>
      <c r="Y113" s="185"/>
    </row>
    <row r="114" spans="12:25" x14ac:dyDescent="0.35">
      <c r="L114" s="544"/>
      <c r="M114" s="544"/>
      <c r="N114" s="544"/>
      <c r="O114" s="544"/>
      <c r="P114" s="544"/>
      <c r="Q114" s="544"/>
      <c r="R114" s="544"/>
      <c r="S114" s="544">
        <v>112</v>
      </c>
      <c r="T114" s="544">
        <v>150</v>
      </c>
      <c r="U114" s="544"/>
      <c r="V114" s="544"/>
      <c r="W114" s="544"/>
      <c r="X114" s="544"/>
      <c r="Y114" s="185"/>
    </row>
    <row r="115" spans="12:25" x14ac:dyDescent="0.35">
      <c r="L115" s="544"/>
      <c r="M115" s="544"/>
      <c r="N115" s="544"/>
      <c r="O115" s="544"/>
      <c r="P115" s="544"/>
      <c r="Q115" s="544"/>
      <c r="R115" s="544"/>
      <c r="S115" s="544">
        <v>113</v>
      </c>
      <c r="T115" s="544">
        <v>150</v>
      </c>
      <c r="U115" s="544"/>
      <c r="V115" s="544"/>
      <c r="W115" s="544"/>
      <c r="X115" s="544"/>
      <c r="Y115" s="185"/>
    </row>
    <row r="116" spans="12:25" x14ac:dyDescent="0.35">
      <c r="L116" s="544"/>
      <c r="M116" s="544"/>
      <c r="N116" s="544"/>
      <c r="O116" s="544"/>
      <c r="P116" s="544"/>
      <c r="Q116" s="544"/>
      <c r="R116" s="544"/>
      <c r="S116" s="544">
        <v>114</v>
      </c>
      <c r="T116" s="544">
        <v>150</v>
      </c>
      <c r="U116" s="544"/>
      <c r="V116" s="544"/>
      <c r="W116" s="544"/>
      <c r="X116" s="544"/>
      <c r="Y116" s="185"/>
    </row>
    <row r="117" spans="12:25" x14ac:dyDescent="0.35">
      <c r="L117" s="544"/>
      <c r="M117" s="544"/>
      <c r="N117" s="544"/>
      <c r="O117" s="544"/>
      <c r="P117" s="544"/>
      <c r="Q117" s="544"/>
      <c r="R117" s="544"/>
      <c r="S117" s="544">
        <v>115</v>
      </c>
      <c r="T117" s="544">
        <v>150</v>
      </c>
      <c r="U117" s="544"/>
      <c r="V117" s="544"/>
      <c r="W117" s="544"/>
      <c r="X117" s="544"/>
      <c r="Y117" s="185"/>
    </row>
    <row r="118" spans="12:25" x14ac:dyDescent="0.35">
      <c r="L118" s="544"/>
      <c r="M118" s="544"/>
      <c r="N118" s="544"/>
      <c r="O118" s="544"/>
      <c r="P118" s="544"/>
      <c r="Q118" s="544"/>
      <c r="R118" s="544"/>
      <c r="S118" s="544">
        <v>116</v>
      </c>
      <c r="T118" s="544">
        <v>150</v>
      </c>
      <c r="U118" s="544"/>
      <c r="V118" s="544"/>
      <c r="W118" s="544"/>
      <c r="X118" s="544"/>
      <c r="Y118" s="185"/>
    </row>
    <row r="119" spans="12:25" x14ac:dyDescent="0.35">
      <c r="L119" s="544"/>
      <c r="M119" s="544"/>
      <c r="N119" s="544"/>
      <c r="O119" s="544"/>
      <c r="P119" s="544"/>
      <c r="Q119" s="544"/>
      <c r="R119" s="544"/>
      <c r="S119" s="544">
        <v>117</v>
      </c>
      <c r="T119" s="544">
        <v>150</v>
      </c>
      <c r="U119" s="544"/>
      <c r="V119" s="544"/>
      <c r="W119" s="544"/>
      <c r="X119" s="544"/>
      <c r="Y119" s="185"/>
    </row>
    <row r="120" spans="12:25" x14ac:dyDescent="0.35">
      <c r="L120" s="544"/>
      <c r="M120" s="544"/>
      <c r="N120" s="544"/>
      <c r="O120" s="544"/>
      <c r="P120" s="544"/>
      <c r="Q120" s="544"/>
      <c r="R120" s="544"/>
      <c r="S120" s="544">
        <v>118</v>
      </c>
      <c r="T120" s="544">
        <v>150</v>
      </c>
      <c r="U120" s="544"/>
      <c r="V120" s="544"/>
      <c r="W120" s="544"/>
      <c r="X120" s="544"/>
      <c r="Y120" s="185"/>
    </row>
    <row r="121" spans="12:25" x14ac:dyDescent="0.35">
      <c r="L121" s="544"/>
      <c r="M121" s="544"/>
      <c r="N121" s="544"/>
      <c r="O121" s="544"/>
      <c r="P121" s="544"/>
      <c r="Q121" s="544"/>
      <c r="R121" s="544"/>
      <c r="S121" s="544">
        <v>119</v>
      </c>
      <c r="T121" s="544">
        <v>150</v>
      </c>
      <c r="U121" s="544"/>
      <c r="V121" s="544"/>
      <c r="W121" s="544"/>
      <c r="X121" s="544"/>
      <c r="Y121" s="185"/>
    </row>
    <row r="122" spans="12:25" x14ac:dyDescent="0.35">
      <c r="L122" s="544"/>
      <c r="M122" s="544"/>
      <c r="N122" s="544"/>
      <c r="O122" s="544"/>
      <c r="P122" s="544"/>
      <c r="Q122" s="544"/>
      <c r="R122" s="544"/>
      <c r="S122" s="544">
        <v>120</v>
      </c>
      <c r="T122" s="544">
        <v>150</v>
      </c>
      <c r="U122" s="544"/>
      <c r="V122" s="544"/>
      <c r="W122" s="544"/>
      <c r="X122" s="544"/>
      <c r="Y122" s="185"/>
    </row>
    <row r="123" spans="12:25" x14ac:dyDescent="0.35">
      <c r="L123" s="544"/>
      <c r="M123" s="544"/>
      <c r="N123" s="544"/>
      <c r="O123" s="544"/>
      <c r="P123" s="544"/>
      <c r="Q123" s="544"/>
      <c r="R123" s="544"/>
      <c r="S123" s="544">
        <v>121</v>
      </c>
      <c r="T123" s="544">
        <v>150</v>
      </c>
      <c r="U123" s="544"/>
      <c r="V123" s="544"/>
      <c r="W123" s="544"/>
      <c r="X123" s="544"/>
      <c r="Y123" s="185"/>
    </row>
    <row r="124" spans="12:25" x14ac:dyDescent="0.35">
      <c r="L124" s="544"/>
      <c r="M124" s="544"/>
      <c r="N124" s="544"/>
      <c r="O124" s="544"/>
      <c r="P124" s="544"/>
      <c r="Q124" s="544"/>
      <c r="R124" s="544"/>
      <c r="S124" s="544">
        <v>122</v>
      </c>
      <c r="T124" s="544">
        <v>150</v>
      </c>
      <c r="U124" s="544"/>
      <c r="V124" s="544"/>
      <c r="W124" s="544"/>
      <c r="X124" s="544"/>
      <c r="Y124" s="185"/>
    </row>
    <row r="125" spans="12:25" x14ac:dyDescent="0.35">
      <c r="L125" s="544"/>
      <c r="M125" s="544"/>
      <c r="N125" s="544"/>
      <c r="O125" s="544"/>
      <c r="P125" s="544"/>
      <c r="Q125" s="544"/>
      <c r="R125" s="544"/>
      <c r="S125" s="544">
        <v>123</v>
      </c>
      <c r="T125" s="544">
        <v>150</v>
      </c>
      <c r="U125" s="544"/>
      <c r="V125" s="544"/>
      <c r="W125" s="544"/>
      <c r="X125" s="544"/>
      <c r="Y125" s="185"/>
    </row>
    <row r="126" spans="12:25" x14ac:dyDescent="0.35">
      <c r="L126" s="544"/>
      <c r="M126" s="544"/>
      <c r="N126" s="544"/>
      <c r="O126" s="544"/>
      <c r="P126" s="544"/>
      <c r="Q126" s="544"/>
      <c r="R126" s="544"/>
      <c r="S126" s="544">
        <v>124</v>
      </c>
      <c r="T126" s="544">
        <v>150</v>
      </c>
      <c r="U126" s="544"/>
      <c r="V126" s="544"/>
      <c r="W126" s="544"/>
      <c r="X126" s="544"/>
      <c r="Y126" s="185"/>
    </row>
    <row r="127" spans="12:25" x14ac:dyDescent="0.35">
      <c r="L127" s="544"/>
      <c r="M127" s="544"/>
      <c r="N127" s="544"/>
      <c r="O127" s="544"/>
      <c r="P127" s="544"/>
      <c r="Q127" s="544"/>
      <c r="R127" s="544"/>
      <c r="S127" s="544">
        <v>125</v>
      </c>
      <c r="T127" s="544">
        <v>150</v>
      </c>
      <c r="U127" s="544"/>
      <c r="V127" s="544"/>
      <c r="W127" s="544"/>
      <c r="X127" s="544"/>
      <c r="Y127" s="185"/>
    </row>
    <row r="128" spans="12:25" x14ac:dyDescent="0.35">
      <c r="L128" s="544"/>
      <c r="M128" s="544"/>
      <c r="N128" s="544"/>
      <c r="O128" s="544"/>
      <c r="P128" s="544"/>
      <c r="Q128" s="544"/>
      <c r="R128" s="544"/>
      <c r="S128" s="544">
        <v>126</v>
      </c>
      <c r="T128" s="544">
        <v>150</v>
      </c>
      <c r="U128" s="544"/>
      <c r="V128" s="544"/>
      <c r="W128" s="544"/>
      <c r="X128" s="544"/>
      <c r="Y128" s="185"/>
    </row>
    <row r="129" spans="12:25" x14ac:dyDescent="0.35">
      <c r="L129" s="544"/>
      <c r="M129" s="544"/>
      <c r="N129" s="544"/>
      <c r="O129" s="544"/>
      <c r="P129" s="544"/>
      <c r="Q129" s="544"/>
      <c r="R129" s="544"/>
      <c r="S129" s="544">
        <v>127</v>
      </c>
      <c r="T129" s="544">
        <v>150</v>
      </c>
      <c r="U129" s="544"/>
      <c r="V129" s="544"/>
      <c r="W129" s="544"/>
      <c r="X129" s="544"/>
      <c r="Y129" s="185"/>
    </row>
    <row r="130" spans="12:25" x14ac:dyDescent="0.35">
      <c r="L130" s="544"/>
      <c r="M130" s="544"/>
      <c r="N130" s="544"/>
      <c r="O130" s="544"/>
      <c r="P130" s="544"/>
      <c r="Q130" s="544"/>
      <c r="R130" s="544"/>
      <c r="S130" s="544">
        <v>128</v>
      </c>
      <c r="T130" s="544">
        <v>150</v>
      </c>
      <c r="U130" s="544"/>
      <c r="V130" s="544"/>
      <c r="W130" s="544"/>
      <c r="X130" s="544"/>
      <c r="Y130" s="185"/>
    </row>
    <row r="131" spans="12:25" x14ac:dyDescent="0.35">
      <c r="L131" s="544"/>
      <c r="M131" s="544"/>
      <c r="N131" s="544"/>
      <c r="O131" s="544"/>
      <c r="P131" s="544"/>
      <c r="Q131" s="544"/>
      <c r="R131" s="544"/>
      <c r="S131" s="544">
        <v>129</v>
      </c>
      <c r="T131" s="544">
        <v>150</v>
      </c>
      <c r="U131" s="544"/>
      <c r="V131" s="544"/>
      <c r="W131" s="544"/>
      <c r="X131" s="544"/>
      <c r="Y131" s="185"/>
    </row>
    <row r="132" spans="12:25" x14ac:dyDescent="0.35">
      <c r="L132" s="544"/>
      <c r="M132" s="544"/>
      <c r="N132" s="544"/>
      <c r="O132" s="544"/>
      <c r="P132" s="544"/>
      <c r="Q132" s="544"/>
      <c r="R132" s="544"/>
      <c r="S132" s="544">
        <v>130</v>
      </c>
      <c r="T132" s="544">
        <v>150</v>
      </c>
      <c r="U132" s="544"/>
      <c r="V132" s="544"/>
      <c r="W132" s="544"/>
      <c r="X132" s="544"/>
      <c r="Y132" s="185"/>
    </row>
    <row r="133" spans="12:25" x14ac:dyDescent="0.35">
      <c r="L133" s="544"/>
      <c r="M133" s="544"/>
      <c r="N133" s="544"/>
      <c r="O133" s="544"/>
      <c r="P133" s="544"/>
      <c r="Q133" s="544"/>
      <c r="R133" s="544"/>
      <c r="S133" s="544">
        <v>131</v>
      </c>
      <c r="T133" s="544">
        <v>150</v>
      </c>
      <c r="U133" s="544"/>
      <c r="V133" s="544"/>
      <c r="W133" s="544"/>
      <c r="X133" s="544"/>
      <c r="Y133" s="185"/>
    </row>
    <row r="134" spans="12:25" x14ac:dyDescent="0.35">
      <c r="L134" s="544"/>
      <c r="M134" s="544"/>
      <c r="N134" s="544"/>
      <c r="O134" s="544"/>
      <c r="P134" s="544"/>
      <c r="Q134" s="544"/>
      <c r="R134" s="544"/>
      <c r="S134" s="544">
        <v>132</v>
      </c>
      <c r="T134" s="544">
        <v>150</v>
      </c>
      <c r="U134" s="544"/>
      <c r="V134" s="544"/>
      <c r="W134" s="544"/>
      <c r="X134" s="544"/>
      <c r="Y134" s="185"/>
    </row>
    <row r="135" spans="12:25" x14ac:dyDescent="0.35">
      <c r="L135" s="544"/>
      <c r="M135" s="544"/>
      <c r="N135" s="544"/>
      <c r="O135" s="544"/>
      <c r="P135" s="544"/>
      <c r="Q135" s="544"/>
      <c r="R135" s="544"/>
      <c r="S135" s="544">
        <v>133</v>
      </c>
      <c r="T135" s="544">
        <v>150</v>
      </c>
      <c r="U135" s="544"/>
      <c r="V135" s="544"/>
      <c r="W135" s="544"/>
      <c r="X135" s="544"/>
      <c r="Y135" s="185"/>
    </row>
    <row r="136" spans="12:25" x14ac:dyDescent="0.35">
      <c r="L136" s="544"/>
      <c r="M136" s="544"/>
      <c r="N136" s="544"/>
      <c r="O136" s="544"/>
      <c r="P136" s="544"/>
      <c r="Q136" s="544"/>
      <c r="R136" s="544"/>
      <c r="S136" s="544">
        <v>134</v>
      </c>
      <c r="T136" s="544">
        <v>150</v>
      </c>
      <c r="U136" s="544"/>
      <c r="V136" s="544"/>
      <c r="W136" s="544"/>
      <c r="X136" s="544"/>
      <c r="Y136" s="185"/>
    </row>
    <row r="137" spans="12:25" x14ac:dyDescent="0.35">
      <c r="L137" s="544"/>
      <c r="M137" s="544"/>
      <c r="N137" s="544"/>
      <c r="O137" s="544"/>
      <c r="P137" s="544"/>
      <c r="Q137" s="544"/>
      <c r="R137" s="544"/>
      <c r="S137" s="544">
        <v>135</v>
      </c>
      <c r="T137" s="544">
        <v>150</v>
      </c>
      <c r="U137" s="544"/>
      <c r="V137" s="544"/>
      <c r="W137" s="544"/>
      <c r="X137" s="544"/>
      <c r="Y137" s="185"/>
    </row>
    <row r="138" spans="12:25" x14ac:dyDescent="0.35">
      <c r="L138" s="544"/>
      <c r="M138" s="544"/>
      <c r="N138" s="544"/>
      <c r="O138" s="544"/>
      <c r="P138" s="544"/>
      <c r="Q138" s="544"/>
      <c r="R138" s="544"/>
      <c r="S138" s="544">
        <v>136</v>
      </c>
      <c r="T138" s="544">
        <v>150</v>
      </c>
      <c r="U138" s="544"/>
      <c r="V138" s="544"/>
      <c r="W138" s="544"/>
      <c r="X138" s="544"/>
      <c r="Y138" s="185"/>
    </row>
    <row r="139" spans="12:25" x14ac:dyDescent="0.35">
      <c r="L139" s="544"/>
      <c r="M139" s="544"/>
      <c r="N139" s="544"/>
      <c r="O139" s="544"/>
      <c r="P139" s="544"/>
      <c r="Q139" s="544"/>
      <c r="R139" s="544"/>
      <c r="S139" s="544">
        <v>137</v>
      </c>
      <c r="T139" s="544">
        <v>150</v>
      </c>
      <c r="U139" s="544"/>
      <c r="V139" s="544"/>
      <c r="W139" s="544"/>
      <c r="X139" s="544"/>
      <c r="Y139" s="185"/>
    </row>
    <row r="140" spans="12:25" x14ac:dyDescent="0.35">
      <c r="L140" s="544"/>
      <c r="M140" s="544"/>
      <c r="N140" s="544"/>
      <c r="O140" s="544"/>
      <c r="P140" s="544"/>
      <c r="Q140" s="544"/>
      <c r="R140" s="544"/>
      <c r="S140" s="544">
        <v>138</v>
      </c>
      <c r="T140" s="544">
        <v>150</v>
      </c>
      <c r="U140" s="544"/>
      <c r="V140" s="544"/>
      <c r="W140" s="544"/>
      <c r="X140" s="544"/>
      <c r="Y140" s="185"/>
    </row>
    <row r="141" spans="12:25" x14ac:dyDescent="0.35">
      <c r="L141" s="544"/>
      <c r="M141" s="544"/>
      <c r="N141" s="544"/>
      <c r="O141" s="544"/>
      <c r="P141" s="544"/>
      <c r="Q141" s="544"/>
      <c r="R141" s="544"/>
      <c r="S141" s="544">
        <v>139</v>
      </c>
      <c r="T141" s="544">
        <v>150</v>
      </c>
      <c r="U141" s="544"/>
      <c r="V141" s="544"/>
      <c r="W141" s="544"/>
      <c r="X141" s="544"/>
      <c r="Y141" s="185"/>
    </row>
    <row r="142" spans="12:25" x14ac:dyDescent="0.35">
      <c r="L142" s="544"/>
      <c r="M142" s="544"/>
      <c r="N142" s="544"/>
      <c r="O142" s="544"/>
      <c r="P142" s="544"/>
      <c r="Q142" s="544"/>
      <c r="R142" s="544"/>
      <c r="S142" s="544">
        <v>140</v>
      </c>
      <c r="T142" s="544">
        <v>150</v>
      </c>
      <c r="U142" s="544"/>
      <c r="V142" s="544"/>
      <c r="W142" s="544"/>
      <c r="X142" s="544"/>
      <c r="Y142" s="185"/>
    </row>
    <row r="143" spans="12:25" x14ac:dyDescent="0.35">
      <c r="L143" s="544"/>
      <c r="M143" s="544"/>
      <c r="N143" s="544"/>
      <c r="O143" s="544"/>
      <c r="P143" s="544"/>
      <c r="Q143" s="544"/>
      <c r="R143" s="544"/>
      <c r="S143" s="544">
        <v>141</v>
      </c>
      <c r="T143" s="544">
        <v>150</v>
      </c>
      <c r="U143" s="544"/>
      <c r="V143" s="544"/>
      <c r="W143" s="544"/>
      <c r="X143" s="544"/>
      <c r="Y143" s="185"/>
    </row>
    <row r="144" spans="12:25" x14ac:dyDescent="0.35">
      <c r="L144" s="544"/>
      <c r="M144" s="544"/>
      <c r="N144" s="544"/>
      <c r="O144" s="544"/>
      <c r="P144" s="544"/>
      <c r="Q144" s="544"/>
      <c r="R144" s="544"/>
      <c r="S144" s="544">
        <v>142</v>
      </c>
      <c r="T144" s="544">
        <v>150</v>
      </c>
      <c r="U144" s="544"/>
      <c r="V144" s="544"/>
      <c r="W144" s="544"/>
      <c r="X144" s="544"/>
      <c r="Y144" s="185"/>
    </row>
    <row r="145" spans="12:25" x14ac:dyDescent="0.35">
      <c r="L145" s="544"/>
      <c r="M145" s="544"/>
      <c r="N145" s="544"/>
      <c r="O145" s="544"/>
      <c r="P145" s="544"/>
      <c r="Q145" s="544"/>
      <c r="R145" s="544"/>
      <c r="S145" s="544">
        <v>143</v>
      </c>
      <c r="T145" s="544">
        <v>150</v>
      </c>
      <c r="U145" s="544"/>
      <c r="V145" s="544"/>
      <c r="W145" s="544"/>
      <c r="X145" s="544"/>
      <c r="Y145" s="185"/>
    </row>
    <row r="146" spans="12:25" x14ac:dyDescent="0.35">
      <c r="L146" s="544"/>
      <c r="M146" s="544"/>
      <c r="N146" s="544"/>
      <c r="O146" s="544"/>
      <c r="P146" s="544"/>
      <c r="Q146" s="544"/>
      <c r="R146" s="544"/>
      <c r="S146" s="544">
        <v>144</v>
      </c>
      <c r="T146" s="544">
        <v>150</v>
      </c>
      <c r="U146" s="544"/>
      <c r="V146" s="544"/>
      <c r="W146" s="544"/>
      <c r="X146" s="544"/>
      <c r="Y146" s="185"/>
    </row>
    <row r="147" spans="12:25" x14ac:dyDescent="0.35">
      <c r="L147" s="544"/>
      <c r="M147" s="544"/>
      <c r="N147" s="544"/>
      <c r="O147" s="544"/>
      <c r="P147" s="544"/>
      <c r="Q147" s="544"/>
      <c r="R147" s="544"/>
      <c r="S147" s="544">
        <v>145</v>
      </c>
      <c r="T147" s="544">
        <v>150</v>
      </c>
      <c r="U147" s="544"/>
      <c r="V147" s="544"/>
      <c r="W147" s="544"/>
      <c r="X147" s="544"/>
      <c r="Y147" s="185"/>
    </row>
    <row r="148" spans="12:25" x14ac:dyDescent="0.35">
      <c r="L148" s="544"/>
      <c r="M148" s="544"/>
      <c r="N148" s="544"/>
      <c r="O148" s="544"/>
      <c r="P148" s="544"/>
      <c r="Q148" s="544"/>
      <c r="R148" s="544"/>
      <c r="S148" s="544">
        <v>146</v>
      </c>
      <c r="T148" s="544">
        <v>150</v>
      </c>
      <c r="U148" s="544"/>
      <c r="V148" s="544"/>
      <c r="W148" s="544"/>
      <c r="X148" s="544"/>
      <c r="Y148" s="185"/>
    </row>
    <row r="149" spans="12:25" x14ac:dyDescent="0.35">
      <c r="L149" s="544"/>
      <c r="M149" s="544"/>
      <c r="N149" s="544"/>
      <c r="O149" s="544"/>
      <c r="P149" s="544"/>
      <c r="Q149" s="544"/>
      <c r="R149" s="544"/>
      <c r="S149" s="544">
        <v>147</v>
      </c>
      <c r="T149" s="544">
        <v>150</v>
      </c>
      <c r="U149" s="544"/>
      <c r="V149" s="544"/>
      <c r="W149" s="544"/>
      <c r="X149" s="544"/>
      <c r="Y149" s="185"/>
    </row>
    <row r="150" spans="12:25" x14ac:dyDescent="0.35">
      <c r="L150" s="544"/>
      <c r="M150" s="544"/>
      <c r="N150" s="544"/>
      <c r="O150" s="544"/>
      <c r="P150" s="544"/>
      <c r="Q150" s="544"/>
      <c r="R150" s="544"/>
      <c r="S150" s="544">
        <v>148</v>
      </c>
      <c r="T150" s="544">
        <v>150</v>
      </c>
      <c r="U150" s="544"/>
      <c r="V150" s="544"/>
      <c r="W150" s="544"/>
      <c r="X150" s="544"/>
      <c r="Y150" s="185"/>
    </row>
    <row r="151" spans="12:25" x14ac:dyDescent="0.35">
      <c r="L151" s="544"/>
      <c r="M151" s="544"/>
      <c r="N151" s="544"/>
      <c r="O151" s="544"/>
      <c r="P151" s="544"/>
      <c r="Q151" s="544"/>
      <c r="R151" s="544"/>
      <c r="S151" s="544">
        <v>149</v>
      </c>
      <c r="T151" s="544">
        <v>150</v>
      </c>
      <c r="U151" s="544"/>
      <c r="V151" s="544"/>
      <c r="W151" s="544"/>
      <c r="X151" s="544"/>
      <c r="Y151" s="185"/>
    </row>
    <row r="152" spans="12:25" x14ac:dyDescent="0.35">
      <c r="L152" s="544"/>
      <c r="M152" s="544"/>
      <c r="N152" s="544"/>
      <c r="O152" s="544"/>
      <c r="P152" s="544"/>
      <c r="Q152" s="544"/>
      <c r="R152" s="544"/>
      <c r="S152" s="544">
        <v>150</v>
      </c>
      <c r="T152" s="544">
        <v>150</v>
      </c>
      <c r="U152" s="544">
        <v>150</v>
      </c>
      <c r="V152" s="544"/>
      <c r="W152" s="544"/>
      <c r="X152" s="544"/>
      <c r="Y152" s="185"/>
    </row>
    <row r="153" spans="12:25" x14ac:dyDescent="0.35">
      <c r="L153" s="544"/>
      <c r="M153" s="544"/>
      <c r="N153" s="544"/>
      <c r="O153" s="544"/>
      <c r="P153" s="544"/>
      <c r="Q153" s="544"/>
      <c r="R153" s="544"/>
      <c r="S153" s="544">
        <v>151</v>
      </c>
      <c r="T153" s="544">
        <v>150</v>
      </c>
      <c r="U153" s="544"/>
      <c r="V153" s="544"/>
      <c r="W153" s="544"/>
      <c r="X153" s="544"/>
      <c r="Y153" s="185"/>
    </row>
    <row r="154" spans="12:25" x14ac:dyDescent="0.35">
      <c r="L154" s="544"/>
      <c r="M154" s="544"/>
      <c r="N154" s="544"/>
      <c r="O154" s="544"/>
      <c r="P154" s="544"/>
      <c r="Q154" s="544"/>
      <c r="R154" s="544"/>
      <c r="S154" s="544">
        <v>152</v>
      </c>
      <c r="T154" s="544">
        <v>150</v>
      </c>
      <c r="U154" s="544"/>
      <c r="V154" s="544"/>
      <c r="W154" s="544"/>
      <c r="X154" s="544"/>
      <c r="Y154" s="185"/>
    </row>
    <row r="155" spans="12:25" x14ac:dyDescent="0.35">
      <c r="L155" s="544"/>
      <c r="M155" s="544"/>
      <c r="N155" s="544"/>
      <c r="O155" s="544"/>
      <c r="P155" s="544"/>
      <c r="Q155" s="544"/>
      <c r="R155" s="544"/>
      <c r="S155" s="544">
        <v>153</v>
      </c>
      <c r="T155" s="544">
        <v>150</v>
      </c>
      <c r="U155" s="544"/>
      <c r="V155" s="544"/>
      <c r="W155" s="544"/>
      <c r="X155" s="544"/>
      <c r="Y155" s="185"/>
    </row>
    <row r="156" spans="12:25" x14ac:dyDescent="0.35">
      <c r="L156" s="544"/>
      <c r="M156" s="544"/>
      <c r="N156" s="544"/>
      <c r="O156" s="544"/>
      <c r="P156" s="544"/>
      <c r="Q156" s="544"/>
      <c r="R156" s="544"/>
      <c r="S156" s="544">
        <v>154</v>
      </c>
      <c r="T156" s="544">
        <v>150</v>
      </c>
      <c r="U156" s="544"/>
      <c r="V156" s="544"/>
      <c r="W156" s="544"/>
      <c r="X156" s="544"/>
      <c r="Y156" s="185"/>
    </row>
    <row r="157" spans="12:25" x14ac:dyDescent="0.35">
      <c r="L157" s="544"/>
      <c r="M157" s="544"/>
      <c r="N157" s="544"/>
      <c r="O157" s="544"/>
      <c r="P157" s="544"/>
      <c r="Q157" s="544"/>
      <c r="R157" s="544"/>
      <c r="S157" s="544">
        <v>155</v>
      </c>
      <c r="T157" s="544">
        <v>150</v>
      </c>
      <c r="U157" s="544"/>
      <c r="V157" s="544"/>
      <c r="W157" s="544"/>
      <c r="X157" s="544"/>
      <c r="Y157" s="185"/>
    </row>
    <row r="158" spans="12:25" x14ac:dyDescent="0.35">
      <c r="L158" s="544"/>
      <c r="M158" s="544"/>
      <c r="N158" s="544"/>
      <c r="O158" s="544"/>
      <c r="P158" s="544"/>
      <c r="Q158" s="544"/>
      <c r="R158" s="544"/>
      <c r="S158" s="544">
        <v>156</v>
      </c>
      <c r="T158" s="544">
        <v>150</v>
      </c>
      <c r="U158" s="544"/>
      <c r="V158" s="544"/>
      <c r="W158" s="544"/>
      <c r="X158" s="544"/>
      <c r="Y158" s="185"/>
    </row>
    <row r="159" spans="12:25" x14ac:dyDescent="0.35">
      <c r="L159" s="544"/>
      <c r="M159" s="544"/>
      <c r="N159" s="544"/>
      <c r="O159" s="544"/>
      <c r="P159" s="544"/>
      <c r="Q159" s="544"/>
      <c r="R159" s="544"/>
      <c r="S159" s="544">
        <v>157</v>
      </c>
      <c r="T159" s="544">
        <v>150</v>
      </c>
      <c r="U159" s="544"/>
      <c r="V159" s="544"/>
      <c r="W159" s="544"/>
      <c r="X159" s="544"/>
      <c r="Y159" s="185"/>
    </row>
    <row r="160" spans="12:25" x14ac:dyDescent="0.35">
      <c r="L160" s="544"/>
      <c r="M160" s="544"/>
      <c r="N160" s="544"/>
      <c r="O160" s="544"/>
      <c r="P160" s="544"/>
      <c r="Q160" s="544"/>
      <c r="R160" s="544"/>
      <c r="S160" s="544">
        <v>158</v>
      </c>
      <c r="T160" s="544">
        <v>150</v>
      </c>
      <c r="U160" s="544"/>
      <c r="V160" s="544"/>
      <c r="W160" s="544"/>
      <c r="X160" s="544"/>
      <c r="Y160" s="185"/>
    </row>
    <row r="161" spans="12:25" x14ac:dyDescent="0.35">
      <c r="L161" s="544"/>
      <c r="M161" s="544"/>
      <c r="N161" s="544"/>
      <c r="O161" s="544"/>
      <c r="P161" s="544"/>
      <c r="Q161" s="544"/>
      <c r="R161" s="544"/>
      <c r="S161" s="544">
        <v>159</v>
      </c>
      <c r="T161" s="544">
        <v>150</v>
      </c>
      <c r="U161" s="544"/>
      <c r="V161" s="544"/>
      <c r="W161" s="544"/>
      <c r="X161" s="544"/>
      <c r="Y161" s="185"/>
    </row>
    <row r="162" spans="12:25" x14ac:dyDescent="0.35">
      <c r="L162" s="544"/>
      <c r="M162" s="544"/>
      <c r="N162" s="544"/>
      <c r="O162" s="544"/>
      <c r="P162" s="544"/>
      <c r="Q162" s="544"/>
      <c r="R162" s="544"/>
      <c r="S162" s="544">
        <v>160</v>
      </c>
      <c r="T162" s="544">
        <v>150</v>
      </c>
      <c r="U162" s="544"/>
      <c r="V162" s="544"/>
      <c r="W162" s="544"/>
      <c r="X162" s="544"/>
      <c r="Y162" s="185"/>
    </row>
    <row r="163" spans="12:25" x14ac:dyDescent="0.35">
      <c r="L163" s="544"/>
      <c r="M163" s="544"/>
      <c r="N163" s="544"/>
      <c r="O163" s="544"/>
      <c r="P163" s="544"/>
      <c r="Q163" s="544"/>
      <c r="R163" s="544"/>
      <c r="S163" s="544">
        <v>161</v>
      </c>
      <c r="T163" s="544">
        <v>150</v>
      </c>
      <c r="U163" s="544"/>
      <c r="V163" s="544"/>
      <c r="W163" s="544"/>
      <c r="X163" s="544"/>
      <c r="Y163" s="185"/>
    </row>
    <row r="164" spans="12:25" x14ac:dyDescent="0.35">
      <c r="L164" s="544"/>
      <c r="M164" s="544"/>
      <c r="N164" s="544"/>
      <c r="O164" s="544"/>
      <c r="P164" s="544"/>
      <c r="Q164" s="544"/>
      <c r="R164" s="544"/>
      <c r="S164" s="544">
        <v>162</v>
      </c>
      <c r="T164" s="544">
        <v>150</v>
      </c>
      <c r="U164" s="544"/>
      <c r="V164" s="544"/>
      <c r="W164" s="544"/>
      <c r="X164" s="544"/>
      <c r="Y164" s="185"/>
    </row>
    <row r="165" spans="12:25" x14ac:dyDescent="0.35">
      <c r="L165" s="544"/>
      <c r="M165" s="544"/>
      <c r="N165" s="544"/>
      <c r="O165" s="544"/>
      <c r="P165" s="544"/>
      <c r="Q165" s="544"/>
      <c r="R165" s="544"/>
      <c r="S165" s="544">
        <v>163</v>
      </c>
      <c r="T165" s="544">
        <v>150</v>
      </c>
      <c r="U165" s="544"/>
      <c r="V165" s="544"/>
      <c r="W165" s="544"/>
      <c r="X165" s="544"/>
      <c r="Y165" s="185"/>
    </row>
    <row r="166" spans="12:25" x14ac:dyDescent="0.35">
      <c r="L166" s="544"/>
      <c r="M166" s="544"/>
      <c r="N166" s="544"/>
      <c r="O166" s="544"/>
      <c r="P166" s="544"/>
      <c r="Q166" s="544"/>
      <c r="R166" s="544"/>
      <c r="S166" s="544">
        <v>164</v>
      </c>
      <c r="T166" s="544">
        <v>150</v>
      </c>
      <c r="U166" s="544"/>
      <c r="V166" s="544"/>
      <c r="W166" s="544"/>
      <c r="X166" s="544"/>
      <c r="Y166" s="185"/>
    </row>
    <row r="167" spans="12:25" x14ac:dyDescent="0.35">
      <c r="L167" s="544"/>
      <c r="M167" s="544"/>
      <c r="N167" s="544"/>
      <c r="O167" s="544"/>
      <c r="P167" s="544"/>
      <c r="Q167" s="544"/>
      <c r="R167" s="544"/>
      <c r="S167" s="544">
        <v>165</v>
      </c>
      <c r="T167" s="544">
        <v>150</v>
      </c>
      <c r="U167" s="544"/>
      <c r="V167" s="544"/>
      <c r="W167" s="544"/>
      <c r="X167" s="544"/>
      <c r="Y167" s="185"/>
    </row>
    <row r="168" spans="12:25" x14ac:dyDescent="0.35">
      <c r="L168" s="544"/>
      <c r="M168" s="544"/>
      <c r="N168" s="544"/>
      <c r="O168" s="544"/>
      <c r="P168" s="544"/>
      <c r="Q168" s="544"/>
      <c r="R168" s="544"/>
      <c r="S168" s="544">
        <v>166</v>
      </c>
      <c r="T168" s="544">
        <v>150</v>
      </c>
      <c r="U168" s="544"/>
      <c r="V168" s="544"/>
      <c r="W168" s="544"/>
      <c r="X168" s="544"/>
      <c r="Y168" s="185"/>
    </row>
    <row r="169" spans="12:25" x14ac:dyDescent="0.35">
      <c r="L169" s="544"/>
      <c r="M169" s="544"/>
      <c r="N169" s="544"/>
      <c r="O169" s="544"/>
      <c r="P169" s="544"/>
      <c r="Q169" s="544"/>
      <c r="R169" s="544"/>
      <c r="S169" s="544">
        <v>167</v>
      </c>
      <c r="T169" s="544">
        <v>150</v>
      </c>
      <c r="U169" s="544"/>
      <c r="V169" s="544"/>
      <c r="W169" s="544"/>
      <c r="X169" s="544"/>
      <c r="Y169" s="185"/>
    </row>
    <row r="170" spans="12:25" x14ac:dyDescent="0.35">
      <c r="L170" s="544"/>
      <c r="M170" s="544"/>
      <c r="N170" s="544"/>
      <c r="O170" s="544"/>
      <c r="P170" s="544"/>
      <c r="Q170" s="544"/>
      <c r="R170" s="544"/>
      <c r="S170" s="544">
        <v>168</v>
      </c>
      <c r="T170" s="544">
        <v>150</v>
      </c>
      <c r="U170" s="544"/>
      <c r="V170" s="544"/>
      <c r="W170" s="544"/>
      <c r="X170" s="544"/>
      <c r="Y170" s="185"/>
    </row>
    <row r="171" spans="12:25" x14ac:dyDescent="0.35">
      <c r="L171" s="544"/>
      <c r="M171" s="544"/>
      <c r="N171" s="544"/>
      <c r="O171" s="544"/>
      <c r="P171" s="544"/>
      <c r="Q171" s="544"/>
      <c r="R171" s="544"/>
      <c r="S171" s="544">
        <v>169</v>
      </c>
      <c r="T171" s="544">
        <v>150</v>
      </c>
      <c r="U171" s="544"/>
      <c r="V171" s="544"/>
      <c r="W171" s="544"/>
      <c r="X171" s="544"/>
      <c r="Y171" s="185"/>
    </row>
    <row r="172" spans="12:25" x14ac:dyDescent="0.35">
      <c r="L172" s="544"/>
      <c r="M172" s="544"/>
      <c r="N172" s="544"/>
      <c r="O172" s="544"/>
      <c r="P172" s="544"/>
      <c r="Q172" s="544"/>
      <c r="R172" s="544"/>
      <c r="S172" s="544">
        <v>170</v>
      </c>
      <c r="T172" s="544">
        <v>150</v>
      </c>
      <c r="U172" s="544"/>
      <c r="V172" s="544"/>
      <c r="W172" s="544"/>
      <c r="X172" s="544"/>
      <c r="Y172" s="185"/>
    </row>
    <row r="173" spans="12:25" x14ac:dyDescent="0.35">
      <c r="L173" s="544"/>
      <c r="M173" s="544"/>
      <c r="N173" s="544"/>
      <c r="O173" s="544"/>
      <c r="P173" s="544"/>
      <c r="Q173" s="544"/>
      <c r="R173" s="544"/>
      <c r="S173" s="544">
        <v>171</v>
      </c>
      <c r="T173" s="544">
        <v>150</v>
      </c>
      <c r="U173" s="544"/>
      <c r="V173" s="544"/>
      <c r="W173" s="544"/>
      <c r="X173" s="544"/>
      <c r="Y173" s="185"/>
    </row>
    <row r="174" spans="12:25" x14ac:dyDescent="0.35">
      <c r="L174" s="544"/>
      <c r="M174" s="544"/>
      <c r="N174" s="544"/>
      <c r="O174" s="544"/>
      <c r="P174" s="544"/>
      <c r="Q174" s="544"/>
      <c r="R174" s="544"/>
      <c r="S174" s="544">
        <v>172</v>
      </c>
      <c r="T174" s="544">
        <v>150</v>
      </c>
      <c r="U174" s="544"/>
      <c r="V174" s="544"/>
      <c r="W174" s="544"/>
      <c r="X174" s="544"/>
      <c r="Y174" s="185"/>
    </row>
    <row r="175" spans="12:25" x14ac:dyDescent="0.35">
      <c r="L175" s="544"/>
      <c r="M175" s="544"/>
      <c r="N175" s="544"/>
      <c r="O175" s="544"/>
      <c r="P175" s="544"/>
      <c r="Q175" s="544"/>
      <c r="R175" s="544"/>
      <c r="S175" s="544">
        <v>173</v>
      </c>
      <c r="T175" s="544">
        <v>150</v>
      </c>
      <c r="U175" s="544"/>
      <c r="V175" s="544"/>
      <c r="W175" s="544"/>
      <c r="X175" s="544"/>
      <c r="Y175" s="185"/>
    </row>
    <row r="176" spans="12:25" x14ac:dyDescent="0.35">
      <c r="L176" s="544"/>
      <c r="M176" s="544"/>
      <c r="N176" s="544"/>
      <c r="O176" s="544"/>
      <c r="P176" s="544"/>
      <c r="Q176" s="544"/>
      <c r="R176" s="544"/>
      <c r="S176" s="544">
        <v>174</v>
      </c>
      <c r="T176" s="544">
        <v>150</v>
      </c>
      <c r="U176" s="544"/>
      <c r="V176" s="544"/>
      <c r="W176" s="544"/>
      <c r="X176" s="544"/>
      <c r="Y176" s="185"/>
    </row>
    <row r="177" spans="12:25" x14ac:dyDescent="0.35">
      <c r="L177" s="544"/>
      <c r="M177" s="544"/>
      <c r="N177" s="544"/>
      <c r="O177" s="544"/>
      <c r="P177" s="544"/>
      <c r="Q177" s="544"/>
      <c r="R177" s="544"/>
      <c r="S177" s="544">
        <v>175</v>
      </c>
      <c r="T177" s="544">
        <v>150</v>
      </c>
      <c r="U177" s="544"/>
      <c r="V177" s="544"/>
      <c r="W177" s="544"/>
      <c r="X177" s="544"/>
      <c r="Y177" s="185"/>
    </row>
    <row r="178" spans="12:25" x14ac:dyDescent="0.35">
      <c r="L178" s="544"/>
      <c r="M178" s="544"/>
      <c r="N178" s="544"/>
      <c r="O178" s="544"/>
      <c r="P178" s="544"/>
      <c r="Q178" s="544"/>
      <c r="R178" s="544"/>
      <c r="S178" s="544">
        <v>176</v>
      </c>
      <c r="T178" s="544">
        <v>150</v>
      </c>
      <c r="U178" s="544"/>
      <c r="V178" s="544"/>
      <c r="W178" s="544"/>
      <c r="X178" s="544"/>
      <c r="Y178" s="185"/>
    </row>
    <row r="179" spans="12:25" x14ac:dyDescent="0.35">
      <c r="L179" s="544"/>
      <c r="M179" s="544"/>
      <c r="N179" s="544"/>
      <c r="O179" s="544"/>
      <c r="P179" s="544"/>
      <c r="Q179" s="544"/>
      <c r="R179" s="544"/>
      <c r="S179" s="544">
        <v>177</v>
      </c>
      <c r="T179" s="544">
        <v>150</v>
      </c>
      <c r="U179" s="544"/>
      <c r="V179" s="544"/>
      <c r="W179" s="544"/>
      <c r="X179" s="544"/>
      <c r="Y179" s="185"/>
    </row>
    <row r="180" spans="12:25" x14ac:dyDescent="0.35">
      <c r="L180" s="544"/>
      <c r="M180" s="544"/>
      <c r="N180" s="544"/>
      <c r="O180" s="544"/>
      <c r="P180" s="544"/>
      <c r="Q180" s="544"/>
      <c r="R180" s="544"/>
      <c r="S180" s="544">
        <v>178</v>
      </c>
      <c r="T180" s="544">
        <v>150</v>
      </c>
      <c r="U180" s="544"/>
      <c r="V180" s="544"/>
      <c r="W180" s="544"/>
      <c r="X180" s="544"/>
      <c r="Y180" s="185"/>
    </row>
    <row r="181" spans="12:25" x14ac:dyDescent="0.35">
      <c r="L181" s="544"/>
      <c r="M181" s="544"/>
      <c r="N181" s="544"/>
      <c r="O181" s="544"/>
      <c r="P181" s="544"/>
      <c r="Q181" s="544"/>
      <c r="R181" s="544"/>
      <c r="S181" s="544">
        <v>179</v>
      </c>
      <c r="T181" s="544">
        <v>150</v>
      </c>
      <c r="U181" s="544"/>
      <c r="V181" s="544"/>
      <c r="W181" s="544"/>
      <c r="X181" s="544"/>
      <c r="Y181" s="185"/>
    </row>
    <row r="182" spans="12:25" x14ac:dyDescent="0.35">
      <c r="L182" s="544"/>
      <c r="M182" s="544"/>
      <c r="N182" s="544"/>
      <c r="O182" s="544"/>
      <c r="P182" s="544"/>
      <c r="Q182" s="544"/>
      <c r="R182" s="544"/>
      <c r="S182" s="544">
        <v>180</v>
      </c>
      <c r="T182" s="544">
        <v>150</v>
      </c>
      <c r="U182" s="544"/>
      <c r="V182" s="544"/>
      <c r="W182" s="544"/>
      <c r="X182" s="544"/>
      <c r="Y182" s="185"/>
    </row>
    <row r="183" spans="12:25" x14ac:dyDescent="0.35">
      <c r="L183" s="544"/>
      <c r="M183" s="544"/>
      <c r="N183" s="544"/>
      <c r="O183" s="544"/>
      <c r="P183" s="544"/>
      <c r="Q183" s="544"/>
      <c r="R183" s="544"/>
      <c r="S183" s="544">
        <v>181</v>
      </c>
      <c r="T183" s="544">
        <v>150</v>
      </c>
      <c r="U183" s="544"/>
      <c r="V183" s="544"/>
      <c r="W183" s="544"/>
      <c r="X183" s="544"/>
      <c r="Y183" s="185"/>
    </row>
    <row r="184" spans="12:25" x14ac:dyDescent="0.35">
      <c r="L184" s="544"/>
      <c r="M184" s="544"/>
      <c r="N184" s="544"/>
      <c r="O184" s="544"/>
      <c r="P184" s="544"/>
      <c r="Q184" s="544"/>
      <c r="R184" s="544"/>
      <c r="S184" s="544">
        <v>182</v>
      </c>
      <c r="T184" s="544">
        <v>150</v>
      </c>
      <c r="U184" s="544"/>
      <c r="V184" s="544"/>
      <c r="W184" s="544"/>
      <c r="X184" s="544"/>
      <c r="Y184" s="185"/>
    </row>
    <row r="185" spans="12:25" x14ac:dyDescent="0.35">
      <c r="L185" s="544"/>
      <c r="M185" s="544"/>
      <c r="N185" s="544"/>
      <c r="O185" s="544"/>
      <c r="P185" s="544"/>
      <c r="Q185" s="544"/>
      <c r="R185" s="544"/>
      <c r="S185" s="544">
        <v>183</v>
      </c>
      <c r="T185" s="544">
        <v>150</v>
      </c>
      <c r="U185" s="544"/>
      <c r="V185" s="544"/>
      <c r="W185" s="544"/>
      <c r="X185" s="544"/>
      <c r="Y185" s="185"/>
    </row>
    <row r="186" spans="12:25" x14ac:dyDescent="0.35">
      <c r="L186" s="544"/>
      <c r="M186" s="544"/>
      <c r="N186" s="544"/>
      <c r="O186" s="544"/>
      <c r="P186" s="544"/>
      <c r="Q186" s="544"/>
      <c r="R186" s="544"/>
      <c r="S186" s="544">
        <v>184</v>
      </c>
      <c r="T186" s="544">
        <v>150</v>
      </c>
      <c r="U186" s="544"/>
      <c r="V186" s="544"/>
      <c r="W186" s="544"/>
      <c r="X186" s="544"/>
      <c r="Y186" s="185"/>
    </row>
    <row r="187" spans="12:25" x14ac:dyDescent="0.35">
      <c r="L187" s="544"/>
      <c r="M187" s="544"/>
      <c r="N187" s="544"/>
      <c r="O187" s="544"/>
      <c r="P187" s="544"/>
      <c r="Q187" s="544"/>
      <c r="R187" s="544"/>
      <c r="S187" s="544">
        <v>185</v>
      </c>
      <c r="T187" s="544">
        <v>150</v>
      </c>
      <c r="U187" s="544"/>
      <c r="V187" s="544"/>
      <c r="W187" s="544"/>
      <c r="X187" s="544"/>
      <c r="Y187" s="185"/>
    </row>
    <row r="188" spans="12:25" x14ac:dyDescent="0.35">
      <c r="L188" s="544"/>
      <c r="M188" s="544"/>
      <c r="N188" s="544"/>
      <c r="O188" s="544"/>
      <c r="P188" s="544"/>
      <c r="Q188" s="544"/>
      <c r="R188" s="544"/>
      <c r="S188" s="544">
        <v>186</v>
      </c>
      <c r="T188" s="544">
        <v>150</v>
      </c>
      <c r="U188" s="544"/>
      <c r="V188" s="544"/>
      <c r="W188" s="544"/>
      <c r="X188" s="544"/>
      <c r="Y188" s="185"/>
    </row>
    <row r="189" spans="12:25" x14ac:dyDescent="0.35">
      <c r="L189" s="544"/>
      <c r="M189" s="544"/>
      <c r="N189" s="544"/>
      <c r="O189" s="544"/>
      <c r="P189" s="544"/>
      <c r="Q189" s="544"/>
      <c r="R189" s="544"/>
      <c r="S189" s="544">
        <v>187</v>
      </c>
      <c r="T189" s="544">
        <v>150</v>
      </c>
      <c r="U189" s="544"/>
      <c r="V189" s="544"/>
      <c r="W189" s="544"/>
      <c r="X189" s="544"/>
      <c r="Y189" s="185"/>
    </row>
    <row r="190" spans="12:25" x14ac:dyDescent="0.35">
      <c r="L190" s="544"/>
      <c r="M190" s="544"/>
      <c r="N190" s="544"/>
      <c r="O190" s="544"/>
      <c r="P190" s="544"/>
      <c r="Q190" s="544"/>
      <c r="R190" s="544"/>
      <c r="S190" s="544">
        <v>188</v>
      </c>
      <c r="T190" s="544">
        <v>150</v>
      </c>
      <c r="U190" s="544"/>
      <c r="V190" s="544"/>
      <c r="W190" s="544"/>
      <c r="X190" s="544"/>
      <c r="Y190" s="185"/>
    </row>
    <row r="191" spans="12:25" x14ac:dyDescent="0.35">
      <c r="L191" s="544"/>
      <c r="M191" s="544"/>
      <c r="N191" s="544"/>
      <c r="O191" s="544"/>
      <c r="P191" s="544"/>
      <c r="Q191" s="544"/>
      <c r="R191" s="544"/>
      <c r="S191" s="544">
        <v>189</v>
      </c>
      <c r="T191" s="544">
        <v>150</v>
      </c>
      <c r="U191" s="544"/>
      <c r="V191" s="544"/>
      <c r="W191" s="544"/>
      <c r="X191" s="544"/>
      <c r="Y191" s="185"/>
    </row>
    <row r="192" spans="12:25" x14ac:dyDescent="0.35">
      <c r="L192" s="544"/>
      <c r="M192" s="544"/>
      <c r="N192" s="544"/>
      <c r="O192" s="544"/>
      <c r="P192" s="544"/>
      <c r="Q192" s="544"/>
      <c r="R192" s="544"/>
      <c r="S192" s="544">
        <v>190</v>
      </c>
      <c r="T192" s="544">
        <v>150</v>
      </c>
      <c r="U192" s="544"/>
      <c r="V192" s="544"/>
      <c r="W192" s="544"/>
      <c r="X192" s="544"/>
      <c r="Y192" s="185"/>
    </row>
    <row r="193" spans="12:25" x14ac:dyDescent="0.35">
      <c r="L193" s="544"/>
      <c r="M193" s="544"/>
      <c r="N193" s="544"/>
      <c r="O193" s="544"/>
      <c r="P193" s="544"/>
      <c r="Q193" s="544"/>
      <c r="R193" s="544"/>
      <c r="S193" s="544">
        <v>191</v>
      </c>
      <c r="T193" s="544">
        <v>150</v>
      </c>
      <c r="U193" s="544"/>
      <c r="V193" s="544"/>
      <c r="W193" s="544"/>
      <c r="X193" s="544"/>
      <c r="Y193" s="185"/>
    </row>
    <row r="194" spans="12:25" x14ac:dyDescent="0.35">
      <c r="L194" s="544"/>
      <c r="M194" s="544"/>
      <c r="N194" s="544"/>
      <c r="O194" s="544"/>
      <c r="P194" s="544"/>
      <c r="Q194" s="544"/>
      <c r="R194" s="544"/>
      <c r="S194" s="544">
        <v>192</v>
      </c>
      <c r="T194" s="544">
        <v>150</v>
      </c>
      <c r="U194" s="544"/>
      <c r="V194" s="544"/>
      <c r="W194" s="544"/>
      <c r="X194" s="544"/>
      <c r="Y194" s="185"/>
    </row>
    <row r="195" spans="12:25" x14ac:dyDescent="0.35">
      <c r="L195" s="544"/>
      <c r="M195" s="544"/>
      <c r="N195" s="544"/>
      <c r="O195" s="544"/>
      <c r="P195" s="544"/>
      <c r="Q195" s="544"/>
      <c r="R195" s="544"/>
      <c r="S195" s="544">
        <v>193</v>
      </c>
      <c r="T195" s="544">
        <v>150</v>
      </c>
      <c r="U195" s="544"/>
      <c r="V195" s="544"/>
      <c r="W195" s="544"/>
      <c r="X195" s="544"/>
      <c r="Y195" s="185"/>
    </row>
    <row r="196" spans="12:25" x14ac:dyDescent="0.35">
      <c r="L196" s="544"/>
      <c r="M196" s="544"/>
      <c r="N196" s="544"/>
      <c r="O196" s="544"/>
      <c r="P196" s="544"/>
      <c r="Q196" s="544"/>
      <c r="R196" s="544"/>
      <c r="S196" s="544">
        <v>194</v>
      </c>
      <c r="T196" s="544">
        <v>150</v>
      </c>
      <c r="U196" s="544"/>
      <c r="V196" s="544"/>
      <c r="W196" s="544"/>
      <c r="X196" s="544"/>
      <c r="Y196" s="185"/>
    </row>
    <row r="197" spans="12:25" x14ac:dyDescent="0.35">
      <c r="L197" s="544"/>
      <c r="M197" s="544"/>
      <c r="N197" s="544"/>
      <c r="O197" s="544"/>
      <c r="P197" s="544"/>
      <c r="Q197" s="544"/>
      <c r="R197" s="544"/>
      <c r="S197" s="544">
        <v>195</v>
      </c>
      <c r="T197" s="544">
        <v>150</v>
      </c>
      <c r="U197" s="544"/>
      <c r="V197" s="544"/>
      <c r="W197" s="544"/>
      <c r="X197" s="544"/>
      <c r="Y197" s="185"/>
    </row>
    <row r="198" spans="12:25" x14ac:dyDescent="0.35">
      <c r="L198" s="544"/>
      <c r="M198" s="544"/>
      <c r="N198" s="544"/>
      <c r="O198" s="544"/>
      <c r="P198" s="544"/>
      <c r="Q198" s="544"/>
      <c r="R198" s="544"/>
      <c r="S198" s="544">
        <v>196</v>
      </c>
      <c r="T198" s="544">
        <v>150</v>
      </c>
      <c r="U198" s="544"/>
      <c r="V198" s="544"/>
      <c r="W198" s="544"/>
      <c r="X198" s="544"/>
      <c r="Y198" s="185"/>
    </row>
    <row r="199" spans="12:25" x14ac:dyDescent="0.35">
      <c r="L199" s="544"/>
      <c r="M199" s="544"/>
      <c r="N199" s="544"/>
      <c r="O199" s="544"/>
      <c r="P199" s="544"/>
      <c r="Q199" s="544"/>
      <c r="R199" s="544"/>
      <c r="S199" s="544">
        <v>197</v>
      </c>
      <c r="T199" s="544">
        <v>150</v>
      </c>
      <c r="U199" s="544"/>
      <c r="V199" s="544"/>
      <c r="W199" s="544"/>
      <c r="X199" s="544"/>
      <c r="Y199" s="185"/>
    </row>
    <row r="200" spans="12:25" x14ac:dyDescent="0.35">
      <c r="L200" s="544"/>
      <c r="M200" s="544"/>
      <c r="N200" s="544"/>
      <c r="O200" s="544"/>
      <c r="P200" s="544"/>
      <c r="Q200" s="544"/>
      <c r="R200" s="544"/>
      <c r="S200" s="544">
        <v>198</v>
      </c>
      <c r="T200" s="544">
        <v>150</v>
      </c>
      <c r="U200" s="544"/>
      <c r="V200" s="544"/>
      <c r="W200" s="544"/>
      <c r="X200" s="544"/>
      <c r="Y200" s="185"/>
    </row>
    <row r="201" spans="12:25" x14ac:dyDescent="0.35">
      <c r="L201" s="544"/>
      <c r="M201" s="544"/>
      <c r="N201" s="544"/>
      <c r="O201" s="544"/>
      <c r="P201" s="544"/>
      <c r="Q201" s="544"/>
      <c r="R201" s="544"/>
      <c r="S201" s="544">
        <v>199</v>
      </c>
      <c r="T201" s="544">
        <v>150</v>
      </c>
      <c r="U201" s="544"/>
      <c r="V201" s="544"/>
      <c r="W201" s="544"/>
      <c r="X201" s="544"/>
      <c r="Y201" s="185"/>
    </row>
    <row r="202" spans="12:25" x14ac:dyDescent="0.35">
      <c r="L202" s="544"/>
      <c r="M202" s="544"/>
      <c r="N202" s="544"/>
      <c r="O202" s="544"/>
      <c r="P202" s="544"/>
      <c r="Q202" s="544"/>
      <c r="R202" s="544"/>
      <c r="S202" s="544">
        <v>200</v>
      </c>
      <c r="T202" s="544">
        <v>150</v>
      </c>
      <c r="U202" s="544">
        <v>200</v>
      </c>
      <c r="V202" s="544"/>
      <c r="W202" s="544"/>
      <c r="X202" s="544"/>
      <c r="Y202" s="185"/>
    </row>
    <row r="203" spans="12:25" x14ac:dyDescent="0.35">
      <c r="L203" s="544"/>
      <c r="M203" s="544"/>
      <c r="N203" s="544"/>
      <c r="O203" s="544"/>
      <c r="P203" s="544"/>
      <c r="Q203" s="544"/>
      <c r="R203" s="544"/>
      <c r="S203" s="544">
        <v>201</v>
      </c>
      <c r="T203" s="544">
        <v>150</v>
      </c>
      <c r="U203" s="544"/>
      <c r="V203" s="544"/>
      <c r="W203" s="544"/>
      <c r="X203" s="544"/>
      <c r="Y203" s="185"/>
    </row>
    <row r="204" spans="12:25" x14ac:dyDescent="0.35">
      <c r="L204" s="544"/>
      <c r="M204" s="544"/>
      <c r="N204" s="544"/>
      <c r="O204" s="544"/>
      <c r="P204" s="544"/>
      <c r="Q204" s="544"/>
      <c r="R204" s="544"/>
      <c r="S204" s="544">
        <v>202</v>
      </c>
      <c r="T204" s="544">
        <v>150</v>
      </c>
      <c r="U204" s="544"/>
      <c r="V204" s="544"/>
      <c r="W204" s="544"/>
      <c r="X204" s="544"/>
      <c r="Y204" s="185"/>
    </row>
    <row r="205" spans="12:25" x14ac:dyDescent="0.35">
      <c r="L205" s="544"/>
      <c r="M205" s="544"/>
      <c r="N205" s="544"/>
      <c r="O205" s="544"/>
      <c r="P205" s="544"/>
      <c r="Q205" s="544"/>
      <c r="R205" s="544"/>
      <c r="S205" s="544">
        <v>203</v>
      </c>
      <c r="T205" s="544">
        <v>150</v>
      </c>
      <c r="U205" s="544"/>
      <c r="V205" s="544"/>
      <c r="W205" s="544"/>
      <c r="X205" s="544"/>
      <c r="Y205" s="185"/>
    </row>
    <row r="206" spans="12:25" x14ac:dyDescent="0.35">
      <c r="L206" s="544"/>
      <c r="M206" s="544"/>
      <c r="N206" s="544"/>
      <c r="O206" s="544"/>
      <c r="P206" s="544"/>
      <c r="Q206" s="544"/>
      <c r="R206" s="544"/>
      <c r="S206" s="544">
        <v>204</v>
      </c>
      <c r="T206" s="544">
        <v>150</v>
      </c>
      <c r="U206" s="544"/>
      <c r="V206" s="544"/>
      <c r="W206" s="544"/>
      <c r="X206" s="544"/>
      <c r="Y206" s="185"/>
    </row>
    <row r="207" spans="12:25" x14ac:dyDescent="0.35">
      <c r="L207" s="544"/>
      <c r="M207" s="544"/>
      <c r="N207" s="544"/>
      <c r="O207" s="544"/>
      <c r="P207" s="544"/>
      <c r="Q207" s="544"/>
      <c r="R207" s="544"/>
      <c r="S207" s="544">
        <v>205</v>
      </c>
      <c r="T207" s="544">
        <v>150</v>
      </c>
      <c r="U207" s="544"/>
      <c r="V207" s="544"/>
      <c r="W207" s="544"/>
      <c r="X207" s="544"/>
      <c r="Y207" s="185"/>
    </row>
    <row r="208" spans="12:25" x14ac:dyDescent="0.35">
      <c r="L208" s="544"/>
      <c r="M208" s="544"/>
      <c r="N208" s="544"/>
      <c r="O208" s="544"/>
      <c r="P208" s="544"/>
      <c r="Q208" s="544"/>
      <c r="R208" s="544"/>
      <c r="S208" s="544">
        <v>206</v>
      </c>
      <c r="T208" s="544">
        <v>150</v>
      </c>
      <c r="U208" s="544"/>
      <c r="V208" s="544"/>
      <c r="W208" s="544"/>
      <c r="X208" s="544"/>
      <c r="Y208" s="185"/>
    </row>
    <row r="209" spans="12:25" x14ac:dyDescent="0.35">
      <c r="L209" s="544"/>
      <c r="M209" s="544"/>
      <c r="N209" s="544"/>
      <c r="O209" s="544"/>
      <c r="P209" s="544"/>
      <c r="Q209" s="544"/>
      <c r="R209" s="544"/>
      <c r="S209" s="544">
        <v>207</v>
      </c>
      <c r="T209" s="544">
        <v>150</v>
      </c>
      <c r="U209" s="544"/>
      <c r="V209" s="544"/>
      <c r="W209" s="544"/>
      <c r="X209" s="544"/>
      <c r="Y209" s="185"/>
    </row>
    <row r="210" spans="12:25" x14ac:dyDescent="0.35">
      <c r="L210" s="544"/>
      <c r="M210" s="544"/>
      <c r="N210" s="544"/>
      <c r="O210" s="544"/>
      <c r="P210" s="544"/>
      <c r="Q210" s="544"/>
      <c r="R210" s="544"/>
      <c r="S210" s="544">
        <v>208</v>
      </c>
      <c r="T210" s="544">
        <v>150</v>
      </c>
      <c r="U210" s="544"/>
      <c r="V210" s="544"/>
      <c r="W210" s="544"/>
      <c r="X210" s="544"/>
      <c r="Y210" s="185"/>
    </row>
    <row r="211" spans="12:25" x14ac:dyDescent="0.35">
      <c r="L211" s="544"/>
      <c r="M211" s="544"/>
      <c r="N211" s="544"/>
      <c r="O211" s="544"/>
      <c r="P211" s="544"/>
      <c r="Q211" s="544"/>
      <c r="R211" s="544"/>
      <c r="S211" s="544">
        <v>209</v>
      </c>
      <c r="T211" s="544">
        <v>150</v>
      </c>
      <c r="U211" s="544"/>
      <c r="V211" s="544"/>
      <c r="W211" s="544"/>
      <c r="X211" s="544"/>
      <c r="Y211" s="185"/>
    </row>
    <row r="212" spans="12:25" x14ac:dyDescent="0.35">
      <c r="L212" s="544"/>
      <c r="M212" s="544"/>
      <c r="N212" s="544"/>
      <c r="O212" s="544"/>
      <c r="P212" s="544"/>
      <c r="Q212" s="544"/>
      <c r="R212" s="544"/>
      <c r="S212" s="544">
        <v>210</v>
      </c>
      <c r="T212" s="544">
        <v>150</v>
      </c>
      <c r="U212" s="544"/>
      <c r="V212" s="544"/>
      <c r="W212" s="544"/>
      <c r="X212" s="544"/>
      <c r="Y212" s="185"/>
    </row>
    <row r="213" spans="12:25" x14ac:dyDescent="0.35">
      <c r="L213" s="544"/>
      <c r="M213" s="544"/>
      <c r="N213" s="544"/>
      <c r="O213" s="544"/>
      <c r="P213" s="544"/>
      <c r="Q213" s="544"/>
      <c r="R213" s="544"/>
      <c r="S213" s="544">
        <v>211</v>
      </c>
      <c r="T213" s="544">
        <v>150</v>
      </c>
      <c r="U213" s="544"/>
      <c r="V213" s="544"/>
      <c r="W213" s="544"/>
      <c r="X213" s="544"/>
      <c r="Y213" s="185"/>
    </row>
    <row r="214" spans="12:25" x14ac:dyDescent="0.35">
      <c r="L214" s="544"/>
      <c r="M214" s="544"/>
      <c r="N214" s="544"/>
      <c r="O214" s="544"/>
      <c r="P214" s="544"/>
      <c r="Q214" s="544"/>
      <c r="R214" s="544"/>
      <c r="S214" s="544">
        <v>212</v>
      </c>
      <c r="T214" s="544">
        <v>150</v>
      </c>
      <c r="U214" s="544"/>
      <c r="V214" s="544"/>
      <c r="W214" s="544"/>
      <c r="X214" s="544"/>
      <c r="Y214" s="185"/>
    </row>
    <row r="215" spans="12:25" x14ac:dyDescent="0.35">
      <c r="L215" s="544"/>
      <c r="M215" s="544"/>
      <c r="N215" s="544"/>
      <c r="O215" s="544"/>
      <c r="P215" s="544"/>
      <c r="Q215" s="544"/>
      <c r="R215" s="544"/>
      <c r="S215" s="544">
        <v>213</v>
      </c>
      <c r="T215" s="544">
        <v>150</v>
      </c>
      <c r="U215" s="544"/>
      <c r="V215" s="544"/>
      <c r="W215" s="544"/>
      <c r="X215" s="544"/>
      <c r="Y215" s="185"/>
    </row>
    <row r="216" spans="12:25" x14ac:dyDescent="0.35">
      <c r="L216" s="544"/>
      <c r="M216" s="544"/>
      <c r="N216" s="544"/>
      <c r="O216" s="544"/>
      <c r="P216" s="544"/>
      <c r="Q216" s="544"/>
      <c r="R216" s="544"/>
      <c r="S216" s="544">
        <v>214</v>
      </c>
      <c r="T216" s="544">
        <v>150</v>
      </c>
      <c r="U216" s="544"/>
      <c r="V216" s="544"/>
      <c r="W216" s="544"/>
      <c r="X216" s="544"/>
      <c r="Y216" s="185"/>
    </row>
    <row r="217" spans="12:25" x14ac:dyDescent="0.35">
      <c r="L217" s="544"/>
      <c r="M217" s="544"/>
      <c r="N217" s="544"/>
      <c r="O217" s="544"/>
      <c r="P217" s="544"/>
      <c r="Q217" s="544"/>
      <c r="R217" s="544"/>
      <c r="S217" s="544">
        <v>215</v>
      </c>
      <c r="T217" s="544">
        <v>150</v>
      </c>
      <c r="U217" s="544"/>
      <c r="V217" s="544"/>
      <c r="W217" s="544"/>
      <c r="X217" s="544"/>
      <c r="Y217" s="185"/>
    </row>
    <row r="218" spans="12:25" x14ac:dyDescent="0.35">
      <c r="L218" s="544"/>
      <c r="M218" s="544"/>
      <c r="N218" s="544"/>
      <c r="O218" s="544"/>
      <c r="P218" s="544"/>
      <c r="Q218" s="544"/>
      <c r="R218" s="544"/>
      <c r="S218" s="544">
        <v>216</v>
      </c>
      <c r="T218" s="544">
        <v>150</v>
      </c>
      <c r="U218" s="544"/>
      <c r="V218" s="544"/>
      <c r="W218" s="544"/>
      <c r="X218" s="544"/>
      <c r="Y218" s="185"/>
    </row>
    <row r="219" spans="12:25" x14ac:dyDescent="0.35">
      <c r="L219" s="544"/>
      <c r="M219" s="544"/>
      <c r="N219" s="544"/>
      <c r="O219" s="544"/>
      <c r="P219" s="544"/>
      <c r="Q219" s="544"/>
      <c r="R219" s="544"/>
      <c r="S219" s="544">
        <v>217</v>
      </c>
      <c r="T219" s="544">
        <v>150</v>
      </c>
      <c r="U219" s="544"/>
      <c r="V219" s="544"/>
      <c r="W219" s="544"/>
      <c r="X219" s="544"/>
      <c r="Y219" s="185"/>
    </row>
    <row r="220" spans="12:25" x14ac:dyDescent="0.35">
      <c r="L220" s="544"/>
      <c r="M220" s="544"/>
      <c r="N220" s="544"/>
      <c r="O220" s="544"/>
      <c r="P220" s="544"/>
      <c r="Q220" s="544"/>
      <c r="R220" s="544"/>
      <c r="S220" s="544">
        <v>218</v>
      </c>
      <c r="T220" s="544">
        <v>150</v>
      </c>
      <c r="U220" s="544"/>
      <c r="V220" s="544"/>
      <c r="W220" s="544"/>
      <c r="X220" s="544"/>
      <c r="Y220" s="185"/>
    </row>
    <row r="221" spans="12:25" x14ac:dyDescent="0.35">
      <c r="L221" s="544"/>
      <c r="M221" s="544"/>
      <c r="N221" s="544"/>
      <c r="O221" s="544"/>
      <c r="P221" s="544"/>
      <c r="Q221" s="544"/>
      <c r="R221" s="544"/>
      <c r="S221" s="544">
        <v>219</v>
      </c>
      <c r="T221" s="544">
        <v>150</v>
      </c>
      <c r="U221" s="544"/>
      <c r="V221" s="544"/>
      <c r="W221" s="544"/>
      <c r="X221" s="544"/>
      <c r="Y221" s="185"/>
    </row>
    <row r="222" spans="12:25" x14ac:dyDescent="0.35">
      <c r="L222" s="544"/>
      <c r="M222" s="544"/>
      <c r="N222" s="544"/>
      <c r="O222" s="544"/>
      <c r="P222" s="544"/>
      <c r="Q222" s="544"/>
      <c r="R222" s="544"/>
      <c r="S222" s="544">
        <v>220</v>
      </c>
      <c r="T222" s="544">
        <v>150</v>
      </c>
      <c r="U222" s="544"/>
      <c r="V222" s="544"/>
      <c r="W222" s="544"/>
      <c r="X222" s="544"/>
      <c r="Y222" s="185"/>
    </row>
    <row r="223" spans="12:25" x14ac:dyDescent="0.35">
      <c r="L223" s="544"/>
      <c r="M223" s="544"/>
      <c r="N223" s="544"/>
      <c r="O223" s="544"/>
      <c r="P223" s="544"/>
      <c r="Q223" s="544"/>
      <c r="R223" s="544"/>
      <c r="S223" s="544">
        <v>221</v>
      </c>
      <c r="T223" s="544">
        <v>150</v>
      </c>
      <c r="U223" s="544"/>
      <c r="V223" s="544"/>
      <c r="W223" s="544"/>
      <c r="X223" s="544"/>
      <c r="Y223" s="185"/>
    </row>
    <row r="224" spans="12:25" x14ac:dyDescent="0.35">
      <c r="L224" s="544"/>
      <c r="M224" s="544"/>
      <c r="N224" s="544"/>
      <c r="O224" s="544"/>
      <c r="P224" s="544"/>
      <c r="Q224" s="544"/>
      <c r="R224" s="544"/>
      <c r="S224" s="544">
        <v>222</v>
      </c>
      <c r="T224" s="544">
        <v>150</v>
      </c>
      <c r="U224" s="544"/>
      <c r="V224" s="544"/>
      <c r="W224" s="544"/>
      <c r="X224" s="544"/>
      <c r="Y224" s="185"/>
    </row>
    <row r="225" spans="12:25" x14ac:dyDescent="0.35">
      <c r="L225" s="544"/>
      <c r="M225" s="544"/>
      <c r="N225" s="544"/>
      <c r="O225" s="544"/>
      <c r="P225" s="544"/>
      <c r="Q225" s="544"/>
      <c r="R225" s="544"/>
      <c r="S225" s="544">
        <v>223</v>
      </c>
      <c r="T225" s="544">
        <v>150</v>
      </c>
      <c r="U225" s="544"/>
      <c r="V225" s="544"/>
      <c r="W225" s="544"/>
      <c r="X225" s="544"/>
      <c r="Y225" s="185"/>
    </row>
    <row r="226" spans="12:25" x14ac:dyDescent="0.35">
      <c r="L226" s="544"/>
      <c r="M226" s="544"/>
      <c r="N226" s="544"/>
      <c r="O226" s="544"/>
      <c r="P226" s="544"/>
      <c r="Q226" s="544"/>
      <c r="R226" s="544"/>
      <c r="S226" s="544">
        <v>224</v>
      </c>
      <c r="T226" s="544">
        <v>150</v>
      </c>
      <c r="U226" s="544"/>
      <c r="V226" s="544"/>
      <c r="W226" s="544"/>
      <c r="X226" s="544"/>
      <c r="Y226" s="185"/>
    </row>
    <row r="227" spans="12:25" x14ac:dyDescent="0.35">
      <c r="L227" s="544"/>
      <c r="M227" s="544"/>
      <c r="N227" s="544"/>
      <c r="O227" s="544"/>
      <c r="P227" s="544"/>
      <c r="Q227" s="544"/>
      <c r="R227" s="544"/>
      <c r="S227" s="544">
        <v>225</v>
      </c>
      <c r="T227" s="544">
        <v>150</v>
      </c>
      <c r="U227" s="544"/>
      <c r="V227" s="544"/>
      <c r="W227" s="544"/>
      <c r="X227" s="544"/>
      <c r="Y227" s="185"/>
    </row>
    <row r="228" spans="12:25" x14ac:dyDescent="0.35">
      <c r="L228" s="544"/>
      <c r="M228" s="544"/>
      <c r="N228" s="544"/>
      <c r="O228" s="544"/>
      <c r="P228" s="544"/>
      <c r="Q228" s="544"/>
      <c r="R228" s="544"/>
      <c r="S228" s="544">
        <v>226</v>
      </c>
      <c r="T228" s="544">
        <v>150</v>
      </c>
      <c r="U228" s="544"/>
      <c r="V228" s="544"/>
      <c r="W228" s="544"/>
      <c r="X228" s="544"/>
      <c r="Y228" s="185"/>
    </row>
    <row r="229" spans="12:25" x14ac:dyDescent="0.35">
      <c r="L229" s="544"/>
      <c r="M229" s="544"/>
      <c r="N229" s="544"/>
      <c r="O229" s="544"/>
      <c r="P229" s="544"/>
      <c r="Q229" s="544"/>
      <c r="R229" s="544"/>
      <c r="S229" s="544">
        <v>227</v>
      </c>
      <c r="T229" s="544">
        <v>150</v>
      </c>
      <c r="U229" s="544"/>
      <c r="V229" s="544"/>
      <c r="W229" s="544"/>
      <c r="X229" s="544"/>
      <c r="Y229" s="185"/>
    </row>
    <row r="230" spans="12:25" x14ac:dyDescent="0.35">
      <c r="L230" s="544"/>
      <c r="M230" s="544"/>
      <c r="N230" s="544"/>
      <c r="O230" s="544"/>
      <c r="P230" s="544"/>
      <c r="Q230" s="544"/>
      <c r="R230" s="544"/>
      <c r="S230" s="544">
        <v>228</v>
      </c>
      <c r="T230" s="544">
        <v>150</v>
      </c>
      <c r="U230" s="544"/>
      <c r="V230" s="544"/>
      <c r="W230" s="544"/>
      <c r="X230" s="544"/>
      <c r="Y230" s="185"/>
    </row>
    <row r="231" spans="12:25" x14ac:dyDescent="0.35">
      <c r="L231" s="544"/>
      <c r="M231" s="544"/>
      <c r="N231" s="544"/>
      <c r="O231" s="544"/>
      <c r="P231" s="544"/>
      <c r="Q231" s="544"/>
      <c r="R231" s="544"/>
      <c r="S231" s="544">
        <v>229</v>
      </c>
      <c r="T231" s="544">
        <v>150</v>
      </c>
      <c r="U231" s="544"/>
      <c r="V231" s="544"/>
      <c r="W231" s="544"/>
      <c r="X231" s="544"/>
      <c r="Y231" s="185"/>
    </row>
    <row r="232" spans="12:25" x14ac:dyDescent="0.35">
      <c r="L232" s="544"/>
      <c r="M232" s="544"/>
      <c r="N232" s="544"/>
      <c r="O232" s="544"/>
      <c r="P232" s="544"/>
      <c r="Q232" s="544"/>
      <c r="R232" s="544"/>
      <c r="S232" s="544">
        <v>230</v>
      </c>
      <c r="T232" s="544">
        <v>150</v>
      </c>
      <c r="U232" s="544"/>
      <c r="V232" s="544"/>
      <c r="W232" s="544"/>
      <c r="X232" s="544"/>
      <c r="Y232" s="185"/>
    </row>
    <row r="233" spans="12:25" x14ac:dyDescent="0.35">
      <c r="L233" s="544"/>
      <c r="M233" s="544"/>
      <c r="N233" s="544"/>
      <c r="O233" s="544"/>
      <c r="P233" s="544"/>
      <c r="Q233" s="544"/>
      <c r="R233" s="544"/>
      <c r="S233" s="544">
        <v>231</v>
      </c>
      <c r="T233" s="544">
        <v>150</v>
      </c>
      <c r="U233" s="544"/>
      <c r="V233" s="544"/>
      <c r="W233" s="544"/>
      <c r="X233" s="544"/>
      <c r="Y233" s="185"/>
    </row>
    <row r="234" spans="12:25" x14ac:dyDescent="0.35">
      <c r="L234" s="544"/>
      <c r="M234" s="544"/>
      <c r="N234" s="544"/>
      <c r="O234" s="544"/>
      <c r="P234" s="544"/>
      <c r="Q234" s="544"/>
      <c r="R234" s="544"/>
      <c r="S234" s="544">
        <v>232</v>
      </c>
      <c r="T234" s="544">
        <v>150</v>
      </c>
      <c r="U234" s="544"/>
      <c r="V234" s="544"/>
      <c r="W234" s="544"/>
      <c r="X234" s="544"/>
      <c r="Y234" s="185"/>
    </row>
    <row r="235" spans="12:25" x14ac:dyDescent="0.35">
      <c r="L235" s="544"/>
      <c r="M235" s="544"/>
      <c r="N235" s="544"/>
      <c r="O235" s="544"/>
      <c r="P235" s="544"/>
      <c r="Q235" s="544"/>
      <c r="R235" s="544"/>
      <c r="S235" s="544">
        <v>233</v>
      </c>
      <c r="T235" s="544">
        <v>150</v>
      </c>
      <c r="U235" s="544"/>
      <c r="V235" s="544"/>
      <c r="W235" s="544"/>
      <c r="X235" s="544"/>
      <c r="Y235" s="185"/>
    </row>
    <row r="236" spans="12:25" x14ac:dyDescent="0.35">
      <c r="L236" s="544"/>
      <c r="M236" s="544"/>
      <c r="N236" s="544"/>
      <c r="O236" s="544"/>
      <c r="P236" s="544"/>
      <c r="Q236" s="544"/>
      <c r="R236" s="544"/>
      <c r="S236" s="544">
        <v>234</v>
      </c>
      <c r="T236" s="544">
        <v>150</v>
      </c>
      <c r="U236" s="544"/>
      <c r="V236" s="544"/>
      <c r="W236" s="544"/>
      <c r="X236" s="544"/>
      <c r="Y236" s="185"/>
    </row>
    <row r="237" spans="12:25" x14ac:dyDescent="0.35">
      <c r="L237" s="544"/>
      <c r="M237" s="544"/>
      <c r="N237" s="544"/>
      <c r="O237" s="544"/>
      <c r="P237" s="544"/>
      <c r="Q237" s="544"/>
      <c r="R237" s="544"/>
      <c r="S237" s="544">
        <v>235</v>
      </c>
      <c r="T237" s="544">
        <v>150</v>
      </c>
      <c r="U237" s="544"/>
      <c r="V237" s="544"/>
      <c r="W237" s="544"/>
      <c r="X237" s="544"/>
      <c r="Y237" s="185"/>
    </row>
    <row r="238" spans="12:25" x14ac:dyDescent="0.35">
      <c r="L238" s="544"/>
      <c r="M238" s="544"/>
      <c r="N238" s="544"/>
      <c r="O238" s="544"/>
      <c r="P238" s="544"/>
      <c r="Q238" s="544"/>
      <c r="R238" s="544"/>
      <c r="S238" s="544">
        <v>236</v>
      </c>
      <c r="T238" s="544">
        <v>150</v>
      </c>
      <c r="U238" s="544"/>
      <c r="V238" s="544"/>
      <c r="W238" s="544"/>
      <c r="X238" s="544"/>
      <c r="Y238" s="185"/>
    </row>
    <row r="239" spans="12:25" x14ac:dyDescent="0.35">
      <c r="L239" s="544"/>
      <c r="M239" s="544"/>
      <c r="N239" s="544"/>
      <c r="O239" s="544"/>
      <c r="P239" s="544"/>
      <c r="Q239" s="544"/>
      <c r="R239" s="544"/>
      <c r="S239" s="544">
        <v>237</v>
      </c>
      <c r="T239" s="544">
        <v>150</v>
      </c>
      <c r="U239" s="544"/>
      <c r="V239" s="544"/>
      <c r="W239" s="544"/>
      <c r="X239" s="544"/>
      <c r="Y239" s="185"/>
    </row>
    <row r="240" spans="12:25" x14ac:dyDescent="0.35">
      <c r="L240" s="544"/>
      <c r="M240" s="544"/>
      <c r="N240" s="544"/>
      <c r="O240" s="544"/>
      <c r="P240" s="544"/>
      <c r="Q240" s="544"/>
      <c r="R240" s="544"/>
      <c r="S240" s="544">
        <v>238</v>
      </c>
      <c r="T240" s="544">
        <v>150</v>
      </c>
      <c r="U240" s="544"/>
      <c r="V240" s="544"/>
      <c r="W240" s="544"/>
      <c r="X240" s="544"/>
      <c r="Y240" s="185"/>
    </row>
    <row r="241" spans="12:25" x14ac:dyDescent="0.35">
      <c r="L241" s="544"/>
      <c r="M241" s="544"/>
      <c r="N241" s="544"/>
      <c r="O241" s="544"/>
      <c r="P241" s="544"/>
      <c r="Q241" s="544"/>
      <c r="R241" s="544"/>
      <c r="S241" s="544">
        <v>239</v>
      </c>
      <c r="T241" s="544">
        <v>150</v>
      </c>
      <c r="U241" s="544"/>
      <c r="V241" s="544"/>
      <c r="W241" s="544"/>
      <c r="X241" s="544"/>
      <c r="Y241" s="185"/>
    </row>
    <row r="242" spans="12:25" x14ac:dyDescent="0.35">
      <c r="L242" s="544"/>
      <c r="M242" s="544"/>
      <c r="N242" s="544"/>
      <c r="O242" s="544"/>
      <c r="P242" s="544"/>
      <c r="Q242" s="544"/>
      <c r="R242" s="544"/>
      <c r="S242" s="544">
        <v>240</v>
      </c>
      <c r="T242" s="544">
        <v>150</v>
      </c>
      <c r="U242" s="544"/>
      <c r="V242" s="544"/>
      <c r="W242" s="544"/>
      <c r="X242" s="544"/>
      <c r="Y242" s="185"/>
    </row>
    <row r="243" spans="12:25" x14ac:dyDescent="0.35">
      <c r="L243" s="544"/>
      <c r="M243" s="544"/>
      <c r="N243" s="544"/>
      <c r="O243" s="544"/>
      <c r="P243" s="544"/>
      <c r="Q243" s="544"/>
      <c r="R243" s="544"/>
      <c r="S243" s="544">
        <v>241</v>
      </c>
      <c r="T243" s="544">
        <v>150</v>
      </c>
      <c r="U243" s="544"/>
      <c r="V243" s="544"/>
      <c r="W243" s="544"/>
      <c r="X243" s="544"/>
      <c r="Y243" s="185"/>
    </row>
    <row r="244" spans="12:25" x14ac:dyDescent="0.35">
      <c r="L244" s="544"/>
      <c r="M244" s="544"/>
      <c r="N244" s="544"/>
      <c r="O244" s="544"/>
      <c r="P244" s="544"/>
      <c r="Q244" s="544"/>
      <c r="R244" s="544"/>
      <c r="S244" s="544">
        <v>242</v>
      </c>
      <c r="T244" s="544">
        <v>150</v>
      </c>
      <c r="U244" s="544"/>
      <c r="V244" s="544"/>
      <c r="W244" s="544"/>
      <c r="X244" s="544"/>
      <c r="Y244" s="185"/>
    </row>
    <row r="245" spans="12:25" x14ac:dyDescent="0.35">
      <c r="L245" s="544"/>
      <c r="M245" s="544"/>
      <c r="N245" s="544"/>
      <c r="O245" s="544"/>
      <c r="P245" s="544"/>
      <c r="Q245" s="544"/>
      <c r="R245" s="544"/>
      <c r="S245" s="544">
        <v>243</v>
      </c>
      <c r="T245" s="544">
        <v>150</v>
      </c>
      <c r="U245" s="544"/>
      <c r="V245" s="544"/>
      <c r="W245" s="544"/>
      <c r="X245" s="544"/>
      <c r="Y245" s="185"/>
    </row>
    <row r="246" spans="12:25" x14ac:dyDescent="0.35">
      <c r="L246" s="544"/>
      <c r="M246" s="544"/>
      <c r="N246" s="544"/>
      <c r="O246" s="544"/>
      <c r="P246" s="544"/>
      <c r="Q246" s="544"/>
      <c r="R246" s="544"/>
      <c r="S246" s="544">
        <v>244</v>
      </c>
      <c r="T246" s="544">
        <v>150</v>
      </c>
      <c r="U246" s="544"/>
      <c r="V246" s="544"/>
      <c r="W246" s="544"/>
      <c r="X246" s="544"/>
      <c r="Y246" s="185"/>
    </row>
    <row r="247" spans="12:25" x14ac:dyDescent="0.35">
      <c r="L247" s="544"/>
      <c r="M247" s="544"/>
      <c r="N247" s="544"/>
      <c r="O247" s="544"/>
      <c r="P247" s="544"/>
      <c r="Q247" s="544"/>
      <c r="R247" s="544"/>
      <c r="S247" s="544">
        <v>245</v>
      </c>
      <c r="T247" s="544">
        <v>150</v>
      </c>
      <c r="U247" s="544"/>
      <c r="V247" s="544"/>
      <c r="W247" s="544"/>
      <c r="X247" s="544"/>
      <c r="Y247" s="185"/>
    </row>
    <row r="248" spans="12:25" x14ac:dyDescent="0.35">
      <c r="L248" s="544"/>
      <c r="M248" s="544"/>
      <c r="N248" s="544"/>
      <c r="O248" s="544"/>
      <c r="P248" s="544"/>
      <c r="Q248" s="544"/>
      <c r="R248" s="544"/>
      <c r="S248" s="544">
        <v>246</v>
      </c>
      <c r="T248" s="544">
        <v>150</v>
      </c>
      <c r="U248" s="544"/>
      <c r="V248" s="544"/>
      <c r="W248" s="544"/>
      <c r="X248" s="544"/>
      <c r="Y248" s="185"/>
    </row>
    <row r="249" spans="12:25" x14ac:dyDescent="0.35">
      <c r="L249" s="544"/>
      <c r="M249" s="544"/>
      <c r="N249" s="544"/>
      <c r="O249" s="544"/>
      <c r="P249" s="544"/>
      <c r="Q249" s="544"/>
      <c r="R249" s="544"/>
      <c r="S249" s="544">
        <v>247</v>
      </c>
      <c r="T249" s="544">
        <v>150</v>
      </c>
      <c r="U249" s="544"/>
      <c r="V249" s="544"/>
      <c r="W249" s="544"/>
      <c r="X249" s="544"/>
      <c r="Y249" s="185"/>
    </row>
    <row r="250" spans="12:25" x14ac:dyDescent="0.35">
      <c r="L250" s="544"/>
      <c r="M250" s="544"/>
      <c r="N250" s="544"/>
      <c r="O250" s="544"/>
      <c r="P250" s="544"/>
      <c r="Q250" s="544"/>
      <c r="R250" s="544"/>
      <c r="S250" s="544">
        <v>248</v>
      </c>
      <c r="T250" s="544">
        <v>150</v>
      </c>
      <c r="U250" s="544"/>
      <c r="V250" s="544"/>
      <c r="W250" s="544"/>
      <c r="X250" s="544"/>
      <c r="Y250" s="185"/>
    </row>
    <row r="251" spans="12:25" x14ac:dyDescent="0.35">
      <c r="L251" s="544"/>
      <c r="M251" s="544"/>
      <c r="N251" s="544"/>
      <c r="O251" s="544"/>
      <c r="P251" s="544"/>
      <c r="Q251" s="544"/>
      <c r="R251" s="544"/>
      <c r="S251" s="544">
        <v>249</v>
      </c>
      <c r="T251" s="544">
        <v>150</v>
      </c>
      <c r="U251" s="544"/>
      <c r="V251" s="544"/>
      <c r="W251" s="544"/>
      <c r="X251" s="544"/>
      <c r="Y251" s="185"/>
    </row>
    <row r="252" spans="12:25" x14ac:dyDescent="0.35">
      <c r="L252" s="544"/>
      <c r="M252" s="544"/>
      <c r="N252" s="544"/>
      <c r="O252" s="544"/>
      <c r="P252" s="544"/>
      <c r="Q252" s="544"/>
      <c r="R252" s="544"/>
      <c r="S252" s="544">
        <v>250</v>
      </c>
      <c r="T252" s="544">
        <v>150</v>
      </c>
      <c r="U252" s="544"/>
      <c r="V252" s="544"/>
      <c r="W252" s="544"/>
      <c r="X252" s="544"/>
      <c r="Y252" s="185"/>
    </row>
    <row r="253" spans="12:25" x14ac:dyDescent="0.35">
      <c r="L253" s="544"/>
      <c r="M253" s="544"/>
      <c r="N253" s="544"/>
      <c r="O253" s="544"/>
      <c r="P253" s="544"/>
      <c r="Q253" s="544"/>
      <c r="R253" s="544"/>
      <c r="S253" s="544">
        <v>251</v>
      </c>
      <c r="T253" s="544">
        <v>150</v>
      </c>
      <c r="U253" s="544"/>
      <c r="V253" s="544"/>
      <c r="W253" s="544"/>
      <c r="X253" s="544"/>
      <c r="Y253" s="185"/>
    </row>
    <row r="254" spans="12:25" x14ac:dyDescent="0.35">
      <c r="L254" s="544"/>
      <c r="M254" s="544"/>
      <c r="N254" s="544"/>
      <c r="O254" s="544"/>
      <c r="P254" s="544"/>
      <c r="Q254" s="544"/>
      <c r="R254" s="544"/>
      <c r="S254" s="544">
        <v>252</v>
      </c>
      <c r="T254" s="544">
        <v>150</v>
      </c>
      <c r="U254" s="544"/>
      <c r="V254" s="544"/>
      <c r="W254" s="544"/>
      <c r="X254" s="544"/>
      <c r="Y254" s="185"/>
    </row>
    <row r="255" spans="12:25" x14ac:dyDescent="0.35">
      <c r="L255" s="544"/>
      <c r="M255" s="544"/>
      <c r="N255" s="544"/>
      <c r="O255" s="544"/>
      <c r="P255" s="544"/>
      <c r="Q255" s="544"/>
      <c r="R255" s="544"/>
      <c r="S255" s="544">
        <v>253</v>
      </c>
      <c r="T255" s="544">
        <v>150</v>
      </c>
      <c r="U255" s="544"/>
      <c r="V255" s="544"/>
      <c r="W255" s="544"/>
      <c r="X255" s="544"/>
      <c r="Y255" s="185"/>
    </row>
    <row r="256" spans="12:25" x14ac:dyDescent="0.35">
      <c r="L256" s="544"/>
      <c r="M256" s="544"/>
      <c r="N256" s="544"/>
      <c r="O256" s="544"/>
      <c r="P256" s="544"/>
      <c r="Q256" s="544"/>
      <c r="R256" s="544"/>
      <c r="S256" s="544">
        <v>254</v>
      </c>
      <c r="T256" s="544">
        <v>150</v>
      </c>
      <c r="U256" s="544"/>
      <c r="V256" s="544"/>
      <c r="W256" s="544"/>
      <c r="X256" s="544"/>
      <c r="Y256" s="185"/>
    </row>
    <row r="257" spans="12:25" x14ac:dyDescent="0.35">
      <c r="L257" s="544"/>
      <c r="M257" s="544"/>
      <c r="N257" s="544"/>
      <c r="O257" s="544"/>
      <c r="P257" s="544"/>
      <c r="Q257" s="544"/>
      <c r="R257" s="544"/>
      <c r="S257" s="544">
        <v>255</v>
      </c>
      <c r="T257" s="544">
        <v>150</v>
      </c>
      <c r="U257" s="544"/>
      <c r="V257" s="544"/>
      <c r="W257" s="544"/>
      <c r="X257" s="544"/>
      <c r="Y257" s="185"/>
    </row>
    <row r="258" spans="12:25" x14ac:dyDescent="0.35">
      <c r="L258" s="544"/>
      <c r="M258" s="544"/>
      <c r="N258" s="544"/>
      <c r="O258" s="544"/>
      <c r="P258" s="544"/>
      <c r="Q258" s="544"/>
      <c r="R258" s="544"/>
      <c r="S258" s="544">
        <v>256</v>
      </c>
      <c r="T258" s="544">
        <v>150</v>
      </c>
      <c r="U258" s="544"/>
      <c r="V258" s="544"/>
      <c r="W258" s="544"/>
      <c r="X258" s="544"/>
      <c r="Y258" s="185"/>
    </row>
    <row r="259" spans="12:25" x14ac:dyDescent="0.35">
      <c r="L259" s="544"/>
      <c r="M259" s="544"/>
      <c r="N259" s="544"/>
      <c r="O259" s="544"/>
      <c r="P259" s="544"/>
      <c r="Q259" s="544"/>
      <c r="R259" s="544"/>
      <c r="S259" s="544">
        <v>257</v>
      </c>
      <c r="T259" s="544">
        <v>150</v>
      </c>
      <c r="U259" s="544"/>
      <c r="V259" s="544"/>
      <c r="W259" s="544"/>
      <c r="X259" s="544"/>
      <c r="Y259" s="185"/>
    </row>
    <row r="260" spans="12:25" x14ac:dyDescent="0.35">
      <c r="L260" s="544"/>
      <c r="M260" s="544"/>
      <c r="N260" s="544"/>
      <c r="O260" s="544"/>
      <c r="P260" s="544"/>
      <c r="Q260" s="544"/>
      <c r="R260" s="544"/>
      <c r="S260" s="544">
        <v>258</v>
      </c>
      <c r="T260" s="544">
        <v>150</v>
      </c>
      <c r="U260" s="544"/>
      <c r="V260" s="544"/>
      <c r="W260" s="544"/>
      <c r="X260" s="544"/>
      <c r="Y260" s="185"/>
    </row>
    <row r="261" spans="12:25" x14ac:dyDescent="0.35">
      <c r="L261" s="544"/>
      <c r="M261" s="544"/>
      <c r="N261" s="544"/>
      <c r="O261" s="544"/>
      <c r="P261" s="544"/>
      <c r="Q261" s="544"/>
      <c r="R261" s="544"/>
      <c r="S261" s="544">
        <v>259</v>
      </c>
      <c r="T261" s="544">
        <v>150</v>
      </c>
      <c r="U261" s="544"/>
      <c r="V261" s="544"/>
      <c r="W261" s="544"/>
      <c r="X261" s="544"/>
      <c r="Y261" s="185"/>
    </row>
    <row r="262" spans="12:25" x14ac:dyDescent="0.35">
      <c r="L262" s="544"/>
      <c r="M262" s="544"/>
      <c r="N262" s="544"/>
      <c r="O262" s="544"/>
      <c r="P262" s="544"/>
      <c r="Q262" s="544"/>
      <c r="R262" s="544"/>
      <c r="S262" s="544">
        <v>260</v>
      </c>
      <c r="T262" s="544">
        <v>150</v>
      </c>
      <c r="U262" s="544"/>
      <c r="V262" s="544"/>
      <c r="W262" s="544"/>
      <c r="X262" s="544"/>
      <c r="Y262" s="185"/>
    </row>
    <row r="263" spans="12:25" x14ac:dyDescent="0.35">
      <c r="L263" s="544"/>
      <c r="M263" s="544"/>
      <c r="N263" s="544"/>
      <c r="O263" s="544"/>
      <c r="P263" s="544"/>
      <c r="Q263" s="544"/>
      <c r="R263" s="544"/>
      <c r="S263" s="544">
        <v>261</v>
      </c>
      <c r="T263" s="544">
        <v>150</v>
      </c>
      <c r="U263" s="544"/>
      <c r="V263" s="544"/>
      <c r="W263" s="544"/>
      <c r="X263" s="544"/>
      <c r="Y263" s="185"/>
    </row>
    <row r="264" spans="12:25" x14ac:dyDescent="0.35">
      <c r="L264" s="544"/>
      <c r="M264" s="544"/>
      <c r="N264" s="544"/>
      <c r="O264" s="544"/>
      <c r="P264" s="544"/>
      <c r="Q264" s="544"/>
      <c r="R264" s="544"/>
      <c r="S264" s="544">
        <v>262</v>
      </c>
      <c r="T264" s="544">
        <v>150</v>
      </c>
      <c r="U264" s="544"/>
      <c r="V264" s="544"/>
      <c r="W264" s="544"/>
      <c r="X264" s="544"/>
      <c r="Y264" s="185"/>
    </row>
    <row r="265" spans="12:25" x14ac:dyDescent="0.35">
      <c r="L265" s="544"/>
      <c r="M265" s="544"/>
      <c r="N265" s="544"/>
      <c r="O265" s="544"/>
      <c r="P265" s="544"/>
      <c r="Q265" s="544"/>
      <c r="R265" s="544"/>
      <c r="S265" s="544">
        <v>263</v>
      </c>
      <c r="T265" s="544">
        <v>150</v>
      </c>
      <c r="U265" s="544"/>
      <c r="V265" s="544"/>
      <c r="W265" s="544"/>
      <c r="X265" s="544"/>
      <c r="Y265" s="185"/>
    </row>
    <row r="266" spans="12:25" x14ac:dyDescent="0.35">
      <c r="L266" s="544"/>
      <c r="M266" s="544"/>
      <c r="N266" s="544"/>
      <c r="O266" s="544"/>
      <c r="P266" s="544"/>
      <c r="Q266" s="544"/>
      <c r="R266" s="544"/>
      <c r="S266" s="544">
        <v>264</v>
      </c>
      <c r="T266" s="544">
        <v>150</v>
      </c>
      <c r="U266" s="544"/>
      <c r="V266" s="544"/>
      <c r="W266" s="544"/>
      <c r="X266" s="544"/>
      <c r="Y266" s="185"/>
    </row>
    <row r="267" spans="12:25" x14ac:dyDescent="0.35">
      <c r="L267" s="544"/>
      <c r="M267" s="544"/>
      <c r="N267" s="544"/>
      <c r="O267" s="544"/>
      <c r="P267" s="544"/>
      <c r="Q267" s="544"/>
      <c r="R267" s="544"/>
      <c r="S267" s="544">
        <v>265</v>
      </c>
      <c r="T267" s="544">
        <v>150</v>
      </c>
      <c r="U267" s="544"/>
      <c r="V267" s="544"/>
      <c r="W267" s="544"/>
      <c r="X267" s="544"/>
      <c r="Y267" s="185"/>
    </row>
    <row r="268" spans="12:25" x14ac:dyDescent="0.35">
      <c r="L268" s="544"/>
      <c r="M268" s="544"/>
      <c r="N268" s="544"/>
      <c r="O268" s="544"/>
      <c r="P268" s="544"/>
      <c r="Q268" s="544"/>
      <c r="R268" s="544"/>
      <c r="S268" s="544">
        <v>266</v>
      </c>
      <c r="T268" s="544">
        <v>150</v>
      </c>
      <c r="U268" s="544"/>
      <c r="V268" s="544"/>
      <c r="W268" s="544"/>
      <c r="X268" s="544"/>
      <c r="Y268" s="185"/>
    </row>
    <row r="269" spans="12:25" x14ac:dyDescent="0.35">
      <c r="L269" s="544"/>
      <c r="M269" s="544"/>
      <c r="N269" s="544"/>
      <c r="O269" s="544"/>
      <c r="P269" s="544"/>
      <c r="Q269" s="544"/>
      <c r="R269" s="544"/>
      <c r="S269" s="544">
        <v>267</v>
      </c>
      <c r="T269" s="544">
        <v>150</v>
      </c>
      <c r="U269" s="544"/>
      <c r="V269" s="544"/>
      <c r="W269" s="544"/>
      <c r="X269" s="544"/>
      <c r="Y269" s="185"/>
    </row>
    <row r="270" spans="12:25" x14ac:dyDescent="0.35">
      <c r="L270" s="544"/>
      <c r="M270" s="544"/>
      <c r="N270" s="544"/>
      <c r="O270" s="544"/>
      <c r="P270" s="544"/>
      <c r="Q270" s="544"/>
      <c r="R270" s="544"/>
      <c r="S270" s="544">
        <v>268</v>
      </c>
      <c r="T270" s="544">
        <v>150</v>
      </c>
      <c r="U270" s="544"/>
      <c r="V270" s="544"/>
      <c r="W270" s="544"/>
      <c r="X270" s="544"/>
      <c r="Y270" s="185"/>
    </row>
    <row r="271" spans="12:25" x14ac:dyDescent="0.35">
      <c r="L271" s="544"/>
      <c r="M271" s="544"/>
      <c r="N271" s="544"/>
      <c r="O271" s="544"/>
      <c r="P271" s="544"/>
      <c r="Q271" s="544"/>
      <c r="R271" s="544"/>
      <c r="S271" s="544">
        <v>269</v>
      </c>
      <c r="T271" s="544">
        <v>150</v>
      </c>
      <c r="U271" s="544"/>
      <c r="V271" s="544"/>
      <c r="W271" s="544"/>
      <c r="X271" s="544"/>
      <c r="Y271" s="185"/>
    </row>
    <row r="272" spans="12:25" x14ac:dyDescent="0.35">
      <c r="L272" s="544"/>
      <c r="M272" s="544"/>
      <c r="N272" s="544"/>
      <c r="O272" s="544"/>
      <c r="P272" s="544"/>
      <c r="Q272" s="544"/>
      <c r="R272" s="544"/>
      <c r="S272" s="544">
        <v>270</v>
      </c>
      <c r="T272" s="544">
        <v>150</v>
      </c>
      <c r="U272" s="544"/>
      <c r="V272" s="544"/>
      <c r="W272" s="544"/>
      <c r="X272" s="544"/>
      <c r="Y272" s="185"/>
    </row>
    <row r="273" spans="12:25" x14ac:dyDescent="0.35">
      <c r="L273" s="544"/>
      <c r="M273" s="544"/>
      <c r="N273" s="544"/>
      <c r="O273" s="544"/>
      <c r="P273" s="544"/>
      <c r="Q273" s="544"/>
      <c r="R273" s="544"/>
      <c r="S273" s="544">
        <v>271</v>
      </c>
      <c r="T273" s="544">
        <v>150</v>
      </c>
      <c r="U273" s="544"/>
      <c r="V273" s="544"/>
      <c r="W273" s="544"/>
      <c r="X273" s="544"/>
      <c r="Y273" s="185"/>
    </row>
    <row r="274" spans="12:25" x14ac:dyDescent="0.35">
      <c r="L274" s="544"/>
      <c r="M274" s="544"/>
      <c r="N274" s="544"/>
      <c r="O274" s="544"/>
      <c r="P274" s="544"/>
      <c r="Q274" s="544"/>
      <c r="R274" s="544"/>
      <c r="S274" s="544">
        <v>272</v>
      </c>
      <c r="T274" s="544">
        <v>150</v>
      </c>
      <c r="U274" s="544"/>
      <c r="V274" s="544"/>
      <c r="W274" s="544"/>
      <c r="X274" s="544"/>
      <c r="Y274" s="185"/>
    </row>
    <row r="275" spans="12:25" x14ac:dyDescent="0.35">
      <c r="L275" s="544"/>
      <c r="M275" s="544"/>
      <c r="N275" s="544"/>
      <c r="O275" s="544"/>
      <c r="P275" s="544"/>
      <c r="Q275" s="544"/>
      <c r="R275" s="544"/>
      <c r="S275" s="544">
        <v>273</v>
      </c>
      <c r="T275" s="544">
        <v>150</v>
      </c>
      <c r="U275" s="544"/>
      <c r="V275" s="544"/>
      <c r="W275" s="544"/>
      <c r="X275" s="544"/>
      <c r="Y275" s="185"/>
    </row>
    <row r="276" spans="12:25" x14ac:dyDescent="0.35">
      <c r="L276" s="544"/>
      <c r="M276" s="544"/>
      <c r="N276" s="544"/>
      <c r="O276" s="544"/>
      <c r="P276" s="544"/>
      <c r="Q276" s="544"/>
      <c r="R276" s="544"/>
      <c r="S276" s="544">
        <v>274</v>
      </c>
      <c r="T276" s="544">
        <v>150</v>
      </c>
      <c r="U276" s="544"/>
      <c r="V276" s="544"/>
      <c r="W276" s="544"/>
      <c r="X276" s="544"/>
      <c r="Y276" s="185"/>
    </row>
    <row r="277" spans="12:25" x14ac:dyDescent="0.35">
      <c r="L277" s="544"/>
      <c r="M277" s="544"/>
      <c r="N277" s="544"/>
      <c r="O277" s="544"/>
      <c r="P277" s="544"/>
      <c r="Q277" s="544"/>
      <c r="R277" s="544"/>
      <c r="S277" s="544">
        <v>275</v>
      </c>
      <c r="T277" s="544">
        <v>150</v>
      </c>
      <c r="U277" s="544"/>
      <c r="V277" s="544"/>
      <c r="W277" s="544"/>
      <c r="X277" s="544"/>
      <c r="Y277" s="185"/>
    </row>
    <row r="278" spans="12:25" x14ac:dyDescent="0.35">
      <c r="L278" s="544"/>
      <c r="M278" s="544"/>
      <c r="N278" s="544"/>
      <c r="O278" s="544"/>
      <c r="P278" s="544"/>
      <c r="Q278" s="544"/>
      <c r="R278" s="544"/>
      <c r="S278" s="544">
        <v>276</v>
      </c>
      <c r="T278" s="544">
        <v>150</v>
      </c>
      <c r="U278" s="544"/>
      <c r="V278" s="544"/>
      <c r="W278" s="544"/>
      <c r="X278" s="544"/>
      <c r="Y278" s="185"/>
    </row>
    <row r="279" spans="12:25" x14ac:dyDescent="0.35">
      <c r="L279" s="544"/>
      <c r="M279" s="544"/>
      <c r="N279" s="544"/>
      <c r="O279" s="544"/>
      <c r="P279" s="544"/>
      <c r="Q279" s="544"/>
      <c r="R279" s="544"/>
      <c r="S279" s="544">
        <v>277</v>
      </c>
      <c r="T279" s="544">
        <v>150</v>
      </c>
      <c r="U279" s="544"/>
      <c r="V279" s="544"/>
      <c r="W279" s="544"/>
      <c r="X279" s="544"/>
      <c r="Y279" s="185"/>
    </row>
    <row r="280" spans="12:25" x14ac:dyDescent="0.35">
      <c r="L280" s="544"/>
      <c r="M280" s="544"/>
      <c r="N280" s="544"/>
      <c r="O280" s="544"/>
      <c r="P280" s="544"/>
      <c r="Q280" s="544"/>
      <c r="R280" s="544"/>
      <c r="S280" s="544">
        <v>278</v>
      </c>
      <c r="T280" s="544">
        <v>150</v>
      </c>
      <c r="U280" s="544"/>
      <c r="V280" s="544"/>
      <c r="W280" s="544"/>
      <c r="X280" s="544"/>
      <c r="Y280" s="185"/>
    </row>
    <row r="281" spans="12:25" x14ac:dyDescent="0.35">
      <c r="L281" s="544"/>
      <c r="M281" s="544"/>
      <c r="N281" s="544"/>
      <c r="O281" s="544"/>
      <c r="P281" s="544"/>
      <c r="Q281" s="544"/>
      <c r="R281" s="544"/>
      <c r="S281" s="544">
        <v>279</v>
      </c>
      <c r="T281" s="544">
        <v>150</v>
      </c>
      <c r="U281" s="544"/>
      <c r="V281" s="544"/>
      <c r="W281" s="544"/>
      <c r="X281" s="544"/>
      <c r="Y281" s="185"/>
    </row>
    <row r="282" spans="12:25" x14ac:dyDescent="0.35">
      <c r="L282" s="544"/>
      <c r="M282" s="544"/>
      <c r="N282" s="544"/>
      <c r="O282" s="544"/>
      <c r="P282" s="544"/>
      <c r="Q282" s="544"/>
      <c r="R282" s="544"/>
      <c r="S282" s="544">
        <v>280</v>
      </c>
      <c r="T282" s="544">
        <v>150</v>
      </c>
      <c r="U282" s="544"/>
      <c r="V282" s="544"/>
      <c r="W282" s="544"/>
      <c r="X282" s="544"/>
      <c r="Y282" s="185"/>
    </row>
    <row r="283" spans="12:25" x14ac:dyDescent="0.35">
      <c r="L283" s="544"/>
      <c r="M283" s="544"/>
      <c r="N283" s="544"/>
      <c r="O283" s="544"/>
      <c r="P283" s="544"/>
      <c r="Q283" s="544"/>
      <c r="R283" s="544"/>
      <c r="S283" s="544">
        <v>281</v>
      </c>
      <c r="T283" s="544">
        <v>150</v>
      </c>
      <c r="U283" s="544"/>
      <c r="V283" s="544"/>
      <c r="W283" s="544"/>
      <c r="X283" s="544"/>
      <c r="Y283" s="185"/>
    </row>
    <row r="284" spans="12:25" x14ac:dyDescent="0.35">
      <c r="L284" s="544"/>
      <c r="M284" s="544"/>
      <c r="N284" s="544"/>
      <c r="O284" s="544"/>
      <c r="P284" s="544"/>
      <c r="Q284" s="544"/>
      <c r="R284" s="544"/>
      <c r="S284" s="544">
        <v>282</v>
      </c>
      <c r="T284" s="544">
        <v>150</v>
      </c>
      <c r="U284" s="544"/>
      <c r="V284" s="544"/>
      <c r="W284" s="544"/>
      <c r="X284" s="544"/>
      <c r="Y284" s="185"/>
    </row>
    <row r="285" spans="12:25" x14ac:dyDescent="0.35">
      <c r="L285" s="544"/>
      <c r="M285" s="544"/>
      <c r="N285" s="544"/>
      <c r="O285" s="544"/>
      <c r="P285" s="544"/>
      <c r="Q285" s="544"/>
      <c r="R285" s="544"/>
      <c r="S285" s="544">
        <v>283</v>
      </c>
      <c r="T285" s="544">
        <v>150</v>
      </c>
      <c r="U285" s="544"/>
      <c r="V285" s="544"/>
      <c r="W285" s="544"/>
      <c r="X285" s="544"/>
      <c r="Y285" s="185"/>
    </row>
    <row r="286" spans="12:25" x14ac:dyDescent="0.35">
      <c r="L286" s="544"/>
      <c r="M286" s="544"/>
      <c r="N286" s="544"/>
      <c r="O286" s="544"/>
      <c r="P286" s="544"/>
      <c r="Q286" s="544"/>
      <c r="R286" s="544"/>
      <c r="S286" s="544">
        <v>284</v>
      </c>
      <c r="T286" s="544">
        <v>150</v>
      </c>
      <c r="U286" s="544"/>
      <c r="V286" s="544"/>
      <c r="W286" s="544"/>
      <c r="X286" s="544"/>
      <c r="Y286" s="185"/>
    </row>
    <row r="287" spans="12:25" x14ac:dyDescent="0.35">
      <c r="L287" s="544"/>
      <c r="M287" s="544"/>
      <c r="N287" s="544"/>
      <c r="O287" s="544"/>
      <c r="P287" s="544"/>
      <c r="Q287" s="544"/>
      <c r="R287" s="544"/>
      <c r="S287" s="544">
        <v>285</v>
      </c>
      <c r="T287" s="544">
        <v>150</v>
      </c>
      <c r="U287" s="544"/>
      <c r="V287" s="544"/>
      <c r="W287" s="544"/>
      <c r="X287" s="544"/>
      <c r="Y287" s="185"/>
    </row>
    <row r="288" spans="12:25" x14ac:dyDescent="0.35">
      <c r="L288" s="544"/>
      <c r="M288" s="544"/>
      <c r="N288" s="544"/>
      <c r="O288" s="544"/>
      <c r="P288" s="544"/>
      <c r="Q288" s="544"/>
      <c r="R288" s="544"/>
      <c r="S288" s="544">
        <v>286</v>
      </c>
      <c r="T288" s="544">
        <v>150</v>
      </c>
      <c r="U288" s="544"/>
      <c r="V288" s="544"/>
      <c r="W288" s="544"/>
      <c r="X288" s="544"/>
      <c r="Y288" s="185"/>
    </row>
    <row r="289" spans="12:25" x14ac:dyDescent="0.35">
      <c r="L289" s="544"/>
      <c r="M289" s="544"/>
      <c r="N289" s="544"/>
      <c r="O289" s="544"/>
      <c r="P289" s="544"/>
      <c r="Q289" s="544"/>
      <c r="R289" s="544"/>
      <c r="S289" s="544">
        <v>287</v>
      </c>
      <c r="T289" s="544">
        <v>150</v>
      </c>
      <c r="U289" s="544"/>
      <c r="V289" s="544"/>
      <c r="W289" s="544"/>
      <c r="X289" s="544"/>
      <c r="Y289" s="185"/>
    </row>
    <row r="290" spans="12:25" x14ac:dyDescent="0.35">
      <c r="L290" s="544"/>
      <c r="M290" s="544"/>
      <c r="N290" s="544"/>
      <c r="O290" s="544"/>
      <c r="P290" s="544"/>
      <c r="Q290" s="544"/>
      <c r="R290" s="544"/>
      <c r="S290" s="544">
        <v>288</v>
      </c>
      <c r="T290" s="544">
        <v>150</v>
      </c>
      <c r="U290" s="544"/>
      <c r="V290" s="544"/>
      <c r="W290" s="544"/>
      <c r="X290" s="544"/>
      <c r="Y290" s="185"/>
    </row>
    <row r="291" spans="12:25" x14ac:dyDescent="0.35">
      <c r="L291" s="544"/>
      <c r="M291" s="544"/>
      <c r="N291" s="544"/>
      <c r="O291" s="544"/>
      <c r="P291" s="544"/>
      <c r="Q291" s="544"/>
      <c r="R291" s="544"/>
      <c r="S291" s="544">
        <v>289</v>
      </c>
      <c r="T291" s="544">
        <v>150</v>
      </c>
      <c r="U291" s="544"/>
      <c r="V291" s="544"/>
      <c r="W291" s="544"/>
      <c r="X291" s="544"/>
      <c r="Y291" s="185"/>
    </row>
    <row r="292" spans="12:25" x14ac:dyDescent="0.35">
      <c r="L292" s="544"/>
      <c r="M292" s="544"/>
      <c r="N292" s="544"/>
      <c r="O292" s="544"/>
      <c r="P292" s="544"/>
      <c r="Q292" s="544"/>
      <c r="R292" s="544"/>
      <c r="S292" s="544">
        <v>290</v>
      </c>
      <c r="T292" s="544">
        <v>150</v>
      </c>
      <c r="U292" s="544"/>
      <c r="V292" s="544"/>
      <c r="W292" s="544"/>
      <c r="X292" s="544"/>
      <c r="Y292" s="185"/>
    </row>
    <row r="293" spans="12:25" x14ac:dyDescent="0.35">
      <c r="L293" s="544"/>
      <c r="M293" s="544"/>
      <c r="N293" s="544"/>
      <c r="O293" s="544"/>
      <c r="P293" s="544"/>
      <c r="Q293" s="544"/>
      <c r="R293" s="544"/>
      <c r="S293" s="544">
        <v>291</v>
      </c>
      <c r="T293" s="544">
        <v>150</v>
      </c>
      <c r="U293" s="544"/>
      <c r="V293" s="544"/>
      <c r="W293" s="544"/>
      <c r="X293" s="544"/>
      <c r="Y293" s="185"/>
    </row>
    <row r="294" spans="12:25" x14ac:dyDescent="0.35">
      <c r="L294" s="544"/>
      <c r="M294" s="544"/>
      <c r="N294" s="544"/>
      <c r="O294" s="544"/>
      <c r="P294" s="544"/>
      <c r="Q294" s="544"/>
      <c r="R294" s="544"/>
      <c r="S294" s="544">
        <v>292</v>
      </c>
      <c r="T294" s="544">
        <v>150</v>
      </c>
      <c r="U294" s="544"/>
      <c r="V294" s="544"/>
      <c r="W294" s="544"/>
      <c r="X294" s="544"/>
      <c r="Y294" s="185"/>
    </row>
    <row r="295" spans="12:25" x14ac:dyDescent="0.35">
      <c r="L295" s="544"/>
      <c r="M295" s="544"/>
      <c r="N295" s="544"/>
      <c r="O295" s="544"/>
      <c r="P295" s="544"/>
      <c r="Q295" s="544"/>
      <c r="R295" s="544"/>
      <c r="S295" s="544">
        <v>293</v>
      </c>
      <c r="T295" s="544">
        <v>150</v>
      </c>
      <c r="U295" s="544"/>
      <c r="V295" s="544"/>
      <c r="W295" s="544"/>
      <c r="X295" s="544"/>
      <c r="Y295" s="185"/>
    </row>
    <row r="296" spans="12:25" x14ac:dyDescent="0.35">
      <c r="L296" s="544"/>
      <c r="M296" s="544"/>
      <c r="N296" s="544"/>
      <c r="O296" s="544"/>
      <c r="P296" s="544"/>
      <c r="Q296" s="544"/>
      <c r="R296" s="544"/>
      <c r="S296" s="544">
        <v>294</v>
      </c>
      <c r="T296" s="544">
        <v>150</v>
      </c>
      <c r="U296" s="544"/>
      <c r="V296" s="544"/>
      <c r="W296" s="544"/>
      <c r="X296" s="544"/>
      <c r="Y296" s="185"/>
    </row>
    <row r="297" spans="12:25" x14ac:dyDescent="0.35">
      <c r="L297" s="544"/>
      <c r="M297" s="544"/>
      <c r="N297" s="544"/>
      <c r="O297" s="544"/>
      <c r="P297" s="544"/>
      <c r="Q297" s="544"/>
      <c r="R297" s="544"/>
      <c r="S297" s="544">
        <v>295</v>
      </c>
      <c r="T297" s="544">
        <v>150</v>
      </c>
      <c r="U297" s="544"/>
      <c r="V297" s="544"/>
      <c r="W297" s="544"/>
      <c r="X297" s="544"/>
      <c r="Y297" s="185"/>
    </row>
    <row r="298" spans="12:25" x14ac:dyDescent="0.35">
      <c r="L298" s="544"/>
      <c r="M298" s="544"/>
      <c r="N298" s="544"/>
      <c r="O298" s="544"/>
      <c r="P298" s="544"/>
      <c r="Q298" s="544"/>
      <c r="R298" s="544"/>
      <c r="S298" s="544">
        <v>296</v>
      </c>
      <c r="T298" s="544">
        <v>150</v>
      </c>
      <c r="U298" s="544"/>
      <c r="V298" s="544"/>
      <c r="W298" s="544"/>
      <c r="X298" s="544"/>
      <c r="Y298" s="185"/>
    </row>
    <row r="299" spans="12:25" x14ac:dyDescent="0.35">
      <c r="L299" s="544"/>
      <c r="M299" s="544"/>
      <c r="N299" s="544"/>
      <c r="O299" s="544"/>
      <c r="P299" s="544"/>
      <c r="Q299" s="544"/>
      <c r="R299" s="544"/>
      <c r="S299" s="544">
        <v>297</v>
      </c>
      <c r="T299" s="544">
        <v>150</v>
      </c>
      <c r="U299" s="544"/>
      <c r="V299" s="544"/>
      <c r="W299" s="544"/>
      <c r="X299" s="544"/>
      <c r="Y299" s="185"/>
    </row>
    <row r="300" spans="12:25" x14ac:dyDescent="0.35">
      <c r="L300" s="544"/>
      <c r="M300" s="544"/>
      <c r="N300" s="544"/>
      <c r="O300" s="544"/>
      <c r="P300" s="544"/>
      <c r="Q300" s="544"/>
      <c r="R300" s="544"/>
      <c r="S300" s="544">
        <v>298</v>
      </c>
      <c r="T300" s="544">
        <v>150</v>
      </c>
      <c r="U300" s="544"/>
      <c r="V300" s="544"/>
      <c r="W300" s="544"/>
      <c r="X300" s="544"/>
      <c r="Y300" s="185"/>
    </row>
    <row r="301" spans="12:25" x14ac:dyDescent="0.35">
      <c r="L301" s="544"/>
      <c r="M301" s="544"/>
      <c r="N301" s="544"/>
      <c r="O301" s="544"/>
      <c r="P301" s="544"/>
      <c r="Q301" s="544"/>
      <c r="R301" s="544"/>
      <c r="S301" s="544">
        <v>299</v>
      </c>
      <c r="T301" s="544">
        <v>150</v>
      </c>
      <c r="U301" s="544"/>
      <c r="V301" s="544"/>
      <c r="W301" s="544"/>
      <c r="X301" s="544"/>
      <c r="Y301" s="185"/>
    </row>
    <row r="302" spans="12:25" x14ac:dyDescent="0.35">
      <c r="L302" s="544"/>
      <c r="M302" s="544"/>
      <c r="N302" s="544"/>
      <c r="O302" s="544"/>
      <c r="P302" s="544"/>
      <c r="Q302" s="544"/>
      <c r="R302" s="544"/>
      <c r="S302" s="544">
        <v>300</v>
      </c>
      <c r="T302" s="544">
        <v>150</v>
      </c>
      <c r="U302" s="544">
        <v>300</v>
      </c>
      <c r="V302" s="544"/>
      <c r="W302" s="544"/>
      <c r="X302" s="544"/>
      <c r="Y302" s="185"/>
    </row>
    <row r="303" spans="12:25" x14ac:dyDescent="0.35">
      <c r="L303" s="544"/>
      <c r="M303" s="544"/>
      <c r="N303" s="544"/>
      <c r="O303" s="544"/>
      <c r="P303" s="544"/>
      <c r="Q303" s="544"/>
      <c r="R303" s="544"/>
      <c r="S303" s="544">
        <v>301</v>
      </c>
      <c r="T303" s="544">
        <v>150</v>
      </c>
      <c r="U303" s="544"/>
      <c r="V303" s="544"/>
      <c r="W303" s="544"/>
      <c r="X303" s="544"/>
      <c r="Y303" s="185"/>
    </row>
    <row r="304" spans="12:25" x14ac:dyDescent="0.35">
      <c r="L304" s="544"/>
      <c r="M304" s="544"/>
      <c r="N304" s="544"/>
      <c r="O304" s="544"/>
      <c r="P304" s="544"/>
      <c r="Q304" s="544"/>
      <c r="R304" s="544"/>
      <c r="S304" s="544">
        <v>302</v>
      </c>
      <c r="T304" s="544">
        <v>150</v>
      </c>
      <c r="U304" s="544"/>
      <c r="V304" s="544"/>
      <c r="W304" s="544"/>
      <c r="X304" s="544"/>
      <c r="Y304" s="185"/>
    </row>
    <row r="305" spans="12:25" x14ac:dyDescent="0.35">
      <c r="L305" s="544"/>
      <c r="M305" s="544"/>
      <c r="N305" s="544"/>
      <c r="O305" s="544"/>
      <c r="P305" s="544"/>
      <c r="Q305" s="544"/>
      <c r="R305" s="544"/>
      <c r="S305" s="544">
        <v>303</v>
      </c>
      <c r="T305" s="544">
        <v>150</v>
      </c>
      <c r="U305" s="544"/>
      <c r="V305" s="544"/>
      <c r="W305" s="544"/>
      <c r="X305" s="544"/>
      <c r="Y305" s="185"/>
    </row>
    <row r="306" spans="12:25" x14ac:dyDescent="0.35">
      <c r="L306" s="544"/>
      <c r="M306" s="544"/>
      <c r="N306" s="544"/>
      <c r="O306" s="544"/>
      <c r="P306" s="544"/>
      <c r="Q306" s="544"/>
      <c r="R306" s="544"/>
      <c r="S306" s="544">
        <v>304</v>
      </c>
      <c r="T306" s="544">
        <v>150</v>
      </c>
      <c r="U306" s="544"/>
      <c r="V306" s="544"/>
      <c r="W306" s="544"/>
      <c r="X306" s="544"/>
      <c r="Y306" s="185"/>
    </row>
    <row r="307" spans="12:25" x14ac:dyDescent="0.35">
      <c r="L307" s="544"/>
      <c r="M307" s="544"/>
      <c r="N307" s="544"/>
      <c r="O307" s="544"/>
      <c r="P307" s="544"/>
      <c r="Q307" s="544"/>
      <c r="R307" s="544"/>
      <c r="S307" s="544">
        <v>305</v>
      </c>
      <c r="T307" s="544">
        <v>150</v>
      </c>
      <c r="U307" s="544"/>
      <c r="V307" s="544"/>
      <c r="W307" s="544"/>
      <c r="X307" s="544"/>
      <c r="Y307" s="185"/>
    </row>
    <row r="308" spans="12:25" x14ac:dyDescent="0.35">
      <c r="L308" s="544"/>
      <c r="M308" s="544"/>
      <c r="N308" s="544"/>
      <c r="O308" s="544"/>
      <c r="P308" s="544"/>
      <c r="Q308" s="544"/>
      <c r="R308" s="544"/>
      <c r="S308" s="544">
        <v>306</v>
      </c>
      <c r="T308" s="544">
        <v>150</v>
      </c>
      <c r="U308" s="544"/>
      <c r="V308" s="544"/>
      <c r="W308" s="544"/>
      <c r="X308" s="544"/>
      <c r="Y308" s="185"/>
    </row>
    <row r="309" spans="12:25" x14ac:dyDescent="0.35">
      <c r="L309" s="544"/>
      <c r="M309" s="544"/>
      <c r="N309" s="544"/>
      <c r="O309" s="544"/>
      <c r="P309" s="544"/>
      <c r="Q309" s="544"/>
      <c r="R309" s="544"/>
      <c r="S309" s="544">
        <v>307</v>
      </c>
      <c r="T309" s="544">
        <v>150</v>
      </c>
      <c r="U309" s="544"/>
      <c r="V309" s="544"/>
      <c r="W309" s="544"/>
      <c r="X309" s="544"/>
      <c r="Y309" s="185"/>
    </row>
    <row r="310" spans="12:25" x14ac:dyDescent="0.35">
      <c r="L310" s="544"/>
      <c r="M310" s="544"/>
      <c r="N310" s="544"/>
      <c r="O310" s="544"/>
      <c r="P310" s="544"/>
      <c r="Q310" s="544"/>
      <c r="R310" s="544"/>
      <c r="S310" s="544">
        <v>308</v>
      </c>
      <c r="T310" s="544">
        <v>150</v>
      </c>
      <c r="U310" s="544"/>
      <c r="V310" s="544"/>
      <c r="W310" s="544"/>
      <c r="X310" s="544"/>
      <c r="Y310" s="185"/>
    </row>
    <row r="311" spans="12:25" x14ac:dyDescent="0.35">
      <c r="L311" s="544"/>
      <c r="M311" s="544"/>
      <c r="N311" s="544"/>
      <c r="O311" s="544"/>
      <c r="P311" s="544"/>
      <c r="Q311" s="544"/>
      <c r="R311" s="544"/>
      <c r="S311" s="544">
        <v>309</v>
      </c>
      <c r="T311" s="544">
        <v>150</v>
      </c>
      <c r="U311" s="544"/>
      <c r="V311" s="544"/>
      <c r="W311" s="544"/>
      <c r="X311" s="544"/>
      <c r="Y311" s="185"/>
    </row>
    <row r="312" spans="12:25" x14ac:dyDescent="0.35">
      <c r="L312" s="544"/>
      <c r="M312" s="544"/>
      <c r="N312" s="544"/>
      <c r="O312" s="544"/>
      <c r="P312" s="544"/>
      <c r="Q312" s="544"/>
      <c r="R312" s="544"/>
      <c r="S312" s="544">
        <v>310</v>
      </c>
      <c r="T312" s="544">
        <v>150</v>
      </c>
      <c r="U312" s="544"/>
      <c r="V312" s="544"/>
      <c r="W312" s="544"/>
      <c r="X312" s="544"/>
      <c r="Y312" s="185"/>
    </row>
    <row r="313" spans="12:25" x14ac:dyDescent="0.35">
      <c r="L313" s="544"/>
      <c r="M313" s="544"/>
      <c r="N313" s="544"/>
      <c r="O313" s="544"/>
      <c r="P313" s="544"/>
      <c r="Q313" s="544"/>
      <c r="R313" s="544"/>
      <c r="S313" s="544">
        <v>311</v>
      </c>
      <c r="T313" s="544">
        <v>150</v>
      </c>
      <c r="U313" s="544"/>
      <c r="V313" s="544"/>
      <c r="W313" s="544"/>
      <c r="X313" s="544"/>
      <c r="Y313" s="185"/>
    </row>
    <row r="314" spans="12:25" x14ac:dyDescent="0.35">
      <c r="L314" s="544"/>
      <c r="M314" s="544"/>
      <c r="N314" s="544"/>
      <c r="O314" s="544"/>
      <c r="P314" s="544"/>
      <c r="Q314" s="544"/>
      <c r="R314" s="544"/>
      <c r="S314" s="544">
        <v>312</v>
      </c>
      <c r="T314" s="544">
        <v>150</v>
      </c>
      <c r="U314" s="544"/>
      <c r="V314" s="544"/>
      <c r="W314" s="544"/>
      <c r="X314" s="544"/>
      <c r="Y314" s="185"/>
    </row>
    <row r="315" spans="12:25" x14ac:dyDescent="0.35">
      <c r="L315" s="544"/>
      <c r="M315" s="544"/>
      <c r="N315" s="544"/>
      <c r="O315" s="544"/>
      <c r="P315" s="544"/>
      <c r="Q315" s="544"/>
      <c r="R315" s="544"/>
      <c r="S315" s="544">
        <v>313</v>
      </c>
      <c r="T315" s="544">
        <v>150</v>
      </c>
      <c r="U315" s="544"/>
      <c r="V315" s="544"/>
      <c r="W315" s="544"/>
      <c r="X315" s="544"/>
      <c r="Y315" s="185"/>
    </row>
    <row r="316" spans="12:25" x14ac:dyDescent="0.35">
      <c r="L316" s="544"/>
      <c r="M316" s="544"/>
      <c r="N316" s="544"/>
      <c r="O316" s="544"/>
      <c r="P316" s="544"/>
      <c r="Q316" s="544"/>
      <c r="R316" s="544"/>
      <c r="S316" s="544">
        <v>314</v>
      </c>
      <c r="T316" s="544">
        <v>150</v>
      </c>
      <c r="U316" s="544"/>
      <c r="V316" s="544"/>
      <c r="W316" s="544"/>
      <c r="X316" s="544"/>
      <c r="Y316" s="185"/>
    </row>
    <row r="317" spans="12:25" x14ac:dyDescent="0.35">
      <c r="L317" s="544"/>
      <c r="M317" s="544"/>
      <c r="N317" s="544"/>
      <c r="O317" s="544"/>
      <c r="P317" s="544"/>
      <c r="Q317" s="544"/>
      <c r="R317" s="544"/>
      <c r="S317" s="544">
        <v>315</v>
      </c>
      <c r="T317" s="544">
        <v>150</v>
      </c>
      <c r="U317" s="544"/>
      <c r="V317" s="544"/>
      <c r="W317" s="544"/>
      <c r="X317" s="544"/>
      <c r="Y317" s="185"/>
    </row>
    <row r="318" spans="12:25" x14ac:dyDescent="0.35">
      <c r="L318" s="544"/>
      <c r="M318" s="544"/>
      <c r="N318" s="544"/>
      <c r="O318" s="544"/>
      <c r="P318" s="544"/>
      <c r="Q318" s="544"/>
      <c r="R318" s="544"/>
      <c r="S318" s="544">
        <v>316</v>
      </c>
      <c r="T318" s="544">
        <v>150</v>
      </c>
      <c r="U318" s="544"/>
      <c r="V318" s="544"/>
      <c r="W318" s="544"/>
      <c r="X318" s="544"/>
      <c r="Y318" s="185"/>
    </row>
    <row r="319" spans="12:25" x14ac:dyDescent="0.35">
      <c r="L319" s="544"/>
      <c r="M319" s="544"/>
      <c r="N319" s="544"/>
      <c r="O319" s="544"/>
      <c r="P319" s="544"/>
      <c r="Q319" s="544"/>
      <c r="R319" s="544"/>
      <c r="S319" s="544">
        <v>317</v>
      </c>
      <c r="T319" s="544">
        <v>150</v>
      </c>
      <c r="U319" s="544"/>
      <c r="V319" s="544"/>
      <c r="W319" s="544"/>
      <c r="X319" s="544"/>
      <c r="Y319" s="185"/>
    </row>
    <row r="320" spans="12:25" x14ac:dyDescent="0.35">
      <c r="L320" s="544"/>
      <c r="M320" s="544"/>
      <c r="N320" s="544"/>
      <c r="O320" s="544"/>
      <c r="P320" s="544"/>
      <c r="Q320" s="544"/>
      <c r="R320" s="544"/>
      <c r="S320" s="544">
        <v>318</v>
      </c>
      <c r="T320" s="544">
        <v>150</v>
      </c>
      <c r="U320" s="544"/>
      <c r="V320" s="544"/>
      <c r="W320" s="544"/>
      <c r="X320" s="544"/>
      <c r="Y320" s="185"/>
    </row>
    <row r="321" spans="12:25" x14ac:dyDescent="0.35">
      <c r="L321" s="544"/>
      <c r="M321" s="544"/>
      <c r="N321" s="544"/>
      <c r="O321" s="544"/>
      <c r="P321" s="544"/>
      <c r="Q321" s="544"/>
      <c r="R321" s="544"/>
      <c r="S321" s="544">
        <v>319</v>
      </c>
      <c r="T321" s="544">
        <v>150</v>
      </c>
      <c r="U321" s="544"/>
      <c r="V321" s="544"/>
      <c r="W321" s="544"/>
      <c r="X321" s="544"/>
      <c r="Y321" s="185"/>
    </row>
    <row r="322" spans="12:25" x14ac:dyDescent="0.35">
      <c r="L322" s="544"/>
      <c r="M322" s="544"/>
      <c r="N322" s="544"/>
      <c r="O322" s="544"/>
      <c r="P322" s="544"/>
      <c r="Q322" s="544"/>
      <c r="R322" s="544"/>
      <c r="S322" s="544">
        <v>320</v>
      </c>
      <c r="T322" s="544">
        <v>150</v>
      </c>
      <c r="U322" s="544"/>
      <c r="V322" s="544"/>
      <c r="W322" s="544"/>
      <c r="X322" s="544"/>
      <c r="Y322" s="185"/>
    </row>
    <row r="323" spans="12:25" x14ac:dyDescent="0.35">
      <c r="L323" s="544"/>
      <c r="M323" s="544"/>
      <c r="N323" s="544"/>
      <c r="O323" s="544"/>
      <c r="P323" s="544"/>
      <c r="Q323" s="544"/>
      <c r="R323" s="544"/>
      <c r="S323" s="544">
        <v>321</v>
      </c>
      <c r="T323" s="544">
        <v>150</v>
      </c>
      <c r="U323" s="544"/>
      <c r="V323" s="544"/>
      <c r="W323" s="544"/>
      <c r="X323" s="544"/>
      <c r="Y323" s="185"/>
    </row>
    <row r="324" spans="12:25" x14ac:dyDescent="0.35">
      <c r="L324" s="544"/>
      <c r="M324" s="544"/>
      <c r="N324" s="544"/>
      <c r="O324" s="544"/>
      <c r="P324" s="544"/>
      <c r="Q324" s="544"/>
      <c r="R324" s="544"/>
      <c r="S324" s="544">
        <v>322</v>
      </c>
      <c r="T324" s="544">
        <v>150</v>
      </c>
      <c r="U324" s="544"/>
      <c r="V324" s="544"/>
      <c r="W324" s="544"/>
      <c r="X324" s="544"/>
      <c r="Y324" s="185"/>
    </row>
    <row r="325" spans="12:25" x14ac:dyDescent="0.35">
      <c r="L325" s="544"/>
      <c r="M325" s="544"/>
      <c r="N325" s="544"/>
      <c r="O325" s="544"/>
      <c r="P325" s="544"/>
      <c r="Q325" s="544"/>
      <c r="R325" s="544"/>
      <c r="S325" s="544">
        <v>323</v>
      </c>
      <c r="T325" s="544">
        <v>150</v>
      </c>
      <c r="U325" s="544"/>
      <c r="V325" s="544"/>
      <c r="W325" s="544"/>
      <c r="X325" s="544"/>
      <c r="Y325" s="185"/>
    </row>
    <row r="326" spans="12:25" x14ac:dyDescent="0.35">
      <c r="L326" s="544"/>
      <c r="M326" s="544"/>
      <c r="N326" s="544"/>
      <c r="O326" s="544"/>
      <c r="P326" s="544"/>
      <c r="Q326" s="544"/>
      <c r="R326" s="544"/>
      <c r="S326" s="544">
        <v>324</v>
      </c>
      <c r="T326" s="544">
        <v>150</v>
      </c>
      <c r="U326" s="544"/>
      <c r="V326" s="544"/>
      <c r="W326" s="544"/>
      <c r="X326" s="544"/>
      <c r="Y326" s="185"/>
    </row>
    <row r="327" spans="12:25" x14ac:dyDescent="0.35">
      <c r="L327" s="544"/>
      <c r="M327" s="544"/>
      <c r="N327" s="544"/>
      <c r="O327" s="544"/>
      <c r="P327" s="544"/>
      <c r="Q327" s="544"/>
      <c r="R327" s="544"/>
      <c r="S327" s="544">
        <v>325</v>
      </c>
      <c r="T327" s="544">
        <v>150</v>
      </c>
      <c r="U327" s="544"/>
      <c r="V327" s="544"/>
      <c r="W327" s="544"/>
      <c r="X327" s="544"/>
      <c r="Y327" s="185"/>
    </row>
    <row r="328" spans="12:25" x14ac:dyDescent="0.35">
      <c r="L328" s="544"/>
      <c r="M328" s="544"/>
      <c r="N328" s="544"/>
      <c r="O328" s="544"/>
      <c r="P328" s="544"/>
      <c r="Q328" s="544"/>
      <c r="R328" s="544"/>
      <c r="S328" s="544">
        <v>326</v>
      </c>
      <c r="T328" s="544">
        <v>150</v>
      </c>
      <c r="U328" s="544"/>
      <c r="V328" s="544"/>
      <c r="W328" s="544"/>
      <c r="X328" s="544"/>
      <c r="Y328" s="185"/>
    </row>
    <row r="329" spans="12:25" x14ac:dyDescent="0.35">
      <c r="L329" s="544"/>
      <c r="M329" s="544"/>
      <c r="N329" s="544"/>
      <c r="O329" s="544"/>
      <c r="P329" s="544"/>
      <c r="Q329" s="544"/>
      <c r="R329" s="544"/>
      <c r="S329" s="544">
        <v>327</v>
      </c>
      <c r="T329" s="544">
        <v>150</v>
      </c>
      <c r="U329" s="544"/>
      <c r="V329" s="544"/>
      <c r="W329" s="544"/>
      <c r="X329" s="544"/>
      <c r="Y329" s="185"/>
    </row>
    <row r="330" spans="12:25" x14ac:dyDescent="0.35">
      <c r="L330" s="544"/>
      <c r="M330" s="544"/>
      <c r="N330" s="544"/>
      <c r="O330" s="544"/>
      <c r="P330" s="544"/>
      <c r="Q330" s="544"/>
      <c r="R330" s="544"/>
      <c r="S330" s="544">
        <v>328</v>
      </c>
      <c r="T330" s="544">
        <v>150</v>
      </c>
      <c r="U330" s="544"/>
      <c r="V330" s="544"/>
      <c r="W330" s="544"/>
      <c r="X330" s="544"/>
      <c r="Y330" s="185"/>
    </row>
    <row r="331" spans="12:25" x14ac:dyDescent="0.35">
      <c r="L331" s="544"/>
      <c r="M331" s="544"/>
      <c r="N331" s="544"/>
      <c r="O331" s="544"/>
      <c r="P331" s="544"/>
      <c r="Q331" s="544"/>
      <c r="R331" s="544"/>
      <c r="S331" s="544">
        <v>329</v>
      </c>
      <c r="T331" s="544">
        <v>150</v>
      </c>
      <c r="U331" s="544"/>
      <c r="V331" s="544"/>
      <c r="W331" s="544"/>
      <c r="X331" s="544"/>
      <c r="Y331" s="185"/>
    </row>
    <row r="332" spans="12:25" x14ac:dyDescent="0.35">
      <c r="L332" s="544"/>
      <c r="M332" s="544"/>
      <c r="N332" s="544"/>
      <c r="O332" s="544"/>
      <c r="P332" s="544"/>
      <c r="Q332" s="544"/>
      <c r="R332" s="544"/>
      <c r="S332" s="544">
        <v>330</v>
      </c>
      <c r="T332" s="544">
        <v>150</v>
      </c>
      <c r="U332" s="544"/>
      <c r="V332" s="544"/>
      <c r="W332" s="544"/>
      <c r="X332" s="544"/>
      <c r="Y332" s="185"/>
    </row>
    <row r="333" spans="12:25" x14ac:dyDescent="0.35">
      <c r="L333" s="544"/>
      <c r="M333" s="544"/>
      <c r="N333" s="544"/>
      <c r="O333" s="544"/>
      <c r="P333" s="544"/>
      <c r="Q333" s="544"/>
      <c r="R333" s="544"/>
      <c r="S333" s="544">
        <v>331</v>
      </c>
      <c r="T333" s="544">
        <v>150</v>
      </c>
      <c r="U333" s="544"/>
      <c r="V333" s="544"/>
      <c r="W333" s="544"/>
      <c r="X333" s="544"/>
      <c r="Y333" s="185"/>
    </row>
    <row r="334" spans="12:25" x14ac:dyDescent="0.35">
      <c r="L334" s="544"/>
      <c r="M334" s="544"/>
      <c r="N334" s="544"/>
      <c r="O334" s="544"/>
      <c r="P334" s="544"/>
      <c r="Q334" s="544"/>
      <c r="R334" s="544"/>
      <c r="S334" s="544">
        <v>332</v>
      </c>
      <c r="T334" s="544">
        <v>150</v>
      </c>
      <c r="U334" s="544"/>
      <c r="V334" s="544"/>
      <c r="W334" s="544"/>
      <c r="X334" s="544"/>
      <c r="Y334" s="185"/>
    </row>
    <row r="335" spans="12:25" x14ac:dyDescent="0.35">
      <c r="L335" s="544"/>
      <c r="M335" s="544"/>
      <c r="N335" s="544"/>
      <c r="O335" s="544"/>
      <c r="P335" s="544"/>
      <c r="Q335" s="544"/>
      <c r="R335" s="544"/>
      <c r="S335" s="544">
        <v>333</v>
      </c>
      <c r="T335" s="544">
        <v>150</v>
      </c>
      <c r="U335" s="544"/>
      <c r="V335" s="544"/>
      <c r="W335" s="544"/>
      <c r="X335" s="544"/>
      <c r="Y335" s="185"/>
    </row>
    <row r="336" spans="12:25" x14ac:dyDescent="0.35">
      <c r="L336" s="544"/>
      <c r="M336" s="544"/>
      <c r="N336" s="544"/>
      <c r="O336" s="544"/>
      <c r="P336" s="544"/>
      <c r="Q336" s="544"/>
      <c r="R336" s="544"/>
      <c r="S336" s="544">
        <v>334</v>
      </c>
      <c r="T336" s="544">
        <v>150</v>
      </c>
      <c r="U336" s="544"/>
      <c r="V336" s="544"/>
      <c r="W336" s="544"/>
      <c r="X336" s="544"/>
      <c r="Y336" s="185"/>
    </row>
    <row r="337" spans="12:25" x14ac:dyDescent="0.35">
      <c r="L337" s="544"/>
      <c r="M337" s="544"/>
      <c r="N337" s="544"/>
      <c r="O337" s="544"/>
      <c r="P337" s="544"/>
      <c r="Q337" s="544"/>
      <c r="R337" s="544"/>
      <c r="S337" s="544">
        <v>335</v>
      </c>
      <c r="T337" s="544">
        <v>150</v>
      </c>
      <c r="U337" s="544"/>
      <c r="V337" s="544"/>
      <c r="W337" s="544"/>
      <c r="X337" s="544"/>
      <c r="Y337" s="185"/>
    </row>
    <row r="338" spans="12:25" x14ac:dyDescent="0.35">
      <c r="L338" s="544"/>
      <c r="M338" s="544"/>
      <c r="N338" s="544"/>
      <c r="O338" s="544"/>
      <c r="P338" s="544"/>
      <c r="Q338" s="544"/>
      <c r="R338" s="544"/>
      <c r="S338" s="544">
        <v>336</v>
      </c>
      <c r="T338" s="544">
        <v>150</v>
      </c>
      <c r="U338" s="544"/>
      <c r="V338" s="544"/>
      <c r="W338" s="544"/>
      <c r="X338" s="544"/>
      <c r="Y338" s="185"/>
    </row>
    <row r="339" spans="12:25" x14ac:dyDescent="0.35">
      <c r="L339" s="544"/>
      <c r="M339" s="544"/>
      <c r="N339" s="544"/>
      <c r="O339" s="544"/>
      <c r="P339" s="544"/>
      <c r="Q339" s="544"/>
      <c r="R339" s="544"/>
      <c r="S339" s="544">
        <v>337</v>
      </c>
      <c r="T339" s="544">
        <v>150</v>
      </c>
      <c r="U339" s="544"/>
      <c r="V339" s="544"/>
      <c r="W339" s="544"/>
      <c r="X339" s="544"/>
      <c r="Y339" s="185"/>
    </row>
    <row r="340" spans="12:25" x14ac:dyDescent="0.35">
      <c r="L340" s="544"/>
      <c r="M340" s="544"/>
      <c r="N340" s="544"/>
      <c r="O340" s="544"/>
      <c r="P340" s="544"/>
      <c r="Q340" s="544"/>
      <c r="R340" s="544"/>
      <c r="S340" s="544">
        <v>338</v>
      </c>
      <c r="T340" s="544">
        <v>150</v>
      </c>
      <c r="U340" s="544"/>
      <c r="V340" s="544"/>
      <c r="W340" s="544"/>
      <c r="X340" s="544"/>
      <c r="Y340" s="185"/>
    </row>
    <row r="341" spans="12:25" x14ac:dyDescent="0.35">
      <c r="L341" s="544"/>
      <c r="M341" s="544"/>
      <c r="N341" s="544"/>
      <c r="O341" s="544"/>
      <c r="P341" s="544"/>
      <c r="Q341" s="544"/>
      <c r="R341" s="544"/>
      <c r="S341" s="544">
        <v>339</v>
      </c>
      <c r="T341" s="544">
        <v>150</v>
      </c>
      <c r="U341" s="544"/>
      <c r="V341" s="544"/>
      <c r="W341" s="544"/>
      <c r="X341" s="544"/>
      <c r="Y341" s="185"/>
    </row>
    <row r="342" spans="12:25" x14ac:dyDescent="0.35">
      <c r="L342" s="544"/>
      <c r="M342" s="544"/>
      <c r="N342" s="544"/>
      <c r="O342" s="544"/>
      <c r="P342" s="544"/>
      <c r="Q342" s="544"/>
      <c r="R342" s="544"/>
      <c r="S342" s="544">
        <v>340</v>
      </c>
      <c r="T342" s="544">
        <v>150</v>
      </c>
      <c r="U342" s="544"/>
      <c r="V342" s="544"/>
      <c r="W342" s="544"/>
      <c r="X342" s="544"/>
      <c r="Y342" s="185"/>
    </row>
    <row r="343" spans="12:25" x14ac:dyDescent="0.35">
      <c r="L343" s="544"/>
      <c r="M343" s="544"/>
      <c r="N343" s="544"/>
      <c r="O343" s="544"/>
      <c r="P343" s="544"/>
      <c r="Q343" s="544"/>
      <c r="R343" s="544"/>
      <c r="S343" s="544">
        <v>341</v>
      </c>
      <c r="T343" s="544">
        <v>150</v>
      </c>
      <c r="U343" s="544"/>
      <c r="V343" s="544"/>
      <c r="W343" s="544"/>
      <c r="X343" s="544"/>
      <c r="Y343" s="185"/>
    </row>
    <row r="344" spans="12:25" x14ac:dyDescent="0.35">
      <c r="L344" s="544"/>
      <c r="M344" s="544"/>
      <c r="N344" s="544"/>
      <c r="O344" s="544"/>
      <c r="P344" s="544"/>
      <c r="Q344" s="544"/>
      <c r="R344" s="544"/>
      <c r="S344" s="544">
        <v>342</v>
      </c>
      <c r="T344" s="544">
        <v>150</v>
      </c>
      <c r="U344" s="544"/>
      <c r="V344" s="544"/>
      <c r="W344" s="544"/>
      <c r="X344" s="544"/>
      <c r="Y344" s="185"/>
    </row>
    <row r="345" spans="12:25" x14ac:dyDescent="0.35">
      <c r="L345" s="544"/>
      <c r="M345" s="544"/>
      <c r="N345" s="544"/>
      <c r="O345" s="544"/>
      <c r="P345" s="544"/>
      <c r="Q345" s="544"/>
      <c r="R345" s="544"/>
      <c r="S345" s="544">
        <v>343</v>
      </c>
      <c r="T345" s="544">
        <v>150</v>
      </c>
      <c r="U345" s="544"/>
      <c r="V345" s="544"/>
      <c r="W345" s="544"/>
      <c r="X345" s="544"/>
      <c r="Y345" s="185"/>
    </row>
    <row r="346" spans="12:25" x14ac:dyDescent="0.35">
      <c r="L346" s="544"/>
      <c r="M346" s="544"/>
      <c r="N346" s="544"/>
      <c r="O346" s="544"/>
      <c r="P346" s="544"/>
      <c r="Q346" s="544"/>
      <c r="R346" s="544"/>
      <c r="S346" s="544">
        <v>344</v>
      </c>
      <c r="T346" s="544">
        <v>150</v>
      </c>
      <c r="U346" s="544"/>
      <c r="V346" s="544"/>
      <c r="W346" s="544"/>
      <c r="X346" s="544"/>
      <c r="Y346" s="185"/>
    </row>
    <row r="347" spans="12:25" x14ac:dyDescent="0.35">
      <c r="L347" s="544"/>
      <c r="M347" s="544"/>
      <c r="N347" s="544"/>
      <c r="O347" s="544"/>
      <c r="P347" s="544"/>
      <c r="Q347" s="544"/>
      <c r="R347" s="544"/>
      <c r="S347" s="544">
        <v>345</v>
      </c>
      <c r="T347" s="544">
        <v>150</v>
      </c>
      <c r="U347" s="544"/>
      <c r="V347" s="544"/>
      <c r="W347" s="544"/>
      <c r="X347" s="544"/>
      <c r="Y347" s="185"/>
    </row>
    <row r="348" spans="12:25" x14ac:dyDescent="0.35">
      <c r="L348" s="544"/>
      <c r="M348" s="544"/>
      <c r="N348" s="544"/>
      <c r="O348" s="544"/>
      <c r="P348" s="544"/>
      <c r="Q348" s="544"/>
      <c r="R348" s="544"/>
      <c r="S348" s="544">
        <v>346</v>
      </c>
      <c r="T348" s="544">
        <v>150</v>
      </c>
      <c r="U348" s="544"/>
      <c r="V348" s="544"/>
      <c r="W348" s="544"/>
      <c r="X348" s="544"/>
      <c r="Y348" s="185"/>
    </row>
    <row r="349" spans="12:25" x14ac:dyDescent="0.35">
      <c r="L349" s="544"/>
      <c r="M349" s="544"/>
      <c r="N349" s="544"/>
      <c r="O349" s="544"/>
      <c r="P349" s="544"/>
      <c r="Q349" s="544"/>
      <c r="R349" s="544"/>
      <c r="S349" s="544">
        <v>347</v>
      </c>
      <c r="T349" s="544">
        <v>150</v>
      </c>
      <c r="U349" s="544"/>
      <c r="V349" s="544"/>
      <c r="W349" s="544"/>
      <c r="X349" s="544"/>
      <c r="Y349" s="185"/>
    </row>
    <row r="350" spans="12:25" x14ac:dyDescent="0.35">
      <c r="L350" s="544"/>
      <c r="M350" s="544"/>
      <c r="N350" s="544"/>
      <c r="O350" s="544"/>
      <c r="P350" s="544"/>
      <c r="Q350" s="544"/>
      <c r="R350" s="544"/>
      <c r="S350" s="544">
        <v>348</v>
      </c>
      <c r="T350" s="544">
        <v>150</v>
      </c>
      <c r="U350" s="544"/>
      <c r="V350" s="544"/>
      <c r="W350" s="544"/>
      <c r="X350" s="544"/>
      <c r="Y350" s="185"/>
    </row>
    <row r="351" spans="12:25" x14ac:dyDescent="0.35">
      <c r="L351" s="544"/>
      <c r="M351" s="544"/>
      <c r="N351" s="544"/>
      <c r="O351" s="544"/>
      <c r="P351" s="544"/>
      <c r="Q351" s="544"/>
      <c r="R351" s="544"/>
      <c r="S351" s="544">
        <v>349</v>
      </c>
      <c r="T351" s="544">
        <v>150</v>
      </c>
      <c r="U351" s="544"/>
      <c r="V351" s="544"/>
      <c r="W351" s="544"/>
      <c r="X351" s="544"/>
      <c r="Y351" s="185"/>
    </row>
    <row r="352" spans="12:25" x14ac:dyDescent="0.35">
      <c r="L352" s="544"/>
      <c r="M352" s="544"/>
      <c r="N352" s="544"/>
      <c r="O352" s="544"/>
      <c r="P352" s="544"/>
      <c r="Q352" s="544"/>
      <c r="R352" s="544"/>
      <c r="S352" s="544">
        <v>350</v>
      </c>
      <c r="T352" s="544">
        <v>150</v>
      </c>
      <c r="U352" s="544"/>
      <c r="V352" s="544"/>
      <c r="W352" s="544"/>
      <c r="X352" s="544"/>
      <c r="Y352" s="185"/>
    </row>
    <row r="353" spans="12:25" x14ac:dyDescent="0.35">
      <c r="L353" s="544"/>
      <c r="M353" s="544"/>
      <c r="N353" s="544"/>
      <c r="O353" s="544"/>
      <c r="P353" s="544"/>
      <c r="Q353" s="544"/>
      <c r="R353" s="544"/>
      <c r="S353" s="544">
        <v>351</v>
      </c>
      <c r="T353" s="544">
        <v>150</v>
      </c>
      <c r="U353" s="544"/>
      <c r="V353" s="544"/>
      <c r="W353" s="544"/>
      <c r="X353" s="544"/>
      <c r="Y353" s="185"/>
    </row>
    <row r="354" spans="12:25" x14ac:dyDescent="0.35">
      <c r="L354" s="544"/>
      <c r="M354" s="544"/>
      <c r="N354" s="544"/>
      <c r="O354" s="544"/>
      <c r="P354" s="544"/>
      <c r="Q354" s="544"/>
      <c r="R354" s="544"/>
      <c r="S354" s="544">
        <v>352</v>
      </c>
      <c r="T354" s="544">
        <v>150</v>
      </c>
      <c r="U354" s="544"/>
      <c r="V354" s="544"/>
      <c r="W354" s="544"/>
      <c r="X354" s="544"/>
      <c r="Y354" s="185"/>
    </row>
    <row r="355" spans="12:25" x14ac:dyDescent="0.35">
      <c r="L355" s="544"/>
      <c r="M355" s="544"/>
      <c r="N355" s="544"/>
      <c r="O355" s="544"/>
      <c r="P355" s="544"/>
      <c r="Q355" s="544"/>
      <c r="R355" s="544"/>
      <c r="S355" s="544">
        <v>353</v>
      </c>
      <c r="T355" s="544">
        <v>150</v>
      </c>
      <c r="U355" s="544"/>
      <c r="V355" s="544"/>
      <c r="W355" s="544"/>
      <c r="X355" s="544"/>
      <c r="Y355" s="185"/>
    </row>
    <row r="356" spans="12:25" x14ac:dyDescent="0.35">
      <c r="L356" s="544"/>
      <c r="M356" s="544"/>
      <c r="N356" s="544"/>
      <c r="O356" s="544"/>
      <c r="P356" s="544"/>
      <c r="Q356" s="544"/>
      <c r="R356" s="544"/>
      <c r="S356" s="544">
        <v>354</v>
      </c>
      <c r="T356" s="544">
        <v>150</v>
      </c>
      <c r="U356" s="544"/>
      <c r="V356" s="544"/>
      <c r="W356" s="544"/>
      <c r="X356" s="544"/>
      <c r="Y356" s="185"/>
    </row>
    <row r="357" spans="12:25" x14ac:dyDescent="0.35">
      <c r="L357" s="544"/>
      <c r="M357" s="544"/>
      <c r="N357" s="544"/>
      <c r="O357" s="544"/>
      <c r="P357" s="544"/>
      <c r="Q357" s="544"/>
      <c r="R357" s="544"/>
      <c r="S357" s="544">
        <v>355</v>
      </c>
      <c r="T357" s="544">
        <v>150</v>
      </c>
      <c r="U357" s="544"/>
      <c r="V357" s="544"/>
      <c r="W357" s="544"/>
      <c r="X357" s="544"/>
      <c r="Y357" s="185"/>
    </row>
    <row r="358" spans="12:25" x14ac:dyDescent="0.35">
      <c r="L358" s="544"/>
      <c r="M358" s="544"/>
      <c r="N358" s="544"/>
      <c r="O358" s="544"/>
      <c r="P358" s="544"/>
      <c r="Q358" s="544"/>
      <c r="R358" s="544"/>
      <c r="S358" s="544">
        <v>356</v>
      </c>
      <c r="T358" s="544">
        <v>150</v>
      </c>
      <c r="U358" s="544"/>
      <c r="V358" s="544"/>
      <c r="W358" s="544"/>
      <c r="X358" s="544"/>
      <c r="Y358" s="185"/>
    </row>
    <row r="359" spans="12:25" x14ac:dyDescent="0.35">
      <c r="L359" s="544"/>
      <c r="M359" s="544"/>
      <c r="N359" s="544"/>
      <c r="O359" s="544"/>
      <c r="P359" s="544"/>
      <c r="Q359" s="544"/>
      <c r="R359" s="544"/>
      <c r="S359" s="544">
        <v>357</v>
      </c>
      <c r="T359" s="544">
        <v>150</v>
      </c>
      <c r="U359" s="544"/>
      <c r="V359" s="544"/>
      <c r="W359" s="544"/>
      <c r="X359" s="544"/>
      <c r="Y359" s="185"/>
    </row>
    <row r="360" spans="12:25" x14ac:dyDescent="0.35">
      <c r="L360" s="544"/>
      <c r="M360" s="544"/>
      <c r="N360" s="544"/>
      <c r="O360" s="544"/>
      <c r="P360" s="544"/>
      <c r="Q360" s="544"/>
      <c r="R360" s="544"/>
      <c r="S360" s="544">
        <v>358</v>
      </c>
      <c r="T360" s="544">
        <v>150</v>
      </c>
      <c r="U360" s="544"/>
      <c r="V360" s="544"/>
      <c r="W360" s="544"/>
      <c r="X360" s="544"/>
      <c r="Y360" s="185"/>
    </row>
    <row r="361" spans="12:25" x14ac:dyDescent="0.35">
      <c r="L361" s="544"/>
      <c r="M361" s="544"/>
      <c r="N361" s="544"/>
      <c r="O361" s="544"/>
      <c r="P361" s="544"/>
      <c r="Q361" s="544"/>
      <c r="R361" s="544"/>
      <c r="S361" s="544">
        <v>359</v>
      </c>
      <c r="T361" s="544">
        <v>150</v>
      </c>
      <c r="U361" s="544"/>
      <c r="V361" s="544"/>
      <c r="W361" s="544"/>
      <c r="X361" s="544"/>
      <c r="Y361" s="185"/>
    </row>
    <row r="362" spans="12:25" x14ac:dyDescent="0.35">
      <c r="L362" s="544"/>
      <c r="M362" s="544"/>
      <c r="N362" s="544"/>
      <c r="O362" s="544"/>
      <c r="P362" s="544"/>
      <c r="Q362" s="544"/>
      <c r="R362" s="544"/>
      <c r="S362" s="544">
        <v>360</v>
      </c>
      <c r="T362" s="544">
        <v>150</v>
      </c>
      <c r="U362" s="544">
        <v>360</v>
      </c>
      <c r="V362" s="544"/>
      <c r="W362" s="544"/>
      <c r="X362" s="544"/>
      <c r="Y362" s="185"/>
    </row>
    <row r="363" spans="12:25" x14ac:dyDescent="0.35">
      <c r="L363" s="544"/>
      <c r="M363" s="544"/>
      <c r="N363" s="544"/>
      <c r="O363" s="544"/>
      <c r="P363" s="544"/>
      <c r="Q363" s="544"/>
      <c r="R363" s="544"/>
      <c r="S363" s="544"/>
      <c r="T363" s="544"/>
      <c r="U363" s="544"/>
      <c r="V363" s="544"/>
      <c r="W363" s="544"/>
      <c r="X363" s="544"/>
      <c r="Y363" s="185"/>
    </row>
    <row r="364" spans="12:25" x14ac:dyDescent="0.35">
      <c r="L364" s="544"/>
      <c r="M364" s="544"/>
      <c r="N364" s="544"/>
      <c r="O364" s="544"/>
      <c r="P364" s="544"/>
      <c r="Q364" s="544"/>
      <c r="R364" s="544"/>
      <c r="S364" s="544"/>
      <c r="T364" s="544"/>
      <c r="U364" s="544"/>
      <c r="V364" s="544"/>
      <c r="W364" s="544"/>
      <c r="X364" s="544"/>
      <c r="Y364" s="185"/>
    </row>
    <row r="365" spans="12:25" x14ac:dyDescent="0.35">
      <c r="L365" s="544"/>
      <c r="M365" s="544"/>
      <c r="N365" s="544"/>
      <c r="O365" s="544"/>
      <c r="P365" s="544"/>
      <c r="Q365" s="544"/>
      <c r="R365" s="544"/>
      <c r="S365" s="544"/>
      <c r="T365" s="544"/>
      <c r="U365" s="544"/>
      <c r="V365" s="544"/>
      <c r="W365" s="544"/>
      <c r="X365" s="544"/>
      <c r="Y365" s="185"/>
    </row>
    <row r="366" spans="12:25" x14ac:dyDescent="0.35">
      <c r="L366" s="544"/>
      <c r="M366" s="544"/>
      <c r="N366" s="544"/>
      <c r="O366" s="544"/>
      <c r="P366" s="544"/>
      <c r="Q366" s="544"/>
      <c r="R366" s="544"/>
      <c r="S366" s="544"/>
      <c r="T366" s="544"/>
      <c r="U366" s="544"/>
      <c r="V366" s="544"/>
      <c r="W366" s="544"/>
      <c r="X366" s="544"/>
      <c r="Y366" s="185"/>
    </row>
    <row r="367" spans="12:25" x14ac:dyDescent="0.35">
      <c r="L367" s="544"/>
      <c r="M367" s="544"/>
      <c r="N367" s="544"/>
      <c r="O367" s="544"/>
      <c r="P367" s="544"/>
      <c r="Q367" s="544"/>
      <c r="R367" s="544"/>
      <c r="S367" s="544"/>
      <c r="T367" s="544"/>
      <c r="U367" s="544"/>
      <c r="V367" s="544"/>
      <c r="W367" s="544"/>
      <c r="X367" s="544"/>
      <c r="Y367" s="185"/>
    </row>
    <row r="368" spans="12:25" x14ac:dyDescent="0.35">
      <c r="L368" s="544"/>
      <c r="M368" s="544"/>
      <c r="N368" s="544"/>
      <c r="O368" s="544"/>
      <c r="P368" s="544"/>
      <c r="Q368" s="544"/>
      <c r="R368" s="544"/>
      <c r="S368" s="544"/>
      <c r="T368" s="544"/>
      <c r="U368" s="544"/>
      <c r="V368" s="544"/>
      <c r="W368" s="544"/>
      <c r="X368" s="544"/>
      <c r="Y368" s="185"/>
    </row>
    <row r="369" spans="12:25" x14ac:dyDescent="0.35">
      <c r="L369" s="544"/>
      <c r="M369" s="544"/>
      <c r="N369" s="544"/>
      <c r="O369" s="544"/>
      <c r="P369" s="544"/>
      <c r="Q369" s="544"/>
      <c r="R369" s="544"/>
      <c r="S369" s="544"/>
      <c r="T369" s="544"/>
      <c r="U369" s="544"/>
      <c r="V369" s="544"/>
      <c r="W369" s="544"/>
      <c r="X369" s="544"/>
      <c r="Y369" s="185"/>
    </row>
    <row r="370" spans="12:25" x14ac:dyDescent="0.35">
      <c r="L370" s="544"/>
      <c r="M370" s="544"/>
      <c r="N370" s="544"/>
      <c r="O370" s="544"/>
      <c r="P370" s="544"/>
      <c r="Q370" s="544"/>
      <c r="R370" s="544"/>
      <c r="S370" s="544"/>
      <c r="T370" s="544"/>
      <c r="U370" s="544"/>
      <c r="V370" s="544"/>
      <c r="W370" s="544"/>
      <c r="X370" s="544"/>
      <c r="Y370" s="185"/>
    </row>
    <row r="371" spans="12:25" x14ac:dyDescent="0.35">
      <c r="L371" s="544"/>
      <c r="M371" s="544"/>
      <c r="N371" s="544"/>
      <c r="O371" s="544"/>
      <c r="P371" s="544"/>
      <c r="Q371" s="544"/>
      <c r="R371" s="544"/>
      <c r="S371" s="544"/>
      <c r="T371" s="544"/>
      <c r="U371" s="544"/>
      <c r="V371" s="544"/>
      <c r="W371" s="544"/>
      <c r="X371" s="544"/>
      <c r="Y371" s="185"/>
    </row>
    <row r="372" spans="12:25" x14ac:dyDescent="0.35">
      <c r="L372" s="544"/>
      <c r="M372" s="544"/>
      <c r="N372" s="544"/>
      <c r="O372" s="544"/>
      <c r="P372" s="544"/>
      <c r="Q372" s="544"/>
      <c r="R372" s="544"/>
      <c r="S372" s="544"/>
      <c r="T372" s="544"/>
      <c r="U372" s="544"/>
      <c r="V372" s="544"/>
      <c r="W372" s="544"/>
      <c r="X372" s="544"/>
      <c r="Y372" s="185"/>
    </row>
    <row r="373" spans="12:25" x14ac:dyDescent="0.35">
      <c r="L373" s="544"/>
      <c r="M373" s="544"/>
      <c r="N373" s="544"/>
      <c r="O373" s="544"/>
      <c r="P373" s="544"/>
      <c r="Q373" s="544"/>
      <c r="R373" s="544"/>
      <c r="S373" s="544"/>
      <c r="T373" s="544"/>
      <c r="U373" s="544"/>
      <c r="V373" s="544"/>
      <c r="W373" s="544"/>
      <c r="X373" s="544"/>
      <c r="Y373" s="185"/>
    </row>
    <row r="374" spans="12:25" x14ac:dyDescent="0.35">
      <c r="L374" s="544"/>
      <c r="M374" s="544"/>
      <c r="N374" s="544"/>
      <c r="O374" s="544"/>
      <c r="P374" s="544"/>
      <c r="Q374" s="544"/>
      <c r="R374" s="544"/>
      <c r="S374" s="544"/>
      <c r="T374" s="544"/>
      <c r="U374" s="544"/>
      <c r="V374" s="544"/>
      <c r="W374" s="544"/>
      <c r="X374" s="544"/>
      <c r="Y374" s="185"/>
    </row>
    <row r="375" spans="12:25" x14ac:dyDescent="0.35">
      <c r="L375" s="544"/>
      <c r="M375" s="544"/>
      <c r="N375" s="544"/>
      <c r="O375" s="544"/>
      <c r="P375" s="544"/>
      <c r="Q375" s="544"/>
      <c r="R375" s="544"/>
      <c r="S375" s="544"/>
      <c r="T375" s="544"/>
      <c r="U375" s="544"/>
      <c r="V375" s="544"/>
      <c r="W375" s="544"/>
      <c r="X375" s="544"/>
      <c r="Y375" s="185"/>
    </row>
    <row r="376" spans="12:25" x14ac:dyDescent="0.35">
      <c r="L376" s="544"/>
      <c r="M376" s="544"/>
      <c r="N376" s="544"/>
      <c r="O376" s="544"/>
      <c r="P376" s="544"/>
      <c r="Q376" s="544"/>
      <c r="R376" s="544"/>
      <c r="S376" s="544"/>
      <c r="T376" s="544"/>
      <c r="U376" s="544"/>
      <c r="V376" s="544"/>
      <c r="W376" s="544"/>
      <c r="X376" s="544"/>
      <c r="Y376" s="185"/>
    </row>
    <row r="377" spans="12:25" x14ac:dyDescent="0.35">
      <c r="L377" s="544"/>
      <c r="M377" s="544"/>
      <c r="N377" s="544"/>
      <c r="O377" s="544"/>
      <c r="P377" s="544"/>
      <c r="Q377" s="544"/>
      <c r="R377" s="544"/>
      <c r="S377" s="544"/>
      <c r="T377" s="544"/>
      <c r="U377" s="544"/>
      <c r="V377" s="544"/>
      <c r="W377" s="544"/>
      <c r="X377" s="544"/>
      <c r="Y377" s="185"/>
    </row>
    <row r="378" spans="12:25" x14ac:dyDescent="0.35">
      <c r="L378" s="544"/>
      <c r="M378" s="544"/>
      <c r="N378" s="544"/>
      <c r="O378" s="544"/>
      <c r="P378" s="544"/>
      <c r="Q378" s="544"/>
      <c r="R378" s="544"/>
      <c r="S378" s="544"/>
      <c r="T378" s="544"/>
      <c r="U378" s="544"/>
      <c r="V378" s="544"/>
      <c r="W378" s="544"/>
      <c r="X378" s="544"/>
      <c r="Y378" s="185"/>
    </row>
    <row r="379" spans="12:25" x14ac:dyDescent="0.35">
      <c r="L379" s="544"/>
      <c r="M379" s="544"/>
      <c r="N379" s="544"/>
      <c r="O379" s="544"/>
      <c r="P379" s="544"/>
      <c r="Q379" s="544"/>
      <c r="R379" s="544"/>
      <c r="S379" s="544"/>
      <c r="T379" s="544"/>
      <c r="U379" s="544"/>
      <c r="V379" s="544"/>
      <c r="W379" s="544"/>
      <c r="X379" s="544"/>
      <c r="Y379" s="185"/>
    </row>
    <row r="380" spans="12:25" x14ac:dyDescent="0.35">
      <c r="L380" s="544"/>
      <c r="M380" s="544"/>
      <c r="N380" s="544"/>
      <c r="O380" s="544"/>
      <c r="P380" s="544"/>
      <c r="Q380" s="544"/>
      <c r="R380" s="544"/>
      <c r="S380" s="544"/>
      <c r="T380" s="544"/>
      <c r="U380" s="544"/>
      <c r="V380" s="544"/>
      <c r="W380" s="544"/>
      <c r="X380" s="544"/>
      <c r="Y380" s="185"/>
    </row>
    <row r="381" spans="12:25" x14ac:dyDescent="0.35">
      <c r="L381" s="544"/>
      <c r="M381" s="544"/>
      <c r="N381" s="544"/>
      <c r="O381" s="544"/>
      <c r="P381" s="544"/>
      <c r="Q381" s="544"/>
      <c r="R381" s="544"/>
      <c r="S381" s="544"/>
      <c r="T381" s="544"/>
      <c r="U381" s="544"/>
      <c r="V381" s="544"/>
      <c r="W381" s="544"/>
      <c r="X381" s="544"/>
      <c r="Y381" s="185"/>
    </row>
    <row r="382" spans="12:25" x14ac:dyDescent="0.35">
      <c r="L382" s="544"/>
      <c r="M382" s="544"/>
      <c r="N382" s="544"/>
      <c r="O382" s="544"/>
      <c r="P382" s="544"/>
      <c r="Q382" s="544"/>
      <c r="R382" s="544"/>
      <c r="S382" s="544"/>
      <c r="T382" s="544"/>
      <c r="U382" s="544"/>
      <c r="V382" s="544"/>
      <c r="W382" s="544"/>
      <c r="X382" s="544"/>
      <c r="Y382" s="185"/>
    </row>
    <row r="383" spans="12:25" x14ac:dyDescent="0.35">
      <c r="L383" s="544"/>
      <c r="M383" s="544"/>
      <c r="N383" s="544"/>
      <c r="O383" s="544"/>
      <c r="P383" s="544"/>
      <c r="Q383" s="544"/>
      <c r="R383" s="544"/>
      <c r="S383" s="544"/>
      <c r="T383" s="544"/>
      <c r="U383" s="544"/>
      <c r="V383" s="544"/>
      <c r="W383" s="544"/>
      <c r="X383" s="544"/>
      <c r="Y383" s="185"/>
    </row>
    <row r="384" spans="12:25" x14ac:dyDescent="0.35">
      <c r="L384" s="544"/>
      <c r="M384" s="544"/>
      <c r="N384" s="544"/>
      <c r="O384" s="544"/>
      <c r="P384" s="544"/>
      <c r="Q384" s="544"/>
      <c r="R384" s="544"/>
      <c r="S384" s="544"/>
      <c r="T384" s="544"/>
      <c r="U384" s="544"/>
      <c r="V384" s="544"/>
      <c r="W384" s="544"/>
      <c r="X384" s="544"/>
      <c r="Y384" s="185"/>
    </row>
    <row r="385" spans="12:25" x14ac:dyDescent="0.35">
      <c r="L385" s="544"/>
      <c r="M385" s="544"/>
      <c r="N385" s="544"/>
      <c r="O385" s="544"/>
      <c r="P385" s="544"/>
      <c r="Q385" s="544"/>
      <c r="R385" s="544"/>
      <c r="S385" s="544"/>
      <c r="T385" s="544"/>
      <c r="U385" s="544"/>
      <c r="V385" s="544"/>
      <c r="W385" s="544"/>
      <c r="X385" s="544"/>
      <c r="Y385" s="185"/>
    </row>
    <row r="386" spans="12:25" x14ac:dyDescent="0.35">
      <c r="L386" s="544"/>
      <c r="M386" s="544"/>
      <c r="N386" s="544"/>
      <c r="O386" s="544"/>
      <c r="P386" s="544"/>
      <c r="Q386" s="544"/>
      <c r="R386" s="544"/>
      <c r="S386" s="544"/>
      <c r="T386" s="544"/>
      <c r="U386" s="544"/>
      <c r="V386" s="544"/>
      <c r="W386" s="544"/>
      <c r="X386" s="544"/>
      <c r="Y386" s="185"/>
    </row>
    <row r="387" spans="12:25" x14ac:dyDescent="0.35">
      <c r="L387" s="544"/>
      <c r="M387" s="544"/>
      <c r="N387" s="544"/>
      <c r="O387" s="544"/>
      <c r="P387" s="544"/>
      <c r="Q387" s="544"/>
      <c r="R387" s="544"/>
      <c r="S387" s="544"/>
      <c r="T387" s="544"/>
      <c r="U387" s="544"/>
      <c r="V387" s="544"/>
      <c r="W387" s="544"/>
      <c r="X387" s="544"/>
      <c r="Y387" s="185"/>
    </row>
    <row r="388" spans="12:25" x14ac:dyDescent="0.35">
      <c r="L388" s="544"/>
      <c r="M388" s="544"/>
      <c r="N388" s="544"/>
      <c r="O388" s="544"/>
      <c r="P388" s="544"/>
      <c r="Q388" s="544"/>
      <c r="R388" s="544"/>
      <c r="S388" s="544"/>
      <c r="T388" s="544"/>
      <c r="U388" s="544"/>
      <c r="V388" s="544"/>
      <c r="W388" s="544"/>
      <c r="X388" s="544"/>
      <c r="Y388" s="185"/>
    </row>
    <row r="389" spans="12:25" x14ac:dyDescent="0.35">
      <c r="L389" s="544"/>
      <c r="M389" s="544"/>
      <c r="N389" s="544"/>
      <c r="O389" s="544"/>
      <c r="P389" s="544"/>
      <c r="Q389" s="544"/>
      <c r="R389" s="544"/>
      <c r="S389" s="544"/>
      <c r="T389" s="544"/>
      <c r="U389" s="544"/>
      <c r="V389" s="544"/>
      <c r="W389" s="544"/>
      <c r="X389" s="544"/>
      <c r="Y389" s="185"/>
    </row>
    <row r="390" spans="12:25" x14ac:dyDescent="0.35">
      <c r="L390" s="544"/>
      <c r="M390" s="544"/>
      <c r="N390" s="544"/>
      <c r="O390" s="544"/>
      <c r="P390" s="544"/>
      <c r="Q390" s="544"/>
      <c r="R390" s="544"/>
      <c r="S390" s="544"/>
      <c r="T390" s="544"/>
      <c r="U390" s="544"/>
      <c r="V390" s="544"/>
      <c r="W390" s="544"/>
      <c r="X390" s="544"/>
      <c r="Y390" s="185"/>
    </row>
    <row r="391" spans="12:25" x14ac:dyDescent="0.35">
      <c r="L391" s="544"/>
      <c r="M391" s="544"/>
      <c r="N391" s="544"/>
      <c r="O391" s="544"/>
      <c r="P391" s="544"/>
      <c r="Q391" s="544"/>
      <c r="R391" s="544"/>
      <c r="S391" s="544"/>
      <c r="T391" s="544"/>
      <c r="U391" s="544"/>
      <c r="V391" s="544"/>
      <c r="W391" s="544"/>
      <c r="X391" s="544"/>
      <c r="Y391" s="185"/>
    </row>
    <row r="392" spans="12:25" x14ac:dyDescent="0.35">
      <c r="L392" s="544"/>
      <c r="M392" s="544"/>
      <c r="N392" s="544"/>
      <c r="O392" s="544"/>
      <c r="P392" s="544"/>
      <c r="Q392" s="544"/>
      <c r="R392" s="544"/>
      <c r="S392" s="544"/>
      <c r="T392" s="544"/>
      <c r="U392" s="544"/>
      <c r="V392" s="544"/>
      <c r="W392" s="544"/>
      <c r="X392" s="544"/>
      <c r="Y392" s="185"/>
    </row>
    <row r="393" spans="12:25" x14ac:dyDescent="0.35">
      <c r="L393" s="544"/>
      <c r="M393" s="544"/>
      <c r="N393" s="544"/>
      <c r="O393" s="544"/>
      <c r="P393" s="544"/>
      <c r="Q393" s="544"/>
      <c r="R393" s="544"/>
      <c r="S393" s="544"/>
      <c r="T393" s="544"/>
      <c r="U393" s="544"/>
      <c r="V393" s="544"/>
      <c r="W393" s="544"/>
      <c r="X393" s="544"/>
      <c r="Y393" s="185"/>
    </row>
    <row r="394" spans="12:25" x14ac:dyDescent="0.35">
      <c r="L394" s="544"/>
      <c r="M394" s="544"/>
      <c r="N394" s="544"/>
      <c r="O394" s="544"/>
      <c r="P394" s="544"/>
      <c r="Q394" s="544"/>
      <c r="R394" s="544"/>
      <c r="S394" s="544"/>
      <c r="T394" s="544"/>
      <c r="U394" s="544"/>
      <c r="V394" s="544"/>
      <c r="W394" s="544"/>
      <c r="X394" s="544"/>
      <c r="Y394" s="185"/>
    </row>
    <row r="395" spans="12:25" x14ac:dyDescent="0.35">
      <c r="L395" s="544"/>
      <c r="M395" s="544"/>
      <c r="N395" s="544"/>
      <c r="O395" s="544"/>
      <c r="P395" s="544"/>
      <c r="Q395" s="544"/>
      <c r="R395" s="544"/>
      <c r="S395" s="544"/>
      <c r="T395" s="544"/>
      <c r="U395" s="544"/>
      <c r="V395" s="544"/>
      <c r="W395" s="544"/>
      <c r="X395" s="544"/>
      <c r="Y395" s="185"/>
    </row>
    <row r="396" spans="12:25" x14ac:dyDescent="0.35">
      <c r="L396" s="544"/>
      <c r="M396" s="544"/>
      <c r="N396" s="544"/>
      <c r="O396" s="544"/>
      <c r="P396" s="544"/>
      <c r="Q396" s="544"/>
      <c r="R396" s="544"/>
      <c r="S396" s="544"/>
      <c r="T396" s="544"/>
      <c r="U396" s="544"/>
      <c r="V396" s="544"/>
      <c r="W396" s="544"/>
      <c r="X396" s="544"/>
      <c r="Y396" s="185"/>
    </row>
    <row r="397" spans="12:25" x14ac:dyDescent="0.35">
      <c r="L397" s="544"/>
      <c r="M397" s="544"/>
      <c r="N397" s="544"/>
      <c r="O397" s="544"/>
      <c r="P397" s="544"/>
      <c r="Q397" s="544"/>
      <c r="R397" s="544"/>
      <c r="S397" s="544"/>
      <c r="T397" s="544"/>
      <c r="U397" s="544"/>
      <c r="V397" s="544"/>
      <c r="W397" s="544"/>
      <c r="X397" s="544"/>
      <c r="Y397" s="185"/>
    </row>
    <row r="398" spans="12:25" x14ac:dyDescent="0.35">
      <c r="L398" s="544"/>
      <c r="M398" s="544"/>
      <c r="N398" s="544"/>
      <c r="O398" s="544"/>
      <c r="P398" s="544"/>
      <c r="Q398" s="544"/>
      <c r="R398" s="544"/>
      <c r="S398" s="544"/>
      <c r="T398" s="544"/>
      <c r="U398" s="544"/>
      <c r="V398" s="544"/>
      <c r="W398" s="544"/>
      <c r="X398" s="544"/>
      <c r="Y398" s="185"/>
    </row>
    <row r="399" spans="12:25" x14ac:dyDescent="0.35">
      <c r="L399" s="544"/>
      <c r="M399" s="544"/>
      <c r="N399" s="544"/>
      <c r="O399" s="544"/>
      <c r="P399" s="544"/>
      <c r="Q399" s="544"/>
      <c r="R399" s="544"/>
      <c r="S399" s="544"/>
      <c r="T399" s="544"/>
      <c r="U399" s="544"/>
      <c r="V399" s="544"/>
      <c r="W399" s="544"/>
      <c r="X399" s="544"/>
      <c r="Y399" s="185"/>
    </row>
    <row r="400" spans="12:25" x14ac:dyDescent="0.35">
      <c r="L400" s="544"/>
      <c r="M400" s="544"/>
      <c r="N400" s="544"/>
      <c r="O400" s="544"/>
      <c r="P400" s="544"/>
      <c r="Q400" s="544"/>
      <c r="R400" s="544"/>
      <c r="S400" s="544"/>
      <c r="T400" s="544"/>
      <c r="U400" s="544"/>
      <c r="V400" s="544"/>
      <c r="W400" s="544"/>
      <c r="X400" s="544"/>
      <c r="Y400" s="185"/>
    </row>
    <row r="401" spans="12:25" x14ac:dyDescent="0.35">
      <c r="L401" s="544"/>
      <c r="M401" s="544"/>
      <c r="N401" s="544"/>
      <c r="O401" s="544"/>
      <c r="P401" s="544"/>
      <c r="Q401" s="544"/>
      <c r="R401" s="544"/>
      <c r="S401" s="544"/>
      <c r="T401" s="544"/>
      <c r="U401" s="544"/>
      <c r="V401" s="544"/>
      <c r="W401" s="544"/>
      <c r="X401" s="544"/>
      <c r="Y401" s="185"/>
    </row>
    <row r="402" spans="12:25" x14ac:dyDescent="0.35">
      <c r="L402" s="185"/>
      <c r="M402" s="185"/>
      <c r="N402" s="185"/>
      <c r="O402" s="185"/>
      <c r="P402" s="185"/>
      <c r="Q402" s="185"/>
      <c r="R402" s="185"/>
      <c r="S402" s="185"/>
      <c r="T402" s="185"/>
      <c r="U402" s="185"/>
      <c r="V402" s="185"/>
      <c r="W402" s="185"/>
      <c r="X402" s="185"/>
      <c r="Y402" s="185"/>
    </row>
    <row r="403" spans="12:25" x14ac:dyDescent="0.35">
      <c r="L403" s="185"/>
      <c r="M403" s="185"/>
      <c r="N403" s="185"/>
      <c r="O403" s="185"/>
      <c r="P403" s="185"/>
      <c r="Q403" s="185"/>
      <c r="R403" s="185"/>
      <c r="S403" s="185"/>
      <c r="T403" s="185"/>
      <c r="U403" s="185"/>
      <c r="V403" s="185"/>
      <c r="W403" s="185"/>
      <c r="X403" s="185"/>
      <c r="Y403" s="185"/>
    </row>
    <row r="404" spans="12:25" x14ac:dyDescent="0.35">
      <c r="L404" s="185"/>
      <c r="M404" s="185"/>
      <c r="N404" s="185"/>
      <c r="O404" s="185"/>
      <c r="P404" s="185"/>
      <c r="Q404" s="185"/>
      <c r="R404" s="185"/>
      <c r="S404" s="185"/>
      <c r="T404" s="185"/>
      <c r="U404" s="185"/>
      <c r="V404" s="185"/>
      <c r="W404" s="185"/>
      <c r="X404" s="185"/>
      <c r="Y404" s="185"/>
    </row>
    <row r="405" spans="12:25" x14ac:dyDescent="0.35">
      <c r="L405" s="185"/>
      <c r="M405" s="185"/>
      <c r="N405" s="185"/>
      <c r="O405" s="185"/>
      <c r="P405" s="185"/>
      <c r="Q405" s="185"/>
      <c r="R405" s="185"/>
      <c r="S405" s="185"/>
      <c r="T405" s="185"/>
      <c r="U405" s="185"/>
      <c r="V405" s="185"/>
      <c r="W405" s="185"/>
      <c r="X405" s="185"/>
      <c r="Y405" s="185"/>
    </row>
    <row r="406" spans="12:25" x14ac:dyDescent="0.35">
      <c r="L406" s="185"/>
      <c r="M406" s="185"/>
      <c r="N406" s="185"/>
      <c r="O406" s="185"/>
      <c r="P406" s="185"/>
      <c r="Q406" s="185"/>
      <c r="R406" s="185"/>
      <c r="S406" s="185"/>
      <c r="T406" s="185"/>
      <c r="U406" s="185"/>
      <c r="V406" s="185"/>
      <c r="W406" s="185"/>
      <c r="X406" s="185"/>
      <c r="Y406" s="185"/>
    </row>
    <row r="407" spans="12:25" x14ac:dyDescent="0.35">
      <c r="L407" s="185"/>
      <c r="M407" s="185"/>
      <c r="N407" s="185"/>
      <c r="O407" s="185"/>
      <c r="P407" s="185"/>
      <c r="Q407" s="185"/>
      <c r="R407" s="185"/>
      <c r="S407" s="185"/>
      <c r="T407" s="185"/>
      <c r="U407" s="185"/>
      <c r="V407" s="185"/>
      <c r="W407" s="185"/>
      <c r="X407" s="185"/>
      <c r="Y407" s="185"/>
    </row>
    <row r="408" spans="12:25" x14ac:dyDescent="0.35">
      <c r="L408" s="185"/>
      <c r="M408" s="185"/>
      <c r="N408" s="185"/>
      <c r="O408" s="185"/>
      <c r="P408" s="185"/>
      <c r="Q408" s="185"/>
      <c r="R408" s="185"/>
      <c r="S408" s="185"/>
      <c r="T408" s="185"/>
      <c r="U408" s="185"/>
      <c r="V408" s="185"/>
      <c r="W408" s="185"/>
      <c r="X408" s="185"/>
      <c r="Y408" s="185"/>
    </row>
    <row r="409" spans="12:25" x14ac:dyDescent="0.35">
      <c r="L409" s="185"/>
      <c r="M409" s="185"/>
      <c r="N409" s="185"/>
      <c r="O409" s="185"/>
      <c r="P409" s="185"/>
      <c r="Q409" s="185"/>
      <c r="R409" s="185"/>
      <c r="S409" s="185"/>
      <c r="T409" s="185"/>
      <c r="U409" s="185"/>
      <c r="V409" s="185"/>
      <c r="W409" s="185"/>
      <c r="X409" s="185"/>
      <c r="Y409" s="185"/>
    </row>
    <row r="410" spans="12:25" x14ac:dyDescent="0.35">
      <c r="L410" s="185"/>
      <c r="M410" s="185"/>
      <c r="N410" s="185"/>
      <c r="O410" s="185"/>
      <c r="P410" s="185"/>
      <c r="Q410" s="185"/>
      <c r="R410" s="185"/>
      <c r="S410" s="185"/>
      <c r="T410" s="185"/>
      <c r="U410" s="185"/>
      <c r="V410" s="185"/>
      <c r="W410" s="185"/>
      <c r="X410" s="185"/>
      <c r="Y410" s="185"/>
    </row>
    <row r="411" spans="12:25" x14ac:dyDescent="0.35">
      <c r="L411" s="185"/>
      <c r="M411" s="185"/>
      <c r="N411" s="185"/>
      <c r="O411" s="185"/>
      <c r="P411" s="185"/>
      <c r="Q411" s="185"/>
      <c r="R411" s="185"/>
      <c r="S411" s="185"/>
      <c r="T411" s="185"/>
      <c r="U411" s="185"/>
      <c r="V411" s="185"/>
      <c r="W411" s="185"/>
      <c r="X411" s="185"/>
      <c r="Y411" s="185"/>
    </row>
    <row r="412" spans="12:25" x14ac:dyDescent="0.35">
      <c r="L412" s="185"/>
      <c r="M412" s="185"/>
      <c r="N412" s="185"/>
      <c r="O412" s="185"/>
      <c r="P412" s="185"/>
      <c r="Q412" s="185"/>
      <c r="R412" s="185"/>
      <c r="S412" s="185"/>
      <c r="T412" s="185"/>
      <c r="U412" s="185"/>
      <c r="V412" s="185"/>
      <c r="W412" s="185"/>
      <c r="X412" s="185"/>
      <c r="Y412" s="185"/>
    </row>
    <row r="413" spans="12:25" x14ac:dyDescent="0.35">
      <c r="L413" s="185"/>
      <c r="M413" s="185"/>
      <c r="N413" s="185"/>
      <c r="O413" s="185"/>
      <c r="P413" s="185"/>
      <c r="Q413" s="185"/>
      <c r="R413" s="185"/>
      <c r="S413" s="185"/>
      <c r="T413" s="185"/>
      <c r="U413" s="185"/>
      <c r="V413" s="185"/>
      <c r="W413" s="185"/>
      <c r="X413" s="185"/>
      <c r="Y413" s="185"/>
    </row>
    <row r="414" spans="12:25" x14ac:dyDescent="0.35">
      <c r="L414" s="185"/>
      <c r="M414" s="185"/>
      <c r="N414" s="185"/>
      <c r="O414" s="185"/>
      <c r="P414" s="185"/>
      <c r="Q414" s="185"/>
      <c r="R414" s="185"/>
      <c r="S414" s="185"/>
      <c r="T414" s="185"/>
      <c r="U414" s="185"/>
      <c r="V414" s="185"/>
      <c r="W414" s="185"/>
      <c r="X414" s="185"/>
      <c r="Y414" s="185"/>
    </row>
    <row r="415" spans="12:25" x14ac:dyDescent="0.35">
      <c r="L415" s="185"/>
      <c r="M415" s="185"/>
      <c r="N415" s="185"/>
      <c r="O415" s="185"/>
      <c r="P415" s="185"/>
      <c r="Q415" s="185"/>
      <c r="R415" s="185"/>
      <c r="S415" s="185"/>
      <c r="T415" s="185"/>
      <c r="U415" s="185"/>
      <c r="V415" s="185"/>
      <c r="W415" s="185"/>
      <c r="X415" s="185"/>
      <c r="Y415" s="185"/>
    </row>
    <row r="416" spans="12:25" x14ac:dyDescent="0.35">
      <c r="L416" s="185"/>
      <c r="M416" s="185"/>
      <c r="N416" s="185"/>
      <c r="O416" s="185"/>
      <c r="P416" s="185"/>
      <c r="Q416" s="185"/>
      <c r="R416" s="185"/>
      <c r="S416" s="185"/>
      <c r="T416" s="185"/>
      <c r="U416" s="185"/>
      <c r="V416" s="185"/>
      <c r="W416" s="185"/>
      <c r="X416" s="185"/>
      <c r="Y416" s="185"/>
    </row>
    <row r="417" spans="12:25" x14ac:dyDescent="0.35">
      <c r="L417" s="185"/>
      <c r="M417" s="185"/>
      <c r="N417" s="185"/>
      <c r="O417" s="185"/>
      <c r="P417" s="185"/>
      <c r="Q417" s="185"/>
      <c r="R417" s="185"/>
      <c r="S417" s="185"/>
      <c r="T417" s="185"/>
      <c r="U417" s="185"/>
      <c r="V417" s="185"/>
      <c r="W417" s="185"/>
      <c r="X417" s="185"/>
      <c r="Y417" s="185"/>
    </row>
    <row r="418" spans="12:25" x14ac:dyDescent="0.35">
      <c r="L418" s="185"/>
      <c r="M418" s="185"/>
      <c r="N418" s="185"/>
      <c r="O418" s="185"/>
      <c r="P418" s="185"/>
      <c r="Q418" s="185"/>
      <c r="R418" s="185"/>
      <c r="S418" s="185"/>
      <c r="T418" s="185"/>
      <c r="U418" s="185"/>
      <c r="V418" s="185"/>
      <c r="W418" s="185"/>
      <c r="X418" s="185"/>
      <c r="Y418" s="185"/>
    </row>
    <row r="419" spans="12:25" x14ac:dyDescent="0.35">
      <c r="L419" s="185"/>
      <c r="M419" s="185"/>
      <c r="N419" s="185"/>
      <c r="O419" s="185"/>
      <c r="P419" s="185"/>
      <c r="Q419" s="185"/>
      <c r="R419" s="185"/>
      <c r="S419" s="185"/>
      <c r="T419" s="185"/>
      <c r="U419" s="185"/>
      <c r="V419" s="185"/>
      <c r="W419" s="185"/>
      <c r="X419" s="185"/>
      <c r="Y419" s="185"/>
    </row>
    <row r="420" spans="12:25" x14ac:dyDescent="0.35">
      <c r="L420" s="185"/>
      <c r="M420" s="185"/>
      <c r="N420" s="185"/>
      <c r="O420" s="185"/>
      <c r="P420" s="185"/>
      <c r="Q420" s="185"/>
      <c r="R420" s="185"/>
      <c r="S420" s="185"/>
      <c r="T420" s="185"/>
      <c r="U420" s="185"/>
      <c r="V420" s="185"/>
      <c r="W420" s="185"/>
      <c r="X420" s="185"/>
      <c r="Y420" s="185"/>
    </row>
    <row r="421" spans="12:25" x14ac:dyDescent="0.35">
      <c r="L421" s="185"/>
      <c r="M421" s="185"/>
      <c r="N421" s="185"/>
      <c r="O421" s="185"/>
      <c r="P421" s="185"/>
      <c r="Q421" s="185"/>
      <c r="R421" s="185"/>
      <c r="S421" s="185"/>
      <c r="T421" s="185"/>
      <c r="U421" s="185"/>
      <c r="V421" s="185"/>
      <c r="W421" s="185"/>
      <c r="X421" s="185"/>
      <c r="Y421" s="185"/>
    </row>
    <row r="422" spans="12:25" x14ac:dyDescent="0.35">
      <c r="L422" s="185"/>
      <c r="M422" s="185"/>
      <c r="N422" s="185"/>
      <c r="O422" s="185"/>
      <c r="P422" s="185"/>
      <c r="Q422" s="185"/>
      <c r="R422" s="185"/>
      <c r="S422" s="185"/>
      <c r="T422" s="185"/>
      <c r="U422" s="185"/>
      <c r="V422" s="185"/>
      <c r="W422" s="185"/>
      <c r="X422" s="185"/>
      <c r="Y422" s="185"/>
    </row>
    <row r="423" spans="12:25" x14ac:dyDescent="0.35">
      <c r="L423" s="185"/>
      <c r="M423" s="185"/>
      <c r="N423" s="185"/>
      <c r="O423" s="185"/>
      <c r="P423" s="185"/>
      <c r="Q423" s="185"/>
      <c r="R423" s="185"/>
      <c r="S423" s="185"/>
      <c r="T423" s="185"/>
      <c r="U423" s="185"/>
      <c r="V423" s="185"/>
      <c r="W423" s="185"/>
      <c r="X423" s="185"/>
      <c r="Y423" s="185"/>
    </row>
    <row r="424" spans="12:25" x14ac:dyDescent="0.35">
      <c r="L424" s="185"/>
      <c r="M424" s="185"/>
      <c r="N424" s="185"/>
      <c r="O424" s="185"/>
      <c r="P424" s="185"/>
      <c r="Q424" s="185"/>
      <c r="R424" s="185"/>
      <c r="S424" s="185"/>
      <c r="T424" s="185"/>
      <c r="U424" s="185"/>
      <c r="V424" s="185"/>
      <c r="W424" s="185"/>
      <c r="X424" s="185"/>
      <c r="Y424" s="185"/>
    </row>
    <row r="425" spans="12:25" x14ac:dyDescent="0.35">
      <c r="L425" s="185"/>
      <c r="M425" s="185"/>
      <c r="N425" s="185"/>
      <c r="O425" s="185"/>
      <c r="P425" s="185"/>
      <c r="Q425" s="185"/>
      <c r="R425" s="185"/>
      <c r="S425" s="185"/>
      <c r="T425" s="185"/>
      <c r="U425" s="185"/>
      <c r="V425" s="185"/>
      <c r="W425" s="185"/>
      <c r="X425" s="185"/>
      <c r="Y425" s="185"/>
    </row>
    <row r="426" spans="12:25" x14ac:dyDescent="0.35">
      <c r="L426" s="185"/>
      <c r="M426" s="185"/>
      <c r="N426" s="185"/>
      <c r="O426" s="185"/>
      <c r="P426" s="185"/>
      <c r="Q426" s="185"/>
      <c r="R426" s="185"/>
      <c r="S426" s="185"/>
      <c r="T426" s="185"/>
      <c r="U426" s="185"/>
      <c r="V426" s="185"/>
      <c r="W426" s="185"/>
      <c r="X426" s="185"/>
      <c r="Y426" s="185"/>
    </row>
    <row r="427" spans="12:25" x14ac:dyDescent="0.35">
      <c r="L427" s="185"/>
      <c r="M427" s="185"/>
      <c r="N427" s="185"/>
      <c r="O427" s="185"/>
      <c r="P427" s="185"/>
      <c r="Q427" s="185"/>
      <c r="R427" s="185"/>
      <c r="S427" s="185"/>
      <c r="T427" s="185"/>
      <c r="U427" s="185"/>
      <c r="V427" s="185"/>
      <c r="W427" s="185"/>
      <c r="X427" s="185"/>
      <c r="Y427" s="185"/>
    </row>
    <row r="428" spans="12:25" x14ac:dyDescent="0.35">
      <c r="L428" s="185"/>
      <c r="M428" s="185"/>
      <c r="N428" s="185"/>
      <c r="O428" s="185"/>
      <c r="P428" s="185"/>
      <c r="Q428" s="185"/>
      <c r="R428" s="185"/>
      <c r="S428" s="185"/>
      <c r="T428" s="185"/>
      <c r="U428" s="185"/>
      <c r="V428" s="185"/>
      <c r="W428" s="185"/>
      <c r="X428" s="185"/>
      <c r="Y428" s="185"/>
    </row>
    <row r="429" spans="12:25" x14ac:dyDescent="0.35">
      <c r="L429" s="185"/>
      <c r="M429" s="185"/>
      <c r="N429" s="185"/>
      <c r="O429" s="185"/>
      <c r="P429" s="185"/>
      <c r="Q429" s="185"/>
      <c r="R429" s="185"/>
      <c r="S429" s="185"/>
      <c r="T429" s="185"/>
      <c r="U429" s="185"/>
      <c r="V429" s="185"/>
      <c r="W429" s="185"/>
      <c r="X429" s="185"/>
      <c r="Y429" s="185"/>
    </row>
    <row r="430" spans="12:25" x14ac:dyDescent="0.35">
      <c r="L430" s="185"/>
      <c r="M430" s="185"/>
      <c r="N430" s="185"/>
      <c r="O430" s="185"/>
      <c r="P430" s="185"/>
      <c r="Q430" s="185"/>
      <c r="R430" s="185"/>
      <c r="S430" s="185"/>
      <c r="T430" s="185"/>
      <c r="U430" s="185"/>
      <c r="V430" s="185"/>
      <c r="W430" s="185"/>
      <c r="X430" s="185"/>
      <c r="Y430" s="185"/>
    </row>
    <row r="431" spans="12:25" x14ac:dyDescent="0.35">
      <c r="L431" s="185"/>
      <c r="M431" s="185"/>
      <c r="N431" s="185"/>
      <c r="O431" s="185"/>
      <c r="P431" s="185"/>
      <c r="Q431" s="185"/>
      <c r="R431" s="185"/>
      <c r="S431" s="185"/>
      <c r="T431" s="185"/>
      <c r="U431" s="185"/>
      <c r="V431" s="185"/>
      <c r="W431" s="185"/>
      <c r="X431" s="185"/>
      <c r="Y431" s="185"/>
    </row>
    <row r="432" spans="12:25" x14ac:dyDescent="0.35">
      <c r="L432" s="185"/>
      <c r="M432" s="185"/>
      <c r="N432" s="185"/>
      <c r="O432" s="185"/>
      <c r="P432" s="185"/>
      <c r="Q432" s="185"/>
      <c r="R432" s="185"/>
      <c r="S432" s="185"/>
      <c r="T432" s="185"/>
      <c r="U432" s="185"/>
      <c r="V432" s="185"/>
      <c r="W432" s="185"/>
      <c r="X432" s="185"/>
      <c r="Y432" s="185"/>
    </row>
    <row r="433" spans="12:25" x14ac:dyDescent="0.35">
      <c r="L433" s="185"/>
      <c r="M433" s="185"/>
      <c r="N433" s="185"/>
      <c r="O433" s="185"/>
      <c r="P433" s="185"/>
      <c r="Q433" s="185"/>
      <c r="R433" s="185"/>
      <c r="S433" s="185"/>
      <c r="T433" s="185"/>
      <c r="U433" s="185"/>
      <c r="V433" s="185"/>
      <c r="W433" s="185"/>
      <c r="X433" s="185"/>
      <c r="Y433" s="185"/>
    </row>
    <row r="434" spans="12:25" x14ac:dyDescent="0.35">
      <c r="L434" s="185"/>
      <c r="M434" s="185"/>
      <c r="N434" s="185"/>
      <c r="O434" s="185"/>
      <c r="P434" s="185"/>
      <c r="Q434" s="185"/>
      <c r="R434" s="185"/>
      <c r="S434" s="185"/>
      <c r="T434" s="185"/>
      <c r="U434" s="185"/>
      <c r="V434" s="185"/>
      <c r="W434" s="185"/>
      <c r="X434" s="185"/>
      <c r="Y434" s="185"/>
    </row>
    <row r="435" spans="12:25" x14ac:dyDescent="0.35">
      <c r="L435" s="185"/>
      <c r="M435" s="185"/>
      <c r="N435" s="185"/>
      <c r="O435" s="185"/>
      <c r="P435" s="185"/>
      <c r="Q435" s="185"/>
      <c r="R435" s="185"/>
      <c r="S435" s="185"/>
      <c r="T435" s="185"/>
      <c r="U435" s="185"/>
      <c r="V435" s="185"/>
      <c r="W435" s="185"/>
      <c r="X435" s="185"/>
      <c r="Y435" s="185"/>
    </row>
    <row r="436" spans="12:25" x14ac:dyDescent="0.35">
      <c r="L436" s="185"/>
      <c r="M436" s="185"/>
      <c r="N436" s="185"/>
      <c r="O436" s="185"/>
      <c r="P436" s="185"/>
      <c r="Q436" s="185"/>
      <c r="R436" s="185"/>
      <c r="S436" s="185"/>
      <c r="T436" s="185"/>
      <c r="U436" s="185"/>
      <c r="V436" s="185"/>
      <c r="W436" s="185"/>
      <c r="X436" s="185"/>
      <c r="Y436" s="185"/>
    </row>
    <row r="437" spans="12:25" x14ac:dyDescent="0.35">
      <c r="L437" s="185"/>
      <c r="M437" s="185"/>
      <c r="N437" s="185"/>
      <c r="O437" s="185"/>
      <c r="P437" s="185"/>
      <c r="Q437" s="185"/>
      <c r="R437" s="185"/>
      <c r="S437" s="185"/>
      <c r="T437" s="185"/>
      <c r="U437" s="185"/>
      <c r="V437" s="185"/>
      <c r="W437" s="185"/>
      <c r="X437" s="185"/>
      <c r="Y437" s="185"/>
    </row>
    <row r="438" spans="12:25" x14ac:dyDescent="0.35">
      <c r="L438" s="185"/>
      <c r="M438" s="185"/>
      <c r="N438" s="185"/>
      <c r="O438" s="185"/>
      <c r="P438" s="185"/>
      <c r="Q438" s="185"/>
      <c r="R438" s="185"/>
      <c r="S438" s="185"/>
      <c r="T438" s="185"/>
      <c r="U438" s="185"/>
      <c r="V438" s="185"/>
      <c r="W438" s="185"/>
      <c r="X438" s="185"/>
      <c r="Y438" s="185"/>
    </row>
    <row r="439" spans="12:25" x14ac:dyDescent="0.35">
      <c r="L439" s="185"/>
      <c r="M439" s="185"/>
      <c r="N439" s="185"/>
      <c r="O439" s="185"/>
      <c r="P439" s="185"/>
      <c r="Q439" s="185"/>
      <c r="R439" s="185"/>
      <c r="S439" s="185"/>
      <c r="T439" s="185"/>
      <c r="U439" s="185"/>
      <c r="V439" s="185"/>
      <c r="W439" s="185"/>
      <c r="X439" s="185"/>
      <c r="Y439" s="185"/>
    </row>
    <row r="440" spans="12:25" x14ac:dyDescent="0.35">
      <c r="L440" s="185"/>
      <c r="M440" s="185"/>
      <c r="N440" s="185"/>
      <c r="O440" s="185"/>
      <c r="P440" s="185"/>
      <c r="Q440" s="185"/>
      <c r="R440" s="185"/>
      <c r="S440" s="185"/>
      <c r="T440" s="185"/>
      <c r="U440" s="185"/>
      <c r="V440" s="185"/>
      <c r="W440" s="185"/>
      <c r="X440" s="185"/>
      <c r="Y440" s="185"/>
    </row>
    <row r="441" spans="12:25" x14ac:dyDescent="0.35">
      <c r="L441" s="185"/>
      <c r="M441" s="185"/>
      <c r="N441" s="185"/>
      <c r="O441" s="185"/>
      <c r="P441" s="185"/>
      <c r="Q441" s="185"/>
      <c r="R441" s="185"/>
      <c r="S441" s="185"/>
      <c r="T441" s="185"/>
      <c r="U441" s="185"/>
      <c r="V441" s="185"/>
      <c r="W441" s="185"/>
      <c r="X441" s="185"/>
      <c r="Y441" s="185"/>
    </row>
    <row r="442" spans="12:25" x14ac:dyDescent="0.35">
      <c r="L442" s="185"/>
      <c r="M442" s="185"/>
      <c r="N442" s="185"/>
      <c r="O442" s="185"/>
      <c r="P442" s="185"/>
      <c r="Q442" s="185"/>
      <c r="R442" s="185"/>
      <c r="S442" s="185"/>
      <c r="T442" s="185"/>
      <c r="U442" s="185"/>
      <c r="V442" s="185"/>
      <c r="W442" s="185"/>
      <c r="X442" s="185"/>
      <c r="Y442" s="185"/>
    </row>
    <row r="443" spans="12:25" x14ac:dyDescent="0.35">
      <c r="L443" s="185"/>
      <c r="M443" s="185"/>
      <c r="N443" s="185"/>
      <c r="O443" s="185"/>
      <c r="P443" s="185"/>
      <c r="Q443" s="185"/>
      <c r="R443" s="185"/>
      <c r="S443" s="185"/>
      <c r="T443" s="185"/>
      <c r="U443" s="185"/>
      <c r="V443" s="185"/>
      <c r="W443" s="185"/>
      <c r="X443" s="185"/>
      <c r="Y443" s="185"/>
    </row>
    <row r="444" spans="12:25" x14ac:dyDescent="0.35">
      <c r="L444" s="185"/>
      <c r="M444" s="185"/>
      <c r="N444" s="185"/>
      <c r="O444" s="185"/>
      <c r="P444" s="185"/>
      <c r="Q444" s="185"/>
      <c r="R444" s="185"/>
      <c r="S444" s="185"/>
      <c r="T444" s="185"/>
      <c r="U444" s="185"/>
      <c r="V444" s="185"/>
      <c r="W444" s="185"/>
      <c r="X444" s="185"/>
      <c r="Y444" s="185"/>
    </row>
    <row r="445" spans="12:25" x14ac:dyDescent="0.35">
      <c r="L445" s="185"/>
      <c r="M445" s="185"/>
      <c r="N445" s="185"/>
      <c r="O445" s="185"/>
      <c r="P445" s="185"/>
      <c r="Q445" s="185"/>
      <c r="R445" s="185"/>
      <c r="S445" s="185"/>
      <c r="T445" s="185"/>
      <c r="U445" s="185"/>
      <c r="V445" s="185"/>
      <c r="W445" s="185"/>
      <c r="X445" s="185"/>
      <c r="Y445" s="185"/>
    </row>
    <row r="446" spans="12:25" x14ac:dyDescent="0.35">
      <c r="L446" s="185"/>
      <c r="M446" s="185"/>
      <c r="N446" s="185"/>
      <c r="O446" s="185"/>
      <c r="P446" s="185"/>
      <c r="Q446" s="185"/>
      <c r="R446" s="185"/>
      <c r="S446" s="185"/>
      <c r="T446" s="185"/>
      <c r="U446" s="185"/>
      <c r="V446" s="185"/>
      <c r="W446" s="185"/>
      <c r="X446" s="185"/>
      <c r="Y446" s="185"/>
    </row>
    <row r="447" spans="12:25" x14ac:dyDescent="0.35">
      <c r="L447" s="185"/>
      <c r="M447" s="185"/>
      <c r="N447" s="185"/>
      <c r="O447" s="185"/>
      <c r="P447" s="185"/>
      <c r="Q447" s="185"/>
      <c r="R447" s="185"/>
      <c r="S447" s="185"/>
      <c r="T447" s="185"/>
      <c r="U447" s="185"/>
      <c r="V447" s="185"/>
      <c r="W447" s="185"/>
      <c r="X447" s="185"/>
      <c r="Y447" s="185"/>
    </row>
    <row r="448" spans="12:25" x14ac:dyDescent="0.35">
      <c r="L448" s="185"/>
      <c r="M448" s="185"/>
      <c r="N448" s="185"/>
      <c r="O448" s="185"/>
      <c r="P448" s="185"/>
      <c r="Q448" s="185"/>
      <c r="R448" s="185"/>
      <c r="S448" s="185"/>
      <c r="T448" s="185"/>
      <c r="U448" s="185"/>
      <c r="V448" s="185"/>
      <c r="W448" s="185"/>
      <c r="X448" s="185"/>
      <c r="Y448" s="185"/>
    </row>
    <row r="449" spans="12:25" x14ac:dyDescent="0.35">
      <c r="L449" s="185"/>
      <c r="M449" s="185"/>
      <c r="N449" s="185"/>
      <c r="O449" s="185"/>
      <c r="P449" s="185"/>
      <c r="Q449" s="185"/>
      <c r="R449" s="185"/>
      <c r="S449" s="185"/>
      <c r="T449" s="185"/>
      <c r="U449" s="185"/>
      <c r="V449" s="185"/>
      <c r="W449" s="185"/>
      <c r="X449" s="185"/>
      <c r="Y449" s="185"/>
    </row>
    <row r="450" spans="12:25" x14ac:dyDescent="0.35">
      <c r="L450" s="185"/>
      <c r="M450" s="185"/>
      <c r="N450" s="185"/>
      <c r="O450" s="185"/>
      <c r="P450" s="185"/>
      <c r="Q450" s="185"/>
      <c r="R450" s="185"/>
      <c r="S450" s="185"/>
      <c r="T450" s="185"/>
      <c r="U450" s="185"/>
      <c r="V450" s="185"/>
      <c r="W450" s="185"/>
      <c r="X450" s="185"/>
      <c r="Y450" s="185"/>
    </row>
    <row r="451" spans="12:25" x14ac:dyDescent="0.35">
      <c r="Y451" s="185"/>
    </row>
    <row r="452" spans="12:25" x14ac:dyDescent="0.35">
      <c r="Y452" s="185"/>
    </row>
  </sheetData>
  <sheetProtection algorithmName="SHA-512" hashValue="gGIUP66zAe7XFu3YqA8M2YOqg8qbkhRFJwec51hF7h4zmyI6n+RQDCeS9Fn8GEVzwTo2zXPR8DpGkSjFOcRTUg==" saltValue="bKpOdWX2TUtGkoBWGchnNw==" spinCount="100000" sheet="1" objects="1" scenarios="1" selectLockedCells="1" selectUnlockedCells="1"/>
  <customSheetViews>
    <customSheetView guid="{33CCADFA-0D48-46A6-8927-2B2144029216}" showGridLines="0" showRowCol="0" outlineSymbols="0" zeroValues="0">
      <selection activeCell="C71" sqref="C71"/>
      <colBreaks count="1" manualBreakCount="1">
        <brk id="7" max="1048575" man="1"/>
      </colBreaks>
      <pageMargins left="0.26" right="0.16" top="0.35" bottom="0.19" header="0.17" footer="0.19"/>
      <pageSetup paperSize="9" scale="98" orientation="portrait" r:id="rId1"/>
      <headerFooter alignWithMargins="0">
        <oddHeader>&amp;L&amp;8&amp;F&amp;R&amp;8Datum en tijd; &amp;D  &amp;T&amp;CBed 0</oddHeader>
      </headerFooter>
    </customSheetView>
  </customSheetViews>
  <mergeCells count="5">
    <mergeCell ref="B30:B31"/>
    <mergeCell ref="B27:B28"/>
    <mergeCell ref="E16:F17"/>
    <mergeCell ref="E20:F21"/>
    <mergeCell ref="E31:F32"/>
  </mergeCells>
  <phoneticPr fontId="29" type="noConversion"/>
  <pageMargins left="0.26" right="0.16" top="0.35" bottom="0.19" header="0.17" footer="0.19"/>
  <pageSetup paperSize="9" scale="92" orientation="portrait" r:id="rId2"/>
  <headerFooter alignWithMargins="0">
    <oddHeader>&amp;L&amp;8&amp;F&amp;R&amp;8Datum en tijd; &amp;D  &amp;T&amp;CBed 0</oddHeader>
  </headerFooter>
  <colBreaks count="1" manualBreakCount="1">
    <brk id="7" max="1048575" man="1"/>
  </colBreaks>
  <drawing r:id="rId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blHeightNL">
    <tabColor rgb="FFFFC000"/>
  </sheetPr>
  <dimension ref="A1:D45"/>
  <sheetViews>
    <sheetView workbookViewId="0"/>
  </sheetViews>
  <sheetFormatPr defaultRowHeight="12.85" x14ac:dyDescent="0.35"/>
  <sheetData>
    <row r="1" spans="1:4" ht="25.65" x14ac:dyDescent="0.35">
      <c r="A1" s="584" t="s">
        <v>39</v>
      </c>
      <c r="B1" t="s">
        <v>41</v>
      </c>
      <c r="C1" t="s">
        <v>42</v>
      </c>
    </row>
    <row r="2" spans="1:4" x14ac:dyDescent="0.35">
      <c r="A2" s="25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35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35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35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35">
      <c r="A6" s="577">
        <v>0.75</v>
      </c>
      <c r="B6">
        <v>72.599999999999994</v>
      </c>
      <c r="C6">
        <v>71</v>
      </c>
      <c r="D6">
        <f t="shared" si="0"/>
        <v>71.8</v>
      </c>
    </row>
    <row r="7" spans="1:4" x14ac:dyDescent="0.35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35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35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35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35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35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35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35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35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35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35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35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35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35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35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35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35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35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35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35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35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35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35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35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35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35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35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35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35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35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35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35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35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35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35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35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35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35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35">
      <c r="A45">
        <v>20</v>
      </c>
      <c r="B45">
        <v>182</v>
      </c>
      <c r="C45">
        <v>168.3</v>
      </c>
      <c r="D45">
        <f t="shared" si="0"/>
        <v>175.15</v>
      </c>
    </row>
  </sheetData>
  <dataConsolidate/>
  <customSheetViews>
    <customSheetView guid="{33CCADFA-0D48-46A6-8927-2B2144029216}" state="veryHidden">
      <selection activeCell="I8" sqref="I8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pageSetup orientation="portrait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blWeigthNL">
    <tabColor rgb="FFFFC000"/>
  </sheetPr>
  <dimension ref="A1:T49"/>
  <sheetViews>
    <sheetView workbookViewId="0"/>
  </sheetViews>
  <sheetFormatPr defaultRowHeight="12.85" x14ac:dyDescent="0.35"/>
  <cols>
    <col min="2" max="2" width="8.265625" customWidth="1"/>
    <col min="3" max="3" width="10.73046875" customWidth="1"/>
  </cols>
  <sheetData>
    <row r="1" spans="1:20" ht="25.65" x14ac:dyDescent="0.35">
      <c r="A1" s="584" t="s">
        <v>39</v>
      </c>
      <c r="B1" s="25" t="s">
        <v>39</v>
      </c>
      <c r="C1" s="25" t="s">
        <v>40</v>
      </c>
      <c r="I1" t="s">
        <v>41</v>
      </c>
      <c r="P1" t="s">
        <v>42</v>
      </c>
    </row>
    <row r="2" spans="1:20" x14ac:dyDescent="0.35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188">
        <f t="shared" ref="T2:T49" si="0">(D2+L2)/2</f>
        <v>3.7850000000000001</v>
      </c>
    </row>
    <row r="3" spans="1:20" x14ac:dyDescent="0.35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188">
        <f t="shared" si="0"/>
        <v>3.7850000000000001</v>
      </c>
    </row>
    <row r="4" spans="1:20" x14ac:dyDescent="0.35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188">
        <f t="shared" si="0"/>
        <v>4.415</v>
      </c>
    </row>
    <row r="5" spans="1:20" x14ac:dyDescent="0.35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189">
        <f t="shared" si="0"/>
        <v>4.99</v>
      </c>
    </row>
    <row r="6" spans="1:20" x14ac:dyDescent="0.35">
      <c r="A6" s="577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189">
        <f t="shared" si="0"/>
        <v>5.5049999999999999</v>
      </c>
    </row>
    <row r="7" spans="1:20" x14ac:dyDescent="0.35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189">
        <f t="shared" si="0"/>
        <v>6.4399999999999995</v>
      </c>
    </row>
    <row r="8" spans="1:20" x14ac:dyDescent="0.35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189">
        <f t="shared" si="0"/>
        <v>7.3949999999999996</v>
      </c>
    </row>
    <row r="9" spans="1:20" x14ac:dyDescent="0.35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189">
        <f t="shared" si="0"/>
        <v>8.02</v>
      </c>
    </row>
    <row r="10" spans="1:20" x14ac:dyDescent="0.35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189">
        <f t="shared" si="0"/>
        <v>8.8000000000000007</v>
      </c>
    </row>
    <row r="11" spans="1:20" x14ac:dyDescent="0.35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189">
        <f t="shared" si="0"/>
        <v>9.4749999999999996</v>
      </c>
    </row>
    <row r="12" spans="1:20" x14ac:dyDescent="0.35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189">
        <f t="shared" si="0"/>
        <v>9.8000000000000007</v>
      </c>
    </row>
    <row r="13" spans="1:20" x14ac:dyDescent="0.35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189">
        <f t="shared" si="0"/>
        <v>11.5</v>
      </c>
    </row>
    <row r="14" spans="1:20" x14ac:dyDescent="0.35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189">
        <f t="shared" si="0"/>
        <v>12.8</v>
      </c>
    </row>
    <row r="15" spans="1:20" x14ac:dyDescent="0.35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189">
        <f t="shared" si="0"/>
        <v>14.05</v>
      </c>
    </row>
    <row r="16" spans="1:20" x14ac:dyDescent="0.35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189">
        <f t="shared" si="0"/>
        <v>15.2</v>
      </c>
    </row>
    <row r="17" spans="1:20" x14ac:dyDescent="0.35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189">
        <f t="shared" si="0"/>
        <v>16.3</v>
      </c>
    </row>
    <row r="18" spans="1:20" x14ac:dyDescent="0.35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189">
        <f t="shared" si="0"/>
        <v>17.399999999999999</v>
      </c>
    </row>
    <row r="19" spans="1:20" x14ac:dyDescent="0.35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189">
        <f t="shared" si="0"/>
        <v>18.450000000000003</v>
      </c>
    </row>
    <row r="20" spans="1:20" x14ac:dyDescent="0.35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189">
        <f t="shared" si="0"/>
        <v>19.450000000000003</v>
      </c>
    </row>
    <row r="21" spans="1:20" x14ac:dyDescent="0.35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189">
        <f t="shared" si="0"/>
        <v>20.450000000000003</v>
      </c>
    </row>
    <row r="22" spans="1:20" x14ac:dyDescent="0.35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189">
        <f t="shared" si="0"/>
        <v>21.549999999999997</v>
      </c>
    </row>
    <row r="23" spans="1:20" x14ac:dyDescent="0.35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189">
        <f t="shared" si="0"/>
        <v>22.799999999999997</v>
      </c>
    </row>
    <row r="24" spans="1:20" x14ac:dyDescent="0.35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189">
        <f t="shared" si="0"/>
        <v>24.15</v>
      </c>
    </row>
    <row r="25" spans="1:20" x14ac:dyDescent="0.35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189">
        <f t="shared" si="0"/>
        <v>25.5</v>
      </c>
    </row>
    <row r="26" spans="1:20" x14ac:dyDescent="0.35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189">
        <f t="shared" si="0"/>
        <v>26.85</v>
      </c>
    </row>
    <row r="27" spans="1:20" x14ac:dyDescent="0.35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189">
        <f t="shared" si="0"/>
        <v>28.3</v>
      </c>
    </row>
    <row r="28" spans="1:20" x14ac:dyDescent="0.35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189">
        <f t="shared" si="0"/>
        <v>29.8</v>
      </c>
    </row>
    <row r="29" spans="1:20" x14ac:dyDescent="0.35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189">
        <f t="shared" si="0"/>
        <v>31.4</v>
      </c>
    </row>
    <row r="30" spans="1:20" x14ac:dyDescent="0.35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189">
        <f t="shared" si="0"/>
        <v>33.1</v>
      </c>
    </row>
    <row r="31" spans="1:20" x14ac:dyDescent="0.35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189">
        <f t="shared" si="0"/>
        <v>34.85</v>
      </c>
    </row>
    <row r="32" spans="1:20" x14ac:dyDescent="0.35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189">
        <f t="shared" si="0"/>
        <v>36.75</v>
      </c>
    </row>
    <row r="33" spans="1:20" x14ac:dyDescent="0.35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189">
        <f t="shared" si="0"/>
        <v>38.85</v>
      </c>
    </row>
    <row r="34" spans="1:20" x14ac:dyDescent="0.35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189">
        <f t="shared" si="0"/>
        <v>41.15</v>
      </c>
    </row>
    <row r="35" spans="1:20" x14ac:dyDescent="0.35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189">
        <f t="shared" si="0"/>
        <v>43.65</v>
      </c>
    </row>
    <row r="36" spans="1:20" x14ac:dyDescent="0.35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189">
        <f t="shared" si="0"/>
        <v>46.15</v>
      </c>
    </row>
    <row r="37" spans="1:20" x14ac:dyDescent="0.35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189">
        <f t="shared" si="0"/>
        <v>48.85</v>
      </c>
    </row>
    <row r="38" spans="1:20" x14ac:dyDescent="0.35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189">
        <f t="shared" si="0"/>
        <v>51.5</v>
      </c>
    </row>
    <row r="39" spans="1:20" x14ac:dyDescent="0.35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189">
        <f t="shared" si="0"/>
        <v>54.05</v>
      </c>
    </row>
    <row r="40" spans="1:20" x14ac:dyDescent="0.35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189">
        <f t="shared" si="0"/>
        <v>56.35</v>
      </c>
    </row>
    <row r="41" spans="1:20" x14ac:dyDescent="0.35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189">
        <f t="shared" si="0"/>
        <v>58.2</v>
      </c>
    </row>
    <row r="42" spans="1:20" x14ac:dyDescent="0.35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189">
        <f t="shared" si="0"/>
        <v>59.8</v>
      </c>
    </row>
    <row r="43" spans="1:20" x14ac:dyDescent="0.35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189">
        <f t="shared" si="0"/>
        <v>61.05</v>
      </c>
    </row>
    <row r="44" spans="1:20" x14ac:dyDescent="0.35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189">
        <f t="shared" si="0"/>
        <v>62.2</v>
      </c>
    </row>
    <row r="45" spans="1:20" x14ac:dyDescent="0.35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189">
        <f t="shared" si="0"/>
        <v>63.3</v>
      </c>
    </row>
    <row r="46" spans="1:20" x14ac:dyDescent="0.35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189">
        <f t="shared" si="0"/>
        <v>64.2</v>
      </c>
    </row>
    <row r="47" spans="1:20" x14ac:dyDescent="0.35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189">
        <f t="shared" si="0"/>
        <v>65</v>
      </c>
    </row>
    <row r="48" spans="1:20" x14ac:dyDescent="0.35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189">
        <f t="shared" si="0"/>
        <v>65.7</v>
      </c>
    </row>
    <row r="49" spans="1:20" x14ac:dyDescent="0.35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189">
        <f t="shared" si="0"/>
        <v>66.099999999999994</v>
      </c>
    </row>
  </sheetData>
  <customSheetViews>
    <customSheetView guid="{33CCADFA-0D48-46A6-8927-2B2144029216}" state="veryHidden">
      <selection sqref="A1:C65536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Afspraken">
    <tabColor rgb="FF7030A0"/>
    <pageSetUpPr autoPageBreaks="0"/>
  </sheetPr>
  <dimension ref="A1:M201"/>
  <sheetViews>
    <sheetView topLeftCell="A22" zoomScaleNormal="100" workbookViewId="0"/>
  </sheetViews>
  <sheetFormatPr defaultColWidth="10.73046875" defaultRowHeight="12.65" customHeight="1" x14ac:dyDescent="0.3"/>
  <cols>
    <col min="1" max="1" width="2.73046875" style="711" customWidth="1"/>
    <col min="2" max="2" width="2.59765625" style="710" customWidth="1"/>
    <col min="3" max="3" width="14" style="711" customWidth="1"/>
    <col min="4" max="5" width="11.265625" style="711" customWidth="1"/>
    <col min="6" max="6" width="10.73046875" style="711" customWidth="1"/>
    <col min="7" max="10" width="11.265625" style="711" customWidth="1"/>
    <col min="11" max="11" width="10.73046875" style="711" customWidth="1"/>
    <col min="12" max="12" width="10.73046875" style="712" customWidth="1"/>
    <col min="13" max="16384" width="10.73046875" style="711"/>
  </cols>
  <sheetData>
    <row r="1" spans="1:12" ht="12.65" customHeight="1" x14ac:dyDescent="0.3">
      <c r="A1" s="709"/>
    </row>
    <row r="2" spans="1:12" ht="12.65" customHeight="1" x14ac:dyDescent="0.3">
      <c r="B2" s="713"/>
      <c r="C2" s="714" t="s">
        <v>936</v>
      </c>
      <c r="D2" s="715">
        <f ca="1">TODAY()</f>
        <v>42722</v>
      </c>
      <c r="E2" s="714" t="s">
        <v>937</v>
      </c>
      <c r="F2" s="880" t="str">
        <f>_AchterNaam&amp;", "&amp;_VoorNaam</f>
        <v>Achternaam, Voornaam</v>
      </c>
      <c r="G2" s="880"/>
      <c r="H2" s="716" t="s">
        <v>572</v>
      </c>
      <c r="I2" s="711" t="str">
        <f>Gewicht/10&amp;" kg"</f>
        <v>10 kg</v>
      </c>
      <c r="J2" s="707"/>
      <c r="L2" s="717"/>
    </row>
    <row r="3" spans="1:12" ht="12.65" customHeight="1" x14ac:dyDescent="0.3">
      <c r="B3" s="713"/>
      <c r="C3" s="714" t="s">
        <v>439</v>
      </c>
      <c r="D3" s="718" t="e">
        <f ca="1">AfspraakDatum-OpnDatum+1</f>
        <v>#NAME?</v>
      </c>
      <c r="E3" s="714" t="s">
        <v>935</v>
      </c>
      <c r="F3" s="719">
        <f>GebDatum</f>
        <v>42370</v>
      </c>
      <c r="G3" s="707"/>
      <c r="H3" s="716" t="s">
        <v>265</v>
      </c>
      <c r="I3" s="711" t="str">
        <f>Lengte&amp;" cm"</f>
        <v>80 cm</v>
      </c>
      <c r="J3" s="707"/>
      <c r="L3" s="717"/>
    </row>
    <row r="4" spans="1:12" ht="12" customHeight="1" x14ac:dyDescent="0.3">
      <c r="B4" s="713"/>
      <c r="C4" s="714" t="s">
        <v>1001</v>
      </c>
      <c r="D4" s="718">
        <f>BedNummer</f>
        <v>0</v>
      </c>
      <c r="F4" s="707"/>
      <c r="H4" s="716" t="s">
        <v>266</v>
      </c>
      <c r="I4" s="711" t="str">
        <f>ROUND(POWER(Gewicht/10,0.425)*POWER(((Lengte/100)*100),0.725)*0.007184,2)&amp;" m2"</f>
        <v>0,46 m2</v>
      </c>
    </row>
    <row r="5" spans="1:12" ht="14.15" customHeight="1" x14ac:dyDescent="0.3">
      <c r="A5" s="720"/>
      <c r="B5" s="721" t="str">
        <f>Intake!C8</f>
        <v>Voeding</v>
      </c>
      <c r="C5" s="720"/>
      <c r="D5" s="720"/>
      <c r="E5" s="720"/>
      <c r="F5" s="720"/>
      <c r="G5" s="720"/>
      <c r="H5" s="720"/>
      <c r="I5" s="720"/>
      <c r="J5" s="720"/>
      <c r="K5" s="710"/>
    </row>
    <row r="6" spans="1:12" ht="14.15" customHeight="1" x14ac:dyDescent="0.3">
      <c r="A6" s="709"/>
      <c r="B6" s="713"/>
      <c r="C6" s="716" t="s">
        <v>507</v>
      </c>
      <c r="F6" s="716"/>
      <c r="G6" s="711" t="str">
        <f>INDEX(tblSonde,ber_PO!O2,1)</f>
        <v>Enteraal voeding</v>
      </c>
      <c r="K6" s="710"/>
    </row>
    <row r="7" spans="1:12" ht="14.15" customHeight="1" x14ac:dyDescent="0.3">
      <c r="C7" s="711">
        <f>IF(G7&lt;&gt;"",INDEX(tblVoedingPO,KeuzePO_1,1),)</f>
        <v>0</v>
      </c>
      <c r="F7" s="711" t="str">
        <f>Intake!G9</f>
        <v/>
      </c>
      <c r="G7" s="711" t="str">
        <f>Intake!C9&amp;" "&amp;Intake!D9</f>
        <v xml:space="preserve"> </v>
      </c>
      <c r="K7" s="710"/>
      <c r="L7" s="717"/>
    </row>
    <row r="8" spans="1:12" ht="12.65" customHeight="1" x14ac:dyDescent="0.3">
      <c r="B8" s="713"/>
      <c r="C8" s="716"/>
      <c r="D8" s="722" t="str">
        <f>IF(KeuzePO_2&gt;1,"met "&amp;Intake!C11&amp;" "&amp;Intake!D11&amp;" "&amp;INDEX(tblPO_poederlijst,KeuzePO_2,1),"")</f>
        <v/>
      </c>
      <c r="H8" s="711" t="str">
        <f>Intake!I11</f>
        <v/>
      </c>
      <c r="K8" s="710"/>
      <c r="L8" s="717"/>
    </row>
    <row r="9" spans="1:12" ht="12.65" customHeight="1" x14ac:dyDescent="0.3">
      <c r="B9" s="713"/>
      <c r="C9" s="716"/>
      <c r="D9" s="722" t="str">
        <f>IF(KeuzePO_3&gt;1,"met "&amp;Intake!C12&amp;" "&amp;Intake!D12&amp;" "&amp;INDEX(tblPO_poederlijst,KeuzePO_3,1),"")</f>
        <v/>
      </c>
      <c r="H9" s="711" t="str">
        <f>Intake!I12</f>
        <v/>
      </c>
      <c r="K9" s="710"/>
      <c r="L9" s="717"/>
    </row>
    <row r="10" spans="1:12" ht="12.65" customHeight="1" x14ac:dyDescent="0.3">
      <c r="B10" s="713"/>
      <c r="C10" s="716"/>
      <c r="D10" s="722" t="str">
        <f>IF(KeuzePO_4&gt;1,"met "&amp;Intake!C13&amp;" "&amp;Intake!D13&amp;" "&amp;INDEX(tblPO_poederlijst,KeuzePO_4,1),"")</f>
        <v/>
      </c>
      <c r="H10" s="711" t="str">
        <f>Intake!I13</f>
        <v/>
      </c>
      <c r="K10" s="723"/>
      <c r="L10" s="717"/>
    </row>
    <row r="11" spans="1:12" ht="12.65" customHeight="1" x14ac:dyDescent="0.3">
      <c r="K11" s="723"/>
      <c r="L11" s="717"/>
    </row>
    <row r="12" spans="1:12" ht="12.65" customHeight="1" x14ac:dyDescent="0.3">
      <c r="A12" s="720"/>
      <c r="B12" s="724"/>
      <c r="C12" s="725" t="s">
        <v>596</v>
      </c>
      <c r="D12" s="881">
        <f>ber_Opm!C15</f>
        <v>0</v>
      </c>
      <c r="E12" s="882"/>
      <c r="F12" s="882"/>
      <c r="G12" s="882"/>
      <c r="H12" s="882"/>
      <c r="I12" s="882"/>
      <c r="J12" s="882"/>
      <c r="K12" s="723"/>
      <c r="L12" s="717"/>
    </row>
    <row r="13" spans="1:12" ht="12.65" customHeight="1" x14ac:dyDescent="0.3">
      <c r="L13" s="717"/>
    </row>
    <row r="14" spans="1:12" ht="12.65" customHeight="1" x14ac:dyDescent="0.3">
      <c r="A14" s="720"/>
      <c r="B14" s="721" t="s">
        <v>246</v>
      </c>
      <c r="C14" s="720"/>
      <c r="D14" s="720"/>
      <c r="E14" s="720"/>
      <c r="F14" s="720"/>
      <c r="G14" s="720"/>
      <c r="H14" s="720"/>
      <c r="I14" s="720"/>
      <c r="J14" s="720"/>
      <c r="L14" s="717"/>
    </row>
    <row r="15" spans="1:12" ht="12.65" customHeight="1" x14ac:dyDescent="0.3">
      <c r="B15" s="716"/>
      <c r="C15" s="716" t="s">
        <v>770</v>
      </c>
      <c r="D15" s="889" t="str">
        <f>TRIM(Ber_Lab!B4&amp;" "&amp;Ber_Lab!B5&amp;" "&amp;Ber_Lab!B6&amp;" "&amp;Ber_Lab!B7&amp;" "&amp;Ber_Lab!B8&amp;" "&amp;Ber_Lab!B9&amp;" "&amp;Ber_Lab!B10&amp;" "&amp;Ber_Lab!B11&amp;" "&amp;Ber_Lab!B12&amp;" "&amp;Ber_Lab!B13&amp;" "&amp;Ber_Lab!B14&amp;" "&amp;Ber_Lab!B15&amp;" "&amp;Ber_Lab!B16&amp;" "&amp;Ber_Lab!B17&amp;" "&amp;Ber_Lab!B18&amp;" "&amp;Ber_Lab!B19&amp;" "&amp;Ber_Lab!B20&amp;" "&amp;Ber_Lab!B21&amp;" "&amp;Ber_Lab!B22&amp;" "&amp;Ber_Lab!B23&amp;" "&amp;Ber_Lab!B24&amp;" "&amp;Ber_Lab!B25&amp;" "&amp;Ber_Lab!B26&amp;" "&amp;Ber_Lab!B27&amp;" "&amp;Ber_Lab!B28&amp;" "&amp;Ber_Lab!B29&amp;" "&amp;Ber_Lab!B30&amp;" "&amp;Ber_Lab!B31&amp;" "&amp;Ber_Lab!B32&amp;" "&amp;Ber_Lab!B33&amp;" "&amp;Ber_Lab!B34&amp;" "&amp;Ber_Lab!B35)</f>
        <v/>
      </c>
      <c r="E15" s="890"/>
      <c r="F15" s="890"/>
      <c r="G15" s="890"/>
      <c r="H15" s="890"/>
      <c r="I15" s="890"/>
      <c r="J15" s="890"/>
      <c r="L15" s="717"/>
    </row>
    <row r="16" spans="1:12" ht="12.65" customHeight="1" x14ac:dyDescent="0.3">
      <c r="B16" s="716"/>
      <c r="C16" s="716" t="s">
        <v>926</v>
      </c>
      <c r="D16" s="887" t="str">
        <f>TRIM(Ber_Lab!D4&amp;" "&amp;Ber_Lab!D5&amp;" "&amp;Ber_Lab!D6&amp;" "&amp;Ber_Lab!D7&amp;" "&amp;Ber_Lab!D8&amp;" "&amp;Ber_Lab!D9&amp;" "&amp;Ber_Lab!D10&amp;" "&amp;Ber_Lab!D11&amp;" "&amp;Ber_Lab!D12&amp;" "&amp;Ber_Lab!D13&amp;" "&amp;Ber_Lab!D14&amp;" "&amp;Ber_Lab!D15&amp;" "&amp;Ber_Lab!D16&amp;" "&amp;Ber_Lab!D17&amp;" "&amp;Ber_Lab!D18&amp;" "&amp;Ber_Lab!D19&amp;" "&amp;Ber_Lab!D20&amp;" "&amp;Ber_Lab!D21&amp;" "&amp;Ber_Lab!D22&amp;" "&amp;Ber_Lab!D23&amp;" "&amp;Ber_Lab!D24&amp;" "&amp;Ber_Lab!D25&amp;" "&amp;Ber_Lab!D26&amp;" "&amp;Ber_Lab!D27&amp;" "&amp;Ber_Lab!D28&amp;" "&amp;Ber_Lab!D29&amp;" "&amp;Ber_Lab!D30&amp;" "&amp;Ber_Lab!D31&amp;" "&amp;Ber_Lab!D32&amp;" "&amp;Ber_Lab!D33&amp;" "&amp;Ber_Lab!D34)</f>
        <v>A</v>
      </c>
      <c r="E16" s="888"/>
      <c r="F16" s="888"/>
      <c r="G16" s="888"/>
      <c r="H16" s="888"/>
      <c r="I16" s="888"/>
      <c r="J16" s="888"/>
      <c r="L16" s="717"/>
    </row>
    <row r="17" spans="1:12" ht="12.65" customHeight="1" x14ac:dyDescent="0.3">
      <c r="B17" s="716"/>
      <c r="C17" s="716" t="s">
        <v>927</v>
      </c>
      <c r="D17" s="887" t="str">
        <f>TRIM(Ber_Lab!F4&amp;" "&amp;Ber_Lab!F5&amp;" "&amp;Ber_Lab!F6&amp;" "&amp;Ber_Lab!F7&amp;" "&amp;Ber_Lab!F8&amp;" "&amp;Ber_Lab!F9&amp;" "&amp;Ber_Lab!F10&amp;" "&amp;Ber_Lab!F11&amp;" "&amp;Ber_Lab!F12&amp;" "&amp;Ber_Lab!F13&amp;" "&amp;Ber_Lab!F14&amp;" "&amp;Ber_Lab!F15&amp;" "&amp;Ber_Lab!F16&amp;" "&amp;Ber_Lab!F17&amp;" "&amp;Ber_Lab!F18&amp;" "&amp;Ber_Lab!F19&amp;" "&amp;Ber_Lab!F20&amp;" "&amp;Ber_Lab!F21&amp;" "&amp;Ber_Lab!F22&amp;" "&amp;Ber_Lab!F23&amp;" "&amp;Ber_Lab!F24&amp;" "&amp;Ber_Lab!F25&amp;" "&amp;Ber_Lab!F26&amp;" "&amp;Ber_Lab!F27&amp;" "&amp;Ber_Lab!F28&amp;" "&amp;Ber_Lab!F29&amp;" "&amp;Ber_Lab!F30&amp;" "&amp;Ber_Lab!F31&amp;" "&amp;Ber_Lab!F32&amp;" "&amp;Ber_Lab!F33&amp;" "&amp;Ber_Lab!F34)</f>
        <v/>
      </c>
      <c r="E17" s="891"/>
      <c r="F17" s="891"/>
      <c r="G17" s="891"/>
      <c r="H17" s="891"/>
      <c r="I17" s="891"/>
      <c r="J17" s="891"/>
      <c r="L17" s="717"/>
    </row>
    <row r="18" spans="1:12" ht="12.65" customHeight="1" x14ac:dyDescent="0.3">
      <c r="B18" s="716"/>
      <c r="C18" s="716" t="s">
        <v>286</v>
      </c>
      <c r="D18" s="887" t="str">
        <f>TRIM(Ber_Lab!H4&amp;" "&amp;Ber_Lab!H5&amp;" "&amp;Ber_Lab!H6&amp;" "&amp;Ber_Lab!H7&amp;" "&amp;Ber_Lab!H8&amp;" "&amp;Ber_Lab!H9&amp;" "&amp;Ber_Lab!H10&amp;" "&amp;Ber_Lab!H11&amp;" "&amp;Ber_Lab!H12&amp;" "&amp;Ber_Lab!H13&amp;" "&amp;Ber_Lab!H14&amp;" "&amp;Ber_Lab!H15&amp;" "&amp;Ber_Lab!H16&amp;" "&amp;Ber_Lab!H17&amp;" "&amp;Ber_Lab!H18&amp;" "&amp;Ber_Lab!H19&amp;" "&amp;Ber_Lab!H20&amp;" "&amp;Ber_Lab!H21&amp;" "&amp;Ber_Lab!H22&amp;" "&amp;Ber_Lab!H23&amp;" "&amp;Ber_Lab!H24&amp;" "&amp;Ber_Lab!H25&amp;" "&amp;Ber_Lab!H26&amp;" "&amp;Ber_Lab!H27&amp;" "&amp;Ber_Lab!H28&amp;" "&amp;Ber_Lab!H29&amp;" "&amp;Ber_Lab!H30&amp;" "&amp;Ber_Lab!H31&amp;" "&amp;Ber_Lab!H32&amp;" "&amp;Ber_Lab!H33&amp;" "&amp;Ber_Lab!H34)</f>
        <v/>
      </c>
      <c r="E18" s="891"/>
      <c r="F18" s="891"/>
      <c r="G18" s="891"/>
      <c r="H18" s="891"/>
      <c r="I18" s="891"/>
      <c r="J18" s="891"/>
      <c r="L18" s="717"/>
    </row>
    <row r="19" spans="1:12" ht="12.65" customHeight="1" x14ac:dyDescent="0.3">
      <c r="B19" s="716"/>
      <c r="C19" s="726" t="s">
        <v>25</v>
      </c>
      <c r="D19" s="887" t="str">
        <f>TRIM(Ber_Lab!K4&amp;" "&amp;Ber_Lab!K5&amp;" "&amp;Ber_Lab!K6&amp;" "&amp;Ber_Lab!K7&amp;" "&amp;Ber_Lab!K8&amp;" "&amp;Ber_Lab!K9&amp;" "&amp;Ber_Lab!K10&amp;" "&amp;Ber_Lab!K11&amp;" "&amp;Ber_Lab!K12&amp;" "&amp;Ber_Lab!K13&amp;" "&amp;Ber_Lab!K14&amp;" "&amp;Ber_Lab!K15&amp;" "&amp;Ber_Lab!K16&amp;" "&amp;Ber_Lab!K17&amp;" "&amp;Ber_Lab!K18&amp;" "&amp;Ber_Lab!K19&amp;" "&amp;Ber_Lab!K20&amp;" "&amp;Ber_Lab!K21&amp;" "&amp;Ber_Lab!K22&amp;" "&amp;Ber_Lab!K23&amp;" "&amp;Ber_Lab!K24&amp;" "&amp;Ber_Lab!K25&amp;" "&amp;Ber_Lab!K26&amp;" "&amp;Ber_Lab!K27&amp;" "&amp;Ber_Lab!K28&amp;" "&amp;Ber_Lab!K29&amp;" "&amp;Ber_Lab!K30&amp;" "&amp;Ber_Lab!K31&amp;" "&amp;Ber_Lab!K32&amp;" "&amp;Ber_Lab!K33&amp;" "&amp;Ber_Lab!K34)</f>
        <v/>
      </c>
      <c r="E19" s="892"/>
      <c r="F19" s="892"/>
      <c r="G19" s="892"/>
      <c r="H19" s="892"/>
      <c r="I19" s="892"/>
      <c r="J19" s="892"/>
      <c r="L19" s="717"/>
    </row>
    <row r="20" spans="1:12" ht="12.65" customHeight="1" x14ac:dyDescent="0.3">
      <c r="B20" s="716"/>
      <c r="C20" s="726" t="s">
        <v>596</v>
      </c>
      <c r="D20" s="883">
        <f>ber_Opm!C10</f>
        <v>0</v>
      </c>
      <c r="E20" s="884"/>
      <c r="F20" s="884"/>
      <c r="G20" s="884"/>
      <c r="H20" s="884"/>
      <c r="I20" s="884"/>
      <c r="J20" s="884"/>
      <c r="L20" s="717"/>
    </row>
    <row r="21" spans="1:12" ht="12.65" customHeight="1" x14ac:dyDescent="0.3">
      <c r="A21" s="720"/>
      <c r="B21" s="725"/>
      <c r="C21" s="727"/>
      <c r="D21" s="885"/>
      <c r="E21" s="885"/>
      <c r="F21" s="885"/>
      <c r="G21" s="885"/>
      <c r="H21" s="885"/>
      <c r="I21" s="885"/>
      <c r="J21" s="885"/>
      <c r="L21" s="717"/>
    </row>
    <row r="22" spans="1:12" ht="12.65" customHeight="1" x14ac:dyDescent="0.3">
      <c r="L22" s="717"/>
    </row>
    <row r="23" spans="1:12" ht="12.65" customHeight="1" x14ac:dyDescent="0.3">
      <c r="A23" s="720"/>
      <c r="B23" s="721" t="s">
        <v>131</v>
      </c>
      <c r="C23" s="728"/>
      <c r="D23" s="720"/>
      <c r="E23" s="720"/>
      <c r="F23" s="720"/>
      <c r="G23" s="720"/>
      <c r="H23" s="720"/>
      <c r="I23" s="720"/>
      <c r="J23" s="720"/>
      <c r="L23" s="717"/>
    </row>
    <row r="24" spans="1:12" ht="12.65" customHeight="1" x14ac:dyDescent="0.3">
      <c r="B24" s="710" t="s">
        <v>584</v>
      </c>
      <c r="C24" s="729" t="s">
        <v>1474</v>
      </c>
      <c r="D24" s="729" t="str">
        <f>IFERROR(LEFT(_Aanvullend_Controles_Ped,LEN(_Aanvullend_Controles_Ped)-3),"")</f>
        <v/>
      </c>
      <c r="L24" s="717"/>
    </row>
    <row r="25" spans="1:12" ht="12.65" customHeight="1" x14ac:dyDescent="0.3">
      <c r="B25" s="710" t="s">
        <v>585</v>
      </c>
      <c r="C25" s="729" t="s">
        <v>1480</v>
      </c>
      <c r="D25" s="729" t="str">
        <f>IFERROR(LEFT(_Aanvullend_Onderzoek_Ped,LEN(_Aanvullend_Onderzoek_Ped)-3),"")</f>
        <v/>
      </c>
      <c r="L25" s="717"/>
    </row>
    <row r="26" spans="1:12" ht="12.65" customHeight="1" x14ac:dyDescent="0.3">
      <c r="B26" s="710" t="s">
        <v>586</v>
      </c>
      <c r="C26" s="729" t="s">
        <v>1723</v>
      </c>
      <c r="D26" s="729" t="str">
        <f>IFERROR(LEFT(_Aanvullend_Instellingen_Ped,LEN(_Aanvullend_Instellingen_Ped)-3),"")</f>
        <v/>
      </c>
      <c r="L26" s="717"/>
    </row>
    <row r="27" spans="1:12" ht="12.65" customHeight="1" x14ac:dyDescent="0.3">
      <c r="B27" s="710" t="s">
        <v>587</v>
      </c>
      <c r="C27" s="729" t="s">
        <v>1332</v>
      </c>
      <c r="D27" s="729" t="str">
        <f>IFERROR(LEFT(_Aanvullend_Overig_Ped,LEN(_Aanvullend_Overig_Ped)-3),"")</f>
        <v/>
      </c>
      <c r="L27" s="717"/>
    </row>
    <row r="28" spans="1:12" ht="12.65" customHeight="1" x14ac:dyDescent="0.3">
      <c r="C28" s="730"/>
      <c r="D28" s="731"/>
      <c r="E28" s="731"/>
      <c r="F28" s="731"/>
      <c r="G28" s="731"/>
      <c r="H28" s="731"/>
      <c r="I28" s="731"/>
      <c r="J28" s="731"/>
      <c r="L28" s="717"/>
    </row>
    <row r="29" spans="1:12" ht="12.65" customHeight="1" x14ac:dyDescent="0.3">
      <c r="C29" s="732"/>
      <c r="D29" s="731"/>
      <c r="E29" s="731"/>
      <c r="F29" s="731"/>
      <c r="G29" s="731"/>
      <c r="H29" s="731"/>
      <c r="I29" s="731"/>
      <c r="J29" s="731"/>
      <c r="L29" s="717"/>
    </row>
    <row r="30" spans="1:12" ht="12.65" customHeight="1" x14ac:dyDescent="0.3">
      <c r="C30" s="730"/>
      <c r="D30" s="731"/>
      <c r="E30" s="731"/>
      <c r="F30" s="731"/>
      <c r="G30" s="731"/>
      <c r="H30" s="731"/>
      <c r="I30" s="731"/>
      <c r="J30" s="731"/>
      <c r="L30" s="717"/>
    </row>
    <row r="31" spans="1:12" ht="12.65" customHeight="1" x14ac:dyDescent="0.3">
      <c r="C31" s="730"/>
      <c r="D31" s="731"/>
      <c r="E31" s="731"/>
      <c r="F31" s="731"/>
      <c r="G31" s="731"/>
      <c r="H31" s="731"/>
      <c r="I31" s="731"/>
      <c r="J31" s="731"/>
      <c r="L31" s="717"/>
    </row>
    <row r="32" spans="1:12" ht="12.65" customHeight="1" x14ac:dyDescent="0.3">
      <c r="B32" s="733" t="s">
        <v>182</v>
      </c>
      <c r="C32" s="720"/>
      <c r="D32" s="720"/>
      <c r="F32" s="720" t="s">
        <v>925</v>
      </c>
      <c r="G32" s="720"/>
      <c r="H32" s="720"/>
      <c r="I32" s="720"/>
      <c r="L32" s="717"/>
    </row>
    <row r="33" spans="1:12" ht="12.65" customHeight="1" x14ac:dyDescent="0.3">
      <c r="L33" s="717"/>
    </row>
    <row r="34" spans="1:12" ht="12.65" customHeight="1" x14ac:dyDescent="0.3">
      <c r="B34" s="713"/>
      <c r="C34" s="714" t="s">
        <v>936</v>
      </c>
      <c r="D34" s="715">
        <f ca="1">TODAY()</f>
        <v>42722</v>
      </c>
      <c r="E34" s="714" t="s">
        <v>937</v>
      </c>
      <c r="F34" s="880" t="str">
        <f>_AchterNaam&amp;", "&amp;_VoorNaam</f>
        <v>Achternaam, Voornaam</v>
      </c>
      <c r="G34" s="880"/>
      <c r="H34" s="716" t="s">
        <v>572</v>
      </c>
      <c r="I34" s="711" t="str">
        <f>Gewicht/10&amp;" kg"</f>
        <v>10 kg</v>
      </c>
      <c r="J34" s="707"/>
      <c r="L34" s="717"/>
    </row>
    <row r="35" spans="1:12" ht="12.65" customHeight="1" x14ac:dyDescent="0.3">
      <c r="B35" s="713"/>
      <c r="C35" s="714" t="s">
        <v>439</v>
      </c>
      <c r="D35" s="718" t="e">
        <f ca="1">AfspraakDatum-OpnDatum+1</f>
        <v>#NAME?</v>
      </c>
      <c r="E35" s="714" t="s">
        <v>935</v>
      </c>
      <c r="F35" s="719">
        <f>GebDatum</f>
        <v>42370</v>
      </c>
      <c r="G35" s="707"/>
      <c r="H35" s="716" t="s">
        <v>265</v>
      </c>
      <c r="I35" s="711" t="str">
        <f>Lengte&amp;" cm"</f>
        <v>80 cm</v>
      </c>
      <c r="J35" s="707"/>
      <c r="L35" s="717"/>
    </row>
    <row r="36" spans="1:12" ht="12.65" customHeight="1" x14ac:dyDescent="0.3">
      <c r="D36" s="707"/>
      <c r="F36" s="707"/>
      <c r="H36" s="716" t="s">
        <v>266</v>
      </c>
      <c r="I36" s="711" t="str">
        <f>ROUND(POWER(Gewicht/10,0.425)*POWER(((Lengte/100)*100),0.725)*0.007184,2)&amp;" m2"</f>
        <v>0,46 m2</v>
      </c>
      <c r="L36" s="717"/>
    </row>
    <row r="37" spans="1:12" ht="12.65" customHeight="1" x14ac:dyDescent="0.3">
      <c r="D37" s="707"/>
      <c r="F37" s="707"/>
      <c r="L37" s="717"/>
    </row>
    <row r="38" spans="1:12" ht="12.65" customHeight="1" x14ac:dyDescent="0.3">
      <c r="A38" s="720"/>
      <c r="B38" s="721" t="s">
        <v>47</v>
      </c>
      <c r="C38" s="728"/>
      <c r="D38" s="720"/>
      <c r="E38" s="720"/>
      <c r="F38" s="720"/>
      <c r="G38" s="720"/>
      <c r="H38" s="720"/>
      <c r="I38" s="720"/>
      <c r="J38" s="720"/>
      <c r="L38" s="717"/>
    </row>
    <row r="39" spans="1:12" ht="12.65" customHeight="1" x14ac:dyDescent="0.3">
      <c r="B39" s="710">
        <v>1</v>
      </c>
      <c r="C39" s="711">
        <f>INDEX(tblInfusen,ber_Infusen!B2,1)</f>
        <v>0</v>
      </c>
      <c r="L39" s="717" t="str">
        <f t="shared" ref="L39:L44" si="0">IF(C39=0,"D","")</f>
        <v>D</v>
      </c>
    </row>
    <row r="40" spans="1:12" ht="12.65" customHeight="1" x14ac:dyDescent="0.3">
      <c r="B40" s="710">
        <v>2</v>
      </c>
      <c r="C40" s="711">
        <f>INDEX(tblInfusen,ber_Infusen!B3,1)</f>
        <v>0</v>
      </c>
      <c r="L40" s="717" t="str">
        <f t="shared" si="0"/>
        <v>D</v>
      </c>
    </row>
    <row r="41" spans="1:12" ht="12.65" customHeight="1" x14ac:dyDescent="0.3">
      <c r="B41" s="710">
        <v>3</v>
      </c>
      <c r="C41" s="711">
        <f>INDEX(tblInfusen,ber_Infusen!B4,1)</f>
        <v>0</v>
      </c>
      <c r="L41" s="717" t="str">
        <f t="shared" si="0"/>
        <v>D</v>
      </c>
    </row>
    <row r="42" spans="1:12" ht="12.65" customHeight="1" x14ac:dyDescent="0.3">
      <c r="B42" s="710">
        <v>4</v>
      </c>
      <c r="C42" s="711">
        <f>INDEX(tblInfusen,ber_Infusen!B5,1)</f>
        <v>0</v>
      </c>
      <c r="L42" s="717" t="str">
        <f t="shared" si="0"/>
        <v>D</v>
      </c>
    </row>
    <row r="43" spans="1:12" ht="12.65" customHeight="1" x14ac:dyDescent="0.3">
      <c r="B43" s="710">
        <v>5</v>
      </c>
      <c r="C43" s="711">
        <f>INDEX(tblInfusen,ber_Infusen!B6,1)</f>
        <v>0</v>
      </c>
      <c r="L43" s="717" t="str">
        <f t="shared" si="0"/>
        <v>D</v>
      </c>
    </row>
    <row r="44" spans="1:12" ht="12.65" customHeight="1" x14ac:dyDescent="0.3">
      <c r="B44" s="710">
        <v>6</v>
      </c>
      <c r="C44" s="711">
        <f>INDEX(tblInfusen,ber_Infusen!B7,1)</f>
        <v>0</v>
      </c>
      <c r="L44" s="717" t="str">
        <f t="shared" si="0"/>
        <v>D</v>
      </c>
    </row>
    <row r="45" spans="1:12" ht="12.65" customHeight="1" x14ac:dyDescent="0.3">
      <c r="L45" s="717"/>
    </row>
    <row r="46" spans="1:12" ht="12.65" customHeight="1" x14ac:dyDescent="0.3">
      <c r="A46" s="720"/>
      <c r="B46" s="724"/>
      <c r="C46" s="725" t="s">
        <v>596</v>
      </c>
      <c r="D46" s="881">
        <f>ber_Opm!C3</f>
        <v>0</v>
      </c>
      <c r="E46" s="882"/>
      <c r="F46" s="882"/>
      <c r="G46" s="882"/>
      <c r="H46" s="882"/>
      <c r="I46" s="882"/>
      <c r="J46" s="882"/>
      <c r="L46" s="717"/>
    </row>
    <row r="47" spans="1:12" ht="12.65" customHeight="1" x14ac:dyDescent="0.3">
      <c r="L47" s="717"/>
    </row>
    <row r="48" spans="1:12" ht="12.65" customHeight="1" x14ac:dyDescent="0.3">
      <c r="L48" s="717"/>
    </row>
    <row r="49" spans="1:12" ht="12.65" customHeight="1" x14ac:dyDescent="0.3">
      <c r="A49" s="720"/>
      <c r="B49" s="721" t="s">
        <v>597</v>
      </c>
      <c r="C49" s="720"/>
      <c r="D49" s="720"/>
      <c r="E49" s="720"/>
      <c r="F49" s="720"/>
      <c r="G49" s="720"/>
      <c r="H49" s="720"/>
      <c r="I49" s="720"/>
      <c r="J49" s="720"/>
      <c r="L49" s="717"/>
    </row>
    <row r="50" spans="1:12" ht="12.65" customHeight="1" x14ac:dyDescent="0.3">
      <c r="B50" s="713"/>
      <c r="C50" s="716" t="s">
        <v>617</v>
      </c>
      <c r="D50" s="716"/>
      <c r="E50" s="716" t="s">
        <v>192</v>
      </c>
      <c r="F50" s="716"/>
      <c r="G50" s="716" t="s">
        <v>618</v>
      </c>
      <c r="H50" s="716"/>
      <c r="I50" s="716"/>
      <c r="J50" s="716" t="s">
        <v>420</v>
      </c>
      <c r="L50" s="717"/>
    </row>
    <row r="51" spans="1:12" ht="12.65" customHeight="1" x14ac:dyDescent="0.3">
      <c r="B51" s="710">
        <v>1</v>
      </c>
      <c r="C51" s="711">
        <f>MedicatieIV!C9</f>
        <v>0</v>
      </c>
      <c r="E51" s="711" t="str">
        <f>IF(C51&lt;&gt;0,MedicatieIV!D9&amp;" in "&amp;MedicatieIV!E9&amp;IF(AND(ber_IVmed!D5&lt;&gt;4,MedicatieIV!F9&lt;&gt;0)," "&amp;MedicatieIV!F9,""),"")</f>
        <v/>
      </c>
      <c r="G51" s="711" t="str">
        <f>IF(C51&lt;&gt;0,MedicatieIV!G9&amp;" (="&amp;MedicatieIV!H9&amp;" " &amp; MedicatieIV!I9 &amp;")","")</f>
        <v/>
      </c>
      <c r="J51" s="711" t="str">
        <f>MedicatieIV!J9</f>
        <v/>
      </c>
      <c r="L51" s="717" t="str">
        <f t="shared" ref="L51:L65" si="1">IF(C51=0,"D","")</f>
        <v>D</v>
      </c>
    </row>
    <row r="52" spans="1:12" ht="12.65" customHeight="1" x14ac:dyDescent="0.3">
      <c r="B52" s="710">
        <v>2</v>
      </c>
      <c r="C52" s="711">
        <f>MedicatieIV!C10</f>
        <v>0</v>
      </c>
      <c r="E52" s="711" t="str">
        <f>IF(C52&lt;&gt;0,MedicatieIV!D10&amp;" in "&amp;MedicatieIV!E10&amp;IF(AND(ber_IVmed!D6&lt;&gt;4,MedicatieIV!F10&lt;&gt;0)," "&amp;MedicatieIV!F10,""),"")</f>
        <v/>
      </c>
      <c r="G52" s="711" t="str">
        <f>IF(C52&lt;&gt;0,MedicatieIV!G10&amp;" (="&amp;MedicatieIV!H10&amp;" " &amp; MedicatieIV!I10 &amp;")","")</f>
        <v/>
      </c>
      <c r="J52" s="711" t="str">
        <f>MedicatieIV!J10</f>
        <v/>
      </c>
      <c r="L52" s="717" t="str">
        <f t="shared" si="1"/>
        <v>D</v>
      </c>
    </row>
    <row r="53" spans="1:12" ht="12.65" customHeight="1" x14ac:dyDescent="0.3">
      <c r="B53" s="710">
        <v>3</v>
      </c>
      <c r="C53" s="711">
        <f>MedicatieIV!C11</f>
        <v>0</v>
      </c>
      <c r="E53" s="711" t="str">
        <f>IF(C53&lt;&gt;0,MedicatieIV!D11&amp;" in "&amp;MedicatieIV!E11&amp;IF(AND(ber_IVmed!D7&lt;&gt;4,MedicatieIV!F11&lt;&gt;0)," "&amp;MedicatieIV!F11,""),"")</f>
        <v/>
      </c>
      <c r="G53" s="711" t="str">
        <f>IF(C53&lt;&gt;0,MedicatieIV!G11&amp;" (="&amp;MedicatieIV!H11&amp;" " &amp; MedicatieIV!I11 &amp;")","")</f>
        <v/>
      </c>
      <c r="J53" s="711" t="str">
        <f>MedicatieIV!J11</f>
        <v/>
      </c>
      <c r="L53" s="717" t="str">
        <f t="shared" si="1"/>
        <v>D</v>
      </c>
    </row>
    <row r="54" spans="1:12" ht="12.65" customHeight="1" x14ac:dyDescent="0.3">
      <c r="B54" s="710">
        <v>4</v>
      </c>
      <c r="C54" s="711">
        <f>MedicatieIV!C12</f>
        <v>0</v>
      </c>
      <c r="E54" s="711" t="str">
        <f>IF(C54&lt;&gt;0,MedicatieIV!D12&amp;" in "&amp;MedicatieIV!E12&amp;IF(AND(ber_IVmed!D8&lt;&gt;4,MedicatieIV!F12&lt;&gt;0)," "&amp;MedicatieIV!F12,""),"")</f>
        <v/>
      </c>
      <c r="G54" s="711" t="str">
        <f>IF(C54&lt;&gt;0,MedicatieIV!G12&amp;" (="&amp;MedicatieIV!H12&amp;" " &amp; MedicatieIV!I12 &amp;")","")</f>
        <v/>
      </c>
      <c r="J54" s="711" t="str">
        <f>MedicatieIV!J12</f>
        <v/>
      </c>
      <c r="L54" s="717" t="str">
        <f t="shared" si="1"/>
        <v>D</v>
      </c>
    </row>
    <row r="55" spans="1:12" ht="12.65" customHeight="1" x14ac:dyDescent="0.3">
      <c r="B55" s="710">
        <v>5</v>
      </c>
      <c r="C55" s="711">
        <f>MedicatieIV!C13</f>
        <v>0</v>
      </c>
      <c r="E55" s="711" t="str">
        <f>IF(C55&lt;&gt;0,MedicatieIV!D13&amp;" in "&amp;MedicatieIV!E13&amp;IF(AND(ber_IVmed!D9&lt;&gt;4,MedicatieIV!F13&lt;&gt;0)," "&amp;MedicatieIV!F13,""),"")</f>
        <v/>
      </c>
      <c r="G55" s="711" t="str">
        <f>IF(C55&lt;&gt;0,MedicatieIV!G13&amp;" (="&amp;MedicatieIV!H13&amp;" " &amp; MedicatieIV!I13 &amp;")","")</f>
        <v/>
      </c>
      <c r="J55" s="711" t="str">
        <f>MedicatieIV!J13</f>
        <v/>
      </c>
      <c r="L55" s="717" t="str">
        <f t="shared" si="1"/>
        <v>D</v>
      </c>
    </row>
    <row r="56" spans="1:12" ht="12.65" customHeight="1" x14ac:dyDescent="0.3">
      <c r="B56" s="710">
        <v>6</v>
      </c>
      <c r="C56" s="711">
        <f>MedicatieIV!C14</f>
        <v>0</v>
      </c>
      <c r="E56" s="711" t="str">
        <f>IF(C56&lt;&gt;0,MedicatieIV!D14&amp;" in "&amp;MedicatieIV!E14&amp;IF(AND(ber_IVmed!D10&lt;&gt;4,MedicatieIV!F14&lt;&gt;0)," "&amp;MedicatieIV!F14,""),"")</f>
        <v/>
      </c>
      <c r="G56" s="711" t="str">
        <f>IF(C56&lt;&gt;0,MedicatieIV!G14&amp;" (="&amp;MedicatieIV!H14&amp;" " &amp; MedicatieIV!I14 &amp;")","")</f>
        <v/>
      </c>
      <c r="J56" s="711" t="str">
        <f>MedicatieIV!J14</f>
        <v/>
      </c>
      <c r="L56" s="717" t="str">
        <f t="shared" si="1"/>
        <v>D</v>
      </c>
    </row>
    <row r="57" spans="1:12" ht="12.65" customHeight="1" x14ac:dyDescent="0.3">
      <c r="B57" s="710">
        <v>7</v>
      </c>
      <c r="C57" s="711">
        <f>MedicatieIV!C15</f>
        <v>0</v>
      </c>
      <c r="E57" s="711" t="str">
        <f>IF(C57&lt;&gt;0,MedicatieIV!D15&amp;" in "&amp;MedicatieIV!E15&amp;IF(AND(ber_IVmed!D11&lt;&gt;4,MedicatieIV!F15&lt;&gt;0)," "&amp;MedicatieIV!F15,""),"")</f>
        <v/>
      </c>
      <c r="G57" s="711" t="str">
        <f>IF(C57&lt;&gt;0,MedicatieIV!G15&amp;" (="&amp;MedicatieIV!H15&amp;" " &amp; MedicatieIV!I15 &amp;")","")</f>
        <v/>
      </c>
      <c r="J57" s="711" t="str">
        <f>MedicatieIV!J15</f>
        <v/>
      </c>
      <c r="L57" s="717" t="str">
        <f t="shared" si="1"/>
        <v>D</v>
      </c>
    </row>
    <row r="58" spans="1:12" ht="12.65" customHeight="1" x14ac:dyDescent="0.3">
      <c r="B58" s="710">
        <v>8</v>
      </c>
      <c r="C58" s="711">
        <f>MedicatieIV!C16</f>
        <v>0</v>
      </c>
      <c r="E58" s="711" t="str">
        <f>IF(C58&lt;&gt;0,MedicatieIV!D16&amp;" in "&amp;MedicatieIV!E16&amp;IF(AND(ber_IVmed!D12&lt;&gt;4,MedicatieIV!F16&lt;&gt;0)," "&amp;MedicatieIV!F16,""),"")</f>
        <v/>
      </c>
      <c r="G58" s="711" t="str">
        <f>IF(C58&lt;&gt;0,MedicatieIV!G16&amp;" (="&amp;MedicatieIV!H16&amp;" " &amp; MedicatieIV!I16 &amp;")","")</f>
        <v/>
      </c>
      <c r="J58" s="711" t="str">
        <f>MedicatieIV!J16</f>
        <v/>
      </c>
      <c r="L58" s="717" t="str">
        <f t="shared" si="1"/>
        <v>D</v>
      </c>
    </row>
    <row r="59" spans="1:12" ht="12.65" customHeight="1" x14ac:dyDescent="0.3">
      <c r="B59" s="710">
        <v>9</v>
      </c>
      <c r="C59" s="711">
        <f>MedicatieIV!C17</f>
        <v>0</v>
      </c>
      <c r="E59" s="711" t="str">
        <f>IF(C59&lt;&gt;0,MedicatieIV!D17&amp;" in "&amp;MedicatieIV!E17&amp;IF(AND(ber_IVmed!D13&lt;&gt;4,MedicatieIV!F17&lt;&gt;0)," "&amp;MedicatieIV!F17,""),"")</f>
        <v/>
      </c>
      <c r="G59" s="711" t="str">
        <f>IF(C59&lt;&gt;0,MedicatieIV!G17&amp;" (="&amp;MedicatieIV!H17&amp;" " &amp; MedicatieIV!I17 &amp;")","")</f>
        <v/>
      </c>
      <c r="J59" s="711" t="str">
        <f>MedicatieIV!J17</f>
        <v/>
      </c>
      <c r="L59" s="717" t="str">
        <f t="shared" si="1"/>
        <v>D</v>
      </c>
    </row>
    <row r="60" spans="1:12" ht="12.65" customHeight="1" x14ac:dyDescent="0.3">
      <c r="B60" s="710">
        <v>10</v>
      </c>
      <c r="C60" s="711">
        <f>MedicatieIV!C18</f>
        <v>0</v>
      </c>
      <c r="E60" s="711" t="str">
        <f>IF(C60&lt;&gt;0,MedicatieIV!D18&amp;" in "&amp;MedicatieIV!E18&amp;IF(AND(ber_IVmed!D14&lt;&gt;4,MedicatieIV!F18&lt;&gt;0)," "&amp;MedicatieIV!F18,""),"")</f>
        <v/>
      </c>
      <c r="G60" s="711" t="str">
        <f>IF(C60&lt;&gt;0,MedicatieIV!G18&amp;" (="&amp;MedicatieIV!H18&amp;" " &amp; MedicatieIV!I18 &amp;")","")</f>
        <v/>
      </c>
      <c r="J60" s="711" t="str">
        <f>MedicatieIV!J18</f>
        <v/>
      </c>
      <c r="L60" s="717" t="str">
        <f t="shared" si="1"/>
        <v>D</v>
      </c>
    </row>
    <row r="61" spans="1:12" ht="12.65" customHeight="1" x14ac:dyDescent="0.3">
      <c r="B61" s="710">
        <v>11</v>
      </c>
      <c r="C61" s="711">
        <f>MedicatieIV!C20</f>
        <v>0</v>
      </c>
      <c r="E61" s="711" t="str">
        <f>IF(C61&lt;&gt;0,MedicatieIV!D20&amp;" in "&amp;MedicatieIV!E20&amp;IF(AND(ber_IVmed!D15&lt;&gt;4,MedicatieIV!F20&lt;&gt;0)," "&amp;MedicatieIV!F20,""),"")</f>
        <v/>
      </c>
      <c r="G61" s="711" t="str">
        <f>IF(C61&lt;&gt;0,MedicatieIV!G20,"")</f>
        <v/>
      </c>
      <c r="J61" s="711" t="str">
        <f>MedicatieIV!J20</f>
        <v/>
      </c>
      <c r="L61" s="717" t="str">
        <f t="shared" si="1"/>
        <v>D</v>
      </c>
    </row>
    <row r="62" spans="1:12" ht="12.65" customHeight="1" x14ac:dyDescent="0.3">
      <c r="B62" s="710">
        <v>12</v>
      </c>
      <c r="C62" s="711">
        <f>MedicatieIV!C21</f>
        <v>0</v>
      </c>
      <c r="E62" s="711" t="str">
        <f>IF(C62&lt;&gt;0,MedicatieIV!D21&amp;" in "&amp;MedicatieIV!E21&amp;IF(AND(ber_IVmed!D16&lt;&gt;4,MedicatieIV!F21&lt;&gt;0)," "&amp;MedicatieIV!F21,""),"")</f>
        <v/>
      </c>
      <c r="G62" s="711" t="str">
        <f>IF(C62&lt;&gt;0,MedicatieIV!G21,"")</f>
        <v/>
      </c>
      <c r="J62" s="711" t="str">
        <f>MedicatieIV!J21</f>
        <v/>
      </c>
      <c r="L62" s="717" t="str">
        <f t="shared" si="1"/>
        <v>D</v>
      </c>
    </row>
    <row r="63" spans="1:12" ht="12.65" customHeight="1" x14ac:dyDescent="0.3">
      <c r="B63" s="710">
        <v>13</v>
      </c>
      <c r="C63" s="711">
        <f>MedicatieIV!C22</f>
        <v>0</v>
      </c>
      <c r="E63" s="711" t="str">
        <f>IF(C63&lt;&gt;0,MedicatieIV!D22&amp;" in "&amp;MedicatieIV!E22&amp;IF(AND(ber_IVmed!D17&lt;&gt;4,MedicatieIV!F22&lt;&gt;0)," "&amp;MedicatieIV!F22,""),"")</f>
        <v/>
      </c>
      <c r="G63" s="711" t="str">
        <f>IF(C63&lt;&gt;0,MedicatieIV!G22,"")</f>
        <v/>
      </c>
      <c r="J63" s="711" t="str">
        <f>MedicatieIV!J22</f>
        <v/>
      </c>
      <c r="L63" s="717" t="str">
        <f t="shared" si="1"/>
        <v>D</v>
      </c>
    </row>
    <row r="64" spans="1:12" ht="12.65" customHeight="1" x14ac:dyDescent="0.3">
      <c r="B64" s="710">
        <v>14</v>
      </c>
      <c r="C64" s="711">
        <f>MedicatieIV!C23</f>
        <v>0</v>
      </c>
      <c r="E64" s="711" t="str">
        <f>IF(C64&lt;&gt;0,MedicatieIV!D23&amp;" in "&amp;MedicatieIV!E23&amp;IF(AND(ber_IVmed!D18&lt;&gt;4,MedicatieIV!F23&lt;&gt;0)," "&amp;MedicatieIV!F23,""),"")</f>
        <v/>
      </c>
      <c r="G64" s="711" t="str">
        <f>IF(C64&lt;&gt;0,MedicatieIV!G23,"")</f>
        <v/>
      </c>
      <c r="J64" s="711" t="str">
        <f>MedicatieIV!J23</f>
        <v/>
      </c>
      <c r="L64" s="717" t="str">
        <f t="shared" si="1"/>
        <v>D</v>
      </c>
    </row>
    <row r="65" spans="1:12" ht="12.65" customHeight="1" x14ac:dyDescent="0.3">
      <c r="B65" s="710">
        <v>15</v>
      </c>
      <c r="C65" s="711">
        <f>MedicatieIV!C24</f>
        <v>0</v>
      </c>
      <c r="E65" s="711" t="str">
        <f>IF(C65&lt;&gt;0,MedicatieIV!D24&amp;" in "&amp;MedicatieIV!E24&amp;IF(AND(ber_IVmed!D19&lt;&gt;4,MedicatieIV!F24&lt;&gt;0)," "&amp;MedicatieIV!F24,""),"")</f>
        <v/>
      </c>
      <c r="G65" s="711" t="str">
        <f>IF(C65&lt;&gt;0,MedicatieIV!G24,"")</f>
        <v/>
      </c>
      <c r="J65" s="711" t="str">
        <f>MedicatieIV!J24</f>
        <v/>
      </c>
      <c r="L65" s="717" t="str">
        <f t="shared" si="1"/>
        <v>D</v>
      </c>
    </row>
    <row r="66" spans="1:12" ht="12.65" customHeight="1" x14ac:dyDescent="0.3">
      <c r="L66" s="717"/>
    </row>
    <row r="67" spans="1:12" ht="12.65" customHeight="1" x14ac:dyDescent="0.3">
      <c r="B67" s="713"/>
      <c r="C67" s="716" t="s">
        <v>596</v>
      </c>
      <c r="D67" s="883">
        <f>ber_Opm!C4</f>
        <v>0</v>
      </c>
      <c r="E67" s="883"/>
      <c r="F67" s="883"/>
      <c r="G67" s="883"/>
      <c r="H67" s="883"/>
      <c r="I67" s="883"/>
      <c r="J67" s="883"/>
      <c r="L67" s="717"/>
    </row>
    <row r="68" spans="1:12" ht="12.65" customHeight="1" x14ac:dyDescent="0.3">
      <c r="D68" s="886"/>
      <c r="E68" s="886"/>
      <c r="F68" s="886"/>
      <c r="G68" s="886"/>
      <c r="H68" s="886"/>
      <c r="I68" s="886"/>
      <c r="J68" s="886"/>
      <c r="L68" s="717"/>
    </row>
    <row r="69" spans="1:12" ht="12.65" customHeight="1" x14ac:dyDescent="0.3">
      <c r="A69" s="720"/>
      <c r="B69" s="721" t="str">
        <f>Intake!C16</f>
        <v>Infuus</v>
      </c>
      <c r="C69" s="728"/>
      <c r="D69" s="720"/>
      <c r="E69" s="720"/>
      <c r="F69" s="720"/>
      <c r="G69" s="720"/>
      <c r="H69" s="720"/>
      <c r="I69" s="720"/>
      <c r="J69" s="720"/>
      <c r="L69" s="717"/>
    </row>
    <row r="70" spans="1:12" ht="12.65" customHeight="1" x14ac:dyDescent="0.3">
      <c r="B70" s="713"/>
      <c r="C70" s="716"/>
      <c r="D70" s="734">
        <f>IF(E70&lt;&gt;"",Intake!C17,)</f>
        <v>0</v>
      </c>
      <c r="E70" s="735" t="str">
        <f>IF(TPN2tot6kg!G21&lt;&gt;0,TPN2tot6kg!A14&amp;" ml","")</f>
        <v/>
      </c>
      <c r="F70" s="735" t="str">
        <f>IF(TPN2tot6kg!G21&lt;&gt;0,TPN2tot6kg!G21&amp;" ml","")</f>
        <v/>
      </c>
      <c r="G70" s="736"/>
      <c r="H70" s="734">
        <f>IF(I70&lt;&gt;"",Intake!H17,)</f>
        <v>0</v>
      </c>
      <c r="I70" s="735" t="str">
        <f>Intake!I17</f>
        <v/>
      </c>
      <c r="J70" s="735" t="str">
        <f>Intake!J17</f>
        <v/>
      </c>
      <c r="L70" s="717"/>
    </row>
    <row r="71" spans="1:12" ht="12.65" customHeight="1" x14ac:dyDescent="0.3">
      <c r="B71" s="713"/>
      <c r="C71" s="716"/>
      <c r="D71" s="714" t="str">
        <f>IF(F71&lt;&gt;"",ber_TPN!A28,"")</f>
        <v/>
      </c>
      <c r="E71" s="711" t="str">
        <f>IF(ber_TPN!B4=4,ROUND(ber_TPN!D4,1)&amp;" ml/uur","")</f>
        <v/>
      </c>
      <c r="F71" s="711" t="str">
        <f>Intake!E18</f>
        <v/>
      </c>
      <c r="G71" s="716"/>
      <c r="H71" s="714">
        <f>IF(J71&lt;&gt;"",INDEX(tblSSTGlucose,SSTGlucose_2,1),)</f>
        <v>0</v>
      </c>
      <c r="J71" s="711" t="str">
        <f>Intake!J19</f>
        <v/>
      </c>
      <c r="L71" s="717" t="str">
        <f>IF(AND(D71="",H71=0),"D","")</f>
        <v>D</v>
      </c>
    </row>
    <row r="72" spans="1:12" ht="12.65" customHeight="1" x14ac:dyDescent="0.3">
      <c r="B72" s="713"/>
      <c r="C72" s="716"/>
      <c r="D72" s="714" t="str">
        <f>IF(Intake!G18&lt;&gt;"","Peditrace","")</f>
        <v/>
      </c>
      <c r="E72" s="707" t="str">
        <f>IF(Intake!G18&lt;&gt;"",Intake!G18&amp;" "&amp;Intake!F19,"")</f>
        <v/>
      </c>
      <c r="F72" s="708"/>
      <c r="G72" s="716"/>
      <c r="H72" s="714">
        <f>IF(J72&lt;&gt;"",Intake!H20,)</f>
        <v>0</v>
      </c>
      <c r="J72" s="711" t="str">
        <f>Intake!J20</f>
        <v/>
      </c>
      <c r="L72" s="717" t="str">
        <f>IF(AND(D72="",H72=0),"D","")</f>
        <v>D</v>
      </c>
    </row>
    <row r="73" spans="1:12" ht="12.65" customHeight="1" x14ac:dyDescent="0.3">
      <c r="B73" s="713"/>
      <c r="C73" s="716"/>
      <c r="D73" s="714">
        <f>IF(F73&lt;&gt;"",INDEX(tblSSTGlucose,SSTglucose,1),)</f>
        <v>0</v>
      </c>
      <c r="F73" s="711" t="str">
        <f>IF(AND(TPN=2,SSTglucose&lt;11,Gewicht/10&lt;=50),ROUND(ber_TPN!F6,0)&amp;" ml","")</f>
        <v/>
      </c>
      <c r="G73" s="716"/>
      <c r="H73" s="714">
        <f>IF(J73&lt;&gt;"",Intake!H21,)</f>
        <v>0</v>
      </c>
      <c r="J73" s="711" t="str">
        <f>Intake!J21</f>
        <v/>
      </c>
      <c r="L73" s="717" t="str">
        <f>IF(AND(D73="",H73=0),"D","")</f>
        <v/>
      </c>
    </row>
    <row r="74" spans="1:12" ht="12.65" customHeight="1" x14ac:dyDescent="0.3">
      <c r="B74" s="713"/>
      <c r="C74" s="716"/>
      <c r="D74" s="714">
        <f>IF(F74&lt;&gt;"",Intake!C20,)</f>
        <v>0</v>
      </c>
      <c r="F74" s="711" t="str">
        <f>IF(AND(TPN2tot6kg!G14&lt;&gt;"",ber_TPN!$F$4&gt;0),TPN2tot6kg!G14&amp;" ml","")</f>
        <v/>
      </c>
      <c r="L74" s="717" t="str">
        <f>IF(D74=0,"D","")</f>
        <v>D</v>
      </c>
    </row>
    <row r="75" spans="1:12" ht="12.65" customHeight="1" x14ac:dyDescent="0.3">
      <c r="B75" s="713"/>
      <c r="C75" s="716"/>
      <c r="D75" s="714">
        <f>IF(F75&lt;&gt;"",Intake!C21,)</f>
        <v>0</v>
      </c>
      <c r="F75" s="711" t="str">
        <f>IF(AND(TPN2tot6kg!G15&lt;&gt;"",ber_TPN!$F$4&gt;0),TPN2tot6kg!G15&amp;" ml","")</f>
        <v/>
      </c>
      <c r="L75" s="717" t="str">
        <f>IF(D75=0,"D","")</f>
        <v>D</v>
      </c>
    </row>
    <row r="76" spans="1:12" ht="12.65" customHeight="1" x14ac:dyDescent="0.3">
      <c r="D76" s="737"/>
      <c r="H76" s="737"/>
      <c r="L76" s="717"/>
    </row>
    <row r="77" spans="1:12" ht="12.65" customHeight="1" x14ac:dyDescent="0.3">
      <c r="B77" s="713"/>
      <c r="C77" s="716"/>
      <c r="D77" s="738" t="str">
        <f>IF(F77&lt;&gt;"","Electrolyt/Glucose mengsel","")</f>
        <v/>
      </c>
      <c r="E77" s="720" t="str">
        <f>IF(AND(Gewicht/10&gt;50,TPNboven50kg!A27&lt;&gt;""),TPNboven50kg!A27,TPN2tot6kg!A29)</f>
        <v/>
      </c>
      <c r="F77" s="720" t="str">
        <f>IF(AND(Gewicht/10&gt;50,TPNboven50kg!G35&lt;&gt;0),TPNboven50kg!G35&amp;" ml",IF(TPN2tot6kg!G36&lt;&gt;0,TPN2tot6kg!G36&amp;" ml",""))</f>
        <v/>
      </c>
      <c r="G77" s="720"/>
      <c r="H77" s="739"/>
      <c r="I77" s="720"/>
      <c r="J77" s="720"/>
      <c r="L77" s="717"/>
    </row>
    <row r="78" spans="1:12" ht="12.65" customHeight="1" x14ac:dyDescent="0.3">
      <c r="B78" s="713"/>
      <c r="C78" s="716"/>
      <c r="D78" s="714">
        <f>IF(F78&lt;&gt;"",INDEX(tblSSTGlucose,SSTglucose,1),)</f>
        <v>0</v>
      </c>
      <c r="E78" s="740"/>
      <c r="F78" s="711" t="str">
        <f>IF(AND(OR(TPN=1,AND(TPN=2,SSTglucose&gt;10),Gewicht/10&gt;50),ROUND(ber_TPN!F6,0)&lt;&gt;0,SSTglucose&lt;&gt;2),ROUND(ber_TPN!F6,0)&amp;" ml","")</f>
        <v/>
      </c>
      <c r="L78" s="717" t="str">
        <f>IF(D78=0,"D","")</f>
        <v>D</v>
      </c>
    </row>
    <row r="79" spans="1:12" ht="12.65" customHeight="1" x14ac:dyDescent="0.3">
      <c r="B79" s="713"/>
      <c r="C79" s="716"/>
      <c r="D79" s="714">
        <f>IF(F79&lt;&gt;"","CaGluc 10%",)</f>
        <v>0</v>
      </c>
      <c r="F79" s="711" t="str">
        <f>Intake!E23</f>
        <v/>
      </c>
      <c r="L79" s="717" t="str">
        <f t="shared" ref="L79:L85" si="2">IF(D79=0,"D","")</f>
        <v>D</v>
      </c>
    </row>
    <row r="80" spans="1:12" ht="12.65" customHeight="1" x14ac:dyDescent="0.3">
      <c r="B80" s="713"/>
      <c r="C80" s="716"/>
      <c r="D80" s="714">
        <f>IF(F80&lt;&gt;"","MgCl 10%",)</f>
        <v>0</v>
      </c>
      <c r="F80" s="711" t="str">
        <f>Intake!E24</f>
        <v/>
      </c>
      <c r="L80" s="717" t="str">
        <f t="shared" si="2"/>
        <v>D</v>
      </c>
    </row>
    <row r="81" spans="1:12" ht="12.65" customHeight="1" x14ac:dyDescent="0.3">
      <c r="B81" s="713"/>
      <c r="C81" s="716"/>
      <c r="D81" s="714">
        <f>IF(F81&lt;&gt;"",Intake!C20,)</f>
        <v>0</v>
      </c>
      <c r="F81" s="711" t="str">
        <f>IF(AND(Gewicht/10&gt;50,TPNboven50kg!G27&lt;&gt;0),TPNboven50kg!G27&amp;" ml",IF(OR(AND(TPN2tot6kg!G29&lt;&gt;0,ber_TPN!$F$4=0),AND(TPN2tot6kg!G29&lt;&gt;0,Gewicht/10&gt;50)),TPN2tot6kg!G29&amp;" ml",""))</f>
        <v/>
      </c>
      <c r="H81" s="737"/>
      <c r="L81" s="717" t="str">
        <f t="shared" si="2"/>
        <v>D</v>
      </c>
    </row>
    <row r="82" spans="1:12" ht="12.65" customHeight="1" x14ac:dyDescent="0.3">
      <c r="B82" s="713"/>
      <c r="C82" s="716"/>
      <c r="D82" s="714">
        <f>IF(F82&lt;&gt;"",Intake!C21,)</f>
        <v>0</v>
      </c>
      <c r="F82" s="711" t="str">
        <f>IF(AND(Gewicht/10&gt;51,TPNboven50kg!G28&lt;&gt;0),TPNboven50kg!G28&amp;" ml",IF(OR(AND(TPN2tot6kg!G30&lt;&gt;0,ber_TPN!$F$4=0),AND(TPN2tot6kg!G30&lt;&gt;0,Gewicht/10&gt;50)),TPN2tot6kg!G30&amp;" ml",""))</f>
        <v/>
      </c>
      <c r="H82" s="737"/>
      <c r="L82" s="717" t="str">
        <f t="shared" si="2"/>
        <v>D</v>
      </c>
    </row>
    <row r="83" spans="1:12" ht="12.65" customHeight="1" x14ac:dyDescent="0.3">
      <c r="B83" s="713"/>
      <c r="C83" s="716"/>
      <c r="D83" s="714" t="str">
        <f>IF(F83&lt;&gt;"","Glucose 10%","")</f>
        <v/>
      </c>
      <c r="F83" s="711" t="str">
        <f>IF(AND(Gewicht/10&gt;51,TPNboven50kg!G31&lt;&gt;0),TPNboven50kg!G31&amp;" ml",IF(AND(TPN2tot6kg!G33&lt;&gt;0,Gewicht/10&lt;=50),TPN2tot6kg!G33&amp;" ml",""))</f>
        <v/>
      </c>
      <c r="H83" s="737"/>
      <c r="L83" s="717" t="str">
        <f t="shared" si="2"/>
        <v/>
      </c>
    </row>
    <row r="84" spans="1:12" ht="12.65" customHeight="1" x14ac:dyDescent="0.3">
      <c r="L84" s="717"/>
    </row>
    <row r="85" spans="1:12" ht="12.65" customHeight="1" x14ac:dyDescent="0.3">
      <c r="B85" s="713"/>
      <c r="C85" s="716"/>
      <c r="D85" s="741">
        <f>IF(E85&lt;&gt;" ","KNaFosfaat",)</f>
        <v>0</v>
      </c>
      <c r="E85" s="720" t="str">
        <f>Intake!E26&amp;" "&amp;Intake!H26</f>
        <v xml:space="preserve"> </v>
      </c>
      <c r="F85" s="720"/>
      <c r="L85" s="717" t="str">
        <f t="shared" si="2"/>
        <v>D</v>
      </c>
    </row>
    <row r="86" spans="1:12" ht="12.65" customHeight="1" x14ac:dyDescent="0.3">
      <c r="L86" s="717"/>
    </row>
    <row r="87" spans="1:12" ht="12.65" customHeight="1" x14ac:dyDescent="0.3">
      <c r="B87" s="713"/>
      <c r="C87" s="716"/>
      <c r="D87" s="742">
        <f>IF(E87&lt;&gt;"",Intake!C27,)</f>
        <v>0</v>
      </c>
      <c r="E87" s="720" t="str">
        <f>Intake!D27</f>
        <v/>
      </c>
      <c r="F87" s="720" t="str">
        <f>IF(ROUND(ber_TPN!F12,0)&gt;0,ROUND(ber_TPN!F12,0)&amp;" ml","")</f>
        <v/>
      </c>
      <c r="H87" s="707"/>
      <c r="L87" s="717"/>
    </row>
    <row r="88" spans="1:12" ht="12.65" customHeight="1" x14ac:dyDescent="0.3">
      <c r="B88" s="713"/>
      <c r="C88" s="716"/>
      <c r="D88" s="714">
        <f>IF(F88&lt;&gt;"","Intralipid 20%",)</f>
        <v>0</v>
      </c>
      <c r="F88" s="711" t="str">
        <f>Intake!E28</f>
        <v/>
      </c>
      <c r="H88" s="737"/>
      <c r="L88" s="717" t="str">
        <f>IF(D88=0,"D","")</f>
        <v>D</v>
      </c>
    </row>
    <row r="89" spans="1:12" ht="12.65" customHeight="1" x14ac:dyDescent="0.3">
      <c r="B89" s="713"/>
      <c r="C89" s="716"/>
      <c r="D89" s="714">
        <f>IF(F89&lt;&gt;"","Vitintra Infant",)</f>
        <v>0</v>
      </c>
      <c r="F89" s="711" t="str">
        <f>Intake!E29</f>
        <v/>
      </c>
      <c r="H89" s="737"/>
      <c r="L89" s="717" t="str">
        <f>IF(D89=0,"D","")</f>
        <v>D</v>
      </c>
    </row>
    <row r="90" spans="1:12" ht="12.65" customHeight="1" x14ac:dyDescent="0.3">
      <c r="B90" s="713"/>
      <c r="C90" s="716"/>
      <c r="D90" s="714">
        <f>IF(F90&lt;&gt;"","Soluvit",)</f>
        <v>0</v>
      </c>
      <c r="F90" s="711" t="str">
        <f>Intake!E30</f>
        <v/>
      </c>
      <c r="H90" s="737"/>
      <c r="L90" s="717" t="str">
        <f>IF(D90=0,"D","")</f>
        <v>D</v>
      </c>
    </row>
    <row r="91" spans="1:12" ht="12.65" customHeight="1" x14ac:dyDescent="0.3">
      <c r="C91" s="737"/>
      <c r="L91" s="717"/>
    </row>
    <row r="92" spans="1:12" ht="12.65" customHeight="1" x14ac:dyDescent="0.3">
      <c r="A92" s="720"/>
      <c r="B92" s="724"/>
      <c r="C92" s="725" t="s">
        <v>596</v>
      </c>
      <c r="D92" s="881">
        <f>ber_Opm!C9</f>
        <v>0</v>
      </c>
      <c r="E92" s="882"/>
      <c r="F92" s="882"/>
      <c r="G92" s="882"/>
      <c r="H92" s="882"/>
      <c r="I92" s="882"/>
      <c r="J92" s="882"/>
      <c r="L92" s="717"/>
    </row>
    <row r="93" spans="1:12" ht="12.65" customHeight="1" x14ac:dyDescent="0.3">
      <c r="L93" s="717"/>
    </row>
    <row r="94" spans="1:12" ht="12.65" customHeight="1" x14ac:dyDescent="0.3">
      <c r="L94" s="717"/>
    </row>
    <row r="95" spans="1:12" ht="12.65" customHeight="1" x14ac:dyDescent="0.3">
      <c r="A95" s="720"/>
      <c r="B95" s="721" t="s">
        <v>728</v>
      </c>
      <c r="C95" s="728"/>
      <c r="D95" s="720"/>
      <c r="E95" s="720"/>
      <c r="F95" s="720"/>
      <c r="G95" s="720"/>
      <c r="H95" s="720"/>
      <c r="I95" s="720"/>
      <c r="J95" s="720"/>
      <c r="L95" s="717"/>
    </row>
    <row r="96" spans="1:12" ht="12.65" customHeight="1" x14ac:dyDescent="0.3">
      <c r="B96" s="713"/>
      <c r="C96" s="714" t="str">
        <f>Intake!B34</f>
        <v>Vocht</v>
      </c>
      <c r="D96" s="711" t="str">
        <f>Intake!D34</f>
        <v>0 ml/kg</v>
      </c>
      <c r="E96" s="714" t="str">
        <f>Intake!B35</f>
        <v>Calorieen</v>
      </c>
      <c r="F96" s="711" t="str">
        <f>Intake!D35</f>
        <v>0 kCal/kg</v>
      </c>
      <c r="G96" s="714" t="str">
        <f>Intake!B38</f>
        <v>Kalium</v>
      </c>
      <c r="H96" s="711" t="str">
        <f>Intake!D38</f>
        <v>0 mmol/kg</v>
      </c>
      <c r="I96" s="714" t="str">
        <f>Intake!B37</f>
        <v xml:space="preserve">Natrium </v>
      </c>
      <c r="J96" s="711" t="str">
        <f>Intake!D37</f>
        <v>0 mmol/kg</v>
      </c>
      <c r="L96" s="717"/>
    </row>
    <row r="97" spans="1:12" ht="12.65" customHeight="1" x14ac:dyDescent="0.3">
      <c r="B97" s="713"/>
      <c r="C97" s="714" t="str">
        <f>Intake!H34</f>
        <v>Eiwit</v>
      </c>
      <c r="D97" s="711" t="str">
        <f>Intake!I34</f>
        <v>0  gram/kg</v>
      </c>
      <c r="E97" s="714" t="str">
        <f>Intake!H35</f>
        <v>Vet</v>
      </c>
      <c r="F97" s="711" t="str">
        <f>Intake!I35</f>
        <v>0 gram/kg</v>
      </c>
      <c r="G97" s="714" t="str">
        <f>Intake!H36</f>
        <v>Calcium</v>
      </c>
      <c r="H97" s="711" t="str">
        <f>Intake!I36</f>
        <v>0 mmol/kg</v>
      </c>
      <c r="I97" s="714" t="str">
        <f>Intake!H38</f>
        <v>Fosfaat</v>
      </c>
      <c r="J97" s="711" t="str">
        <f>Intake!I38</f>
        <v>0 mmol/kg</v>
      </c>
      <c r="L97" s="717"/>
    </row>
    <row r="98" spans="1:12" ht="12.65" customHeight="1" x14ac:dyDescent="0.3">
      <c r="A98" s="720"/>
      <c r="B98" s="724"/>
      <c r="C98" s="743" t="str">
        <f>Intake!B36</f>
        <v>Glucose/KH</v>
      </c>
      <c r="D98" s="720" t="str">
        <f>Intake!D36</f>
        <v>0 g/kg</v>
      </c>
      <c r="E98" s="725"/>
      <c r="F98" s="720"/>
      <c r="G98" s="743" t="s">
        <v>643</v>
      </c>
      <c r="H98" s="720" t="str">
        <f>Intake!I37</f>
        <v>0 mmol/kg</v>
      </c>
      <c r="I98" s="725"/>
      <c r="J98" s="720"/>
      <c r="L98" s="717"/>
    </row>
    <row r="99" spans="1:12" ht="12.65" customHeight="1" x14ac:dyDescent="0.3">
      <c r="B99" s="713"/>
      <c r="C99" s="714" t="s">
        <v>936</v>
      </c>
      <c r="D99" s="715">
        <f ca="1">TODAY()</f>
        <v>42722</v>
      </c>
      <c r="E99" s="714" t="s">
        <v>937</v>
      </c>
      <c r="F99" s="880" t="str">
        <f>_AchterNaam&amp;", "&amp;_VoorNaam</f>
        <v>Achternaam, Voornaam</v>
      </c>
      <c r="G99" s="880"/>
      <c r="H99" s="716" t="s">
        <v>572</v>
      </c>
      <c r="I99" s="711" t="str">
        <f>Gewicht/10&amp;" kg"</f>
        <v>10 kg</v>
      </c>
      <c r="J99" s="707"/>
      <c r="L99" s="717"/>
    </row>
    <row r="100" spans="1:12" ht="12.65" customHeight="1" x14ac:dyDescent="0.3">
      <c r="B100" s="713"/>
      <c r="C100" s="714" t="s">
        <v>439</v>
      </c>
      <c r="D100" s="718" t="e">
        <f ca="1">AfspraakDatum-OpnDatum+1</f>
        <v>#NAME?</v>
      </c>
      <c r="E100" s="714" t="s">
        <v>935</v>
      </c>
      <c r="F100" s="719">
        <f>GebDatum</f>
        <v>42370</v>
      </c>
      <c r="G100" s="707"/>
      <c r="H100" s="716" t="s">
        <v>265</v>
      </c>
      <c r="I100" s="711" t="str">
        <f>Lengte&amp;" cm"</f>
        <v>80 cm</v>
      </c>
      <c r="J100" s="707"/>
      <c r="L100" s="717"/>
    </row>
    <row r="101" spans="1:12" ht="12.65" customHeight="1" x14ac:dyDescent="0.3">
      <c r="D101" s="707"/>
      <c r="F101" s="707"/>
      <c r="H101" s="716" t="s">
        <v>266</v>
      </c>
      <c r="I101" s="711" t="str">
        <f>ROUND(POWER(Gewicht/10,0.425)*POWER(((Lengte/100)*100),0.725)*0.007184,2)&amp;" m2"</f>
        <v>0,46 m2</v>
      </c>
      <c r="L101" s="717"/>
    </row>
    <row r="102" spans="1:12" ht="12.65" customHeight="1" x14ac:dyDescent="0.3">
      <c r="D102" s="707"/>
      <c r="F102" s="707"/>
      <c r="L102" s="717"/>
    </row>
    <row r="103" spans="1:12" ht="12.65" customHeight="1" x14ac:dyDescent="0.3">
      <c r="D103" s="707"/>
      <c r="F103" s="707"/>
      <c r="L103" s="717"/>
    </row>
    <row r="104" spans="1:12" ht="12.65" customHeight="1" x14ac:dyDescent="0.3">
      <c r="D104" s="707"/>
      <c r="F104" s="707"/>
      <c r="L104" s="717"/>
    </row>
    <row r="105" spans="1:12" ht="12.65" customHeight="1" x14ac:dyDescent="0.3">
      <c r="B105" s="721" t="s">
        <v>56</v>
      </c>
      <c r="C105" s="720"/>
      <c r="D105" s="733"/>
      <c r="E105" s="720"/>
      <c r="F105" s="721" t="str">
        <f>IF(Comfort,"Ja","Nee")</f>
        <v>Ja</v>
      </c>
      <c r="L105" s="717"/>
    </row>
    <row r="106" spans="1:12" ht="12.65" customHeight="1" x14ac:dyDescent="0.3">
      <c r="L106" s="717"/>
    </row>
    <row r="107" spans="1:12" ht="12.65" customHeight="1" x14ac:dyDescent="0.3">
      <c r="D107" s="744" t="s">
        <v>569</v>
      </c>
      <c r="G107" s="744" t="s">
        <v>260</v>
      </c>
      <c r="L107" s="717"/>
    </row>
    <row r="108" spans="1:12" ht="25" customHeight="1" x14ac:dyDescent="0.3">
      <c r="A108" s="878" t="s">
        <v>258</v>
      </c>
      <c r="B108" s="879"/>
      <c r="C108" s="745" t="s">
        <v>259</v>
      </c>
      <c r="D108" s="745" t="s">
        <v>261</v>
      </c>
      <c r="E108" s="878" t="s">
        <v>263</v>
      </c>
      <c r="F108" s="879"/>
      <c r="G108" s="745" t="s">
        <v>261</v>
      </c>
      <c r="H108" s="878" t="s">
        <v>262</v>
      </c>
      <c r="I108" s="879"/>
      <c r="J108" s="745" t="s">
        <v>511</v>
      </c>
      <c r="K108" s="710"/>
      <c r="L108" s="717"/>
    </row>
    <row r="109" spans="1:12" ht="20.100000000000001" customHeight="1" x14ac:dyDescent="0.3">
      <c r="A109" s="746"/>
      <c r="B109" s="747"/>
      <c r="C109" s="745"/>
      <c r="D109" s="745"/>
      <c r="E109" s="746"/>
      <c r="F109" s="747"/>
      <c r="G109" s="748"/>
      <c r="H109" s="746"/>
      <c r="I109" s="749"/>
      <c r="J109" s="745"/>
      <c r="K109" s="710"/>
      <c r="L109" s="717"/>
    </row>
    <row r="110" spans="1:12" ht="20.100000000000001" customHeight="1" x14ac:dyDescent="0.3">
      <c r="A110" s="746"/>
      <c r="B110" s="747"/>
      <c r="C110" s="745"/>
      <c r="D110" s="745"/>
      <c r="E110" s="746"/>
      <c r="F110" s="747"/>
      <c r="G110" s="748"/>
      <c r="H110" s="746"/>
      <c r="I110" s="749"/>
      <c r="J110" s="745"/>
      <c r="K110" s="710"/>
      <c r="L110" s="717"/>
    </row>
    <row r="111" spans="1:12" ht="20.100000000000001" customHeight="1" x14ac:dyDescent="0.3">
      <c r="A111" s="746"/>
      <c r="B111" s="747"/>
      <c r="C111" s="745"/>
      <c r="D111" s="745"/>
      <c r="E111" s="746"/>
      <c r="F111" s="747"/>
      <c r="G111" s="748"/>
      <c r="H111" s="746"/>
      <c r="I111" s="749"/>
      <c r="J111" s="745"/>
      <c r="K111" s="710"/>
      <c r="L111" s="717"/>
    </row>
    <row r="112" spans="1:12" ht="20.100000000000001" customHeight="1" x14ac:dyDescent="0.3">
      <c r="A112" s="746"/>
      <c r="B112" s="747"/>
      <c r="C112" s="745"/>
      <c r="D112" s="745"/>
      <c r="E112" s="746"/>
      <c r="F112" s="747"/>
      <c r="G112" s="748"/>
      <c r="H112" s="746"/>
      <c r="I112" s="749"/>
      <c r="J112" s="745"/>
      <c r="K112" s="710"/>
      <c r="L112" s="717"/>
    </row>
    <row r="113" spans="1:13" ht="20.100000000000001" customHeight="1" x14ac:dyDescent="0.3">
      <c r="A113" s="746"/>
      <c r="B113" s="747"/>
      <c r="C113" s="745"/>
      <c r="D113" s="745"/>
      <c r="E113" s="746"/>
      <c r="F113" s="747"/>
      <c r="G113" s="748"/>
      <c r="H113" s="746"/>
      <c r="I113" s="749"/>
      <c r="J113" s="745"/>
      <c r="K113" s="710"/>
      <c r="L113" s="717"/>
    </row>
    <row r="114" spans="1:13" ht="20.100000000000001" customHeight="1" x14ac:dyDescent="0.3">
      <c r="A114" s="746"/>
      <c r="B114" s="747"/>
      <c r="C114" s="745"/>
      <c r="D114" s="745"/>
      <c r="E114" s="746"/>
      <c r="F114" s="747"/>
      <c r="G114" s="748"/>
      <c r="H114" s="746"/>
      <c r="I114" s="749"/>
      <c r="J114" s="745"/>
      <c r="K114" s="710"/>
      <c r="L114" s="717"/>
    </row>
    <row r="115" spans="1:13" ht="20.100000000000001" customHeight="1" x14ac:dyDescent="0.3">
      <c r="A115" s="746"/>
      <c r="B115" s="747"/>
      <c r="C115" s="745"/>
      <c r="D115" s="745"/>
      <c r="E115" s="746"/>
      <c r="F115" s="747"/>
      <c r="G115" s="748"/>
      <c r="H115" s="746"/>
      <c r="I115" s="749"/>
      <c r="J115" s="745"/>
      <c r="K115" s="710"/>
      <c r="L115" s="717"/>
    </row>
    <row r="116" spans="1:13" ht="20.100000000000001" customHeight="1" x14ac:dyDescent="0.3">
      <c r="A116" s="746"/>
      <c r="B116" s="747"/>
      <c r="C116" s="745"/>
      <c r="D116" s="745"/>
      <c r="E116" s="746"/>
      <c r="F116" s="747"/>
      <c r="G116" s="748"/>
      <c r="H116" s="746"/>
      <c r="I116" s="749"/>
      <c r="J116" s="745"/>
      <c r="K116" s="710"/>
      <c r="L116" s="717"/>
    </row>
    <row r="117" spans="1:13" ht="20.100000000000001" customHeight="1" x14ac:dyDescent="0.3">
      <c r="A117" s="746"/>
      <c r="B117" s="747"/>
      <c r="C117" s="745"/>
      <c r="D117" s="745"/>
      <c r="E117" s="746"/>
      <c r="F117" s="747"/>
      <c r="G117" s="748"/>
      <c r="H117" s="746"/>
      <c r="I117" s="749"/>
      <c r="J117" s="745"/>
      <c r="K117" s="710"/>
      <c r="L117" s="717"/>
    </row>
    <row r="118" spans="1:13" ht="20.100000000000001" customHeight="1" x14ac:dyDescent="0.3">
      <c r="A118" s="746"/>
      <c r="B118" s="747"/>
      <c r="C118" s="745"/>
      <c r="D118" s="745"/>
      <c r="E118" s="746"/>
      <c r="F118" s="747"/>
      <c r="G118" s="748"/>
      <c r="H118" s="746"/>
      <c r="I118" s="749"/>
      <c r="J118" s="745"/>
      <c r="K118" s="16"/>
      <c r="L118" s="717"/>
      <c r="M118" s="712"/>
    </row>
    <row r="119" spans="1:13" ht="20.100000000000001" customHeight="1" x14ac:dyDescent="0.3">
      <c r="A119" s="746"/>
      <c r="B119" s="747"/>
      <c r="C119" s="745"/>
      <c r="D119" s="745"/>
      <c r="E119" s="746"/>
      <c r="F119" s="747"/>
      <c r="G119" s="748"/>
      <c r="H119" s="746"/>
      <c r="I119" s="749"/>
      <c r="J119" s="745"/>
      <c r="K119" s="16"/>
      <c r="L119" s="717"/>
      <c r="M119" s="712"/>
    </row>
    <row r="120" spans="1:13" ht="20.100000000000001" customHeight="1" x14ac:dyDescent="0.3">
      <c r="A120" s="746"/>
      <c r="B120" s="747"/>
      <c r="C120" s="745"/>
      <c r="D120" s="745"/>
      <c r="E120" s="746"/>
      <c r="F120" s="747"/>
      <c r="G120" s="748"/>
      <c r="H120" s="746"/>
      <c r="I120" s="749"/>
      <c r="J120" s="745"/>
      <c r="K120" s="16"/>
      <c r="L120" s="717"/>
      <c r="M120" s="712"/>
    </row>
    <row r="121" spans="1:13" ht="20.100000000000001" customHeight="1" x14ac:dyDescent="0.3">
      <c r="A121" s="746"/>
      <c r="B121" s="747"/>
      <c r="C121" s="745"/>
      <c r="D121" s="745"/>
      <c r="E121" s="746"/>
      <c r="F121" s="747"/>
      <c r="G121" s="748"/>
      <c r="H121" s="746"/>
      <c r="I121" s="749"/>
      <c r="J121" s="745"/>
      <c r="K121" s="16"/>
      <c r="L121" s="717"/>
      <c r="M121" s="712"/>
    </row>
    <row r="122" spans="1:13" ht="20.100000000000001" customHeight="1" x14ac:dyDescent="0.3">
      <c r="A122" s="746"/>
      <c r="B122" s="747"/>
      <c r="C122" s="745"/>
      <c r="D122" s="745"/>
      <c r="E122" s="746"/>
      <c r="F122" s="747"/>
      <c r="G122" s="748"/>
      <c r="H122" s="746"/>
      <c r="I122" s="749"/>
      <c r="J122" s="745"/>
      <c r="K122" s="16"/>
      <c r="L122" s="717"/>
      <c r="M122" s="712"/>
    </row>
    <row r="123" spans="1:13" ht="20.100000000000001" customHeight="1" x14ac:dyDescent="0.3">
      <c r="A123" s="746"/>
      <c r="B123" s="747"/>
      <c r="C123" s="745"/>
      <c r="D123" s="745"/>
      <c r="E123" s="746"/>
      <c r="F123" s="747"/>
      <c r="G123" s="748"/>
      <c r="H123" s="746"/>
      <c r="I123" s="749"/>
      <c r="J123" s="745"/>
      <c r="K123" s="16"/>
      <c r="L123" s="717"/>
      <c r="M123" s="712"/>
    </row>
    <row r="124" spans="1:13" ht="20.100000000000001" customHeight="1" x14ac:dyDescent="0.3">
      <c r="A124" s="746"/>
      <c r="B124" s="747"/>
      <c r="C124" s="745"/>
      <c r="D124" s="745"/>
      <c r="E124" s="746"/>
      <c r="F124" s="747"/>
      <c r="G124" s="748"/>
      <c r="H124" s="746"/>
      <c r="I124" s="749"/>
      <c r="J124" s="745"/>
      <c r="K124" s="16"/>
      <c r="L124" s="717"/>
      <c r="M124" s="712"/>
    </row>
    <row r="125" spans="1:13" ht="20.100000000000001" customHeight="1" x14ac:dyDescent="0.3">
      <c r="A125" s="746"/>
      <c r="B125" s="747"/>
      <c r="C125" s="745"/>
      <c r="D125" s="745"/>
      <c r="E125" s="746"/>
      <c r="F125" s="747"/>
      <c r="G125" s="748"/>
      <c r="H125" s="746"/>
      <c r="I125" s="749"/>
      <c r="J125" s="745"/>
      <c r="K125" s="16"/>
      <c r="L125" s="717"/>
      <c r="M125" s="712"/>
    </row>
    <row r="126" spans="1:13" ht="30" customHeight="1" x14ac:dyDescent="0.3">
      <c r="A126" s="750" t="s">
        <v>264</v>
      </c>
      <c r="B126" s="751"/>
      <c r="C126" s="750"/>
      <c r="D126" s="750"/>
      <c r="E126" s="750"/>
      <c r="F126" s="751"/>
      <c r="G126" s="751"/>
      <c r="H126" s="750"/>
      <c r="I126" s="750"/>
      <c r="J126" s="750"/>
      <c r="K126" s="16"/>
      <c r="L126" s="717"/>
      <c r="M126" s="712"/>
    </row>
    <row r="127" spans="1:13" ht="30" customHeight="1" x14ac:dyDescent="0.3">
      <c r="A127" s="16"/>
      <c r="B127" s="16"/>
      <c r="C127" s="16"/>
      <c r="D127" s="16"/>
      <c r="E127" s="16"/>
      <c r="F127" s="16"/>
      <c r="G127" s="16"/>
      <c r="H127" s="16"/>
      <c r="I127" s="16"/>
      <c r="J127" s="16"/>
      <c r="K127" s="16"/>
      <c r="L127" s="16"/>
      <c r="M127" s="712"/>
    </row>
    <row r="128" spans="1:13" ht="30" customHeight="1" x14ac:dyDescent="0.3">
      <c r="A128" s="16"/>
      <c r="B128" s="16"/>
      <c r="C128" s="732"/>
      <c r="D128" s="731"/>
      <c r="E128" s="731"/>
      <c r="F128" s="731"/>
      <c r="G128" s="16"/>
      <c r="H128" s="16"/>
      <c r="I128" s="16"/>
      <c r="J128" s="16"/>
      <c r="K128" s="16"/>
      <c r="L128" s="16"/>
      <c r="M128" s="712"/>
    </row>
    <row r="129" spans="1:13" ht="30" customHeight="1" x14ac:dyDescent="0.3">
      <c r="A129" s="16"/>
      <c r="B129" s="16"/>
      <c r="C129" s="16"/>
      <c r="D129" s="16"/>
      <c r="E129" s="16"/>
      <c r="F129" s="16"/>
      <c r="G129" s="16"/>
      <c r="H129" s="16"/>
      <c r="I129" s="16"/>
      <c r="J129" s="16"/>
      <c r="K129" s="16"/>
      <c r="L129" s="16"/>
      <c r="M129" s="712"/>
    </row>
    <row r="130" spans="1:13" ht="30" customHeight="1" x14ac:dyDescent="0.3">
      <c r="A130" s="16"/>
      <c r="B130" s="16"/>
      <c r="C130" s="16"/>
      <c r="D130" s="16"/>
      <c r="E130" s="16"/>
      <c r="F130" s="16"/>
      <c r="G130" s="16"/>
      <c r="H130" s="16"/>
      <c r="I130" s="16"/>
      <c r="J130" s="16"/>
      <c r="K130" s="16"/>
      <c r="L130" s="16"/>
      <c r="M130" s="712"/>
    </row>
    <row r="131" spans="1:13" ht="30" customHeight="1" x14ac:dyDescent="0.3">
      <c r="A131" s="16"/>
      <c r="B131" s="16"/>
      <c r="C131" s="16"/>
      <c r="D131" s="16"/>
      <c r="E131" s="16"/>
      <c r="F131" s="16"/>
      <c r="G131" s="16"/>
      <c r="H131" s="16"/>
      <c r="I131" s="16"/>
      <c r="J131" s="16"/>
      <c r="K131" s="16"/>
      <c r="L131" s="16"/>
      <c r="M131" s="712"/>
    </row>
    <row r="132" spans="1:13" ht="30" customHeight="1" x14ac:dyDescent="0.3">
      <c r="A132" s="16"/>
      <c r="B132" s="16"/>
      <c r="C132" s="16"/>
      <c r="D132" s="16"/>
      <c r="E132" s="16"/>
      <c r="F132" s="16"/>
      <c r="G132" s="16"/>
      <c r="H132" s="16"/>
      <c r="I132" s="16"/>
      <c r="J132" s="16"/>
      <c r="K132" s="16"/>
      <c r="L132" s="16"/>
      <c r="M132" s="712"/>
    </row>
    <row r="133" spans="1:13" ht="30" customHeight="1" x14ac:dyDescent="0.3">
      <c r="A133" s="16"/>
      <c r="B133" s="16"/>
      <c r="C133" s="16"/>
      <c r="D133" s="16"/>
      <c r="E133" s="16"/>
      <c r="F133" s="16"/>
      <c r="G133" s="16"/>
      <c r="H133" s="16"/>
      <c r="I133" s="16"/>
      <c r="J133" s="16"/>
      <c r="K133" s="16"/>
      <c r="L133" s="16"/>
      <c r="M133" s="712"/>
    </row>
    <row r="134" spans="1:13" ht="30" customHeight="1" x14ac:dyDescent="0.3">
      <c r="A134" s="16"/>
      <c r="B134" s="16"/>
      <c r="C134" s="16"/>
      <c r="D134" s="16"/>
      <c r="E134" s="16"/>
      <c r="F134" s="16"/>
      <c r="G134" s="16"/>
      <c r="H134" s="16"/>
      <c r="I134" s="16"/>
      <c r="J134" s="16"/>
      <c r="K134" s="16"/>
      <c r="L134" s="16"/>
    </row>
    <row r="135" spans="1:13" ht="30" customHeight="1" x14ac:dyDescent="0.3">
      <c r="A135" s="16"/>
      <c r="B135" s="16"/>
      <c r="C135" s="16"/>
      <c r="D135" s="16"/>
      <c r="E135" s="16"/>
      <c r="F135" s="16"/>
      <c r="G135" s="16"/>
      <c r="H135" s="16"/>
      <c r="I135" s="16"/>
      <c r="J135" s="16"/>
      <c r="K135" s="16"/>
      <c r="L135" s="16"/>
    </row>
    <row r="136" spans="1:13" ht="30" customHeight="1" x14ac:dyDescent="0.3">
      <c r="A136" s="16"/>
      <c r="B136" s="16"/>
      <c r="C136" s="16"/>
      <c r="D136" s="16"/>
      <c r="E136" s="16"/>
      <c r="F136" s="16"/>
      <c r="G136" s="16"/>
      <c r="H136" s="16"/>
      <c r="I136" s="16"/>
      <c r="J136" s="16"/>
      <c r="K136" s="16"/>
      <c r="L136" s="16"/>
    </row>
    <row r="137" spans="1:13" ht="30" customHeight="1" x14ac:dyDescent="0.3">
      <c r="A137" s="16"/>
      <c r="B137" s="16"/>
      <c r="C137" s="16"/>
      <c r="D137" s="16"/>
      <c r="E137" s="16"/>
      <c r="F137" s="16"/>
      <c r="G137" s="16"/>
      <c r="H137" s="16"/>
      <c r="I137" s="16"/>
      <c r="J137" s="16"/>
      <c r="K137" s="16"/>
      <c r="L137" s="16"/>
    </row>
    <row r="138" spans="1:13" ht="30" customHeight="1" x14ac:dyDescent="0.3">
      <c r="A138" s="16"/>
      <c r="B138" s="16"/>
      <c r="C138" s="16"/>
      <c r="D138" s="16"/>
      <c r="E138" s="16"/>
      <c r="F138" s="16"/>
      <c r="G138" s="16"/>
      <c r="H138" s="16"/>
      <c r="I138" s="16"/>
      <c r="J138" s="16"/>
      <c r="K138" s="16"/>
      <c r="L138" s="16"/>
    </row>
    <row r="139" spans="1:13" ht="30" customHeight="1" x14ac:dyDescent="0.3">
      <c r="A139" s="16"/>
      <c r="B139" s="16"/>
      <c r="C139" s="16"/>
      <c r="D139" s="16"/>
      <c r="E139" s="16"/>
      <c r="F139" s="16"/>
      <c r="G139" s="16"/>
      <c r="H139" s="16"/>
      <c r="I139" s="16"/>
      <c r="J139" s="16"/>
      <c r="K139" s="16"/>
      <c r="L139" s="16"/>
    </row>
    <row r="140" spans="1:13" ht="30" customHeight="1" x14ac:dyDescent="0.3">
      <c r="B140" s="711"/>
      <c r="L140" s="717"/>
    </row>
    <row r="141" spans="1:13" ht="30" customHeight="1" x14ac:dyDescent="0.3">
      <c r="B141" s="711"/>
      <c r="L141" s="717"/>
    </row>
    <row r="142" spans="1:13" ht="30" customHeight="1" x14ac:dyDescent="0.3">
      <c r="B142" s="711"/>
      <c r="L142" s="717"/>
    </row>
    <row r="143" spans="1:13" ht="30" customHeight="1" x14ac:dyDescent="0.3">
      <c r="B143" s="711"/>
      <c r="L143" s="717"/>
    </row>
    <row r="144" spans="1:13" ht="30" customHeight="1" x14ac:dyDescent="0.3">
      <c r="B144" s="711"/>
      <c r="L144" s="717"/>
    </row>
    <row r="145" spans="2:12" ht="30" customHeight="1" x14ac:dyDescent="0.3">
      <c r="B145" s="711"/>
      <c r="L145" s="717"/>
    </row>
    <row r="146" spans="2:12" ht="30" customHeight="1" x14ac:dyDescent="0.3">
      <c r="B146" s="711"/>
      <c r="L146" s="717"/>
    </row>
    <row r="147" spans="2:12" ht="30" customHeight="1" x14ac:dyDescent="0.3">
      <c r="B147" s="711"/>
      <c r="L147" s="717"/>
    </row>
    <row r="148" spans="2:12" ht="30" customHeight="1" x14ac:dyDescent="0.3">
      <c r="B148" s="711"/>
      <c r="L148" s="717"/>
    </row>
    <row r="149" spans="2:12" ht="30" customHeight="1" x14ac:dyDescent="0.3">
      <c r="B149" s="711"/>
      <c r="L149" s="717"/>
    </row>
    <row r="150" spans="2:12" ht="10.199999999999999" x14ac:dyDescent="0.3">
      <c r="B150" s="711"/>
      <c r="L150" s="717"/>
    </row>
    <row r="151" spans="2:12" ht="10.199999999999999" x14ac:dyDescent="0.3">
      <c r="B151" s="711"/>
      <c r="L151" s="717"/>
    </row>
    <row r="152" spans="2:12" ht="10.199999999999999" x14ac:dyDescent="0.3">
      <c r="B152" s="711"/>
      <c r="L152" s="717"/>
    </row>
    <row r="153" spans="2:12" ht="10.199999999999999" x14ac:dyDescent="0.3">
      <c r="B153" s="711"/>
      <c r="L153" s="717"/>
    </row>
    <row r="154" spans="2:12" ht="10.199999999999999" x14ac:dyDescent="0.3">
      <c r="B154" s="711"/>
      <c r="L154" s="717"/>
    </row>
    <row r="155" spans="2:12" ht="12.65" customHeight="1" x14ac:dyDescent="0.3">
      <c r="B155" s="711"/>
      <c r="L155" s="717"/>
    </row>
    <row r="156" spans="2:12" ht="12.65" customHeight="1" x14ac:dyDescent="0.3">
      <c r="B156" s="711"/>
      <c r="L156" s="717"/>
    </row>
    <row r="157" spans="2:12" ht="12.65" customHeight="1" x14ac:dyDescent="0.3">
      <c r="B157" s="711"/>
      <c r="L157" s="717" t="str">
        <f>IF(C24=0,"D","")</f>
        <v/>
      </c>
    </row>
    <row r="158" spans="2:12" ht="12.65" customHeight="1" x14ac:dyDescent="0.3">
      <c r="B158" s="711"/>
      <c r="L158" s="717" t="str">
        <f>IF(C25=0,"D","")</f>
        <v/>
      </c>
    </row>
    <row r="159" spans="2:12" ht="12.65" customHeight="1" x14ac:dyDescent="0.3">
      <c r="B159" s="711"/>
      <c r="L159" s="717" t="str">
        <f>IF(C26=0,"D","")</f>
        <v/>
      </c>
    </row>
    <row r="160" spans="2:12" ht="12.65" customHeight="1" x14ac:dyDescent="0.3">
      <c r="B160" s="711"/>
      <c r="L160" s="717" t="str">
        <f>IF(C27=0,"D","")</f>
        <v/>
      </c>
    </row>
    <row r="161" spans="2:12" ht="12.65" customHeight="1" x14ac:dyDescent="0.3">
      <c r="B161" s="711"/>
      <c r="L161" s="717" t="e">
        <f>IF(#REF!=0,"D","")</f>
        <v>#REF!</v>
      </c>
    </row>
    <row r="162" spans="2:12" ht="12.65" customHeight="1" x14ac:dyDescent="0.3">
      <c r="B162" s="711"/>
      <c r="L162" s="717" t="e">
        <f>IF(#REF!=0,"D","")</f>
        <v>#REF!</v>
      </c>
    </row>
    <row r="163" spans="2:12" ht="12.65" customHeight="1" x14ac:dyDescent="0.3">
      <c r="B163" s="711"/>
      <c r="L163" s="717"/>
    </row>
    <row r="164" spans="2:12" ht="12.65" customHeight="1" x14ac:dyDescent="0.3">
      <c r="B164" s="711"/>
      <c r="L164" s="717"/>
    </row>
    <row r="165" spans="2:12" ht="12.65" customHeight="1" x14ac:dyDescent="0.3">
      <c r="B165" s="711"/>
      <c r="L165" s="717"/>
    </row>
    <row r="166" spans="2:12" ht="12.65" customHeight="1" x14ac:dyDescent="0.3">
      <c r="L166" s="717"/>
    </row>
    <row r="167" spans="2:12" ht="12.65" customHeight="1" x14ac:dyDescent="0.3">
      <c r="L167" s="717"/>
    </row>
    <row r="168" spans="2:12" ht="12.65" customHeight="1" x14ac:dyDescent="0.3">
      <c r="L168" s="717"/>
    </row>
    <row r="169" spans="2:12" ht="12.65" customHeight="1" x14ac:dyDescent="0.3">
      <c r="L169" s="717"/>
    </row>
    <row r="176" spans="2:12" ht="30" customHeight="1" x14ac:dyDescent="0.3"/>
    <row r="177" ht="30" customHeight="1" x14ac:dyDescent="0.3"/>
    <row r="178" ht="30" customHeight="1" x14ac:dyDescent="0.3"/>
    <row r="179" ht="30" customHeight="1" x14ac:dyDescent="0.3"/>
    <row r="180" ht="30" customHeight="1" x14ac:dyDescent="0.3"/>
    <row r="181" ht="30" customHeight="1" x14ac:dyDescent="0.3"/>
    <row r="182" ht="30" customHeight="1" x14ac:dyDescent="0.3"/>
    <row r="183" ht="30" customHeight="1" x14ac:dyDescent="0.3"/>
    <row r="184" ht="30" customHeight="1" x14ac:dyDescent="0.3"/>
    <row r="185" ht="30" customHeight="1" x14ac:dyDescent="0.3"/>
    <row r="186" ht="30" customHeight="1" x14ac:dyDescent="0.3"/>
    <row r="187" ht="30" customHeight="1" x14ac:dyDescent="0.3"/>
    <row r="188" ht="30" customHeight="1" x14ac:dyDescent="0.3"/>
    <row r="189" ht="30" customHeight="1" x14ac:dyDescent="0.3"/>
    <row r="190" ht="30" customHeight="1" x14ac:dyDescent="0.3"/>
    <row r="191" ht="30" customHeight="1" x14ac:dyDescent="0.3"/>
    <row r="192" ht="30" customHeight="1" x14ac:dyDescent="0.3"/>
    <row r="193" ht="30" customHeight="1" x14ac:dyDescent="0.3"/>
    <row r="194" ht="30" customHeight="1" x14ac:dyDescent="0.3"/>
    <row r="195" ht="30" customHeight="1" x14ac:dyDescent="0.3"/>
    <row r="196" ht="30" customHeight="1" x14ac:dyDescent="0.3"/>
    <row r="197" ht="30" customHeight="1" x14ac:dyDescent="0.3"/>
    <row r="198" ht="30" customHeight="1" x14ac:dyDescent="0.3"/>
    <row r="199" ht="30" customHeight="1" x14ac:dyDescent="0.3"/>
    <row r="200" ht="30" customHeight="1" x14ac:dyDescent="0.3"/>
    <row r="201" ht="30" customHeight="1" x14ac:dyDescent="0.3"/>
  </sheetData>
  <sheetProtection algorithmName="SHA-512" hashValue="KWTdRNbR86UR4XUuOu/hYJ/5a/CsqSWMyuwsf4fU41YSUwokj28/N5r7ruUTrdBJGNpV0uGsP6DsJXofT0FTEg==" saltValue="jKEMfJ66YPFKyFRMeQ3X1w==" spinCount="100000" sheet="1" objects="1" scenarios="1" selectLockedCells="1" selectUnlockedCells="1"/>
  <customSheetViews>
    <customSheetView guid="{33CCADFA-0D48-46A6-8927-2B2144029216}" topLeftCell="A31">
      <selection activeCell="G68" sqref="G68"/>
      <rowBreaks count="2" manualBreakCount="2">
        <brk id="40" max="9" man="1"/>
        <brk id="105" max="9" man="1"/>
      </rowBreaks>
      <pageMargins left="0.31" right="0.19" top="0.44" bottom="0.17" header="0.25" footer="0.17"/>
      <pageSetup paperSize="9" orientation="portrait" r:id="rId1"/>
      <headerFooter alignWithMargins="0">
        <oddHeader>&amp;L&amp;"Arial,Cursief"&amp;9&amp;P&amp;R&amp;"  ,Cursief"&amp;9Datum en tijd:  &amp;D, &amp;T&amp;CBed 2.4</oddHeader>
        <oddFooter xml:space="preserve">&amp;R      </oddFooter>
      </headerFooter>
    </customSheetView>
  </customSheetViews>
  <mergeCells count="16">
    <mergeCell ref="D20:J21"/>
    <mergeCell ref="D67:J68"/>
    <mergeCell ref="F2:G2"/>
    <mergeCell ref="F34:G34"/>
    <mergeCell ref="D16:J16"/>
    <mergeCell ref="D12:J12"/>
    <mergeCell ref="D46:J46"/>
    <mergeCell ref="D15:J15"/>
    <mergeCell ref="D17:J17"/>
    <mergeCell ref="D18:J18"/>
    <mergeCell ref="D19:J19"/>
    <mergeCell ref="E108:F108"/>
    <mergeCell ref="H108:I108"/>
    <mergeCell ref="A108:B108"/>
    <mergeCell ref="F99:G99"/>
    <mergeCell ref="D92:J92"/>
  </mergeCells>
  <phoneticPr fontId="29" type="noConversion"/>
  <pageMargins left="0.31" right="0.19" top="0.44" bottom="0.17" header="0.25" footer="0.17"/>
  <pageSetup paperSize="9" orientation="portrait" r:id="rId2"/>
  <headerFooter alignWithMargins="0">
    <oddHeader>&amp;L&amp;"Arial,Cursief"&amp;9&amp;P&amp;R&amp;"  ,Cursief"&amp;9Datum en tijd:  &amp;D, &amp;T&amp;CBed 2.4</oddHeader>
    <oddFooter xml:space="preserve">&amp;R      </oddFooter>
  </headerFooter>
  <rowBreaks count="2" manualBreakCount="2">
    <brk id="33" max="9" man="1"/>
    <brk id="98" max="9" man="1"/>
  </rowBreaks>
  <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Medicatie">
    <tabColor rgb="FF7030A0"/>
  </sheetPr>
  <dimension ref="A1:AG32"/>
  <sheetViews>
    <sheetView zoomScaleNormal="100" workbookViewId="0"/>
  </sheetViews>
  <sheetFormatPr defaultRowHeight="12.85" x14ac:dyDescent="0.35"/>
  <cols>
    <col min="1" max="1" width="7.1328125" customWidth="1"/>
    <col min="2" max="2" width="6" customWidth="1"/>
    <col min="3" max="3" width="26.3984375" customWidth="1"/>
    <col min="4" max="4" width="4.59765625" customWidth="1"/>
    <col min="6" max="6" width="4.265625" customWidth="1"/>
    <col min="7" max="7" width="11.73046875" customWidth="1"/>
    <col min="8" max="23" width="2.73046875" style="16" customWidth="1"/>
    <col min="24" max="33" width="2.73046875" customWidth="1"/>
  </cols>
  <sheetData>
    <row r="1" spans="1:33" ht="19.55" customHeight="1" thickBot="1" x14ac:dyDescent="0.4">
      <c r="A1" s="577"/>
      <c r="B1" t="str">
        <f>"Naam: "&amp;_AchterNaam&amp;", "&amp;_VoorNaam</f>
        <v>Naam: Achternaam, Voornaam</v>
      </c>
      <c r="D1" t="str">
        <f>"Geboortedatum: "</f>
        <v xml:space="preserve">Geboortedatum: </v>
      </c>
      <c r="F1" s="895">
        <f>GebDatum</f>
        <v>42370</v>
      </c>
      <c r="G1" s="895"/>
      <c r="I1" s="9" t="str">
        <f>"Gewicht: "&amp;ROUND(Gewicht/10,1)&amp;"kg"</f>
        <v>Gewicht: 10kg</v>
      </c>
      <c r="P1" s="9" t="s">
        <v>397</v>
      </c>
      <c r="R1" s="893"/>
      <c r="S1" s="893"/>
      <c r="T1" s="893"/>
      <c r="U1" s="893"/>
      <c r="V1" s="893"/>
      <c r="W1" s="893"/>
      <c r="Y1" t="s">
        <v>623</v>
      </c>
      <c r="AB1" s="894">
        <f ca="1">TODAY()</f>
        <v>42722</v>
      </c>
      <c r="AC1" s="894"/>
      <c r="AD1" s="894"/>
      <c r="AE1" s="894"/>
      <c r="AF1" s="894"/>
    </row>
    <row r="2" spans="1:33" ht="26.1" customHeight="1" x14ac:dyDescent="0.35">
      <c r="B2" s="99"/>
      <c r="C2" s="100" t="s">
        <v>684</v>
      </c>
      <c r="D2" s="101" t="s">
        <v>685</v>
      </c>
      <c r="E2" s="101"/>
      <c r="F2" s="101"/>
      <c r="G2" s="102" t="s">
        <v>631</v>
      </c>
      <c r="H2" s="103">
        <v>10</v>
      </c>
      <c r="I2" s="103">
        <v>11</v>
      </c>
      <c r="J2" s="103">
        <v>12</v>
      </c>
      <c r="K2" s="103">
        <v>13</v>
      </c>
      <c r="L2" s="103">
        <v>14</v>
      </c>
      <c r="M2" s="103">
        <v>15</v>
      </c>
      <c r="N2" s="103">
        <v>16</v>
      </c>
      <c r="O2" s="103">
        <v>17</v>
      </c>
      <c r="P2" s="103">
        <v>18</v>
      </c>
      <c r="Q2" s="103">
        <v>19</v>
      </c>
      <c r="R2" s="104">
        <v>20</v>
      </c>
      <c r="S2" s="104">
        <v>21</v>
      </c>
      <c r="T2" s="104">
        <v>22</v>
      </c>
      <c r="U2" s="104">
        <v>23</v>
      </c>
      <c r="V2" s="104">
        <v>24</v>
      </c>
      <c r="W2" s="104">
        <v>1</v>
      </c>
      <c r="X2" s="103">
        <v>2</v>
      </c>
      <c r="Y2" s="103">
        <v>3</v>
      </c>
      <c r="Z2" s="103">
        <v>4</v>
      </c>
      <c r="AA2" s="103">
        <v>5</v>
      </c>
      <c r="AB2" s="103">
        <v>6</v>
      </c>
      <c r="AC2" s="103">
        <v>7</v>
      </c>
      <c r="AD2" s="103">
        <v>8</v>
      </c>
      <c r="AE2" s="105"/>
      <c r="AF2" s="105"/>
      <c r="AG2" s="105"/>
    </row>
    <row r="3" spans="1:33" ht="26.1" customHeight="1" x14ac:dyDescent="0.35">
      <c r="B3" s="107"/>
      <c r="C3" s="231" t="str">
        <f>IF(ber_Med_disc!C2&lt;&gt;"",IF(ber_Med_disc!C2&gt;1,TRIM(ber_Med_disc!C2)&amp;", "&amp;ber_Opm!C16&amp;" ("&amp;ber_Med_disc!M2&amp;" "&amp;ber_Med_disc!F2&amp;"/kg/dag)",TRIM(ber_Med_disc!C2)&amp;", "&amp;ber_Opm!C16),"")</f>
        <v/>
      </c>
      <c r="D3" s="232" t="str">
        <f>IF(Med_disc!H6&lt;&gt;"",Med_disc!H6,"")</f>
        <v/>
      </c>
      <c r="E3" s="233" t="str">
        <f>IF(AND(D3&lt;&gt;"",D3&lt;&gt;"STOP"),ber_Med_disc!H2&amp;" "&amp;ber_Med_disc!F2,"")</f>
        <v/>
      </c>
      <c r="F3" s="233" t="str">
        <f>IF(AND(D3&lt;&gt;"",D3&lt;&gt;"STOP"),ber_Med_disc!L2," ")</f>
        <v xml:space="preserve"> </v>
      </c>
      <c r="G3" s="233" t="str">
        <f>IF(Med_disc!L6&lt;&gt;"",Med_disc!L6&amp;" "&amp;Med_disc!M6&amp;" "&amp;INDEX(ber_Med_disc!$B$27:$B$30,ber_Med_disc!O2,1)&amp;" in "&amp;Med_disc!$O$6,"")</f>
        <v/>
      </c>
      <c r="H3" s="106" t="str">
        <f>IF(OR($D3="1 dd",$D3="2 dd",$D3="3 dd",$D3="4 dd",$D3="6 dd",$D3="8 dd",$D3="12 dd",$D3="an",$D3="1 X"),VLOOKUP($D3,ber_tijden!$A$16:$X$26,ber_tijden!B$14,FALSE),"")</f>
        <v/>
      </c>
      <c r="I3" s="15" t="str">
        <f>IF(OR($D3="1 dd",$D3="2 dd",$D3="3 dd",$D3="4 dd",$D3="6 dd",$D3="8 dd",$D3="12 dd",$D3="an",$D3="1 X"),VLOOKUP($D3,ber_tijden!$A$16:$X$26,ber_tijden!C$14,FALSE),"")</f>
        <v/>
      </c>
      <c r="J3" s="106" t="str">
        <f>IF(OR($D3="1 dd",$D3="2 dd",$D3="3 dd",$D3="4 dd",$D3="6 dd",$D3="8 dd",$D3="12 dd",$D3="an",$D3="1 X"),VLOOKUP($D3,ber_tijden!$A$16:$X$26,ber_tijden!D$14,FALSE),"")</f>
        <v/>
      </c>
      <c r="K3" s="15" t="str">
        <f>IF(OR($D3="1 dd",$D3="2 dd",$D3="3 dd",$D3="4 dd",$D3="6 dd",$D3="8 dd",$D3="12 dd",$D3="an",$D3="1 X"),VLOOKUP($D3,ber_tijden!$A$16:$X$26,ber_tijden!E$14,FALSE),"")</f>
        <v/>
      </c>
      <c r="L3" s="106" t="str">
        <f>IF(OR($D3="1 dd",$D3="2 dd",$D3="3 dd",$D3="4 dd",$D3="6 dd",$D3="8 dd",$D3="12 dd",$D3="an",$D3="1 X"),VLOOKUP($D3,ber_tijden!$A$16:$X$26,ber_tijden!F$14,FALSE),"")</f>
        <v/>
      </c>
      <c r="M3" s="15" t="str">
        <f>IF(OR($D3="1 dd",$D3="2 dd",$D3="3 dd",$D3="4 dd",$D3="6 dd",$D3="8 dd",$D3="12 dd",$D3="an",$D3="1 X"),VLOOKUP($D3,ber_tijden!$A$16:$X$26,ber_tijden!G$14,FALSE),"")</f>
        <v/>
      </c>
      <c r="N3" s="106" t="str">
        <f>IF(OR($D3="1 dd",$D3="2 dd",$D3="3 dd",$D3="4 dd",$D3="6 dd",$D3="8 dd",$D3="12 dd",$D3="an",$D3="1 X"),VLOOKUP($D3,ber_tijden!$A$16:$X$26,ber_tijden!H$14,FALSE),"")</f>
        <v/>
      </c>
      <c r="O3" s="15" t="str">
        <f>IF(OR($D3="1 dd",$D3="2 dd",$D3="3 dd",$D3="4 dd",$D3="6 dd",$D3="8 dd",$D3="12 dd",$D3="an",$D3="1 X"),VLOOKUP($D3,ber_tijden!$A$16:$X$26,ber_tijden!I$14,FALSE),"")</f>
        <v/>
      </c>
      <c r="P3" s="106" t="str">
        <f>IF(OR($D3="1 dd",$D3="2 dd",$D3="3 dd",$D3="4 dd",$D3="6 dd",$D3="8 dd",$D3="12 dd",$D3="an",$D3="1 X"),VLOOKUP($D3,ber_tijden!$A$16:$X$26,ber_tijden!J$14,FALSE),"")</f>
        <v/>
      </c>
      <c r="Q3" s="15" t="str">
        <f>IF(OR($D3="1 dd",$D3="2 dd",$D3="3 dd",$D3="4 dd",$D3="6 dd",$D3="8 dd",$D3="12 dd",$D3="an",$D3="1 X"),VLOOKUP($D3,ber_tijden!$A$16:$X$26,ber_tijden!K$14,FALSE),"")</f>
        <v/>
      </c>
      <c r="R3" s="106" t="str">
        <f>IF(OR($D3="1 dd",$D3="2 dd",$D3="3 dd",$D3="4 dd",$D3="6 dd",$D3="8 dd",$D3="12 dd",$D3="an",$D3="1 X"),VLOOKUP($D3,ber_tijden!$A$16:$X$26,ber_tijden!L$14,FALSE),"")</f>
        <v/>
      </c>
      <c r="S3" s="15" t="str">
        <f>IF(OR($D3="1 dd",$D3="2 dd",$D3="3 dd",$D3="4 dd",$D3="6 dd",$D3="8 dd",$D3="12 dd",$D3="an",$D3="1 X"),VLOOKUP($D3,ber_tijden!$A$16:$X$26,ber_tijden!M$14,FALSE),"")</f>
        <v/>
      </c>
      <c r="T3" s="106" t="str">
        <f>IF(OR($D3="1 dd",$D3="2 dd",$D3="3 dd",$D3="4 dd",$D3="6 dd",$D3="8 dd",$D3="12 dd",$D3="an",$D3="1 X"),VLOOKUP($D3,ber_tijden!$A$16:$X$26,ber_tijden!N$14,FALSE),"")</f>
        <v/>
      </c>
      <c r="U3" s="15" t="str">
        <f>IF(OR($D3="1 dd",$D3="2 dd",$D3="3 dd",$D3="4 dd",$D3="6 dd",$D3="8 dd",$D3="12 dd",$D3="an",$D3="1 X"),VLOOKUP($D3,ber_tijden!$A$16:$X$26,ber_tijden!O$14,FALSE),"")</f>
        <v/>
      </c>
      <c r="V3" s="106" t="str">
        <f>IF(OR($D3="1 dd",$D3="2 dd",$D3="3 dd",$D3="4 dd",$D3="6 dd",$D3="8 dd",$D3="12 dd",$D3="an",$D3="1 X"),VLOOKUP($D3,ber_tijden!$A$16:$X$26,ber_tijden!P$14,FALSE),"")</f>
        <v/>
      </c>
      <c r="W3" s="15" t="str">
        <f>IF(OR($D3="1 dd",$D3="2 dd",$D3="3 dd",$D3="4 dd",$D3="6 dd",$D3="8 dd",$D3="12 dd",$D3="an",$D3="1 X"),VLOOKUP($D3,ber_tijden!$A$16:$X$26,ber_tijden!Q$14,FALSE),"")</f>
        <v/>
      </c>
      <c r="X3" s="106" t="str">
        <f>IF(OR($D3="1 dd",$D3="2 dd",$D3="3 dd",$D3="4 dd",$D3="6 dd",$D3="8 dd",$D3="12 dd",$D3="an",$D3="1 X"),VLOOKUP($D3,ber_tijden!$A$16:$X$26,ber_tijden!R$14,FALSE),"")</f>
        <v/>
      </c>
      <c r="Y3" s="15" t="str">
        <f>IF(OR($D3="1 dd",$D3="2 dd",$D3="3 dd",$D3="4 dd",$D3="6 dd",$D3="8 dd",$D3="12 dd",$D3="an",$D3="1 X"),VLOOKUP($D3,ber_tijden!$A$16:$X$26,ber_tijden!S$14,FALSE),"")</f>
        <v/>
      </c>
      <c r="Z3" s="106" t="str">
        <f>IF(OR($D3="1 dd",$D3="2 dd",$D3="3 dd",$D3="4 dd",$D3="6 dd",$D3="8 dd",$D3="12 dd",$D3="an",$D3="1 X"),VLOOKUP($D3,ber_tijden!$A$16:$X$26,ber_tijden!T$14,FALSE),"")</f>
        <v/>
      </c>
      <c r="AA3" s="15" t="str">
        <f>IF(OR($D3="1 dd",$D3="2 dd",$D3="3 dd",$D3="4 dd",$D3="6 dd",$D3="8 dd",$D3="12 dd",$D3="an",$D3="1 X"),VLOOKUP($D3,ber_tijden!$A$16:$X$26,ber_tijden!U$14,FALSE),"")</f>
        <v/>
      </c>
      <c r="AB3" s="106" t="str">
        <f>IF(OR($D3="1 dd",$D3="2 dd",$D3="3 dd",$D3="4 dd",$D3="6 dd",$D3="8 dd",$D3="12 dd",$D3="an",$D3="1 X"),VLOOKUP($D3,ber_tijden!$A$16:$X$26,ber_tijden!V$14,FALSE),"")</f>
        <v/>
      </c>
      <c r="AC3" s="15" t="str">
        <f>IF(OR($D3="1 dd",$D3="2 dd",$D3="3 dd",$D3="4 dd",$D3="6 dd",$D3="8 dd",$D3="12 dd",$D3="an",$D3="1 X"),VLOOKUP($D3,ber_tijden!$A$16:$X$26,ber_tijden!W$14,FALSE),"")</f>
        <v/>
      </c>
      <c r="AD3" s="106" t="str">
        <f>IF(OR($D3="1 dd",$D3="2 dd",$D3="3 dd",$D3="4 dd",$D3="6 dd",$D3="8 dd",$D3="12 dd",$D3="an",$D3="1 X"),VLOOKUP($D3,ber_tijden!$A$16:$X$26,ber_tijden!X$14,FALSE),"")</f>
        <v/>
      </c>
      <c r="AE3" s="17"/>
      <c r="AF3" s="105"/>
      <c r="AG3" s="17"/>
    </row>
    <row r="4" spans="1:33" ht="26.1" customHeight="1" x14ac:dyDescent="0.35">
      <c r="B4" s="107"/>
      <c r="C4" s="231" t="str">
        <f>IF(ber_Med_disc!C3&lt;&gt;"",IF(ber_Med_disc!C3&gt;1,TRIM(ber_Med_disc!C3)&amp;", "&amp;ber_Opm!C17&amp;" ("&amp;ber_Med_disc!M3&amp;" "&amp;ber_Med_disc!F3&amp;"/kg/dag)",TRIM(ber_Med_disc!C3)&amp;", "&amp;ber_Opm!C17),"")</f>
        <v/>
      </c>
      <c r="D4" s="232" t="str">
        <f>IF(Med_disc!H8&lt;&gt;"",Med_disc!H8,"")</f>
        <v/>
      </c>
      <c r="E4" s="233" t="str">
        <f>IF(AND(D4&lt;&gt;"",D4&lt;&gt;"STOP"),ber_Med_disc!H3&amp;" "&amp;ber_Med_disc!F3,"")</f>
        <v/>
      </c>
      <c r="F4" s="233" t="str">
        <f>IF(AND(D4&lt;&gt;"",D4&lt;&gt;"STOP"),ber_Med_disc!L3," ")</f>
        <v xml:space="preserve"> </v>
      </c>
      <c r="G4" s="233" t="str">
        <f>IF(Med_disc!L8&lt;&gt;"",Med_disc!L8&amp;" "&amp;Med_disc!M8&amp;" "&amp;INDEX(ber_Med_disc!$B$27:$B$30,ber_Med_disc!O3,1)&amp;" in "&amp;Med_disc!$O$8,"")</f>
        <v/>
      </c>
      <c r="H4" s="106" t="str">
        <f>IF(OR($D4="1 dd",$D4="2 dd",$D4="3 dd",$D4="4 dd",$D4="6 dd",$D4="8 dd",$D4="12 dd",$D4="an",$D4="1 X"),VLOOKUP($D4,ber_tijden!$A$16:$X$26,ber_tijden!B$14,FALSE),"")</f>
        <v/>
      </c>
      <c r="I4" s="15" t="str">
        <f>IF(OR($D4="1 dd",$D4="2 dd",$D4="3 dd",$D4="4 dd",$D4="6 dd",$D4="8 dd",$D4="12 dd",$D4="an",$D4="1 X"),VLOOKUP($D4,ber_tijden!$A$16:$X$26,ber_tijden!C$14,FALSE),"")</f>
        <v/>
      </c>
      <c r="J4" s="106" t="str">
        <f>IF(OR($D4="1 dd",$D4="2 dd",$D4="3 dd",$D4="4 dd",$D4="6 dd",$D4="8 dd",$D4="12 dd",$D4="an",$D4="1 X"),VLOOKUP($D4,ber_tijden!$A$16:$X$26,ber_tijden!D$14,FALSE),"")</f>
        <v/>
      </c>
      <c r="K4" s="15" t="str">
        <f>IF(OR($D4="1 dd",$D4="2 dd",$D4="3 dd",$D4="4 dd",$D4="6 dd",$D4="8 dd",$D4="12 dd",$D4="an",$D4="1 X"),VLOOKUP($D4,ber_tijden!$A$16:$X$26,ber_tijden!E$14,FALSE),"")</f>
        <v/>
      </c>
      <c r="L4" s="106" t="str">
        <f>IF(OR($D4="1 dd",$D4="2 dd",$D4="3 dd",$D4="4 dd",$D4="6 dd",$D4="8 dd",$D4="12 dd",$D4="an",$D4="1 X"),VLOOKUP($D4,ber_tijden!$A$16:$X$26,ber_tijden!F$14,FALSE),"")</f>
        <v/>
      </c>
      <c r="M4" s="15" t="str">
        <f>IF(OR($D4="1 dd",$D4="2 dd",$D4="3 dd",$D4="4 dd",$D4="6 dd",$D4="8 dd",$D4="12 dd",$D4="an",$D4="1 X"),VLOOKUP($D4,ber_tijden!$A$16:$X$26,ber_tijden!G$14,FALSE),"")</f>
        <v/>
      </c>
      <c r="N4" s="106" t="str">
        <f>IF(OR($D4="1 dd",$D4="2 dd",$D4="3 dd",$D4="4 dd",$D4="6 dd",$D4="8 dd",$D4="12 dd",$D4="an",$D4="1 X"),VLOOKUP($D4,ber_tijden!$A$16:$X$26,ber_tijden!H$14,FALSE),"")</f>
        <v/>
      </c>
      <c r="O4" s="15" t="str">
        <f>IF(OR($D4="1 dd",$D4="2 dd",$D4="3 dd",$D4="4 dd",$D4="6 dd",$D4="8 dd",$D4="12 dd",$D4="an",$D4="1 X"),VLOOKUP($D4,ber_tijden!$A$16:$X$26,ber_tijden!I$14,FALSE),"")</f>
        <v/>
      </c>
      <c r="P4" s="106" t="str">
        <f>IF(OR($D4="1 dd",$D4="2 dd",$D4="3 dd",$D4="4 dd",$D4="6 dd",$D4="8 dd",$D4="12 dd",$D4="an",$D4="1 X"),VLOOKUP($D4,ber_tijden!$A$16:$X$26,ber_tijden!J$14,FALSE),"")</f>
        <v/>
      </c>
      <c r="Q4" s="15" t="str">
        <f>IF(OR($D4="1 dd",$D4="2 dd",$D4="3 dd",$D4="4 dd",$D4="6 dd",$D4="8 dd",$D4="12 dd",$D4="an",$D4="1 X"),VLOOKUP($D4,ber_tijden!$A$16:$X$26,ber_tijden!K$14,FALSE),"")</f>
        <v/>
      </c>
      <c r="R4" s="106" t="str">
        <f>IF(OR($D4="1 dd",$D4="2 dd",$D4="3 dd",$D4="4 dd",$D4="6 dd",$D4="8 dd",$D4="12 dd",$D4="an",$D4="1 X"),VLOOKUP($D4,ber_tijden!$A$16:$X$26,ber_tijden!L$14,FALSE),"")</f>
        <v/>
      </c>
      <c r="S4" s="15" t="str">
        <f>IF(OR($D4="1 dd",$D4="2 dd",$D4="3 dd",$D4="4 dd",$D4="6 dd",$D4="8 dd",$D4="12 dd",$D4="an",$D4="1 X"),VLOOKUP($D4,ber_tijden!$A$16:$X$26,ber_tijden!M$14,FALSE),"")</f>
        <v/>
      </c>
      <c r="T4" s="106" t="str">
        <f>IF(OR($D4="1 dd",$D4="2 dd",$D4="3 dd",$D4="4 dd",$D4="6 dd",$D4="8 dd",$D4="12 dd",$D4="an",$D4="1 X"),VLOOKUP($D4,ber_tijden!$A$16:$X$26,ber_tijden!N$14,FALSE),"")</f>
        <v/>
      </c>
      <c r="U4" s="15" t="str">
        <f>IF(OR($D4="1 dd",$D4="2 dd",$D4="3 dd",$D4="4 dd",$D4="6 dd",$D4="8 dd",$D4="12 dd",$D4="an",$D4="1 X"),VLOOKUP($D4,ber_tijden!$A$16:$X$26,ber_tijden!O$14,FALSE),"")</f>
        <v/>
      </c>
      <c r="V4" s="106" t="str">
        <f>IF(OR($D4="1 dd",$D4="2 dd",$D4="3 dd",$D4="4 dd",$D4="6 dd",$D4="8 dd",$D4="12 dd",$D4="an",$D4="1 X"),VLOOKUP($D4,ber_tijden!$A$16:$X$26,ber_tijden!P$14,FALSE),"")</f>
        <v/>
      </c>
      <c r="W4" s="15" t="str">
        <f>IF(OR($D4="1 dd",$D4="2 dd",$D4="3 dd",$D4="4 dd",$D4="6 dd",$D4="8 dd",$D4="12 dd",$D4="an",$D4="1 X"),VLOOKUP($D4,ber_tijden!$A$16:$X$26,ber_tijden!Q$14,FALSE),"")</f>
        <v/>
      </c>
      <c r="X4" s="106" t="str">
        <f>IF(OR($D4="1 dd",$D4="2 dd",$D4="3 dd",$D4="4 dd",$D4="6 dd",$D4="8 dd",$D4="12 dd",$D4="an",$D4="1 X"),VLOOKUP($D4,ber_tijden!$A$16:$X$26,ber_tijden!R$14,FALSE),"")</f>
        <v/>
      </c>
      <c r="Y4" s="15" t="str">
        <f>IF(OR($D4="1 dd",$D4="2 dd",$D4="3 dd",$D4="4 dd",$D4="6 dd",$D4="8 dd",$D4="12 dd",$D4="an",$D4="1 X"),VLOOKUP($D4,ber_tijden!$A$16:$X$26,ber_tijden!S$14,FALSE),"")</f>
        <v/>
      </c>
      <c r="Z4" s="106" t="str">
        <f>IF(OR($D4="1 dd",$D4="2 dd",$D4="3 dd",$D4="4 dd",$D4="6 dd",$D4="8 dd",$D4="12 dd",$D4="an",$D4="1 X"),VLOOKUP($D4,ber_tijden!$A$16:$X$26,ber_tijden!T$14,FALSE),"")</f>
        <v/>
      </c>
      <c r="AA4" s="15" t="str">
        <f>IF(OR($D4="1 dd",$D4="2 dd",$D4="3 dd",$D4="4 dd",$D4="6 dd",$D4="8 dd",$D4="12 dd",$D4="an",$D4="1 X"),VLOOKUP($D4,ber_tijden!$A$16:$X$26,ber_tijden!U$14,FALSE),"")</f>
        <v/>
      </c>
      <c r="AB4" s="106" t="str">
        <f>IF(OR($D4="1 dd",$D4="2 dd",$D4="3 dd",$D4="4 dd",$D4="6 dd",$D4="8 dd",$D4="12 dd",$D4="an",$D4="1 X"),VLOOKUP($D4,ber_tijden!$A$16:$X$26,ber_tijden!V$14,FALSE),"")</f>
        <v/>
      </c>
      <c r="AC4" s="15" t="str">
        <f>IF(OR($D4="1 dd",$D4="2 dd",$D4="3 dd",$D4="4 dd",$D4="6 dd",$D4="8 dd",$D4="12 dd",$D4="an",$D4="1 X"),VLOOKUP($D4,ber_tijden!$A$16:$X$26,ber_tijden!W$14,FALSE),"")</f>
        <v/>
      </c>
      <c r="AD4" s="106" t="str">
        <f>IF(OR($D4="1 dd",$D4="2 dd",$D4="3 dd",$D4="4 dd",$D4="6 dd",$D4="8 dd",$D4="12 dd",$D4="an",$D4="1 X"),VLOOKUP($D4,ber_tijden!$A$16:$X$26,ber_tijden!X$14,FALSE),"")</f>
        <v/>
      </c>
      <c r="AE4" s="17"/>
      <c r="AF4" s="105"/>
      <c r="AG4" s="17"/>
    </row>
    <row r="5" spans="1:33" ht="26.1" customHeight="1" x14ac:dyDescent="0.35">
      <c r="B5" s="107"/>
      <c r="C5" s="231" t="str">
        <f>IF(ber_Med_disc!C4&lt;&gt;"",IF(ber_Med_disc!C4&gt;1,TRIM(ber_Med_disc!C4)&amp;", "&amp;ber_Opm!C18&amp;" ("&amp;ber_Med_disc!M4&amp;" "&amp;ber_Med_disc!F4&amp;"/kg/dag)",TRIM(ber_Med_disc!C4)&amp;", "&amp;ber_Opm!C18),"")</f>
        <v/>
      </c>
      <c r="D5" s="232" t="str">
        <f>IF(Med_disc!H10&lt;&gt;"",Med_disc!H10,"")</f>
        <v/>
      </c>
      <c r="E5" s="233" t="str">
        <f>IF(AND(D5&lt;&gt;"",D5&lt;&gt;"STOP"),ber_Med_disc!H4&amp;" "&amp;ber_Med_disc!F4,"")</f>
        <v/>
      </c>
      <c r="F5" s="233" t="str">
        <f>IF(AND(D5&lt;&gt;"",D5&lt;&gt;"STOP"),ber_Med_disc!L4," ")</f>
        <v xml:space="preserve"> </v>
      </c>
      <c r="G5" s="233" t="str">
        <f>IF(Med_disc!L10&lt;&gt;"",Med_disc!L10&amp;" "&amp;Med_disc!M10&amp;" "&amp;INDEX(ber_Med_disc!$B$27:$B$30,ber_Med_disc!O4,1)&amp;" in "&amp;Med_disc!$O$10,"")</f>
        <v/>
      </c>
      <c r="H5" s="106" t="str">
        <f>IF(OR($D5="1 dd",$D5="2 dd",$D5="3 dd",$D5="4 dd",$D5="6 dd",$D5="8 dd",$D5="12 dd",$D5="an",$D5="1 X"),VLOOKUP($D5,ber_tijden!$A$16:$X$26,ber_tijden!B$14,FALSE),"")</f>
        <v/>
      </c>
      <c r="I5" s="15" t="str">
        <f>IF(OR($D5="1 dd",$D5="2 dd",$D5="3 dd",$D5="4 dd",$D5="6 dd",$D5="8 dd",$D5="12 dd",$D5="an",$D5="1 X"),VLOOKUP($D5,ber_tijden!$A$16:$X$26,ber_tijden!C$14,FALSE),"")</f>
        <v/>
      </c>
      <c r="J5" s="106" t="str">
        <f>IF(OR($D5="1 dd",$D5="2 dd",$D5="3 dd",$D5="4 dd",$D5="6 dd",$D5="8 dd",$D5="12 dd",$D5="an",$D5="1 X"),VLOOKUP($D5,ber_tijden!$A$16:$X$26,ber_tijden!D$14,FALSE),"")</f>
        <v/>
      </c>
      <c r="K5" s="15" t="str">
        <f>IF(OR($D5="1 dd",$D5="2 dd",$D5="3 dd",$D5="4 dd",$D5="6 dd",$D5="8 dd",$D5="12 dd",$D5="an",$D5="1 X"),VLOOKUP($D5,ber_tijden!$A$16:$X$26,ber_tijden!E$14,FALSE),"")</f>
        <v/>
      </c>
      <c r="L5" s="106" t="str">
        <f>IF(OR($D5="1 dd",$D5="2 dd",$D5="3 dd",$D5="4 dd",$D5="6 dd",$D5="8 dd",$D5="12 dd",$D5="an",$D5="1 X"),VLOOKUP($D5,ber_tijden!$A$16:$X$26,ber_tijden!F$14,FALSE),"")</f>
        <v/>
      </c>
      <c r="M5" s="15" t="str">
        <f>IF(OR($D5="1 dd",$D5="2 dd",$D5="3 dd",$D5="4 dd",$D5="6 dd",$D5="8 dd",$D5="12 dd",$D5="an",$D5="1 X"),VLOOKUP($D5,ber_tijden!$A$16:$X$26,ber_tijden!G$14,FALSE),"")</f>
        <v/>
      </c>
      <c r="N5" s="106" t="str">
        <f>IF(OR($D5="1 dd",$D5="2 dd",$D5="3 dd",$D5="4 dd",$D5="6 dd",$D5="8 dd",$D5="12 dd",$D5="an",$D5="1 X"),VLOOKUP($D5,ber_tijden!$A$16:$X$26,ber_tijden!H$14,FALSE),"")</f>
        <v/>
      </c>
      <c r="O5" s="15" t="str">
        <f>IF(OR($D5="1 dd",$D5="2 dd",$D5="3 dd",$D5="4 dd",$D5="6 dd",$D5="8 dd",$D5="12 dd",$D5="an",$D5="1 X"),VLOOKUP($D5,ber_tijden!$A$16:$X$26,ber_tijden!I$14,FALSE),"")</f>
        <v/>
      </c>
      <c r="P5" s="106" t="str">
        <f>IF(OR($D5="1 dd",$D5="2 dd",$D5="3 dd",$D5="4 dd",$D5="6 dd",$D5="8 dd",$D5="12 dd",$D5="an",$D5="1 X"),VLOOKUP($D5,ber_tijden!$A$16:$X$26,ber_tijden!J$14,FALSE),"")</f>
        <v/>
      </c>
      <c r="Q5" s="15" t="str">
        <f>IF(OR($D5="1 dd",$D5="2 dd",$D5="3 dd",$D5="4 dd",$D5="6 dd",$D5="8 dd",$D5="12 dd",$D5="an",$D5="1 X"),VLOOKUP($D5,ber_tijden!$A$16:$X$26,ber_tijden!K$14,FALSE),"")</f>
        <v/>
      </c>
      <c r="R5" s="106" t="str">
        <f>IF(OR($D5="1 dd",$D5="2 dd",$D5="3 dd",$D5="4 dd",$D5="6 dd",$D5="8 dd",$D5="12 dd",$D5="an",$D5="1 X"),VLOOKUP($D5,ber_tijden!$A$16:$X$26,ber_tijden!L$14,FALSE),"")</f>
        <v/>
      </c>
      <c r="S5" s="15" t="str">
        <f>IF(OR($D5="1 dd",$D5="2 dd",$D5="3 dd",$D5="4 dd",$D5="6 dd",$D5="8 dd",$D5="12 dd",$D5="an",$D5="1 X"),VLOOKUP($D5,ber_tijden!$A$16:$X$26,ber_tijden!M$14,FALSE),"")</f>
        <v/>
      </c>
      <c r="T5" s="106" t="str">
        <f>IF(OR($D5="1 dd",$D5="2 dd",$D5="3 dd",$D5="4 dd",$D5="6 dd",$D5="8 dd",$D5="12 dd",$D5="an",$D5="1 X"),VLOOKUP($D5,ber_tijden!$A$16:$X$26,ber_tijden!N$14,FALSE),"")</f>
        <v/>
      </c>
      <c r="U5" s="15" t="str">
        <f>IF(OR($D5="1 dd",$D5="2 dd",$D5="3 dd",$D5="4 dd",$D5="6 dd",$D5="8 dd",$D5="12 dd",$D5="an",$D5="1 X"),VLOOKUP($D5,ber_tijden!$A$16:$X$26,ber_tijden!O$14,FALSE),"")</f>
        <v/>
      </c>
      <c r="V5" s="106" t="str">
        <f>IF(OR($D5="1 dd",$D5="2 dd",$D5="3 dd",$D5="4 dd",$D5="6 dd",$D5="8 dd",$D5="12 dd",$D5="an",$D5="1 X"),VLOOKUP($D5,ber_tijden!$A$16:$X$26,ber_tijden!P$14,FALSE),"")</f>
        <v/>
      </c>
      <c r="W5" s="15" t="str">
        <f>IF(OR($D5="1 dd",$D5="2 dd",$D5="3 dd",$D5="4 dd",$D5="6 dd",$D5="8 dd",$D5="12 dd",$D5="an",$D5="1 X"),VLOOKUP($D5,ber_tijden!$A$16:$X$26,ber_tijden!Q$14,FALSE),"")</f>
        <v/>
      </c>
      <c r="X5" s="106" t="str">
        <f>IF(OR($D5="1 dd",$D5="2 dd",$D5="3 dd",$D5="4 dd",$D5="6 dd",$D5="8 dd",$D5="12 dd",$D5="an",$D5="1 X"),VLOOKUP($D5,ber_tijden!$A$16:$X$26,ber_tijden!R$14,FALSE),"")</f>
        <v/>
      </c>
      <c r="Y5" s="15" t="str">
        <f>IF(OR($D5="1 dd",$D5="2 dd",$D5="3 dd",$D5="4 dd",$D5="6 dd",$D5="8 dd",$D5="12 dd",$D5="an",$D5="1 X"),VLOOKUP($D5,ber_tijden!$A$16:$X$26,ber_tijden!S$14,FALSE),"")</f>
        <v/>
      </c>
      <c r="Z5" s="106" t="str">
        <f>IF(OR($D5="1 dd",$D5="2 dd",$D5="3 dd",$D5="4 dd",$D5="6 dd",$D5="8 dd",$D5="12 dd",$D5="an",$D5="1 X"),VLOOKUP($D5,ber_tijden!$A$16:$X$26,ber_tijden!T$14,FALSE),"")</f>
        <v/>
      </c>
      <c r="AA5" s="15" t="str">
        <f>IF(OR($D5="1 dd",$D5="2 dd",$D5="3 dd",$D5="4 dd",$D5="6 dd",$D5="8 dd",$D5="12 dd",$D5="an",$D5="1 X"),VLOOKUP($D5,ber_tijden!$A$16:$X$26,ber_tijden!U$14,FALSE),"")</f>
        <v/>
      </c>
      <c r="AB5" s="106" t="str">
        <f>IF(OR($D5="1 dd",$D5="2 dd",$D5="3 dd",$D5="4 dd",$D5="6 dd",$D5="8 dd",$D5="12 dd",$D5="an",$D5="1 X"),VLOOKUP($D5,ber_tijden!$A$16:$X$26,ber_tijden!V$14,FALSE),"")</f>
        <v/>
      </c>
      <c r="AC5" s="15" t="str">
        <f>IF(OR($D5="1 dd",$D5="2 dd",$D5="3 dd",$D5="4 dd",$D5="6 dd",$D5="8 dd",$D5="12 dd",$D5="an",$D5="1 X"),VLOOKUP($D5,ber_tijden!$A$16:$X$26,ber_tijden!W$14,FALSE),"")</f>
        <v/>
      </c>
      <c r="AD5" s="106" t="str">
        <f>IF(OR($D5="1 dd",$D5="2 dd",$D5="3 dd",$D5="4 dd",$D5="6 dd",$D5="8 dd",$D5="12 dd",$D5="an",$D5="1 X"),VLOOKUP($D5,ber_tijden!$A$16:$X$26,ber_tijden!X$14,FALSE),"")</f>
        <v/>
      </c>
      <c r="AE5" s="17"/>
      <c r="AF5" s="105"/>
      <c r="AG5" s="17"/>
    </row>
    <row r="6" spans="1:33" ht="26.1" customHeight="1" x14ac:dyDescent="0.35">
      <c r="A6" s="577"/>
      <c r="B6" s="107"/>
      <c r="C6" s="231" t="str">
        <f>IF(ber_Med_disc!C5&lt;&gt;"",IF(ber_Med_disc!C5&gt;1,TRIM(ber_Med_disc!C5)&amp;", "&amp;ber_Opm!C19&amp;" ("&amp;ber_Med_disc!M5&amp;" "&amp;ber_Med_disc!F5&amp;"/kg/dag)",TRIM(ber_Med_disc!C5)&amp;", "&amp;ber_Opm!C19),"")</f>
        <v/>
      </c>
      <c r="D6" s="232" t="str">
        <f>IF(Med_disc!H12&lt;&gt;"",Med_disc!H12,"")</f>
        <v/>
      </c>
      <c r="E6" s="233" t="str">
        <f>IF(AND(D6&lt;&gt;"",D6&lt;&gt;"STOP"),ber_Med_disc!H5&amp;" "&amp;ber_Med_disc!F5,"")</f>
        <v/>
      </c>
      <c r="F6" s="233" t="str">
        <f>IF(AND(D6&lt;&gt;"",D6&lt;&gt;"STOP"),ber_Med_disc!L5," ")</f>
        <v xml:space="preserve"> </v>
      </c>
      <c r="G6" s="233" t="str">
        <f>IF(Med_disc!L12&lt;&gt;"",Med_disc!L12&amp;" "&amp;Med_disc!M12&amp;" "&amp;INDEX(ber_Med_disc!$B$27:$B$30,ber_Med_disc!O5,1)&amp;" in "&amp;Med_disc!$O$12,"")</f>
        <v/>
      </c>
      <c r="H6" s="106" t="str">
        <f>IF(OR($D6="1 dd",$D6="2 dd",$D6="3 dd",$D6="4 dd",$D6="6 dd",$D6="8 dd",$D6="12 dd",$D6="an",$D6="1 X"),VLOOKUP($D6,ber_tijden!$A$16:$X$26,ber_tijden!B$14,FALSE),"")</f>
        <v/>
      </c>
      <c r="I6" s="15" t="str">
        <f>IF(OR($D6="1 dd",$D6="2 dd",$D6="3 dd",$D6="4 dd",$D6="6 dd",$D6="8 dd",$D6="12 dd",$D6="an",$D6="1 X"),VLOOKUP($D6,ber_tijden!$A$16:$X$26,ber_tijden!C$14,FALSE),"")</f>
        <v/>
      </c>
      <c r="J6" s="106" t="str">
        <f>IF(OR($D6="1 dd",$D6="2 dd",$D6="3 dd",$D6="4 dd",$D6="6 dd",$D6="8 dd",$D6="12 dd",$D6="an",$D6="1 X"),VLOOKUP($D6,ber_tijden!$A$16:$X$26,ber_tijden!D$14,FALSE),"")</f>
        <v/>
      </c>
      <c r="K6" s="15" t="str">
        <f>IF(OR($D6="1 dd",$D6="2 dd",$D6="3 dd",$D6="4 dd",$D6="6 dd",$D6="8 dd",$D6="12 dd",$D6="an",$D6="1 X"),VLOOKUP($D6,ber_tijden!$A$16:$X$26,ber_tijden!E$14,FALSE),"")</f>
        <v/>
      </c>
      <c r="L6" s="106" t="str">
        <f>IF(OR($D6="1 dd",$D6="2 dd",$D6="3 dd",$D6="4 dd",$D6="6 dd",$D6="8 dd",$D6="12 dd",$D6="an",$D6="1 X"),VLOOKUP($D6,ber_tijden!$A$16:$X$26,ber_tijden!F$14,FALSE),"")</f>
        <v/>
      </c>
      <c r="M6" s="15" t="str">
        <f>IF(OR($D6="1 dd",$D6="2 dd",$D6="3 dd",$D6="4 dd",$D6="6 dd",$D6="8 dd",$D6="12 dd",$D6="an",$D6="1 X"),VLOOKUP($D6,ber_tijden!$A$16:$X$26,ber_tijden!G$14,FALSE),"")</f>
        <v/>
      </c>
      <c r="N6" s="106" t="str">
        <f>IF(OR($D6="1 dd",$D6="2 dd",$D6="3 dd",$D6="4 dd",$D6="6 dd",$D6="8 dd",$D6="12 dd",$D6="an",$D6="1 X"),VLOOKUP($D6,ber_tijden!$A$16:$X$26,ber_tijden!H$14,FALSE),"")</f>
        <v/>
      </c>
      <c r="O6" s="15" t="str">
        <f>IF(OR($D6="1 dd",$D6="2 dd",$D6="3 dd",$D6="4 dd",$D6="6 dd",$D6="8 dd",$D6="12 dd",$D6="an",$D6="1 X"),VLOOKUP($D6,ber_tijden!$A$16:$X$26,ber_tijden!I$14,FALSE),"")</f>
        <v/>
      </c>
      <c r="P6" s="106" t="str">
        <f>IF(OR($D6="1 dd",$D6="2 dd",$D6="3 dd",$D6="4 dd",$D6="6 dd",$D6="8 dd",$D6="12 dd",$D6="an",$D6="1 X"),VLOOKUP($D6,ber_tijden!$A$16:$X$26,ber_tijden!J$14,FALSE),"")</f>
        <v/>
      </c>
      <c r="Q6" s="15" t="str">
        <f>IF(OR($D6="1 dd",$D6="2 dd",$D6="3 dd",$D6="4 dd",$D6="6 dd",$D6="8 dd",$D6="12 dd",$D6="an",$D6="1 X"),VLOOKUP($D6,ber_tijden!$A$16:$X$26,ber_tijden!K$14,FALSE),"")</f>
        <v/>
      </c>
      <c r="R6" s="106" t="str">
        <f>IF(OR($D6="1 dd",$D6="2 dd",$D6="3 dd",$D6="4 dd",$D6="6 dd",$D6="8 dd",$D6="12 dd",$D6="an",$D6="1 X"),VLOOKUP($D6,ber_tijden!$A$16:$X$26,ber_tijden!L$14,FALSE),"")</f>
        <v/>
      </c>
      <c r="S6" s="15" t="str">
        <f>IF(OR($D6="1 dd",$D6="2 dd",$D6="3 dd",$D6="4 dd",$D6="6 dd",$D6="8 dd",$D6="12 dd",$D6="an",$D6="1 X"),VLOOKUP($D6,ber_tijden!$A$16:$X$26,ber_tijden!M$14,FALSE),"")</f>
        <v/>
      </c>
      <c r="T6" s="106" t="str">
        <f>IF(OR($D6="1 dd",$D6="2 dd",$D6="3 dd",$D6="4 dd",$D6="6 dd",$D6="8 dd",$D6="12 dd",$D6="an",$D6="1 X"),VLOOKUP($D6,ber_tijden!$A$16:$X$26,ber_tijden!N$14,FALSE),"")</f>
        <v/>
      </c>
      <c r="U6" s="15" t="str">
        <f>IF(OR($D6="1 dd",$D6="2 dd",$D6="3 dd",$D6="4 dd",$D6="6 dd",$D6="8 dd",$D6="12 dd",$D6="an",$D6="1 X"),VLOOKUP($D6,ber_tijden!$A$16:$X$26,ber_tijden!O$14,FALSE),"")</f>
        <v/>
      </c>
      <c r="V6" s="106" t="str">
        <f>IF(OR($D6="1 dd",$D6="2 dd",$D6="3 dd",$D6="4 dd",$D6="6 dd",$D6="8 dd",$D6="12 dd",$D6="an",$D6="1 X"),VLOOKUP($D6,ber_tijden!$A$16:$X$26,ber_tijden!P$14,FALSE),"")</f>
        <v/>
      </c>
      <c r="W6" s="15" t="str">
        <f>IF(OR($D6="1 dd",$D6="2 dd",$D6="3 dd",$D6="4 dd",$D6="6 dd",$D6="8 dd",$D6="12 dd",$D6="an",$D6="1 X"),VLOOKUP($D6,ber_tijden!$A$16:$X$26,ber_tijden!Q$14,FALSE),"")</f>
        <v/>
      </c>
      <c r="X6" s="106" t="str">
        <f>IF(OR($D6="1 dd",$D6="2 dd",$D6="3 dd",$D6="4 dd",$D6="6 dd",$D6="8 dd",$D6="12 dd",$D6="an",$D6="1 X"),VLOOKUP($D6,ber_tijden!$A$16:$X$26,ber_tijden!R$14,FALSE),"")</f>
        <v/>
      </c>
      <c r="Y6" s="15" t="str">
        <f>IF(OR($D6="1 dd",$D6="2 dd",$D6="3 dd",$D6="4 dd",$D6="6 dd",$D6="8 dd",$D6="12 dd",$D6="an",$D6="1 X"),VLOOKUP($D6,ber_tijden!$A$16:$X$26,ber_tijden!S$14,FALSE),"")</f>
        <v/>
      </c>
      <c r="Z6" s="106" t="str">
        <f>IF(OR($D6="1 dd",$D6="2 dd",$D6="3 dd",$D6="4 dd",$D6="6 dd",$D6="8 dd",$D6="12 dd",$D6="an",$D6="1 X"),VLOOKUP($D6,ber_tijden!$A$16:$X$26,ber_tijden!T$14,FALSE),"")</f>
        <v/>
      </c>
      <c r="AA6" s="15" t="str">
        <f>IF(OR($D6="1 dd",$D6="2 dd",$D6="3 dd",$D6="4 dd",$D6="6 dd",$D6="8 dd",$D6="12 dd",$D6="an",$D6="1 X"),VLOOKUP($D6,ber_tijden!$A$16:$X$26,ber_tijden!U$14,FALSE),"")</f>
        <v/>
      </c>
      <c r="AB6" s="106" t="str">
        <f>IF(OR($D6="1 dd",$D6="2 dd",$D6="3 dd",$D6="4 dd",$D6="6 dd",$D6="8 dd",$D6="12 dd",$D6="an",$D6="1 X"),VLOOKUP($D6,ber_tijden!$A$16:$X$26,ber_tijden!V$14,FALSE),"")</f>
        <v/>
      </c>
      <c r="AC6" s="15" t="str">
        <f>IF(OR($D6="1 dd",$D6="2 dd",$D6="3 dd",$D6="4 dd",$D6="6 dd",$D6="8 dd",$D6="12 dd",$D6="an",$D6="1 X"),VLOOKUP($D6,ber_tijden!$A$16:$X$26,ber_tijden!W$14,FALSE),"")</f>
        <v/>
      </c>
      <c r="AD6" s="106" t="str">
        <f>IF(OR($D6="1 dd",$D6="2 dd",$D6="3 dd",$D6="4 dd",$D6="6 dd",$D6="8 dd",$D6="12 dd",$D6="an",$D6="1 X"),VLOOKUP($D6,ber_tijden!$A$16:$X$26,ber_tijden!X$14,FALSE),"")</f>
        <v/>
      </c>
      <c r="AE6" s="17"/>
      <c r="AF6" s="105"/>
      <c r="AG6" s="17"/>
    </row>
    <row r="7" spans="1:33" ht="26.1" customHeight="1" x14ac:dyDescent="0.35">
      <c r="B7" s="107"/>
      <c r="C7" s="231" t="str">
        <f>IF(ber_Med_disc!C6&lt;&gt;"",IF(ber_Med_disc!C6&gt;1,TRIM(ber_Med_disc!C6)&amp;", "&amp;ber_Opm!C20&amp;" ("&amp;ber_Med_disc!M6&amp;" "&amp;ber_Med_disc!F6&amp;"/kg/dag)",TRIM(ber_Med_disc!C6)&amp;", "&amp;ber_Opm!C20),"")</f>
        <v/>
      </c>
      <c r="D7" s="232" t="str">
        <f>IF(Med_disc!H14&lt;&gt;"",Med_disc!H14,"")</f>
        <v/>
      </c>
      <c r="E7" s="233" t="str">
        <f>IF(AND(D7&lt;&gt;"",D7&lt;&gt;"STOP"),ber_Med_disc!H6&amp;" "&amp;ber_Med_disc!F6,"")</f>
        <v/>
      </c>
      <c r="F7" s="233" t="str">
        <f>IF(AND(D7&lt;&gt;"",D7&lt;&gt;"STOP"),ber_Med_disc!L6," ")</f>
        <v xml:space="preserve"> </v>
      </c>
      <c r="G7" s="233" t="str">
        <f>IF(Med_disc!L14&lt;&gt;"",Med_disc!L14&amp;" "&amp;Med_disc!M14&amp;" "&amp;INDEX(ber_Med_disc!$B$27:$B$30,ber_Med_disc!O6,1)&amp;" in "&amp;Med_disc!$O$14,"")</f>
        <v/>
      </c>
      <c r="H7" s="106" t="str">
        <f>IF(OR($D7="1 dd",$D7="2 dd",$D7="3 dd",$D7="4 dd",$D7="6 dd",$D7="8 dd",$D7="12 dd",$D7="an",$D7="1 X"),VLOOKUP($D7,ber_tijden!$A$16:$X$26,ber_tijden!B$14,FALSE),"")</f>
        <v/>
      </c>
      <c r="I7" s="15" t="str">
        <f>IF(OR($D7="1 dd",$D7="2 dd",$D7="3 dd",$D7="4 dd",$D7="6 dd",$D7="8 dd",$D7="12 dd",$D7="an",$D7="1 X"),VLOOKUP($D7,ber_tijden!$A$16:$X$26,ber_tijden!C$14,FALSE),"")</f>
        <v/>
      </c>
      <c r="J7" s="106" t="str">
        <f>IF(OR($D7="1 dd",$D7="2 dd",$D7="3 dd",$D7="4 dd",$D7="6 dd",$D7="8 dd",$D7="12 dd",$D7="an",$D7="1 X"),VLOOKUP($D7,ber_tijden!$A$16:$X$26,ber_tijden!D$14,FALSE),"")</f>
        <v/>
      </c>
      <c r="K7" s="15" t="str">
        <f>IF(OR($D7="1 dd",$D7="2 dd",$D7="3 dd",$D7="4 dd",$D7="6 dd",$D7="8 dd",$D7="12 dd",$D7="an",$D7="1 X"),VLOOKUP($D7,ber_tijden!$A$16:$X$26,ber_tijden!E$14,FALSE),"")</f>
        <v/>
      </c>
      <c r="L7" s="106" t="str">
        <f>IF(OR($D7="1 dd",$D7="2 dd",$D7="3 dd",$D7="4 dd",$D7="6 dd",$D7="8 dd",$D7="12 dd",$D7="an",$D7="1 X"),VLOOKUP($D7,ber_tijden!$A$16:$X$26,ber_tijden!F$14,FALSE),"")</f>
        <v/>
      </c>
      <c r="M7" s="15" t="str">
        <f>IF(OR($D7="1 dd",$D7="2 dd",$D7="3 dd",$D7="4 dd",$D7="6 dd",$D7="8 dd",$D7="12 dd",$D7="an",$D7="1 X"),VLOOKUP($D7,ber_tijden!$A$16:$X$26,ber_tijden!G$14,FALSE),"")</f>
        <v/>
      </c>
      <c r="N7" s="106" t="str">
        <f>IF(OR($D7="1 dd",$D7="2 dd",$D7="3 dd",$D7="4 dd",$D7="6 dd",$D7="8 dd",$D7="12 dd",$D7="an",$D7="1 X"),VLOOKUP($D7,ber_tijden!$A$16:$X$26,ber_tijden!H$14,FALSE),"")</f>
        <v/>
      </c>
      <c r="O7" s="15" t="str">
        <f>IF(OR($D7="1 dd",$D7="2 dd",$D7="3 dd",$D7="4 dd",$D7="6 dd",$D7="8 dd",$D7="12 dd",$D7="an",$D7="1 X"),VLOOKUP($D7,ber_tijden!$A$16:$X$26,ber_tijden!I$14,FALSE),"")</f>
        <v/>
      </c>
      <c r="P7" s="106" t="str">
        <f>IF(OR($D7="1 dd",$D7="2 dd",$D7="3 dd",$D7="4 dd",$D7="6 dd",$D7="8 dd",$D7="12 dd",$D7="an",$D7="1 X"),VLOOKUP($D7,ber_tijden!$A$16:$X$26,ber_tijden!J$14,FALSE),"")</f>
        <v/>
      </c>
      <c r="Q7" s="15" t="str">
        <f>IF(OR($D7="1 dd",$D7="2 dd",$D7="3 dd",$D7="4 dd",$D7="6 dd",$D7="8 dd",$D7="12 dd",$D7="an",$D7="1 X"),VLOOKUP($D7,ber_tijden!$A$16:$X$26,ber_tijden!K$14,FALSE),"")</f>
        <v/>
      </c>
      <c r="R7" s="106" t="str">
        <f>IF(OR($D7="1 dd",$D7="2 dd",$D7="3 dd",$D7="4 dd",$D7="6 dd",$D7="8 dd",$D7="12 dd",$D7="an",$D7="1 X"),VLOOKUP($D7,ber_tijden!$A$16:$X$26,ber_tijden!L$14,FALSE),"")</f>
        <v/>
      </c>
      <c r="S7" s="15" t="str">
        <f>IF(OR($D7="1 dd",$D7="2 dd",$D7="3 dd",$D7="4 dd",$D7="6 dd",$D7="8 dd",$D7="12 dd",$D7="an",$D7="1 X"),VLOOKUP($D7,ber_tijden!$A$16:$X$26,ber_tijden!M$14,FALSE),"")</f>
        <v/>
      </c>
      <c r="T7" s="106" t="str">
        <f>IF(OR($D7="1 dd",$D7="2 dd",$D7="3 dd",$D7="4 dd",$D7="6 dd",$D7="8 dd",$D7="12 dd",$D7="an",$D7="1 X"),VLOOKUP($D7,ber_tijden!$A$16:$X$26,ber_tijden!N$14,FALSE),"")</f>
        <v/>
      </c>
      <c r="U7" s="15" t="str">
        <f>IF(OR($D7="1 dd",$D7="2 dd",$D7="3 dd",$D7="4 dd",$D7="6 dd",$D7="8 dd",$D7="12 dd",$D7="an",$D7="1 X"),VLOOKUP($D7,ber_tijden!$A$16:$X$26,ber_tijden!O$14,FALSE),"")</f>
        <v/>
      </c>
      <c r="V7" s="106" t="str">
        <f>IF(OR($D7="1 dd",$D7="2 dd",$D7="3 dd",$D7="4 dd",$D7="6 dd",$D7="8 dd",$D7="12 dd",$D7="an",$D7="1 X"),VLOOKUP($D7,ber_tijden!$A$16:$X$26,ber_tijden!P$14,FALSE),"")</f>
        <v/>
      </c>
      <c r="W7" s="15" t="str">
        <f>IF(OR($D7="1 dd",$D7="2 dd",$D7="3 dd",$D7="4 dd",$D7="6 dd",$D7="8 dd",$D7="12 dd",$D7="an",$D7="1 X"),VLOOKUP($D7,ber_tijden!$A$16:$X$26,ber_tijden!Q$14,FALSE),"")</f>
        <v/>
      </c>
      <c r="X7" s="106" t="str">
        <f>IF(OR($D7="1 dd",$D7="2 dd",$D7="3 dd",$D7="4 dd",$D7="6 dd",$D7="8 dd",$D7="12 dd",$D7="an",$D7="1 X"),VLOOKUP($D7,ber_tijden!$A$16:$X$26,ber_tijden!R$14,FALSE),"")</f>
        <v/>
      </c>
      <c r="Y7" s="15" t="str">
        <f>IF(OR($D7="1 dd",$D7="2 dd",$D7="3 dd",$D7="4 dd",$D7="6 dd",$D7="8 dd",$D7="12 dd",$D7="an",$D7="1 X"),VLOOKUP($D7,ber_tijden!$A$16:$X$26,ber_tijden!S$14,FALSE),"")</f>
        <v/>
      </c>
      <c r="Z7" s="106" t="str">
        <f>IF(OR($D7="1 dd",$D7="2 dd",$D7="3 dd",$D7="4 dd",$D7="6 dd",$D7="8 dd",$D7="12 dd",$D7="an",$D7="1 X"),VLOOKUP($D7,ber_tijden!$A$16:$X$26,ber_tijden!T$14,FALSE),"")</f>
        <v/>
      </c>
      <c r="AA7" s="15" t="str">
        <f>IF(OR($D7="1 dd",$D7="2 dd",$D7="3 dd",$D7="4 dd",$D7="6 dd",$D7="8 dd",$D7="12 dd",$D7="an",$D7="1 X"),VLOOKUP($D7,ber_tijden!$A$16:$X$26,ber_tijden!U$14,FALSE),"")</f>
        <v/>
      </c>
      <c r="AB7" s="106" t="str">
        <f>IF(OR($D7="1 dd",$D7="2 dd",$D7="3 dd",$D7="4 dd",$D7="6 dd",$D7="8 dd",$D7="12 dd",$D7="an",$D7="1 X"),VLOOKUP($D7,ber_tijden!$A$16:$X$26,ber_tijden!V$14,FALSE),"")</f>
        <v/>
      </c>
      <c r="AC7" s="15" t="str">
        <f>IF(OR($D7="1 dd",$D7="2 dd",$D7="3 dd",$D7="4 dd",$D7="6 dd",$D7="8 dd",$D7="12 dd",$D7="an",$D7="1 X"),VLOOKUP($D7,ber_tijden!$A$16:$X$26,ber_tijden!W$14,FALSE),"")</f>
        <v/>
      </c>
      <c r="AD7" s="106" t="str">
        <f>IF(OR($D7="1 dd",$D7="2 dd",$D7="3 dd",$D7="4 dd",$D7="6 dd",$D7="8 dd",$D7="12 dd",$D7="an",$D7="1 X"),VLOOKUP($D7,ber_tijden!$A$16:$X$26,ber_tijden!X$14,FALSE),"")</f>
        <v/>
      </c>
      <c r="AE7" s="17"/>
      <c r="AF7" s="105"/>
      <c r="AG7" s="17"/>
    </row>
    <row r="8" spans="1:33" ht="26.1" customHeight="1" x14ac:dyDescent="0.35">
      <c r="B8" s="107"/>
      <c r="C8" s="231" t="str">
        <f>IF(ber_Med_disc!C7&lt;&gt;"",IF(ber_Med_disc!C7&gt;1,TRIM(ber_Med_disc!C7)&amp;", "&amp;ber_Opm!C21&amp;" ("&amp;ber_Med_disc!M7&amp;" "&amp;ber_Med_disc!F7&amp;"/kg/dag)",TRIM(ber_Med_disc!C7)&amp;", "&amp;ber_Opm!C21),"")</f>
        <v/>
      </c>
      <c r="D8" s="232" t="str">
        <f>IF(Med_disc!H16&lt;&gt;"",Med_disc!H16,"")</f>
        <v/>
      </c>
      <c r="E8" s="233" t="str">
        <f>IF(AND(D8&lt;&gt;"",D8&lt;&gt;"STOP"),ber_Med_disc!H7&amp;" "&amp;ber_Med_disc!F7,"")</f>
        <v/>
      </c>
      <c r="F8" s="233" t="str">
        <f>IF(AND(D8&lt;&gt;"",D8&lt;&gt;"STOP"),ber_Med_disc!L7," ")</f>
        <v xml:space="preserve"> </v>
      </c>
      <c r="G8" s="233" t="str">
        <f>IF(Med_disc!L16&lt;&gt;"",Med_disc!L16&amp;" "&amp;Med_disc!M16&amp;" "&amp;INDEX(ber_Med_disc!$B$27:$B$30,ber_Med_disc!O7,1)&amp;" in "&amp;Med_disc!$O$16,"")</f>
        <v/>
      </c>
      <c r="H8" s="106" t="str">
        <f>IF(OR($D8="1 dd",$D8="2 dd",$D8="3 dd",$D8="4 dd",$D8="6 dd",$D8="8 dd",$D8="12 dd",$D8="an",$D8="1 X"),VLOOKUP($D8,ber_tijden!$A$16:$X$26,ber_tijden!B$14,FALSE),"")</f>
        <v/>
      </c>
      <c r="I8" s="15" t="str">
        <f>IF(OR($D8="1 dd",$D8="2 dd",$D8="3 dd",$D8="4 dd",$D8="6 dd",$D8="8 dd",$D8="12 dd",$D8="an",$D8="1 X"),VLOOKUP($D8,ber_tijden!$A$16:$X$26,ber_tijden!C$14,FALSE),"")</f>
        <v/>
      </c>
      <c r="J8" s="106" t="str">
        <f>IF(OR($D8="1 dd",$D8="2 dd",$D8="3 dd",$D8="4 dd",$D8="6 dd",$D8="8 dd",$D8="12 dd",$D8="an",$D8="1 X"),VLOOKUP($D8,ber_tijden!$A$16:$X$26,ber_tijden!D$14,FALSE),"")</f>
        <v/>
      </c>
      <c r="K8" s="15" t="str">
        <f>IF(OR($D8="1 dd",$D8="2 dd",$D8="3 dd",$D8="4 dd",$D8="6 dd",$D8="8 dd",$D8="12 dd",$D8="an",$D8="1 X"),VLOOKUP($D8,ber_tijden!$A$16:$X$26,ber_tijden!E$14,FALSE),"")</f>
        <v/>
      </c>
      <c r="L8" s="106" t="str">
        <f>IF(OR($D8="1 dd",$D8="2 dd",$D8="3 dd",$D8="4 dd",$D8="6 dd",$D8="8 dd",$D8="12 dd",$D8="an",$D8="1 X"),VLOOKUP($D8,ber_tijden!$A$16:$X$26,ber_tijden!F$14,FALSE),"")</f>
        <v/>
      </c>
      <c r="M8" s="15" t="str">
        <f>IF(OR($D8="1 dd",$D8="2 dd",$D8="3 dd",$D8="4 dd",$D8="6 dd",$D8="8 dd",$D8="12 dd",$D8="an",$D8="1 X"),VLOOKUP($D8,ber_tijden!$A$16:$X$26,ber_tijden!G$14,FALSE),"")</f>
        <v/>
      </c>
      <c r="N8" s="106" t="str">
        <f>IF(OR($D8="1 dd",$D8="2 dd",$D8="3 dd",$D8="4 dd",$D8="6 dd",$D8="8 dd",$D8="12 dd",$D8="an",$D8="1 X"),VLOOKUP($D8,ber_tijden!$A$16:$X$26,ber_tijden!H$14,FALSE),"")</f>
        <v/>
      </c>
      <c r="O8" s="15" t="str">
        <f>IF(OR($D8="1 dd",$D8="2 dd",$D8="3 dd",$D8="4 dd",$D8="6 dd",$D8="8 dd",$D8="12 dd",$D8="an",$D8="1 X"),VLOOKUP($D8,ber_tijden!$A$16:$X$26,ber_tijden!I$14,FALSE),"")</f>
        <v/>
      </c>
      <c r="P8" s="106" t="str">
        <f>IF(OR($D8="1 dd",$D8="2 dd",$D8="3 dd",$D8="4 dd",$D8="6 dd",$D8="8 dd",$D8="12 dd",$D8="an",$D8="1 X"),VLOOKUP($D8,ber_tijden!$A$16:$X$26,ber_tijden!J$14,FALSE),"")</f>
        <v/>
      </c>
      <c r="Q8" s="15" t="str">
        <f>IF(OR($D8="1 dd",$D8="2 dd",$D8="3 dd",$D8="4 dd",$D8="6 dd",$D8="8 dd",$D8="12 dd",$D8="an",$D8="1 X"),VLOOKUP($D8,ber_tijden!$A$16:$X$26,ber_tijden!K$14,FALSE),"")</f>
        <v/>
      </c>
      <c r="R8" s="106" t="str">
        <f>IF(OR($D8="1 dd",$D8="2 dd",$D8="3 dd",$D8="4 dd",$D8="6 dd",$D8="8 dd",$D8="12 dd",$D8="an",$D8="1 X"),VLOOKUP($D8,ber_tijden!$A$16:$X$26,ber_tijden!L$14,FALSE),"")</f>
        <v/>
      </c>
      <c r="S8" s="15" t="str">
        <f>IF(OR($D8="1 dd",$D8="2 dd",$D8="3 dd",$D8="4 dd",$D8="6 dd",$D8="8 dd",$D8="12 dd",$D8="an",$D8="1 X"),VLOOKUP($D8,ber_tijden!$A$16:$X$26,ber_tijden!M$14,FALSE),"")</f>
        <v/>
      </c>
      <c r="T8" s="106" t="str">
        <f>IF(OR($D8="1 dd",$D8="2 dd",$D8="3 dd",$D8="4 dd",$D8="6 dd",$D8="8 dd",$D8="12 dd",$D8="an",$D8="1 X"),VLOOKUP($D8,ber_tijden!$A$16:$X$26,ber_tijden!N$14,FALSE),"")</f>
        <v/>
      </c>
      <c r="U8" s="15" t="str">
        <f>IF(OR($D8="1 dd",$D8="2 dd",$D8="3 dd",$D8="4 dd",$D8="6 dd",$D8="8 dd",$D8="12 dd",$D8="an",$D8="1 X"),VLOOKUP($D8,ber_tijden!$A$16:$X$26,ber_tijden!O$14,FALSE),"")</f>
        <v/>
      </c>
      <c r="V8" s="106" t="str">
        <f>IF(OR($D8="1 dd",$D8="2 dd",$D8="3 dd",$D8="4 dd",$D8="6 dd",$D8="8 dd",$D8="12 dd",$D8="an",$D8="1 X"),VLOOKUP($D8,ber_tijden!$A$16:$X$26,ber_tijden!P$14,FALSE),"")</f>
        <v/>
      </c>
      <c r="W8" s="15" t="str">
        <f>IF(OR($D8="1 dd",$D8="2 dd",$D8="3 dd",$D8="4 dd",$D8="6 dd",$D8="8 dd",$D8="12 dd",$D8="an",$D8="1 X"),VLOOKUP($D8,ber_tijden!$A$16:$X$26,ber_tijden!Q$14,FALSE),"")</f>
        <v/>
      </c>
      <c r="X8" s="106" t="str">
        <f>IF(OR($D8="1 dd",$D8="2 dd",$D8="3 dd",$D8="4 dd",$D8="6 dd",$D8="8 dd",$D8="12 dd",$D8="an",$D8="1 X"),VLOOKUP($D8,ber_tijden!$A$16:$X$26,ber_tijden!R$14,FALSE),"")</f>
        <v/>
      </c>
      <c r="Y8" s="15" t="str">
        <f>IF(OR($D8="1 dd",$D8="2 dd",$D8="3 dd",$D8="4 dd",$D8="6 dd",$D8="8 dd",$D8="12 dd",$D8="an",$D8="1 X"),VLOOKUP($D8,ber_tijden!$A$16:$X$26,ber_tijden!S$14,FALSE),"")</f>
        <v/>
      </c>
      <c r="Z8" s="106" t="str">
        <f>IF(OR($D8="1 dd",$D8="2 dd",$D8="3 dd",$D8="4 dd",$D8="6 dd",$D8="8 dd",$D8="12 dd",$D8="an",$D8="1 X"),VLOOKUP($D8,ber_tijden!$A$16:$X$26,ber_tijden!T$14,FALSE),"")</f>
        <v/>
      </c>
      <c r="AA8" s="15" t="str">
        <f>IF(OR($D8="1 dd",$D8="2 dd",$D8="3 dd",$D8="4 dd",$D8="6 dd",$D8="8 dd",$D8="12 dd",$D8="an",$D8="1 X"),VLOOKUP($D8,ber_tijden!$A$16:$X$26,ber_tijden!U$14,FALSE),"")</f>
        <v/>
      </c>
      <c r="AB8" s="106" t="str">
        <f>IF(OR($D8="1 dd",$D8="2 dd",$D8="3 dd",$D8="4 dd",$D8="6 dd",$D8="8 dd",$D8="12 dd",$D8="an",$D8="1 X"),VLOOKUP($D8,ber_tijden!$A$16:$X$26,ber_tijden!V$14,FALSE),"")</f>
        <v/>
      </c>
      <c r="AC8" s="15" t="str">
        <f>IF(OR($D8="1 dd",$D8="2 dd",$D8="3 dd",$D8="4 dd",$D8="6 dd",$D8="8 dd",$D8="12 dd",$D8="an",$D8="1 X"),VLOOKUP($D8,ber_tijden!$A$16:$X$26,ber_tijden!W$14,FALSE),"")</f>
        <v/>
      </c>
      <c r="AD8" s="106" t="str">
        <f>IF(OR($D8="1 dd",$D8="2 dd",$D8="3 dd",$D8="4 dd",$D8="6 dd",$D8="8 dd",$D8="12 dd",$D8="an",$D8="1 X"),VLOOKUP($D8,ber_tijden!$A$16:$X$26,ber_tijden!X$14,FALSE),"")</f>
        <v/>
      </c>
      <c r="AE8" s="17"/>
      <c r="AF8" s="105"/>
      <c r="AG8" s="17"/>
    </row>
    <row r="9" spans="1:33" ht="26.1" customHeight="1" x14ac:dyDescent="0.35">
      <c r="B9" s="107"/>
      <c r="C9" s="231" t="str">
        <f>IF(ber_Med_disc!C8&lt;&gt;"",IF(ber_Med_disc!C8&gt;1,TRIM(ber_Med_disc!C8)&amp;", "&amp;ber_Opm!C22&amp;" ("&amp;ber_Med_disc!M8&amp;" "&amp;ber_Med_disc!F8&amp;"/kg/dag)",TRIM(ber_Med_disc!C8)&amp;", "&amp;ber_Opm!C22),"")</f>
        <v/>
      </c>
      <c r="D9" s="232" t="str">
        <f>IF(Med_disc!H18&lt;&gt;"",Med_disc!H18,"")</f>
        <v/>
      </c>
      <c r="E9" s="233" t="str">
        <f>IF(AND(D9&lt;&gt;"",D9&lt;&gt;"STOP"),ber_Med_disc!H8&amp;" "&amp;ber_Med_disc!F8,"")</f>
        <v/>
      </c>
      <c r="F9" s="233" t="str">
        <f>IF(AND(D9&lt;&gt;"",D9&lt;&gt;"STOP"),ber_Med_disc!L8," ")</f>
        <v xml:space="preserve"> </v>
      </c>
      <c r="G9" s="233" t="str">
        <f>IF(Med_disc!L18&lt;&gt;"",Med_disc!L18&amp;" "&amp;Med_disc!M18&amp;" "&amp;INDEX(ber_Med_disc!$B$27:$B$30,ber_Med_disc!O8,1)&amp;" in "&amp;Med_disc!$O$18,"")</f>
        <v/>
      </c>
      <c r="H9" s="106" t="str">
        <f>IF(OR($D9="1 dd",$D9="2 dd",$D9="3 dd",$D9="4 dd",$D9="6 dd",$D9="8 dd",$D9="12 dd",$D9="an",$D9="1 X"),VLOOKUP($D9,ber_tijden!$A$16:$X$26,ber_tijden!B$14,FALSE),"")</f>
        <v/>
      </c>
      <c r="I9" s="15" t="str">
        <f>IF(OR($D9="1 dd",$D9="2 dd",$D9="3 dd",$D9="4 dd",$D9="6 dd",$D9="8 dd",$D9="12 dd",$D9="an",$D9="1 X"),VLOOKUP($D9,ber_tijden!$A$16:$X$26,ber_tijden!C$14,FALSE),"")</f>
        <v/>
      </c>
      <c r="J9" s="106" t="str">
        <f>IF(OR($D9="1 dd",$D9="2 dd",$D9="3 dd",$D9="4 dd",$D9="6 dd",$D9="8 dd",$D9="12 dd",$D9="an",$D9="1 X"),VLOOKUP($D9,ber_tijden!$A$16:$X$26,ber_tijden!D$14,FALSE),"")</f>
        <v/>
      </c>
      <c r="K9" s="15" t="str">
        <f>IF(OR($D9="1 dd",$D9="2 dd",$D9="3 dd",$D9="4 dd",$D9="6 dd",$D9="8 dd",$D9="12 dd",$D9="an",$D9="1 X"),VLOOKUP($D9,ber_tijden!$A$16:$X$26,ber_tijden!E$14,FALSE),"")</f>
        <v/>
      </c>
      <c r="L9" s="106" t="str">
        <f>IF(OR($D9="1 dd",$D9="2 dd",$D9="3 dd",$D9="4 dd",$D9="6 dd",$D9="8 dd",$D9="12 dd",$D9="an",$D9="1 X"),VLOOKUP($D9,ber_tijden!$A$16:$X$26,ber_tijden!F$14,FALSE),"")</f>
        <v/>
      </c>
      <c r="M9" s="15" t="str">
        <f>IF(OR($D9="1 dd",$D9="2 dd",$D9="3 dd",$D9="4 dd",$D9="6 dd",$D9="8 dd",$D9="12 dd",$D9="an",$D9="1 X"),VLOOKUP($D9,ber_tijden!$A$16:$X$26,ber_tijden!G$14,FALSE),"")</f>
        <v/>
      </c>
      <c r="N9" s="106" t="str">
        <f>IF(OR($D9="1 dd",$D9="2 dd",$D9="3 dd",$D9="4 dd",$D9="6 dd",$D9="8 dd",$D9="12 dd",$D9="an",$D9="1 X"),VLOOKUP($D9,ber_tijden!$A$16:$X$26,ber_tijden!H$14,FALSE),"")</f>
        <v/>
      </c>
      <c r="O9" s="15" t="str">
        <f>IF(OR($D9="1 dd",$D9="2 dd",$D9="3 dd",$D9="4 dd",$D9="6 dd",$D9="8 dd",$D9="12 dd",$D9="an",$D9="1 X"),VLOOKUP($D9,ber_tijden!$A$16:$X$26,ber_tijden!I$14,FALSE),"")</f>
        <v/>
      </c>
      <c r="P9" s="106" t="str">
        <f>IF(OR($D9="1 dd",$D9="2 dd",$D9="3 dd",$D9="4 dd",$D9="6 dd",$D9="8 dd",$D9="12 dd",$D9="an",$D9="1 X"),VLOOKUP($D9,ber_tijden!$A$16:$X$26,ber_tijden!J$14,FALSE),"")</f>
        <v/>
      </c>
      <c r="Q9" s="15" t="str">
        <f>IF(OR($D9="1 dd",$D9="2 dd",$D9="3 dd",$D9="4 dd",$D9="6 dd",$D9="8 dd",$D9="12 dd",$D9="an",$D9="1 X"),VLOOKUP($D9,ber_tijden!$A$16:$X$26,ber_tijden!K$14,FALSE),"")</f>
        <v/>
      </c>
      <c r="R9" s="106" t="str">
        <f>IF(OR($D9="1 dd",$D9="2 dd",$D9="3 dd",$D9="4 dd",$D9="6 dd",$D9="8 dd",$D9="12 dd",$D9="an",$D9="1 X"),VLOOKUP($D9,ber_tijden!$A$16:$X$26,ber_tijden!L$14,FALSE),"")</f>
        <v/>
      </c>
      <c r="S9" s="15" t="str">
        <f>IF(OR($D9="1 dd",$D9="2 dd",$D9="3 dd",$D9="4 dd",$D9="6 dd",$D9="8 dd",$D9="12 dd",$D9="an",$D9="1 X"),VLOOKUP($D9,ber_tijden!$A$16:$X$26,ber_tijden!M$14,FALSE),"")</f>
        <v/>
      </c>
      <c r="T9" s="106" t="str">
        <f>IF(OR($D9="1 dd",$D9="2 dd",$D9="3 dd",$D9="4 dd",$D9="6 dd",$D9="8 dd",$D9="12 dd",$D9="an",$D9="1 X"),VLOOKUP($D9,ber_tijden!$A$16:$X$26,ber_tijden!N$14,FALSE),"")</f>
        <v/>
      </c>
      <c r="U9" s="15" t="str">
        <f>IF(OR($D9="1 dd",$D9="2 dd",$D9="3 dd",$D9="4 dd",$D9="6 dd",$D9="8 dd",$D9="12 dd",$D9="an",$D9="1 X"),VLOOKUP($D9,ber_tijden!$A$16:$X$26,ber_tijden!O$14,FALSE),"")</f>
        <v/>
      </c>
      <c r="V9" s="106" t="str">
        <f>IF(OR($D9="1 dd",$D9="2 dd",$D9="3 dd",$D9="4 dd",$D9="6 dd",$D9="8 dd",$D9="12 dd",$D9="an",$D9="1 X"),VLOOKUP($D9,ber_tijden!$A$16:$X$26,ber_tijden!P$14,FALSE),"")</f>
        <v/>
      </c>
      <c r="W9" s="15" t="str">
        <f>IF(OR($D9="1 dd",$D9="2 dd",$D9="3 dd",$D9="4 dd",$D9="6 dd",$D9="8 dd",$D9="12 dd",$D9="an",$D9="1 X"),VLOOKUP($D9,ber_tijden!$A$16:$X$26,ber_tijden!Q$14,FALSE),"")</f>
        <v/>
      </c>
      <c r="X9" s="106" t="str">
        <f>IF(OR($D9="1 dd",$D9="2 dd",$D9="3 dd",$D9="4 dd",$D9="6 dd",$D9="8 dd",$D9="12 dd",$D9="an",$D9="1 X"),VLOOKUP($D9,ber_tijden!$A$16:$X$26,ber_tijden!R$14,FALSE),"")</f>
        <v/>
      </c>
      <c r="Y9" s="15" t="str">
        <f>IF(OR($D9="1 dd",$D9="2 dd",$D9="3 dd",$D9="4 dd",$D9="6 dd",$D9="8 dd",$D9="12 dd",$D9="an",$D9="1 X"),VLOOKUP($D9,ber_tijden!$A$16:$X$26,ber_tijden!S$14,FALSE),"")</f>
        <v/>
      </c>
      <c r="Z9" s="106" t="str">
        <f>IF(OR($D9="1 dd",$D9="2 dd",$D9="3 dd",$D9="4 dd",$D9="6 dd",$D9="8 dd",$D9="12 dd",$D9="an",$D9="1 X"),VLOOKUP($D9,ber_tijden!$A$16:$X$26,ber_tijden!T$14,FALSE),"")</f>
        <v/>
      </c>
      <c r="AA9" s="15" t="str">
        <f>IF(OR($D9="1 dd",$D9="2 dd",$D9="3 dd",$D9="4 dd",$D9="6 dd",$D9="8 dd",$D9="12 dd",$D9="an",$D9="1 X"),VLOOKUP($D9,ber_tijden!$A$16:$X$26,ber_tijden!U$14,FALSE),"")</f>
        <v/>
      </c>
      <c r="AB9" s="106" t="str">
        <f>IF(OR($D9="1 dd",$D9="2 dd",$D9="3 dd",$D9="4 dd",$D9="6 dd",$D9="8 dd",$D9="12 dd",$D9="an",$D9="1 X"),VLOOKUP($D9,ber_tijden!$A$16:$X$26,ber_tijden!V$14,FALSE),"")</f>
        <v/>
      </c>
      <c r="AC9" s="15" t="str">
        <f>IF(OR($D9="1 dd",$D9="2 dd",$D9="3 dd",$D9="4 dd",$D9="6 dd",$D9="8 dd",$D9="12 dd",$D9="an",$D9="1 X"),VLOOKUP($D9,ber_tijden!$A$16:$X$26,ber_tijden!W$14,FALSE),"")</f>
        <v/>
      </c>
      <c r="AD9" s="106" t="str">
        <f>IF(OR($D9="1 dd",$D9="2 dd",$D9="3 dd",$D9="4 dd",$D9="6 dd",$D9="8 dd",$D9="12 dd",$D9="an",$D9="1 X"),VLOOKUP($D9,ber_tijden!$A$16:$X$26,ber_tijden!X$14,FALSE),"")</f>
        <v/>
      </c>
      <c r="AE9" s="17"/>
      <c r="AF9" s="105"/>
      <c r="AG9" s="17"/>
    </row>
    <row r="10" spans="1:33" ht="26.1" customHeight="1" x14ac:dyDescent="0.35">
      <c r="B10" s="107"/>
      <c r="C10" s="231" t="str">
        <f>IF(ber_Med_disc!C9&lt;&gt;"",IF(ber_Med_disc!C9&gt;1,TRIM(ber_Med_disc!C9)&amp;", "&amp;ber_Opm!C23&amp;" ("&amp;ber_Med_disc!M9&amp;" "&amp;ber_Med_disc!F9&amp;"/kg/dag)",TRIM(ber_Med_disc!C9)&amp;", "&amp;ber_Opm!C23),"")</f>
        <v/>
      </c>
      <c r="D10" s="232" t="str">
        <f>IF(Med_disc!H20&lt;&gt;"",Med_disc!H20,"")</f>
        <v/>
      </c>
      <c r="E10" s="233" t="str">
        <f>IF(AND(D10&lt;&gt;"",D10&lt;&gt;"STOP"),ber_Med_disc!H9&amp;" "&amp;ber_Med_disc!F9,"")</f>
        <v/>
      </c>
      <c r="F10" s="233" t="str">
        <f>IF(AND(D10&lt;&gt;"",D10&lt;&gt;"STOP"),ber_Med_disc!L9," ")</f>
        <v xml:space="preserve"> </v>
      </c>
      <c r="G10" s="233" t="str">
        <f>IF(Med_disc!L20&lt;&gt;"",Med_disc!L20&amp;" "&amp;Med_disc!M20&amp;" "&amp;INDEX(ber_Med_disc!$B$27:$B$30,ber_Med_disc!O9,1)&amp;" in "&amp;Med_disc!$O$20,"")</f>
        <v/>
      </c>
      <c r="H10" s="106" t="str">
        <f>IF(OR($D10="1 dd",$D10="2 dd",$D10="3 dd",$D10="4 dd",$D10="6 dd",$D10="8 dd",$D10="12 dd",$D10="an",$D10="1 X"),VLOOKUP($D10,ber_tijden!$A$16:$X$26,ber_tijden!B$14,FALSE),"")</f>
        <v/>
      </c>
      <c r="I10" s="15" t="str">
        <f>IF(OR($D10="1 dd",$D10="2 dd",$D10="3 dd",$D10="4 dd",$D10="6 dd",$D10="8 dd",$D10="12 dd",$D10="an",$D10="1 X"),VLOOKUP($D10,ber_tijden!$A$16:$X$26,ber_tijden!C$14,FALSE),"")</f>
        <v/>
      </c>
      <c r="J10" s="106" t="str">
        <f>IF(OR($D10="1 dd",$D10="2 dd",$D10="3 dd",$D10="4 dd",$D10="6 dd",$D10="8 dd",$D10="12 dd",$D10="an",$D10="1 X"),VLOOKUP($D10,ber_tijden!$A$16:$X$26,ber_tijden!D$14,FALSE),"")</f>
        <v/>
      </c>
      <c r="K10" s="15" t="str">
        <f>IF(OR($D10="1 dd",$D10="2 dd",$D10="3 dd",$D10="4 dd",$D10="6 dd",$D10="8 dd",$D10="12 dd",$D10="an",$D10="1 X"),VLOOKUP($D10,ber_tijden!$A$16:$X$26,ber_tijden!E$14,FALSE),"")</f>
        <v/>
      </c>
      <c r="L10" s="106" t="str">
        <f>IF(OR($D10="1 dd",$D10="2 dd",$D10="3 dd",$D10="4 dd",$D10="6 dd",$D10="8 dd",$D10="12 dd",$D10="an",$D10="1 X"),VLOOKUP($D10,ber_tijden!$A$16:$X$26,ber_tijden!F$14,FALSE),"")</f>
        <v/>
      </c>
      <c r="M10" s="15" t="str">
        <f>IF(OR($D10="1 dd",$D10="2 dd",$D10="3 dd",$D10="4 dd",$D10="6 dd",$D10="8 dd",$D10="12 dd",$D10="an",$D10="1 X"),VLOOKUP($D10,ber_tijden!$A$16:$X$26,ber_tijden!G$14,FALSE),"")</f>
        <v/>
      </c>
      <c r="N10" s="106" t="str">
        <f>IF(OR($D10="1 dd",$D10="2 dd",$D10="3 dd",$D10="4 dd",$D10="6 dd",$D10="8 dd",$D10="12 dd",$D10="an",$D10="1 X"),VLOOKUP($D10,ber_tijden!$A$16:$X$26,ber_tijden!H$14,FALSE),"")</f>
        <v/>
      </c>
      <c r="O10" s="15" t="str">
        <f>IF(OR($D10="1 dd",$D10="2 dd",$D10="3 dd",$D10="4 dd",$D10="6 dd",$D10="8 dd",$D10="12 dd",$D10="an",$D10="1 X"),VLOOKUP($D10,ber_tijden!$A$16:$X$26,ber_tijden!I$14,FALSE),"")</f>
        <v/>
      </c>
      <c r="P10" s="106" t="str">
        <f>IF(OR($D10="1 dd",$D10="2 dd",$D10="3 dd",$D10="4 dd",$D10="6 dd",$D10="8 dd",$D10="12 dd",$D10="an",$D10="1 X"),VLOOKUP($D10,ber_tijden!$A$16:$X$26,ber_tijden!J$14,FALSE),"")</f>
        <v/>
      </c>
      <c r="Q10" s="15" t="str">
        <f>IF(OR($D10="1 dd",$D10="2 dd",$D10="3 dd",$D10="4 dd",$D10="6 dd",$D10="8 dd",$D10="12 dd",$D10="an",$D10="1 X"),VLOOKUP($D10,ber_tijden!$A$16:$X$26,ber_tijden!K$14,FALSE),"")</f>
        <v/>
      </c>
      <c r="R10" s="106" t="str">
        <f>IF(OR($D10="1 dd",$D10="2 dd",$D10="3 dd",$D10="4 dd",$D10="6 dd",$D10="8 dd",$D10="12 dd",$D10="an",$D10="1 X"),VLOOKUP($D10,ber_tijden!$A$16:$X$26,ber_tijden!L$14,FALSE),"")</f>
        <v/>
      </c>
      <c r="S10" s="15" t="str">
        <f>IF(OR($D10="1 dd",$D10="2 dd",$D10="3 dd",$D10="4 dd",$D10="6 dd",$D10="8 dd",$D10="12 dd",$D10="an",$D10="1 X"),VLOOKUP($D10,ber_tijden!$A$16:$X$26,ber_tijden!M$14,FALSE),"")</f>
        <v/>
      </c>
      <c r="T10" s="106" t="str">
        <f>IF(OR($D10="1 dd",$D10="2 dd",$D10="3 dd",$D10="4 dd",$D10="6 dd",$D10="8 dd",$D10="12 dd",$D10="an",$D10="1 X"),VLOOKUP($D10,ber_tijden!$A$16:$X$26,ber_tijden!N$14,FALSE),"")</f>
        <v/>
      </c>
      <c r="U10" s="15" t="str">
        <f>IF(OR($D10="1 dd",$D10="2 dd",$D10="3 dd",$D10="4 dd",$D10="6 dd",$D10="8 dd",$D10="12 dd",$D10="an",$D10="1 X"),VLOOKUP($D10,ber_tijden!$A$16:$X$26,ber_tijden!O$14,FALSE),"")</f>
        <v/>
      </c>
      <c r="V10" s="106" t="str">
        <f>IF(OR($D10="1 dd",$D10="2 dd",$D10="3 dd",$D10="4 dd",$D10="6 dd",$D10="8 dd",$D10="12 dd",$D10="an",$D10="1 X"),VLOOKUP($D10,ber_tijden!$A$16:$X$26,ber_tijden!P$14,FALSE),"")</f>
        <v/>
      </c>
      <c r="W10" s="15" t="str">
        <f>IF(OR($D10="1 dd",$D10="2 dd",$D10="3 dd",$D10="4 dd",$D10="6 dd",$D10="8 dd",$D10="12 dd",$D10="an",$D10="1 X"),VLOOKUP($D10,ber_tijden!$A$16:$X$26,ber_tijden!Q$14,FALSE),"")</f>
        <v/>
      </c>
      <c r="X10" s="106" t="str">
        <f>IF(OR($D10="1 dd",$D10="2 dd",$D10="3 dd",$D10="4 dd",$D10="6 dd",$D10="8 dd",$D10="12 dd",$D10="an",$D10="1 X"),VLOOKUP($D10,ber_tijden!$A$16:$X$26,ber_tijden!R$14,FALSE),"")</f>
        <v/>
      </c>
      <c r="Y10" s="15" t="str">
        <f>IF(OR($D10="1 dd",$D10="2 dd",$D10="3 dd",$D10="4 dd",$D10="6 dd",$D10="8 dd",$D10="12 dd",$D10="an",$D10="1 X"),VLOOKUP($D10,ber_tijden!$A$16:$X$26,ber_tijden!S$14,FALSE),"")</f>
        <v/>
      </c>
      <c r="Z10" s="106" t="str">
        <f>IF(OR($D10="1 dd",$D10="2 dd",$D10="3 dd",$D10="4 dd",$D10="6 dd",$D10="8 dd",$D10="12 dd",$D10="an",$D10="1 X"),VLOOKUP($D10,ber_tijden!$A$16:$X$26,ber_tijden!T$14,FALSE),"")</f>
        <v/>
      </c>
      <c r="AA10" s="15" t="str">
        <f>IF(OR($D10="1 dd",$D10="2 dd",$D10="3 dd",$D10="4 dd",$D10="6 dd",$D10="8 dd",$D10="12 dd",$D10="an",$D10="1 X"),VLOOKUP($D10,ber_tijden!$A$16:$X$26,ber_tijden!U$14,FALSE),"")</f>
        <v/>
      </c>
      <c r="AB10" s="106" t="str">
        <f>IF(OR($D10="1 dd",$D10="2 dd",$D10="3 dd",$D10="4 dd",$D10="6 dd",$D10="8 dd",$D10="12 dd",$D10="an",$D10="1 X"),VLOOKUP($D10,ber_tijden!$A$16:$X$26,ber_tijden!V$14,FALSE),"")</f>
        <v/>
      </c>
      <c r="AC10" s="15" t="str">
        <f>IF(OR($D10="1 dd",$D10="2 dd",$D10="3 dd",$D10="4 dd",$D10="6 dd",$D10="8 dd",$D10="12 dd",$D10="an",$D10="1 X"),VLOOKUP($D10,ber_tijden!$A$16:$X$26,ber_tijden!W$14,FALSE),"")</f>
        <v/>
      </c>
      <c r="AD10" s="106" t="str">
        <f>IF(OR($D10="1 dd",$D10="2 dd",$D10="3 dd",$D10="4 dd",$D10="6 dd",$D10="8 dd",$D10="12 dd",$D10="an",$D10="1 X"),VLOOKUP($D10,ber_tijden!$A$16:$X$26,ber_tijden!X$14,FALSE),"")</f>
        <v/>
      </c>
      <c r="AE10" s="17"/>
      <c r="AF10" s="105"/>
      <c r="AG10" s="17"/>
    </row>
    <row r="11" spans="1:33" ht="26.1" customHeight="1" x14ac:dyDescent="0.35">
      <c r="B11" s="107"/>
      <c r="C11" s="231" t="str">
        <f>IF(ber_Med_disc!C10&lt;&gt;"",IF(ber_Med_disc!C10&gt;1,TRIM(ber_Med_disc!C10)&amp;", "&amp;ber_Opm!C24&amp;" ("&amp;ber_Med_disc!M10&amp;" "&amp;ber_Med_disc!F10&amp;"/kg/dag)",TRIM(ber_Med_disc!C10)&amp;", "&amp;ber_Opm!C24),"")</f>
        <v/>
      </c>
      <c r="D11" s="232" t="str">
        <f>IF(Med_disc!H22&lt;&gt;"",Med_disc!H22,"")</f>
        <v/>
      </c>
      <c r="E11" s="233" t="str">
        <f>IF(AND(D11&lt;&gt;"",D11&lt;&gt;"STOP"),ber_Med_disc!H10&amp;" "&amp;ber_Med_disc!F10,"")</f>
        <v/>
      </c>
      <c r="F11" s="233" t="str">
        <f>IF(AND(D11&lt;&gt;"",D11&lt;&gt;"STOP"),ber_Med_disc!L10," ")</f>
        <v xml:space="preserve"> </v>
      </c>
      <c r="G11" s="233" t="str">
        <f>IF(Med_disc!L22&lt;&gt;"",Med_disc!L22&amp;" "&amp;Med_disc!M22&amp;" "&amp;INDEX(ber_Med_disc!$B$27:$B$30,ber_Med_disc!O10,1)&amp;" in "&amp;Med_disc!$O$22,"")</f>
        <v/>
      </c>
      <c r="H11" s="106" t="str">
        <f>IF(OR($D11="1 dd",$D11="2 dd",$D11="3 dd",$D11="4 dd",$D11="6 dd",$D11="8 dd",$D11="12 dd",$D11="an",$D11="1 X"),VLOOKUP($D11,ber_tijden!$A$16:$X$26,ber_tijden!B$14,FALSE),"")</f>
        <v/>
      </c>
      <c r="I11" s="15" t="str">
        <f>IF(OR($D11="1 dd",$D11="2 dd",$D11="3 dd",$D11="4 dd",$D11="6 dd",$D11="8 dd",$D11="12 dd",$D11="an",$D11="1 X"),VLOOKUP($D11,ber_tijden!$A$16:$X$26,ber_tijden!C$14,FALSE),"")</f>
        <v/>
      </c>
      <c r="J11" s="106" t="str">
        <f>IF(OR($D11="1 dd",$D11="2 dd",$D11="3 dd",$D11="4 dd",$D11="6 dd",$D11="8 dd",$D11="12 dd",$D11="an",$D11="1 X"),VLOOKUP($D11,ber_tijden!$A$16:$X$26,ber_tijden!D$14,FALSE),"")</f>
        <v/>
      </c>
      <c r="K11" s="15" t="str">
        <f>IF(OR($D11="1 dd",$D11="2 dd",$D11="3 dd",$D11="4 dd",$D11="6 dd",$D11="8 dd",$D11="12 dd",$D11="an",$D11="1 X"),VLOOKUP($D11,ber_tijden!$A$16:$X$26,ber_tijden!E$14,FALSE),"")</f>
        <v/>
      </c>
      <c r="L11" s="106" t="str">
        <f>IF(OR($D11="1 dd",$D11="2 dd",$D11="3 dd",$D11="4 dd",$D11="6 dd",$D11="8 dd",$D11="12 dd",$D11="an",$D11="1 X"),VLOOKUP($D11,ber_tijden!$A$16:$X$26,ber_tijden!F$14,FALSE),"")</f>
        <v/>
      </c>
      <c r="M11" s="15" t="str">
        <f>IF(OR($D11="1 dd",$D11="2 dd",$D11="3 dd",$D11="4 dd",$D11="6 dd",$D11="8 dd",$D11="12 dd",$D11="an",$D11="1 X"),VLOOKUP($D11,ber_tijden!$A$16:$X$26,ber_tijden!G$14,FALSE),"")</f>
        <v/>
      </c>
      <c r="N11" s="106" t="str">
        <f>IF(OR($D11="1 dd",$D11="2 dd",$D11="3 dd",$D11="4 dd",$D11="6 dd",$D11="8 dd",$D11="12 dd",$D11="an",$D11="1 X"),VLOOKUP($D11,ber_tijden!$A$16:$X$26,ber_tijden!H$14,FALSE),"")</f>
        <v/>
      </c>
      <c r="O11" s="15" t="str">
        <f>IF(OR($D11="1 dd",$D11="2 dd",$D11="3 dd",$D11="4 dd",$D11="6 dd",$D11="8 dd",$D11="12 dd",$D11="an",$D11="1 X"),VLOOKUP($D11,ber_tijden!$A$16:$X$26,ber_tijden!I$14,FALSE),"")</f>
        <v/>
      </c>
      <c r="P11" s="106" t="str">
        <f>IF(OR($D11="1 dd",$D11="2 dd",$D11="3 dd",$D11="4 dd",$D11="6 dd",$D11="8 dd",$D11="12 dd",$D11="an",$D11="1 X"),VLOOKUP($D11,ber_tijden!$A$16:$X$26,ber_tijden!J$14,FALSE),"")</f>
        <v/>
      </c>
      <c r="Q11" s="15" t="str">
        <f>IF(OR($D11="1 dd",$D11="2 dd",$D11="3 dd",$D11="4 dd",$D11="6 dd",$D11="8 dd",$D11="12 dd",$D11="an",$D11="1 X"),VLOOKUP($D11,ber_tijden!$A$16:$X$26,ber_tijden!K$14,FALSE),"")</f>
        <v/>
      </c>
      <c r="R11" s="106" t="str">
        <f>IF(OR($D11="1 dd",$D11="2 dd",$D11="3 dd",$D11="4 dd",$D11="6 dd",$D11="8 dd",$D11="12 dd",$D11="an",$D11="1 X"),VLOOKUP($D11,ber_tijden!$A$16:$X$26,ber_tijden!L$14,FALSE),"")</f>
        <v/>
      </c>
      <c r="S11" s="15" t="str">
        <f>IF(OR($D11="1 dd",$D11="2 dd",$D11="3 dd",$D11="4 dd",$D11="6 dd",$D11="8 dd",$D11="12 dd",$D11="an",$D11="1 X"),VLOOKUP($D11,ber_tijden!$A$16:$X$26,ber_tijden!M$14,FALSE),"")</f>
        <v/>
      </c>
      <c r="T11" s="106" t="str">
        <f>IF(OR($D11="1 dd",$D11="2 dd",$D11="3 dd",$D11="4 dd",$D11="6 dd",$D11="8 dd",$D11="12 dd",$D11="an",$D11="1 X"),VLOOKUP($D11,ber_tijden!$A$16:$X$26,ber_tijden!N$14,FALSE),"")</f>
        <v/>
      </c>
      <c r="U11" s="15" t="str">
        <f>IF(OR($D11="1 dd",$D11="2 dd",$D11="3 dd",$D11="4 dd",$D11="6 dd",$D11="8 dd",$D11="12 dd",$D11="an",$D11="1 X"),VLOOKUP($D11,ber_tijden!$A$16:$X$26,ber_tijden!O$14,FALSE),"")</f>
        <v/>
      </c>
      <c r="V11" s="106" t="str">
        <f>IF(OR($D11="1 dd",$D11="2 dd",$D11="3 dd",$D11="4 dd",$D11="6 dd",$D11="8 dd",$D11="12 dd",$D11="an",$D11="1 X"),VLOOKUP($D11,ber_tijden!$A$16:$X$26,ber_tijden!P$14,FALSE),"")</f>
        <v/>
      </c>
      <c r="W11" s="15" t="str">
        <f>IF(OR($D11="1 dd",$D11="2 dd",$D11="3 dd",$D11="4 dd",$D11="6 dd",$D11="8 dd",$D11="12 dd",$D11="an",$D11="1 X"),VLOOKUP($D11,ber_tijden!$A$16:$X$26,ber_tijden!Q$14,FALSE),"")</f>
        <v/>
      </c>
      <c r="X11" s="106" t="str">
        <f>IF(OR($D11="1 dd",$D11="2 dd",$D11="3 dd",$D11="4 dd",$D11="6 dd",$D11="8 dd",$D11="12 dd",$D11="an",$D11="1 X"),VLOOKUP($D11,ber_tijden!$A$16:$X$26,ber_tijden!R$14,FALSE),"")</f>
        <v/>
      </c>
      <c r="Y11" s="15" t="str">
        <f>IF(OR($D11="1 dd",$D11="2 dd",$D11="3 dd",$D11="4 dd",$D11="6 dd",$D11="8 dd",$D11="12 dd",$D11="an",$D11="1 X"),VLOOKUP($D11,ber_tijden!$A$16:$X$26,ber_tijden!S$14,FALSE),"")</f>
        <v/>
      </c>
      <c r="Z11" s="106" t="str">
        <f>IF(OR($D11="1 dd",$D11="2 dd",$D11="3 dd",$D11="4 dd",$D11="6 dd",$D11="8 dd",$D11="12 dd",$D11="an",$D11="1 X"),VLOOKUP($D11,ber_tijden!$A$16:$X$26,ber_tijden!T$14,FALSE),"")</f>
        <v/>
      </c>
      <c r="AA11" s="15" t="str">
        <f>IF(OR($D11="1 dd",$D11="2 dd",$D11="3 dd",$D11="4 dd",$D11="6 dd",$D11="8 dd",$D11="12 dd",$D11="an",$D11="1 X"),VLOOKUP($D11,ber_tijden!$A$16:$X$26,ber_tijden!U$14,FALSE),"")</f>
        <v/>
      </c>
      <c r="AB11" s="106" t="str">
        <f>IF(OR($D11="1 dd",$D11="2 dd",$D11="3 dd",$D11="4 dd",$D11="6 dd",$D11="8 dd",$D11="12 dd",$D11="an",$D11="1 X"),VLOOKUP($D11,ber_tijden!$A$16:$X$26,ber_tijden!V$14,FALSE),"")</f>
        <v/>
      </c>
      <c r="AC11" s="15" t="str">
        <f>IF(OR($D11="1 dd",$D11="2 dd",$D11="3 dd",$D11="4 dd",$D11="6 dd",$D11="8 dd",$D11="12 dd",$D11="an",$D11="1 X"),VLOOKUP($D11,ber_tijden!$A$16:$X$26,ber_tijden!W$14,FALSE),"")</f>
        <v/>
      </c>
      <c r="AD11" s="106" t="str">
        <f>IF(OR($D11="1 dd",$D11="2 dd",$D11="3 dd",$D11="4 dd",$D11="6 dd",$D11="8 dd",$D11="12 dd",$D11="an",$D11="1 X"),VLOOKUP($D11,ber_tijden!$A$16:$X$26,ber_tijden!X$14,FALSE),"")</f>
        <v/>
      </c>
      <c r="AE11" s="17"/>
      <c r="AF11" s="105"/>
      <c r="AG11" s="17"/>
    </row>
    <row r="12" spans="1:33" ht="26.1" customHeight="1" x14ac:dyDescent="0.35">
      <c r="B12" s="107"/>
      <c r="C12" s="231" t="str">
        <f>IF(ber_Med_disc!C11&lt;&gt;"",IF(ber_Med_disc!C11&gt;1,TRIM(ber_Med_disc!C11)&amp;", "&amp;ber_Opm!C25&amp;" ("&amp;ber_Med_disc!M11&amp;" "&amp;ber_Med_disc!F11&amp;"/kg/dag)",TRIM(ber_Med_disc!C11)&amp;", "&amp;ber_Opm!C25),"")</f>
        <v/>
      </c>
      <c r="D12" s="232" t="str">
        <f>IF(Med_disc!H24&lt;&gt;"",Med_disc!H24,"")</f>
        <v/>
      </c>
      <c r="E12" s="233" t="str">
        <f>IF(AND(D12&lt;&gt;"",D12&lt;&gt;"STOP"),ber_Med_disc!H11&amp;" "&amp;ber_Med_disc!F11,"")</f>
        <v/>
      </c>
      <c r="F12" s="233" t="str">
        <f>IF(AND(D12&lt;&gt;"",D12&lt;&gt;"STOP"),ber_Med_disc!L11," ")</f>
        <v xml:space="preserve"> </v>
      </c>
      <c r="G12" s="233" t="str">
        <f>IF(Med_disc!L24&lt;&gt;"",Med_disc!L24&amp;" "&amp;Med_disc!M24&amp;" "&amp;INDEX(ber_Med_disc!$B$27:$B$30,ber_Med_disc!O11,1)&amp;" in "&amp;Med_disc!$O$1404,"")</f>
        <v/>
      </c>
      <c r="H12" s="106" t="str">
        <f>IF(OR($D12="1 dd",$D12="2 dd",$D12="3 dd",$D12="4 dd",$D12="6 dd",$D12="8 dd",$D12="12 dd",$D12="an",$D12="1 X"),VLOOKUP($D12,ber_tijden!$A$16:$X$26,ber_tijden!B$14,FALSE),"")</f>
        <v/>
      </c>
      <c r="I12" s="15" t="str">
        <f>IF(OR($D12="1 dd",$D12="2 dd",$D12="3 dd",$D12="4 dd",$D12="6 dd",$D12="8 dd",$D12="12 dd",$D12="an",$D12="1 X"),VLOOKUP($D12,ber_tijden!$A$16:$X$26,ber_tijden!C$14,FALSE),"")</f>
        <v/>
      </c>
      <c r="J12" s="106" t="str">
        <f>IF(OR($D12="1 dd",$D12="2 dd",$D12="3 dd",$D12="4 dd",$D12="6 dd",$D12="8 dd",$D12="12 dd",$D12="an",$D12="1 X"),VLOOKUP($D12,ber_tijden!$A$16:$X$26,ber_tijden!D$14,FALSE),"")</f>
        <v/>
      </c>
      <c r="K12" s="15" t="str">
        <f>IF(OR($D12="1 dd",$D12="2 dd",$D12="3 dd",$D12="4 dd",$D12="6 dd",$D12="8 dd",$D12="12 dd",$D12="an",$D12="1 X"),VLOOKUP($D12,ber_tijden!$A$16:$X$26,ber_tijden!E$14,FALSE),"")</f>
        <v/>
      </c>
      <c r="L12" s="106" t="str">
        <f>IF(OR($D12="1 dd",$D12="2 dd",$D12="3 dd",$D12="4 dd",$D12="6 dd",$D12="8 dd",$D12="12 dd",$D12="an",$D12="1 X"),VLOOKUP($D12,ber_tijden!$A$16:$X$26,ber_tijden!F$14,FALSE),"")</f>
        <v/>
      </c>
      <c r="M12" s="15" t="str">
        <f>IF(OR($D12="1 dd",$D12="2 dd",$D12="3 dd",$D12="4 dd",$D12="6 dd",$D12="8 dd",$D12="12 dd",$D12="an",$D12="1 X"),VLOOKUP($D12,ber_tijden!$A$16:$X$26,ber_tijden!G$14,FALSE),"")</f>
        <v/>
      </c>
      <c r="N12" s="106" t="str">
        <f>IF(OR($D12="1 dd",$D12="2 dd",$D12="3 dd",$D12="4 dd",$D12="6 dd",$D12="8 dd",$D12="12 dd",$D12="an",$D12="1 X"),VLOOKUP($D12,ber_tijden!$A$16:$X$26,ber_tijden!H$14,FALSE),"")</f>
        <v/>
      </c>
      <c r="O12" s="15" t="str">
        <f>IF(OR($D12="1 dd",$D12="2 dd",$D12="3 dd",$D12="4 dd",$D12="6 dd",$D12="8 dd",$D12="12 dd",$D12="an",$D12="1 X"),VLOOKUP($D12,ber_tijden!$A$16:$X$26,ber_tijden!I$14,FALSE),"")</f>
        <v/>
      </c>
      <c r="P12" s="106" t="str">
        <f>IF(OR($D12="1 dd",$D12="2 dd",$D12="3 dd",$D12="4 dd",$D12="6 dd",$D12="8 dd",$D12="12 dd",$D12="an",$D12="1 X"),VLOOKUP($D12,ber_tijden!$A$16:$X$26,ber_tijden!J$14,FALSE),"")</f>
        <v/>
      </c>
      <c r="Q12" s="15" t="str">
        <f>IF(OR($D12="1 dd",$D12="2 dd",$D12="3 dd",$D12="4 dd",$D12="6 dd",$D12="8 dd",$D12="12 dd",$D12="an",$D12="1 X"),VLOOKUP($D12,ber_tijden!$A$16:$X$26,ber_tijden!K$14,FALSE),"")</f>
        <v/>
      </c>
      <c r="R12" s="106" t="str">
        <f>IF(OR($D12="1 dd",$D12="2 dd",$D12="3 dd",$D12="4 dd",$D12="6 dd",$D12="8 dd",$D12="12 dd",$D12="an",$D12="1 X"),VLOOKUP($D12,ber_tijden!$A$16:$X$26,ber_tijden!L$14,FALSE),"")</f>
        <v/>
      </c>
      <c r="S12" s="15" t="str">
        <f>IF(OR($D12="1 dd",$D12="2 dd",$D12="3 dd",$D12="4 dd",$D12="6 dd",$D12="8 dd",$D12="12 dd",$D12="an",$D12="1 X"),VLOOKUP($D12,ber_tijden!$A$16:$X$26,ber_tijden!M$14,FALSE),"")</f>
        <v/>
      </c>
      <c r="T12" s="106" t="str">
        <f>IF(OR($D12="1 dd",$D12="2 dd",$D12="3 dd",$D12="4 dd",$D12="6 dd",$D12="8 dd",$D12="12 dd",$D12="an",$D12="1 X"),VLOOKUP($D12,ber_tijden!$A$16:$X$26,ber_tijden!N$14,FALSE),"")</f>
        <v/>
      </c>
      <c r="U12" s="15" t="str">
        <f>IF(OR($D12="1 dd",$D12="2 dd",$D12="3 dd",$D12="4 dd",$D12="6 dd",$D12="8 dd",$D12="12 dd",$D12="an",$D12="1 X"),VLOOKUP($D12,ber_tijden!$A$16:$X$26,ber_tijden!O$14,FALSE),"")</f>
        <v/>
      </c>
      <c r="V12" s="106" t="str">
        <f>IF(OR($D12="1 dd",$D12="2 dd",$D12="3 dd",$D12="4 dd",$D12="6 dd",$D12="8 dd",$D12="12 dd",$D12="an",$D12="1 X"),VLOOKUP($D12,ber_tijden!$A$16:$X$26,ber_tijden!P$14,FALSE),"")</f>
        <v/>
      </c>
      <c r="W12" s="15" t="str">
        <f>IF(OR($D12="1 dd",$D12="2 dd",$D12="3 dd",$D12="4 dd",$D12="6 dd",$D12="8 dd",$D12="12 dd",$D12="an",$D12="1 X"),VLOOKUP($D12,ber_tijden!$A$16:$X$26,ber_tijden!Q$14,FALSE),"")</f>
        <v/>
      </c>
      <c r="X12" s="106" t="str">
        <f>IF(OR($D12="1 dd",$D12="2 dd",$D12="3 dd",$D12="4 dd",$D12="6 dd",$D12="8 dd",$D12="12 dd",$D12="an",$D12="1 X"),VLOOKUP($D12,ber_tijden!$A$16:$X$26,ber_tijden!R$14,FALSE),"")</f>
        <v/>
      </c>
      <c r="Y12" s="15" t="str">
        <f>IF(OR($D12="1 dd",$D12="2 dd",$D12="3 dd",$D12="4 dd",$D12="6 dd",$D12="8 dd",$D12="12 dd",$D12="an",$D12="1 X"),VLOOKUP($D12,ber_tijden!$A$16:$X$26,ber_tijden!S$14,FALSE),"")</f>
        <v/>
      </c>
      <c r="Z12" s="106" t="str">
        <f>IF(OR($D12="1 dd",$D12="2 dd",$D12="3 dd",$D12="4 dd",$D12="6 dd",$D12="8 dd",$D12="12 dd",$D12="an",$D12="1 X"),VLOOKUP($D12,ber_tijden!$A$16:$X$26,ber_tijden!T$14,FALSE),"")</f>
        <v/>
      </c>
      <c r="AA12" s="15" t="str">
        <f>IF(OR($D12="1 dd",$D12="2 dd",$D12="3 dd",$D12="4 dd",$D12="6 dd",$D12="8 dd",$D12="12 dd",$D12="an",$D12="1 X"),VLOOKUP($D12,ber_tijden!$A$16:$X$26,ber_tijden!U$14,FALSE),"")</f>
        <v/>
      </c>
      <c r="AB12" s="106" t="str">
        <f>IF(OR($D12="1 dd",$D12="2 dd",$D12="3 dd",$D12="4 dd",$D12="6 dd",$D12="8 dd",$D12="12 dd",$D12="an",$D12="1 X"),VLOOKUP($D12,ber_tijden!$A$16:$X$26,ber_tijden!V$14,FALSE),"")</f>
        <v/>
      </c>
      <c r="AC12" s="15" t="str">
        <f>IF(OR($D12="1 dd",$D12="2 dd",$D12="3 dd",$D12="4 dd",$D12="6 dd",$D12="8 dd",$D12="12 dd",$D12="an",$D12="1 X"),VLOOKUP($D12,ber_tijden!$A$16:$X$26,ber_tijden!W$14,FALSE),"")</f>
        <v/>
      </c>
      <c r="AD12" s="106" t="str">
        <f>IF(OR($D12="1 dd",$D12="2 dd",$D12="3 dd",$D12="4 dd",$D12="6 dd",$D12="8 dd",$D12="12 dd",$D12="an",$D12="1 X"),VLOOKUP($D12,ber_tijden!$A$16:$X$26,ber_tijden!X$14,FALSE),"")</f>
        <v/>
      </c>
      <c r="AE12" s="17"/>
      <c r="AF12" s="105"/>
      <c r="AG12" s="17"/>
    </row>
    <row r="13" spans="1:33" ht="26.1" customHeight="1" x14ac:dyDescent="0.35">
      <c r="B13" s="107"/>
      <c r="C13" s="231" t="str">
        <f>IF(ber_Med_disc!C12&lt;&gt;"",IF(ber_Med_disc!C12&gt;1,TRIM(ber_Med_disc!C12)&amp;", "&amp;ber_Opm!C26&amp;" ("&amp;ber_Med_disc!M12&amp;" "&amp;ber_Med_disc!F12&amp;"/kg/dag)",TRIM(ber_Med_disc!C12)&amp;", "&amp;ber_Opm!C26),"")</f>
        <v/>
      </c>
      <c r="D13" s="232" t="str">
        <f>IF(Med_disc!H26&lt;&gt;"",Med_disc!H26,"")</f>
        <v/>
      </c>
      <c r="E13" s="233" t="str">
        <f>IF(AND(D13&lt;&gt;"",D13&lt;&gt;"STOP"),ber_Med_disc!H12&amp;" "&amp;ber_Med_disc!F12,"")</f>
        <v/>
      </c>
      <c r="F13" s="233" t="str">
        <f>IF(AND(D13&lt;&gt;"",D13&lt;&gt;"STOP"),ber_Med_disc!L12," ")</f>
        <v xml:space="preserve"> </v>
      </c>
      <c r="G13" s="233" t="str">
        <f>IF(Med_disc!L26&lt;&gt;"",Med_disc!L26&amp;" "&amp;Med_disc!M26&amp;" "&amp;INDEX(ber_Med_disc!$B$27:$B$30,ber_Med_disc!O12,1)&amp;" in "&amp;Med_disc!$O$26,"")</f>
        <v/>
      </c>
      <c r="H13" s="106" t="str">
        <f>IF(OR($D13="1 dd",$D13="2 dd",$D13="3 dd",$D13="4 dd",$D13="6 dd",$D13="8 dd",$D13="12 dd",$D13="an",$D13="1 X"),VLOOKUP($D13,ber_tijden!$A$16:$X$26,ber_tijden!B$14,FALSE),"")</f>
        <v/>
      </c>
      <c r="I13" s="15" t="str">
        <f>IF(OR($D13="1 dd",$D13="2 dd",$D13="3 dd",$D13="4 dd",$D13="6 dd",$D13="8 dd",$D13="12 dd",$D13="an",$D13="1 X"),VLOOKUP($D13,ber_tijden!$A$16:$X$26,ber_tijden!C$14,FALSE),"")</f>
        <v/>
      </c>
      <c r="J13" s="106" t="str">
        <f>IF(OR($D13="1 dd",$D13="2 dd",$D13="3 dd",$D13="4 dd",$D13="6 dd",$D13="8 dd",$D13="12 dd",$D13="an",$D13="1 X"),VLOOKUP($D13,ber_tijden!$A$16:$X$26,ber_tijden!D$14,FALSE),"")</f>
        <v/>
      </c>
      <c r="K13" s="15" t="str">
        <f>IF(OR($D13="1 dd",$D13="2 dd",$D13="3 dd",$D13="4 dd",$D13="6 dd",$D13="8 dd",$D13="12 dd",$D13="an",$D13="1 X"),VLOOKUP($D13,ber_tijden!$A$16:$X$26,ber_tijden!E$14,FALSE),"")</f>
        <v/>
      </c>
      <c r="L13" s="106" t="str">
        <f>IF(OR($D13="1 dd",$D13="2 dd",$D13="3 dd",$D13="4 dd",$D13="6 dd",$D13="8 dd",$D13="12 dd",$D13="an",$D13="1 X"),VLOOKUP($D13,ber_tijden!$A$16:$X$26,ber_tijden!F$14,FALSE),"")</f>
        <v/>
      </c>
      <c r="M13" s="15" t="str">
        <f>IF(OR($D13="1 dd",$D13="2 dd",$D13="3 dd",$D13="4 dd",$D13="6 dd",$D13="8 dd",$D13="12 dd",$D13="an",$D13="1 X"),VLOOKUP($D13,ber_tijden!$A$16:$X$26,ber_tijden!G$14,FALSE),"")</f>
        <v/>
      </c>
      <c r="N13" s="106" t="str">
        <f>IF(OR($D13="1 dd",$D13="2 dd",$D13="3 dd",$D13="4 dd",$D13="6 dd",$D13="8 dd",$D13="12 dd",$D13="an",$D13="1 X"),VLOOKUP($D13,ber_tijden!$A$16:$X$26,ber_tijden!H$14,FALSE),"")</f>
        <v/>
      </c>
      <c r="O13" s="15" t="str">
        <f>IF(OR($D13="1 dd",$D13="2 dd",$D13="3 dd",$D13="4 dd",$D13="6 dd",$D13="8 dd",$D13="12 dd",$D13="an",$D13="1 X"),VLOOKUP($D13,ber_tijden!$A$16:$X$26,ber_tijden!I$14,FALSE),"")</f>
        <v/>
      </c>
      <c r="P13" s="106" t="str">
        <f>IF(OR($D13="1 dd",$D13="2 dd",$D13="3 dd",$D13="4 dd",$D13="6 dd",$D13="8 dd",$D13="12 dd",$D13="an",$D13="1 X"),VLOOKUP($D13,ber_tijden!$A$16:$X$26,ber_tijden!J$14,FALSE),"")</f>
        <v/>
      </c>
      <c r="Q13" s="15" t="str">
        <f>IF(OR($D13="1 dd",$D13="2 dd",$D13="3 dd",$D13="4 dd",$D13="6 dd",$D13="8 dd",$D13="12 dd",$D13="an",$D13="1 X"),VLOOKUP($D13,ber_tijden!$A$16:$X$26,ber_tijden!K$14,FALSE),"")</f>
        <v/>
      </c>
      <c r="R13" s="106" t="str">
        <f>IF(OR($D13="1 dd",$D13="2 dd",$D13="3 dd",$D13="4 dd",$D13="6 dd",$D13="8 dd",$D13="12 dd",$D13="an",$D13="1 X"),VLOOKUP($D13,ber_tijden!$A$16:$X$26,ber_tijden!L$14,FALSE),"")</f>
        <v/>
      </c>
      <c r="S13" s="15" t="str">
        <f>IF(OR($D13="1 dd",$D13="2 dd",$D13="3 dd",$D13="4 dd",$D13="6 dd",$D13="8 dd",$D13="12 dd",$D13="an",$D13="1 X"),VLOOKUP($D13,ber_tijden!$A$16:$X$26,ber_tijden!M$14,FALSE),"")</f>
        <v/>
      </c>
      <c r="T13" s="106" t="str">
        <f>IF(OR($D13="1 dd",$D13="2 dd",$D13="3 dd",$D13="4 dd",$D13="6 dd",$D13="8 dd",$D13="12 dd",$D13="an",$D13="1 X"),VLOOKUP($D13,ber_tijden!$A$16:$X$26,ber_tijden!N$14,FALSE),"")</f>
        <v/>
      </c>
      <c r="U13" s="15" t="str">
        <f>IF(OR($D13="1 dd",$D13="2 dd",$D13="3 dd",$D13="4 dd",$D13="6 dd",$D13="8 dd",$D13="12 dd",$D13="an",$D13="1 X"),VLOOKUP($D13,ber_tijden!$A$16:$X$26,ber_tijden!O$14,FALSE),"")</f>
        <v/>
      </c>
      <c r="V13" s="106" t="str">
        <f>IF(OR($D13="1 dd",$D13="2 dd",$D13="3 dd",$D13="4 dd",$D13="6 dd",$D13="8 dd",$D13="12 dd",$D13="an",$D13="1 X"),VLOOKUP($D13,ber_tijden!$A$16:$X$26,ber_tijden!P$14,FALSE),"")</f>
        <v/>
      </c>
      <c r="W13" s="15" t="str">
        <f>IF(OR($D13="1 dd",$D13="2 dd",$D13="3 dd",$D13="4 dd",$D13="6 dd",$D13="8 dd",$D13="12 dd",$D13="an",$D13="1 X"),VLOOKUP($D13,ber_tijden!$A$16:$X$26,ber_tijden!Q$14,FALSE),"")</f>
        <v/>
      </c>
      <c r="X13" s="106" t="str">
        <f>IF(OR($D13="1 dd",$D13="2 dd",$D13="3 dd",$D13="4 dd",$D13="6 dd",$D13="8 dd",$D13="12 dd",$D13="an",$D13="1 X"),VLOOKUP($D13,ber_tijden!$A$16:$X$26,ber_tijden!R$14,FALSE),"")</f>
        <v/>
      </c>
      <c r="Y13" s="15" t="str">
        <f>IF(OR($D13="1 dd",$D13="2 dd",$D13="3 dd",$D13="4 dd",$D13="6 dd",$D13="8 dd",$D13="12 dd",$D13="an",$D13="1 X"),VLOOKUP($D13,ber_tijden!$A$16:$X$26,ber_tijden!S$14,FALSE),"")</f>
        <v/>
      </c>
      <c r="Z13" s="106" t="str">
        <f>IF(OR($D13="1 dd",$D13="2 dd",$D13="3 dd",$D13="4 dd",$D13="6 dd",$D13="8 dd",$D13="12 dd",$D13="an",$D13="1 X"),VLOOKUP($D13,ber_tijden!$A$16:$X$26,ber_tijden!T$14,FALSE),"")</f>
        <v/>
      </c>
      <c r="AA13" s="15" t="str">
        <f>IF(OR($D13="1 dd",$D13="2 dd",$D13="3 dd",$D13="4 dd",$D13="6 dd",$D13="8 dd",$D13="12 dd",$D13="an",$D13="1 X"),VLOOKUP($D13,ber_tijden!$A$16:$X$26,ber_tijden!U$14,FALSE),"")</f>
        <v/>
      </c>
      <c r="AB13" s="106" t="str">
        <f>IF(OR($D13="1 dd",$D13="2 dd",$D13="3 dd",$D13="4 dd",$D13="6 dd",$D13="8 dd",$D13="12 dd",$D13="an",$D13="1 X"),VLOOKUP($D13,ber_tijden!$A$16:$X$26,ber_tijden!V$14,FALSE),"")</f>
        <v/>
      </c>
      <c r="AC13" s="15" t="str">
        <f>IF(OR($D13="1 dd",$D13="2 dd",$D13="3 dd",$D13="4 dd",$D13="6 dd",$D13="8 dd",$D13="12 dd",$D13="an",$D13="1 X"),VLOOKUP($D13,ber_tijden!$A$16:$X$26,ber_tijden!W$14,FALSE),"")</f>
        <v/>
      </c>
      <c r="AD13" s="106" t="str">
        <f>IF(OR($D13="1 dd",$D13="2 dd",$D13="3 dd",$D13="4 dd",$D13="6 dd",$D13="8 dd",$D13="12 dd",$D13="an",$D13="1 X"),VLOOKUP($D13,ber_tijden!$A$16:$X$26,ber_tijden!X$14,FALSE),"")</f>
        <v/>
      </c>
      <c r="AE13" s="17"/>
      <c r="AF13" s="105"/>
      <c r="AG13" s="17"/>
    </row>
    <row r="14" spans="1:33" ht="26.1" customHeight="1" x14ac:dyDescent="0.35">
      <c r="B14" s="107"/>
      <c r="C14" s="231" t="str">
        <f>IF(ber_Med_disc!C13&lt;&gt;"",IF(ber_Med_disc!C13&gt;1,TRIM(ber_Med_disc!C13)&amp;", "&amp;ber_Opm!C27&amp;" ("&amp;ber_Med_disc!M13&amp;" "&amp;ber_Med_disc!F13&amp;"/kg/dag)",TRIM(ber_Med_disc!C13)&amp;", "&amp;ber_Opm!C27),"")</f>
        <v/>
      </c>
      <c r="D14" s="232" t="str">
        <f>IF(Med_disc!H28&lt;&gt;"",Med_disc!H28,"")</f>
        <v/>
      </c>
      <c r="E14" s="233" t="str">
        <f>IF(AND(D14&lt;&gt;"",D14&lt;&gt;"STOP"),ber_Med_disc!H13&amp;" "&amp;ber_Med_disc!F13,"")</f>
        <v/>
      </c>
      <c r="F14" s="233" t="str">
        <f>IF(AND(D14&lt;&gt;"",D14&lt;&gt;"STOP"),ber_Med_disc!L13," ")</f>
        <v xml:space="preserve"> </v>
      </c>
      <c r="G14" s="233" t="str">
        <f>IF(Med_disc!L28&lt;&gt;"",Med_disc!L28&amp;" "&amp;Med_disc!M28&amp;" "&amp;INDEX(ber_Med_disc!$B$27:$B$30,ber_Med_disc!O13,1)&amp;" in "&amp;Med_disc!$O$28,"")</f>
        <v/>
      </c>
      <c r="H14" s="106" t="str">
        <f>IF(OR($D14="1 dd",$D14="2 dd",$D14="3 dd",$D14="4 dd",$D14="6 dd",$D14="8 dd",$D14="12 dd",$D14="an",$D14="1 X"),VLOOKUP($D14,ber_tijden!$A$16:$X$26,ber_tijden!B$14,FALSE),"")</f>
        <v/>
      </c>
      <c r="I14" s="15" t="str">
        <f>IF(OR($D14="1 dd",$D14="2 dd",$D14="3 dd",$D14="4 dd",$D14="6 dd",$D14="8 dd",$D14="12 dd",$D14="an",$D14="1 X"),VLOOKUP($D14,ber_tijden!$A$16:$X$26,ber_tijden!C$14,FALSE),"")</f>
        <v/>
      </c>
      <c r="J14" s="106" t="str">
        <f>IF(OR($D14="1 dd",$D14="2 dd",$D14="3 dd",$D14="4 dd",$D14="6 dd",$D14="8 dd",$D14="12 dd",$D14="an",$D14="1 X"),VLOOKUP($D14,ber_tijden!$A$16:$X$26,ber_tijden!D$14,FALSE),"")</f>
        <v/>
      </c>
      <c r="K14" s="15" t="str">
        <f>IF(OR($D14="1 dd",$D14="2 dd",$D14="3 dd",$D14="4 dd",$D14="6 dd",$D14="8 dd",$D14="12 dd",$D14="an",$D14="1 X"),VLOOKUP($D14,ber_tijden!$A$16:$X$26,ber_tijden!E$14,FALSE),"")</f>
        <v/>
      </c>
      <c r="L14" s="106" t="str">
        <f>IF(OR($D14="1 dd",$D14="2 dd",$D14="3 dd",$D14="4 dd",$D14="6 dd",$D14="8 dd",$D14="12 dd",$D14="an",$D14="1 X"),VLOOKUP($D14,ber_tijden!$A$16:$X$26,ber_tijden!F$14,FALSE),"")</f>
        <v/>
      </c>
      <c r="M14" s="15" t="str">
        <f>IF(OR($D14="1 dd",$D14="2 dd",$D14="3 dd",$D14="4 dd",$D14="6 dd",$D14="8 dd",$D14="12 dd",$D14="an",$D14="1 X"),VLOOKUP($D14,ber_tijden!$A$16:$X$26,ber_tijden!G$14,FALSE),"")</f>
        <v/>
      </c>
      <c r="N14" s="106" t="str">
        <f>IF(OR($D14="1 dd",$D14="2 dd",$D14="3 dd",$D14="4 dd",$D14="6 dd",$D14="8 dd",$D14="12 dd",$D14="an",$D14="1 X"),VLOOKUP($D14,ber_tijden!$A$16:$X$26,ber_tijden!H$14,FALSE),"")</f>
        <v/>
      </c>
      <c r="O14" s="15" t="str">
        <f>IF(OR($D14="1 dd",$D14="2 dd",$D14="3 dd",$D14="4 dd",$D14="6 dd",$D14="8 dd",$D14="12 dd",$D14="an",$D14="1 X"),VLOOKUP($D14,ber_tijden!$A$16:$X$26,ber_tijden!I$14,FALSE),"")</f>
        <v/>
      </c>
      <c r="P14" s="106" t="str">
        <f>IF(OR($D14="1 dd",$D14="2 dd",$D14="3 dd",$D14="4 dd",$D14="6 dd",$D14="8 dd",$D14="12 dd",$D14="an",$D14="1 X"),VLOOKUP($D14,ber_tijden!$A$16:$X$26,ber_tijden!J$14,FALSE),"")</f>
        <v/>
      </c>
      <c r="Q14" s="15" t="str">
        <f>IF(OR($D14="1 dd",$D14="2 dd",$D14="3 dd",$D14="4 dd",$D14="6 dd",$D14="8 dd",$D14="12 dd",$D14="an",$D14="1 X"),VLOOKUP($D14,ber_tijden!$A$16:$X$26,ber_tijden!K$14,FALSE),"")</f>
        <v/>
      </c>
      <c r="R14" s="106" t="str">
        <f>IF(OR($D14="1 dd",$D14="2 dd",$D14="3 dd",$D14="4 dd",$D14="6 dd",$D14="8 dd",$D14="12 dd",$D14="an",$D14="1 X"),VLOOKUP($D14,ber_tijden!$A$16:$X$26,ber_tijden!L$14,FALSE),"")</f>
        <v/>
      </c>
      <c r="S14" s="15" t="str">
        <f>IF(OR($D14="1 dd",$D14="2 dd",$D14="3 dd",$D14="4 dd",$D14="6 dd",$D14="8 dd",$D14="12 dd",$D14="an",$D14="1 X"),VLOOKUP($D14,ber_tijden!$A$16:$X$26,ber_tijden!M$14,FALSE),"")</f>
        <v/>
      </c>
      <c r="T14" s="106" t="str">
        <f>IF(OR($D14="1 dd",$D14="2 dd",$D14="3 dd",$D14="4 dd",$D14="6 dd",$D14="8 dd",$D14="12 dd",$D14="an",$D14="1 X"),VLOOKUP($D14,ber_tijden!$A$16:$X$26,ber_tijden!N$14,FALSE),"")</f>
        <v/>
      </c>
      <c r="U14" s="15" t="str">
        <f>IF(OR($D14="1 dd",$D14="2 dd",$D14="3 dd",$D14="4 dd",$D14="6 dd",$D14="8 dd",$D14="12 dd",$D14="an",$D14="1 X"),VLOOKUP($D14,ber_tijden!$A$16:$X$26,ber_tijden!O$14,FALSE),"")</f>
        <v/>
      </c>
      <c r="V14" s="106" t="str">
        <f>IF(OR($D14="1 dd",$D14="2 dd",$D14="3 dd",$D14="4 dd",$D14="6 dd",$D14="8 dd",$D14="12 dd",$D14="an",$D14="1 X"),VLOOKUP($D14,ber_tijden!$A$16:$X$26,ber_tijden!P$14,FALSE),"")</f>
        <v/>
      </c>
      <c r="W14" s="15" t="str">
        <f>IF(OR($D14="1 dd",$D14="2 dd",$D14="3 dd",$D14="4 dd",$D14="6 dd",$D14="8 dd",$D14="12 dd",$D14="an",$D14="1 X"),VLOOKUP($D14,ber_tijden!$A$16:$X$26,ber_tijden!Q$14,FALSE),"")</f>
        <v/>
      </c>
      <c r="X14" s="106" t="str">
        <f>IF(OR($D14="1 dd",$D14="2 dd",$D14="3 dd",$D14="4 dd",$D14="6 dd",$D14="8 dd",$D14="12 dd",$D14="an",$D14="1 X"),VLOOKUP($D14,ber_tijden!$A$16:$X$26,ber_tijden!R$14,FALSE),"")</f>
        <v/>
      </c>
      <c r="Y14" s="15" t="str">
        <f>IF(OR($D14="1 dd",$D14="2 dd",$D14="3 dd",$D14="4 dd",$D14="6 dd",$D14="8 dd",$D14="12 dd",$D14="an",$D14="1 X"),VLOOKUP($D14,ber_tijden!$A$16:$X$26,ber_tijden!S$14,FALSE),"")</f>
        <v/>
      </c>
      <c r="Z14" s="106" t="str">
        <f>IF(OR($D14="1 dd",$D14="2 dd",$D14="3 dd",$D14="4 dd",$D14="6 dd",$D14="8 dd",$D14="12 dd",$D14="an",$D14="1 X"),VLOOKUP($D14,ber_tijden!$A$16:$X$26,ber_tijden!T$14,FALSE),"")</f>
        <v/>
      </c>
      <c r="AA14" s="15" t="str">
        <f>IF(OR($D14="1 dd",$D14="2 dd",$D14="3 dd",$D14="4 dd",$D14="6 dd",$D14="8 dd",$D14="12 dd",$D14="an",$D14="1 X"),VLOOKUP($D14,ber_tijden!$A$16:$X$26,ber_tijden!U$14,FALSE),"")</f>
        <v/>
      </c>
      <c r="AB14" s="106" t="str">
        <f>IF(OR($D14="1 dd",$D14="2 dd",$D14="3 dd",$D14="4 dd",$D14="6 dd",$D14="8 dd",$D14="12 dd",$D14="an",$D14="1 X"),VLOOKUP($D14,ber_tijden!$A$16:$X$26,ber_tijden!V$14,FALSE),"")</f>
        <v/>
      </c>
      <c r="AC14" s="15" t="str">
        <f>IF(OR($D14="1 dd",$D14="2 dd",$D14="3 dd",$D14="4 dd",$D14="6 dd",$D14="8 dd",$D14="12 dd",$D14="an",$D14="1 X"),VLOOKUP($D14,ber_tijden!$A$16:$X$26,ber_tijden!W$14,FALSE),"")</f>
        <v/>
      </c>
      <c r="AD14" s="106" t="str">
        <f>IF(OR($D14="1 dd",$D14="2 dd",$D14="3 dd",$D14="4 dd",$D14="6 dd",$D14="8 dd",$D14="12 dd",$D14="an",$D14="1 X"),VLOOKUP($D14,ber_tijden!$A$16:$X$26,ber_tijden!X$14,FALSE),"")</f>
        <v/>
      </c>
      <c r="AE14" s="17"/>
      <c r="AF14" s="105"/>
      <c r="AG14" s="17"/>
    </row>
    <row r="15" spans="1:33" ht="26.1" customHeight="1" x14ac:dyDescent="0.35">
      <c r="B15" s="107"/>
      <c r="C15" s="231" t="str">
        <f>IF(ber_Med_disc!C14&lt;&gt;"",IF(ber_Med_disc!C14&gt;1,TRIM(ber_Med_disc!C14)&amp;", "&amp;ber_Opm!C28&amp;" ("&amp;ber_Med_disc!M14&amp;" "&amp;ber_Med_disc!F14&amp;"/kg/dag)",TRIM(ber_Med_disc!C14)&amp;", "&amp;ber_Opm!C28),"")</f>
        <v/>
      </c>
      <c r="D15" s="232" t="str">
        <f>IF(Med_disc!H30&lt;&gt;"",Med_disc!H30,"")</f>
        <v/>
      </c>
      <c r="E15" s="233" t="str">
        <f>IF(AND(D15&lt;&gt;"",D15&lt;&gt;"STOP"),ber_Med_disc!H14&amp;" "&amp;ber_Med_disc!F14,"")</f>
        <v/>
      </c>
      <c r="F15" s="233" t="str">
        <f>IF(AND(D15&lt;&gt;"",D15&lt;&gt;"STOP"),ber_Med_disc!L14," ")</f>
        <v xml:space="preserve"> </v>
      </c>
      <c r="G15" s="233" t="str">
        <f>IF(Med_disc!L30&lt;&gt;"",Med_disc!L30&amp;" "&amp;Med_disc!M30&amp;" "&amp;INDEX(ber_Med_disc!$B$27:$B$30,ber_Med_disc!O14,1)&amp;" in "&amp;Med_disc!$O$30,"")</f>
        <v/>
      </c>
      <c r="H15" s="106" t="str">
        <f>IF(OR($D15="1 dd",$D15="2 dd",$D15="3 dd",$D15="4 dd",$D15="6 dd",$D15="8 dd",$D15="12 dd",$D15="an",$D15="1 X"),VLOOKUP($D15,ber_tijden!$A$16:$X$26,ber_tijden!B$14,FALSE),"")</f>
        <v/>
      </c>
      <c r="I15" s="15" t="str">
        <f>IF(OR($D15="1 dd",$D15="2 dd",$D15="3 dd",$D15="4 dd",$D15="6 dd",$D15="8 dd",$D15="12 dd",$D15="an",$D15="1 X"),VLOOKUP($D15,ber_tijden!$A$16:$X$26,ber_tijden!C$14,FALSE),"")</f>
        <v/>
      </c>
      <c r="J15" s="106" t="str">
        <f>IF(OR($D15="1 dd",$D15="2 dd",$D15="3 dd",$D15="4 dd",$D15="6 dd",$D15="8 dd",$D15="12 dd",$D15="an",$D15="1 X"),VLOOKUP($D15,ber_tijden!$A$16:$X$26,ber_tijden!D$14,FALSE),"")</f>
        <v/>
      </c>
      <c r="K15" s="15" t="str">
        <f>IF(OR($D15="1 dd",$D15="2 dd",$D15="3 dd",$D15="4 dd",$D15="6 dd",$D15="8 dd",$D15="12 dd",$D15="an",$D15="1 X"),VLOOKUP($D15,ber_tijden!$A$16:$X$26,ber_tijden!E$14,FALSE),"")</f>
        <v/>
      </c>
      <c r="L15" s="106" t="str">
        <f>IF(OR($D15="1 dd",$D15="2 dd",$D15="3 dd",$D15="4 dd",$D15="6 dd",$D15="8 dd",$D15="12 dd",$D15="an",$D15="1 X"),VLOOKUP($D15,ber_tijden!$A$16:$X$26,ber_tijden!F$14,FALSE),"")</f>
        <v/>
      </c>
      <c r="M15" s="15" t="str">
        <f>IF(OR($D15="1 dd",$D15="2 dd",$D15="3 dd",$D15="4 dd",$D15="6 dd",$D15="8 dd",$D15="12 dd",$D15="an",$D15="1 X"),VLOOKUP($D15,ber_tijden!$A$16:$X$26,ber_tijden!G$14,FALSE),"")</f>
        <v/>
      </c>
      <c r="N15" s="106" t="str">
        <f>IF(OR($D15="1 dd",$D15="2 dd",$D15="3 dd",$D15="4 dd",$D15="6 dd",$D15="8 dd",$D15="12 dd",$D15="an",$D15="1 X"),VLOOKUP($D15,ber_tijden!$A$16:$X$26,ber_tijden!H$14,FALSE),"")</f>
        <v/>
      </c>
      <c r="O15" s="15" t="str">
        <f>IF(OR($D15="1 dd",$D15="2 dd",$D15="3 dd",$D15="4 dd",$D15="6 dd",$D15="8 dd",$D15="12 dd",$D15="an",$D15="1 X"),VLOOKUP($D15,ber_tijden!$A$16:$X$26,ber_tijden!I$14,FALSE),"")</f>
        <v/>
      </c>
      <c r="P15" s="106" t="str">
        <f>IF(OR($D15="1 dd",$D15="2 dd",$D15="3 dd",$D15="4 dd",$D15="6 dd",$D15="8 dd",$D15="12 dd",$D15="an",$D15="1 X"),VLOOKUP($D15,ber_tijden!$A$16:$X$26,ber_tijden!J$14,FALSE),"")</f>
        <v/>
      </c>
      <c r="Q15" s="15" t="str">
        <f>IF(OR($D15="1 dd",$D15="2 dd",$D15="3 dd",$D15="4 dd",$D15="6 dd",$D15="8 dd",$D15="12 dd",$D15="an",$D15="1 X"),VLOOKUP($D15,ber_tijden!$A$16:$X$26,ber_tijden!K$14,FALSE),"")</f>
        <v/>
      </c>
      <c r="R15" s="106" t="str">
        <f>IF(OR($D15="1 dd",$D15="2 dd",$D15="3 dd",$D15="4 dd",$D15="6 dd",$D15="8 dd",$D15="12 dd",$D15="an",$D15="1 X"),VLOOKUP($D15,ber_tijden!$A$16:$X$26,ber_tijden!L$14,FALSE),"")</f>
        <v/>
      </c>
      <c r="S15" s="15" t="str">
        <f>IF(OR($D15="1 dd",$D15="2 dd",$D15="3 dd",$D15="4 dd",$D15="6 dd",$D15="8 dd",$D15="12 dd",$D15="an",$D15="1 X"),VLOOKUP($D15,ber_tijden!$A$16:$X$26,ber_tijden!M$14,FALSE),"")</f>
        <v/>
      </c>
      <c r="T15" s="106" t="str">
        <f>IF(OR($D15="1 dd",$D15="2 dd",$D15="3 dd",$D15="4 dd",$D15="6 dd",$D15="8 dd",$D15="12 dd",$D15="an",$D15="1 X"),VLOOKUP($D15,ber_tijden!$A$16:$X$26,ber_tijden!N$14,FALSE),"")</f>
        <v/>
      </c>
      <c r="U15" s="15" t="str">
        <f>IF(OR($D15="1 dd",$D15="2 dd",$D15="3 dd",$D15="4 dd",$D15="6 dd",$D15="8 dd",$D15="12 dd",$D15="an",$D15="1 X"),VLOOKUP($D15,ber_tijden!$A$16:$X$26,ber_tijden!O$14,FALSE),"")</f>
        <v/>
      </c>
      <c r="V15" s="106" t="str">
        <f>IF(OR($D15="1 dd",$D15="2 dd",$D15="3 dd",$D15="4 dd",$D15="6 dd",$D15="8 dd",$D15="12 dd",$D15="an",$D15="1 X"),VLOOKUP($D15,ber_tijden!$A$16:$X$26,ber_tijden!P$14,FALSE),"")</f>
        <v/>
      </c>
      <c r="W15" s="15" t="str">
        <f>IF(OR($D15="1 dd",$D15="2 dd",$D15="3 dd",$D15="4 dd",$D15="6 dd",$D15="8 dd",$D15="12 dd",$D15="an",$D15="1 X"),VLOOKUP($D15,ber_tijden!$A$16:$X$26,ber_tijden!Q$14,FALSE),"")</f>
        <v/>
      </c>
      <c r="X15" s="106" t="str">
        <f>IF(OR($D15="1 dd",$D15="2 dd",$D15="3 dd",$D15="4 dd",$D15="6 dd",$D15="8 dd",$D15="12 dd",$D15="an",$D15="1 X"),VLOOKUP($D15,ber_tijden!$A$16:$X$26,ber_tijden!R$14,FALSE),"")</f>
        <v/>
      </c>
      <c r="Y15" s="15" t="str">
        <f>IF(OR($D15="1 dd",$D15="2 dd",$D15="3 dd",$D15="4 dd",$D15="6 dd",$D15="8 dd",$D15="12 dd",$D15="an",$D15="1 X"),VLOOKUP($D15,ber_tijden!$A$16:$X$26,ber_tijden!S$14,FALSE),"")</f>
        <v/>
      </c>
      <c r="Z15" s="106" t="str">
        <f>IF(OR($D15="1 dd",$D15="2 dd",$D15="3 dd",$D15="4 dd",$D15="6 dd",$D15="8 dd",$D15="12 dd",$D15="an",$D15="1 X"),VLOOKUP($D15,ber_tijden!$A$16:$X$26,ber_tijden!T$14,FALSE),"")</f>
        <v/>
      </c>
      <c r="AA15" s="15" t="str">
        <f>IF(OR($D15="1 dd",$D15="2 dd",$D15="3 dd",$D15="4 dd",$D15="6 dd",$D15="8 dd",$D15="12 dd",$D15="an",$D15="1 X"),VLOOKUP($D15,ber_tijden!$A$16:$X$26,ber_tijden!U$14,FALSE),"")</f>
        <v/>
      </c>
      <c r="AB15" s="106" t="str">
        <f>IF(OR($D15="1 dd",$D15="2 dd",$D15="3 dd",$D15="4 dd",$D15="6 dd",$D15="8 dd",$D15="12 dd",$D15="an",$D15="1 X"),VLOOKUP($D15,ber_tijden!$A$16:$X$26,ber_tijden!V$14,FALSE),"")</f>
        <v/>
      </c>
      <c r="AC15" s="15" t="str">
        <f>IF(OR($D15="1 dd",$D15="2 dd",$D15="3 dd",$D15="4 dd",$D15="6 dd",$D15="8 dd",$D15="12 dd",$D15="an",$D15="1 X"),VLOOKUP($D15,ber_tijden!$A$16:$X$26,ber_tijden!W$14,FALSE),"")</f>
        <v/>
      </c>
      <c r="AD15" s="106" t="str">
        <f>IF(OR($D15="1 dd",$D15="2 dd",$D15="3 dd",$D15="4 dd",$D15="6 dd",$D15="8 dd",$D15="12 dd",$D15="an",$D15="1 X"),VLOOKUP($D15,ber_tijden!$A$16:$X$26,ber_tijden!X$14,FALSE),"")</f>
        <v/>
      </c>
      <c r="AE15" s="17"/>
      <c r="AF15" s="105"/>
      <c r="AG15" s="17"/>
    </row>
    <row r="16" spans="1:33" ht="26.1" customHeight="1" x14ac:dyDescent="0.35">
      <c r="B16" s="107"/>
      <c r="C16" s="231" t="str">
        <f>IF(ber_Med_disc!C15&lt;&gt;"",IF(ber_Med_disc!C15&gt;1,TRIM(ber_Med_disc!C15)&amp;", "&amp;ber_Opm!C29&amp;" ("&amp;ber_Med_disc!M15&amp;" "&amp;ber_Med_disc!F15&amp;"/kg/dag)",TRIM(ber_Med_disc!C15)&amp;", "&amp;ber_Opm!C29),"")</f>
        <v/>
      </c>
      <c r="D16" s="232" t="str">
        <f>IF(Med_disc!H32&lt;&gt;"",Med_disc!H32,"")</f>
        <v/>
      </c>
      <c r="E16" s="233" t="str">
        <f>IF(AND(D16&lt;&gt;"",D16&lt;&gt;"STOP"),ber_Med_disc!H15&amp;" "&amp;ber_Med_disc!F15,"")</f>
        <v/>
      </c>
      <c r="F16" s="233" t="str">
        <f>IF(AND(D16&lt;&gt;"",D16&lt;&gt;"STOP"),ber_Med_disc!L15," ")</f>
        <v xml:space="preserve"> </v>
      </c>
      <c r="G16" s="233" t="str">
        <f>IF(Med_disc!L32&lt;&gt;"",Med_disc!L32&amp;" "&amp;Med_disc!M32&amp;" "&amp;INDEX(ber_Med_disc!$B$27:$B$30,ber_Med_disc!O15,1)&amp;" in "&amp;Med_disc!$O$32,"")</f>
        <v/>
      </c>
      <c r="H16" s="106" t="str">
        <f>IF(OR($D16="1 dd",$D16="2 dd",$D16="3 dd",$D16="4 dd",$D16="6 dd",$D16="8 dd",$D16="12 dd",$D16="an",$D16="1 X"),VLOOKUP($D16,ber_tijden!$A$16:$X$26,ber_tijden!B$14,FALSE),"")</f>
        <v/>
      </c>
      <c r="I16" s="15" t="str">
        <f>IF(OR($D16="1 dd",$D16="2 dd",$D16="3 dd",$D16="4 dd",$D16="6 dd",$D16="8 dd",$D16="12 dd",$D16="an",$D16="1 X"),VLOOKUP($D16,ber_tijden!$A$16:$X$26,ber_tijden!C$14,FALSE),"")</f>
        <v/>
      </c>
      <c r="J16" s="106" t="str">
        <f>IF(OR($D16="1 dd",$D16="2 dd",$D16="3 dd",$D16="4 dd",$D16="6 dd",$D16="8 dd",$D16="12 dd",$D16="an",$D16="1 X"),VLOOKUP($D16,ber_tijden!$A$16:$X$26,ber_tijden!D$14,FALSE),"")</f>
        <v/>
      </c>
      <c r="K16" s="15" t="str">
        <f>IF(OR($D16="1 dd",$D16="2 dd",$D16="3 dd",$D16="4 dd",$D16="6 dd",$D16="8 dd",$D16="12 dd",$D16="an",$D16="1 X"),VLOOKUP($D16,ber_tijden!$A$16:$X$26,ber_tijden!E$14,FALSE),"")</f>
        <v/>
      </c>
      <c r="L16" s="106" t="str">
        <f>IF(OR($D16="1 dd",$D16="2 dd",$D16="3 dd",$D16="4 dd",$D16="6 dd",$D16="8 dd",$D16="12 dd",$D16="an",$D16="1 X"),VLOOKUP($D16,ber_tijden!$A$16:$X$26,ber_tijden!F$14,FALSE),"")</f>
        <v/>
      </c>
      <c r="M16" s="15" t="str">
        <f>IF(OR($D16="1 dd",$D16="2 dd",$D16="3 dd",$D16="4 dd",$D16="6 dd",$D16="8 dd",$D16="12 dd",$D16="an",$D16="1 X"),VLOOKUP($D16,ber_tijden!$A$16:$X$26,ber_tijden!G$14,FALSE),"")</f>
        <v/>
      </c>
      <c r="N16" s="106" t="str">
        <f>IF(OR($D16="1 dd",$D16="2 dd",$D16="3 dd",$D16="4 dd",$D16="6 dd",$D16="8 dd",$D16="12 dd",$D16="an",$D16="1 X"),VLOOKUP($D16,ber_tijden!$A$16:$X$26,ber_tijden!H$14,FALSE),"")</f>
        <v/>
      </c>
      <c r="O16" s="15" t="str">
        <f>IF(OR($D16="1 dd",$D16="2 dd",$D16="3 dd",$D16="4 dd",$D16="6 dd",$D16="8 dd",$D16="12 dd",$D16="an",$D16="1 X"),VLOOKUP($D16,ber_tijden!$A$16:$X$26,ber_tijden!I$14,FALSE),"")</f>
        <v/>
      </c>
      <c r="P16" s="106" t="str">
        <f>IF(OR($D16="1 dd",$D16="2 dd",$D16="3 dd",$D16="4 dd",$D16="6 dd",$D16="8 dd",$D16="12 dd",$D16="an",$D16="1 X"),VLOOKUP($D16,ber_tijden!$A$16:$X$26,ber_tijden!J$14,FALSE),"")</f>
        <v/>
      </c>
      <c r="Q16" s="15" t="str">
        <f>IF(OR($D16="1 dd",$D16="2 dd",$D16="3 dd",$D16="4 dd",$D16="6 dd",$D16="8 dd",$D16="12 dd",$D16="an",$D16="1 X"),VLOOKUP($D16,ber_tijden!$A$16:$X$26,ber_tijden!K$14,FALSE),"")</f>
        <v/>
      </c>
      <c r="R16" s="106" t="str">
        <f>IF(OR($D16="1 dd",$D16="2 dd",$D16="3 dd",$D16="4 dd",$D16="6 dd",$D16="8 dd",$D16="12 dd",$D16="an",$D16="1 X"),VLOOKUP($D16,ber_tijden!$A$16:$X$26,ber_tijden!L$14,FALSE),"")</f>
        <v/>
      </c>
      <c r="S16" s="15" t="str">
        <f>IF(OR($D16="1 dd",$D16="2 dd",$D16="3 dd",$D16="4 dd",$D16="6 dd",$D16="8 dd",$D16="12 dd",$D16="an",$D16="1 X"),VLOOKUP($D16,ber_tijden!$A$16:$X$26,ber_tijden!M$14,FALSE),"")</f>
        <v/>
      </c>
      <c r="T16" s="106" t="str">
        <f>IF(OR($D16="1 dd",$D16="2 dd",$D16="3 dd",$D16="4 dd",$D16="6 dd",$D16="8 dd",$D16="12 dd",$D16="an",$D16="1 X"),VLOOKUP($D16,ber_tijden!$A$16:$X$26,ber_tijden!N$14,FALSE),"")</f>
        <v/>
      </c>
      <c r="U16" s="15" t="str">
        <f>IF(OR($D16="1 dd",$D16="2 dd",$D16="3 dd",$D16="4 dd",$D16="6 dd",$D16="8 dd",$D16="12 dd",$D16="an",$D16="1 X"),VLOOKUP($D16,ber_tijden!$A$16:$X$26,ber_tijden!O$14,FALSE),"")</f>
        <v/>
      </c>
      <c r="V16" s="106" t="str">
        <f>IF(OR($D16="1 dd",$D16="2 dd",$D16="3 dd",$D16="4 dd",$D16="6 dd",$D16="8 dd",$D16="12 dd",$D16="an",$D16="1 X"),VLOOKUP($D16,ber_tijden!$A$16:$X$26,ber_tijden!P$14,FALSE),"")</f>
        <v/>
      </c>
      <c r="W16" s="15" t="str">
        <f>IF(OR($D16="1 dd",$D16="2 dd",$D16="3 dd",$D16="4 dd",$D16="6 dd",$D16="8 dd",$D16="12 dd",$D16="an",$D16="1 X"),VLOOKUP($D16,ber_tijden!$A$16:$X$26,ber_tijden!Q$14,FALSE),"")</f>
        <v/>
      </c>
      <c r="X16" s="106" t="str">
        <f>IF(OR($D16="1 dd",$D16="2 dd",$D16="3 dd",$D16="4 dd",$D16="6 dd",$D16="8 dd",$D16="12 dd",$D16="an",$D16="1 X"),VLOOKUP($D16,ber_tijden!$A$16:$X$26,ber_tijden!R$14,FALSE),"")</f>
        <v/>
      </c>
      <c r="Y16" s="15" t="str">
        <f>IF(OR($D16="1 dd",$D16="2 dd",$D16="3 dd",$D16="4 dd",$D16="6 dd",$D16="8 dd",$D16="12 dd",$D16="an",$D16="1 X"),VLOOKUP($D16,ber_tijden!$A$16:$X$26,ber_tijden!S$14,FALSE),"")</f>
        <v/>
      </c>
      <c r="Z16" s="106" t="str">
        <f>IF(OR($D16="1 dd",$D16="2 dd",$D16="3 dd",$D16="4 dd",$D16="6 dd",$D16="8 dd",$D16="12 dd",$D16="an",$D16="1 X"),VLOOKUP($D16,ber_tijden!$A$16:$X$26,ber_tijden!T$14,FALSE),"")</f>
        <v/>
      </c>
      <c r="AA16" s="15" t="str">
        <f>IF(OR($D16="1 dd",$D16="2 dd",$D16="3 dd",$D16="4 dd",$D16="6 dd",$D16="8 dd",$D16="12 dd",$D16="an",$D16="1 X"),VLOOKUP($D16,ber_tijden!$A$16:$X$26,ber_tijden!U$14,FALSE),"")</f>
        <v/>
      </c>
      <c r="AB16" s="106" t="str">
        <f>IF(OR($D16="1 dd",$D16="2 dd",$D16="3 dd",$D16="4 dd",$D16="6 dd",$D16="8 dd",$D16="12 dd",$D16="an",$D16="1 X"),VLOOKUP($D16,ber_tijden!$A$16:$X$26,ber_tijden!V$14,FALSE),"")</f>
        <v/>
      </c>
      <c r="AC16" s="15" t="str">
        <f>IF(OR($D16="1 dd",$D16="2 dd",$D16="3 dd",$D16="4 dd",$D16="6 dd",$D16="8 dd",$D16="12 dd",$D16="an",$D16="1 X"),VLOOKUP($D16,ber_tijden!$A$16:$X$26,ber_tijden!W$14,FALSE),"")</f>
        <v/>
      </c>
      <c r="AD16" s="106" t="str">
        <f>IF(OR($D16="1 dd",$D16="2 dd",$D16="3 dd",$D16="4 dd",$D16="6 dd",$D16="8 dd",$D16="12 dd",$D16="an",$D16="1 X"),VLOOKUP($D16,ber_tijden!$A$16:$X$26,ber_tijden!X$14,FALSE),"")</f>
        <v/>
      </c>
      <c r="AE16" s="17"/>
      <c r="AF16" s="105"/>
      <c r="AG16" s="17"/>
    </row>
    <row r="17" spans="2:33" ht="26.1" customHeight="1" x14ac:dyDescent="0.35">
      <c r="B17" s="107"/>
      <c r="C17" s="231" t="str">
        <f>IF(ber_Med_disc!C16&lt;&gt;"",IF(ber_Med_disc!C16&gt;1,TRIM(ber_Med_disc!C16)&amp;", "&amp;ber_Opm!C30&amp;" ("&amp;ber_Med_disc!M16&amp;" "&amp;ber_Med_disc!F16&amp;"/kg/dag)",TRIM(ber_Med_disc!C16)&amp;", "&amp;ber_Opm!C30),"")</f>
        <v/>
      </c>
      <c r="D17" s="232" t="str">
        <f>IF(Med_disc!H34&lt;&gt;"",Med_disc!H34,"")</f>
        <v/>
      </c>
      <c r="E17" s="233" t="str">
        <f>IF(AND(D17&lt;&gt;"",D17&lt;&gt;"STOP"),ber_Med_disc!H16&amp;" "&amp;ber_Med_disc!F16,"")</f>
        <v/>
      </c>
      <c r="F17" s="233" t="str">
        <f>IF(AND(D17&lt;&gt;"",D17&lt;&gt;"STOP"),ber_Med_disc!L16," ")</f>
        <v xml:space="preserve"> </v>
      </c>
      <c r="G17" s="233" t="str">
        <f>IF(Med_disc!L34&lt;&gt;"",Med_disc!L34&amp;" "&amp;Med_disc!M34&amp;" "&amp;INDEX(ber_Med_disc!$B$27:$B$30,ber_Med_disc!O16,1)&amp;" in "&amp;Med_disc!$O$34,"")</f>
        <v/>
      </c>
      <c r="H17" s="106" t="str">
        <f>IF(OR($D17="1 dd",$D17="2 dd",$D17="3 dd",$D17="4 dd",$D17="6 dd",$D17="8 dd",$D17="12 dd",$D17="an",$D17="1 X"),VLOOKUP($D17,ber_tijden!$A$16:$X$26,ber_tijden!B$14,FALSE),"")</f>
        <v/>
      </c>
      <c r="I17" s="15" t="str">
        <f>IF(OR($D17="1 dd",$D17="2 dd",$D17="3 dd",$D17="4 dd",$D17="6 dd",$D17="8 dd",$D17="12 dd",$D17="an",$D17="1 X"),VLOOKUP($D17,ber_tijden!$A$16:$X$26,ber_tijden!C$14,FALSE),"")</f>
        <v/>
      </c>
      <c r="J17" s="106" t="str">
        <f>IF(OR($D17="1 dd",$D17="2 dd",$D17="3 dd",$D17="4 dd",$D17="6 dd",$D17="8 dd",$D17="12 dd",$D17="an",$D17="1 X"),VLOOKUP($D17,ber_tijden!$A$16:$X$26,ber_tijden!D$14,FALSE),"")</f>
        <v/>
      </c>
      <c r="K17" s="15" t="str">
        <f>IF(OR($D17="1 dd",$D17="2 dd",$D17="3 dd",$D17="4 dd",$D17="6 dd",$D17="8 dd",$D17="12 dd",$D17="an",$D17="1 X"),VLOOKUP($D17,ber_tijden!$A$16:$X$26,ber_tijden!E$14,FALSE),"")</f>
        <v/>
      </c>
      <c r="L17" s="106" t="str">
        <f>IF(OR($D17="1 dd",$D17="2 dd",$D17="3 dd",$D17="4 dd",$D17="6 dd",$D17="8 dd",$D17="12 dd",$D17="an",$D17="1 X"),VLOOKUP($D17,ber_tijden!$A$16:$X$26,ber_tijden!F$14,FALSE),"")</f>
        <v/>
      </c>
      <c r="M17" s="15" t="str">
        <f>IF(OR($D17="1 dd",$D17="2 dd",$D17="3 dd",$D17="4 dd",$D17="6 dd",$D17="8 dd",$D17="12 dd",$D17="an",$D17="1 X"),VLOOKUP($D17,ber_tijden!$A$16:$X$26,ber_tijden!G$14,FALSE),"")</f>
        <v/>
      </c>
      <c r="N17" s="106" t="str">
        <f>IF(OR($D17="1 dd",$D17="2 dd",$D17="3 dd",$D17="4 dd",$D17="6 dd",$D17="8 dd",$D17="12 dd",$D17="an",$D17="1 X"),VLOOKUP($D17,ber_tijden!$A$16:$X$26,ber_tijden!H$14,FALSE),"")</f>
        <v/>
      </c>
      <c r="O17" s="15" t="str">
        <f>IF(OR($D17="1 dd",$D17="2 dd",$D17="3 dd",$D17="4 dd",$D17="6 dd",$D17="8 dd",$D17="12 dd",$D17="an",$D17="1 X"),VLOOKUP($D17,ber_tijden!$A$16:$X$26,ber_tijden!I$14,FALSE),"")</f>
        <v/>
      </c>
      <c r="P17" s="106" t="str">
        <f>IF(OR($D17="1 dd",$D17="2 dd",$D17="3 dd",$D17="4 dd",$D17="6 dd",$D17="8 dd",$D17="12 dd",$D17="an",$D17="1 X"),VLOOKUP($D17,ber_tijden!$A$16:$X$26,ber_tijden!J$14,FALSE),"")</f>
        <v/>
      </c>
      <c r="Q17" s="15" t="str">
        <f>IF(OR($D17="1 dd",$D17="2 dd",$D17="3 dd",$D17="4 dd",$D17="6 dd",$D17="8 dd",$D17="12 dd",$D17="an",$D17="1 X"),VLOOKUP($D17,ber_tijden!$A$16:$X$26,ber_tijden!K$14,FALSE),"")</f>
        <v/>
      </c>
      <c r="R17" s="106" t="str">
        <f>IF(OR($D17="1 dd",$D17="2 dd",$D17="3 dd",$D17="4 dd",$D17="6 dd",$D17="8 dd",$D17="12 dd",$D17="an",$D17="1 X"),VLOOKUP($D17,ber_tijden!$A$16:$X$26,ber_tijden!L$14,FALSE),"")</f>
        <v/>
      </c>
      <c r="S17" s="15" t="str">
        <f>IF(OR($D17="1 dd",$D17="2 dd",$D17="3 dd",$D17="4 dd",$D17="6 dd",$D17="8 dd",$D17="12 dd",$D17="an",$D17="1 X"),VLOOKUP($D17,ber_tijden!$A$16:$X$26,ber_tijden!M$14,FALSE),"")</f>
        <v/>
      </c>
      <c r="T17" s="106" t="str">
        <f>IF(OR($D17="1 dd",$D17="2 dd",$D17="3 dd",$D17="4 dd",$D17="6 dd",$D17="8 dd",$D17="12 dd",$D17="an",$D17="1 X"),VLOOKUP($D17,ber_tijden!$A$16:$X$26,ber_tijden!N$14,FALSE),"")</f>
        <v/>
      </c>
      <c r="U17" s="15" t="str">
        <f>IF(OR($D17="1 dd",$D17="2 dd",$D17="3 dd",$D17="4 dd",$D17="6 dd",$D17="8 dd",$D17="12 dd",$D17="an",$D17="1 X"),VLOOKUP($D17,ber_tijden!$A$16:$X$26,ber_tijden!O$14,FALSE),"")</f>
        <v/>
      </c>
      <c r="V17" s="106" t="str">
        <f>IF(OR($D17="1 dd",$D17="2 dd",$D17="3 dd",$D17="4 dd",$D17="6 dd",$D17="8 dd",$D17="12 dd",$D17="an",$D17="1 X"),VLOOKUP($D17,ber_tijden!$A$16:$X$26,ber_tijden!P$14,FALSE),"")</f>
        <v/>
      </c>
      <c r="W17" s="15" t="str">
        <f>IF(OR($D17="1 dd",$D17="2 dd",$D17="3 dd",$D17="4 dd",$D17="6 dd",$D17="8 dd",$D17="12 dd",$D17="an",$D17="1 X"),VLOOKUP($D17,ber_tijden!$A$16:$X$26,ber_tijden!Q$14,FALSE),"")</f>
        <v/>
      </c>
      <c r="X17" s="106" t="str">
        <f>IF(OR($D17="1 dd",$D17="2 dd",$D17="3 dd",$D17="4 dd",$D17="6 dd",$D17="8 dd",$D17="12 dd",$D17="an",$D17="1 X"),VLOOKUP($D17,ber_tijden!$A$16:$X$26,ber_tijden!R$14,FALSE),"")</f>
        <v/>
      </c>
      <c r="Y17" s="15" t="str">
        <f>IF(OR($D17="1 dd",$D17="2 dd",$D17="3 dd",$D17="4 dd",$D17="6 dd",$D17="8 dd",$D17="12 dd",$D17="an",$D17="1 X"),VLOOKUP($D17,ber_tijden!$A$16:$X$26,ber_tijden!S$14,FALSE),"")</f>
        <v/>
      </c>
      <c r="Z17" s="106" t="str">
        <f>IF(OR($D17="1 dd",$D17="2 dd",$D17="3 dd",$D17="4 dd",$D17="6 dd",$D17="8 dd",$D17="12 dd",$D17="an",$D17="1 X"),VLOOKUP($D17,ber_tijden!$A$16:$X$26,ber_tijden!T$14,FALSE),"")</f>
        <v/>
      </c>
      <c r="AA17" s="15" t="str">
        <f>IF(OR($D17="1 dd",$D17="2 dd",$D17="3 dd",$D17="4 dd",$D17="6 dd",$D17="8 dd",$D17="12 dd",$D17="an",$D17="1 X"),VLOOKUP($D17,ber_tijden!$A$16:$X$26,ber_tijden!U$14,FALSE),"")</f>
        <v/>
      </c>
      <c r="AB17" s="106" t="str">
        <f>IF(OR($D17="1 dd",$D17="2 dd",$D17="3 dd",$D17="4 dd",$D17="6 dd",$D17="8 dd",$D17="12 dd",$D17="an",$D17="1 X"),VLOOKUP($D17,ber_tijden!$A$16:$X$26,ber_tijden!V$14,FALSE),"")</f>
        <v/>
      </c>
      <c r="AC17" s="15" t="str">
        <f>IF(OR($D17="1 dd",$D17="2 dd",$D17="3 dd",$D17="4 dd",$D17="6 dd",$D17="8 dd",$D17="12 dd",$D17="an",$D17="1 X"),VLOOKUP($D17,ber_tijden!$A$16:$X$26,ber_tijden!W$14,FALSE),"")</f>
        <v/>
      </c>
      <c r="AD17" s="106" t="str">
        <f>IF(OR($D17="1 dd",$D17="2 dd",$D17="3 dd",$D17="4 dd",$D17="6 dd",$D17="8 dd",$D17="12 dd",$D17="an",$D17="1 X"),VLOOKUP($D17,ber_tijden!$A$16:$X$26,ber_tijden!X$14,FALSE),"")</f>
        <v/>
      </c>
      <c r="AE17" s="17"/>
      <c r="AF17" s="105"/>
      <c r="AG17" s="17"/>
    </row>
    <row r="18" spans="2:33" ht="26.1" customHeight="1" x14ac:dyDescent="0.35">
      <c r="B18" s="107"/>
      <c r="C18" s="231" t="str">
        <f>IF(ber_Med_disc!C17&lt;&gt;"",IF(ber_Med_disc!C17&gt;1,TRIM(ber_Med_disc!C17)&amp;", "&amp;ber_Opm!C31&amp;" ("&amp;ber_Med_disc!M17&amp;" "&amp;ber_Med_disc!F17&amp;"/kg/dag)",TRIM(ber_Med_disc!C17)&amp;", "&amp;ber_Opm!C31),"")</f>
        <v/>
      </c>
      <c r="D18" s="232" t="str">
        <f>IF(Med_disc!H36&lt;&gt;"",Med_disc!H36,"")</f>
        <v/>
      </c>
      <c r="E18" s="233" t="str">
        <f>IF(AND(D18&lt;&gt;"",D18&lt;&gt;"STOP"),ber_Med_disc!H17&amp;" "&amp;ber_Med_disc!F17,"")</f>
        <v/>
      </c>
      <c r="F18" s="233" t="str">
        <f>IF(AND(D18&lt;&gt;"",D18&lt;&gt;"STOP"),ber_Med_disc!L17," ")</f>
        <v xml:space="preserve"> </v>
      </c>
      <c r="G18" s="233" t="str">
        <f>IF(Med_disc!L36&lt;&gt;"",Med_disc!L36&amp;" "&amp;Med_disc!M36&amp;" "&amp;INDEX(ber_Med_disc!$B$27:$B$30,ber_Med_disc!O17,1)&amp;" in "&amp;Med_disc!$O$36,"")</f>
        <v/>
      </c>
      <c r="H18" s="106" t="str">
        <f>IF(OR($D18="1 dd",$D18="2 dd",$D18="3 dd",$D18="4 dd",$D18="6 dd",$D18="8 dd",$D18="12 dd",$D18="an",$D18="1 X"),VLOOKUP($D18,ber_tijden!$A$16:$X$26,ber_tijden!B$14,FALSE),"")</f>
        <v/>
      </c>
      <c r="I18" s="15" t="str">
        <f>IF(OR($D18="1 dd",$D18="2 dd",$D18="3 dd",$D18="4 dd",$D18="6 dd",$D18="8 dd",$D18="12 dd",$D18="an",$D18="1 X"),VLOOKUP($D18,ber_tijden!$A$16:$X$26,ber_tijden!C$14,FALSE),"")</f>
        <v/>
      </c>
      <c r="J18" s="106" t="str">
        <f>IF(OR($D18="1 dd",$D18="2 dd",$D18="3 dd",$D18="4 dd",$D18="6 dd",$D18="8 dd",$D18="12 dd",$D18="an",$D18="1 X"),VLOOKUP($D18,ber_tijden!$A$16:$X$26,ber_tijden!D$14,FALSE),"")</f>
        <v/>
      </c>
      <c r="K18" s="15" t="str">
        <f>IF(OR($D18="1 dd",$D18="2 dd",$D18="3 dd",$D18="4 dd",$D18="6 dd",$D18="8 dd",$D18="12 dd",$D18="an",$D18="1 X"),VLOOKUP($D18,ber_tijden!$A$16:$X$26,ber_tijden!E$14,FALSE),"")</f>
        <v/>
      </c>
      <c r="L18" s="106" t="str">
        <f>IF(OR($D18="1 dd",$D18="2 dd",$D18="3 dd",$D18="4 dd",$D18="6 dd",$D18="8 dd",$D18="12 dd",$D18="an",$D18="1 X"),VLOOKUP($D18,ber_tijden!$A$16:$X$26,ber_tijden!F$14,FALSE),"")</f>
        <v/>
      </c>
      <c r="M18" s="15" t="str">
        <f>IF(OR($D18="1 dd",$D18="2 dd",$D18="3 dd",$D18="4 dd",$D18="6 dd",$D18="8 dd",$D18="12 dd",$D18="an",$D18="1 X"),VLOOKUP($D18,ber_tijden!$A$16:$X$26,ber_tijden!G$14,FALSE),"")</f>
        <v/>
      </c>
      <c r="N18" s="106" t="str">
        <f>IF(OR($D18="1 dd",$D18="2 dd",$D18="3 dd",$D18="4 dd",$D18="6 dd",$D18="8 dd",$D18="12 dd",$D18="an",$D18="1 X"),VLOOKUP($D18,ber_tijden!$A$16:$X$26,ber_tijden!H$14,FALSE),"")</f>
        <v/>
      </c>
      <c r="O18" s="15" t="str">
        <f>IF(OR($D18="1 dd",$D18="2 dd",$D18="3 dd",$D18="4 dd",$D18="6 dd",$D18="8 dd",$D18="12 dd",$D18="an",$D18="1 X"),VLOOKUP($D18,ber_tijden!$A$16:$X$26,ber_tijden!I$14,FALSE),"")</f>
        <v/>
      </c>
      <c r="P18" s="106" t="str">
        <f>IF(OR($D18="1 dd",$D18="2 dd",$D18="3 dd",$D18="4 dd",$D18="6 dd",$D18="8 dd",$D18="12 dd",$D18="an",$D18="1 X"),VLOOKUP($D18,ber_tijden!$A$16:$X$26,ber_tijden!J$14,FALSE),"")</f>
        <v/>
      </c>
      <c r="Q18" s="15" t="str">
        <f>IF(OR($D18="1 dd",$D18="2 dd",$D18="3 dd",$D18="4 dd",$D18="6 dd",$D18="8 dd",$D18="12 dd",$D18="an",$D18="1 X"),VLOOKUP($D18,ber_tijden!$A$16:$X$26,ber_tijden!K$14,FALSE),"")</f>
        <v/>
      </c>
      <c r="R18" s="106" t="str">
        <f>IF(OR($D18="1 dd",$D18="2 dd",$D18="3 dd",$D18="4 dd",$D18="6 dd",$D18="8 dd",$D18="12 dd",$D18="an",$D18="1 X"),VLOOKUP($D18,ber_tijden!$A$16:$X$26,ber_tijden!L$14,FALSE),"")</f>
        <v/>
      </c>
      <c r="S18" s="15" t="str">
        <f>IF(OR($D18="1 dd",$D18="2 dd",$D18="3 dd",$D18="4 dd",$D18="6 dd",$D18="8 dd",$D18="12 dd",$D18="an",$D18="1 X"),VLOOKUP($D18,ber_tijden!$A$16:$X$26,ber_tijden!M$14,FALSE),"")</f>
        <v/>
      </c>
      <c r="T18" s="106" t="str">
        <f>IF(OR($D18="1 dd",$D18="2 dd",$D18="3 dd",$D18="4 dd",$D18="6 dd",$D18="8 dd",$D18="12 dd",$D18="an",$D18="1 X"),VLOOKUP($D18,ber_tijden!$A$16:$X$26,ber_tijden!N$14,FALSE),"")</f>
        <v/>
      </c>
      <c r="U18" s="15" t="str">
        <f>IF(OR($D18="1 dd",$D18="2 dd",$D18="3 dd",$D18="4 dd",$D18="6 dd",$D18="8 dd",$D18="12 dd",$D18="an",$D18="1 X"),VLOOKUP($D18,ber_tijden!$A$16:$X$26,ber_tijden!O$14,FALSE),"")</f>
        <v/>
      </c>
      <c r="V18" s="106" t="str">
        <f>IF(OR($D18="1 dd",$D18="2 dd",$D18="3 dd",$D18="4 dd",$D18="6 dd",$D18="8 dd",$D18="12 dd",$D18="an",$D18="1 X"),VLOOKUP($D18,ber_tijden!$A$16:$X$26,ber_tijden!P$14,FALSE),"")</f>
        <v/>
      </c>
      <c r="W18" s="15" t="str">
        <f>IF(OR($D18="1 dd",$D18="2 dd",$D18="3 dd",$D18="4 dd",$D18="6 dd",$D18="8 dd",$D18="12 dd",$D18="an",$D18="1 X"),VLOOKUP($D18,ber_tijden!$A$16:$X$26,ber_tijden!Q$14,FALSE),"")</f>
        <v/>
      </c>
      <c r="X18" s="106" t="str">
        <f>IF(OR($D18="1 dd",$D18="2 dd",$D18="3 dd",$D18="4 dd",$D18="6 dd",$D18="8 dd",$D18="12 dd",$D18="an",$D18="1 X"),VLOOKUP($D18,ber_tijden!$A$16:$X$26,ber_tijden!R$14,FALSE),"")</f>
        <v/>
      </c>
      <c r="Y18" s="15" t="str">
        <f>IF(OR($D18="1 dd",$D18="2 dd",$D18="3 dd",$D18="4 dd",$D18="6 dd",$D18="8 dd",$D18="12 dd",$D18="an",$D18="1 X"),VLOOKUP($D18,ber_tijden!$A$16:$X$26,ber_tijden!S$14,FALSE),"")</f>
        <v/>
      </c>
      <c r="Z18" s="106" t="str">
        <f>IF(OR($D18="1 dd",$D18="2 dd",$D18="3 dd",$D18="4 dd",$D18="6 dd",$D18="8 dd",$D18="12 dd",$D18="an",$D18="1 X"),VLOOKUP($D18,ber_tijden!$A$16:$X$26,ber_tijden!T$14,FALSE),"")</f>
        <v/>
      </c>
      <c r="AA18" s="15" t="str">
        <f>IF(OR($D18="1 dd",$D18="2 dd",$D18="3 dd",$D18="4 dd",$D18="6 dd",$D18="8 dd",$D18="12 dd",$D18="an",$D18="1 X"),VLOOKUP($D18,ber_tijden!$A$16:$X$26,ber_tijden!U$14,FALSE),"")</f>
        <v/>
      </c>
      <c r="AB18" s="106" t="str">
        <f>IF(OR($D18="1 dd",$D18="2 dd",$D18="3 dd",$D18="4 dd",$D18="6 dd",$D18="8 dd",$D18="12 dd",$D18="an",$D18="1 X"),VLOOKUP($D18,ber_tijden!$A$16:$X$26,ber_tijden!V$14,FALSE),"")</f>
        <v/>
      </c>
      <c r="AC18" s="15" t="str">
        <f>IF(OR($D18="1 dd",$D18="2 dd",$D18="3 dd",$D18="4 dd",$D18="6 dd",$D18="8 dd",$D18="12 dd",$D18="an",$D18="1 X"),VLOOKUP($D18,ber_tijden!$A$16:$X$26,ber_tijden!W$14,FALSE),"")</f>
        <v/>
      </c>
      <c r="AD18" s="106" t="str">
        <f>IF(OR($D18="1 dd",$D18="2 dd",$D18="3 dd",$D18="4 dd",$D18="6 dd",$D18="8 dd",$D18="12 dd",$D18="an",$D18="1 X"),VLOOKUP($D18,ber_tijden!$A$16:$X$26,ber_tijden!X$14,FALSE),"")</f>
        <v/>
      </c>
      <c r="AE18" s="17"/>
      <c r="AF18" s="105"/>
      <c r="AG18" s="17"/>
    </row>
    <row r="19" spans="2:33" ht="26.1" customHeight="1" x14ac:dyDescent="0.35">
      <c r="B19" s="107"/>
      <c r="C19" s="231" t="str">
        <f>IF(ber_Med_disc!C18&lt;&gt;"",IF(ber_Med_disc!C18&gt;1,TRIM(ber_Med_disc!C18)&amp;", "&amp;ber_Opm!C32&amp;" ("&amp;ber_Med_disc!M18&amp;" "&amp;ber_Med_disc!F18&amp;"/kg/dag)",TRIM(ber_Med_disc!C18)&amp;", "&amp;ber_Opm!C32),"")</f>
        <v/>
      </c>
      <c r="D19" s="232" t="str">
        <f>IF(Med_disc!H38&lt;&gt;"",Med_disc!H38,"")</f>
        <v/>
      </c>
      <c r="E19" s="233" t="str">
        <f>IF(AND(D19&lt;&gt;"",D19&lt;&gt;"STOP"),ber_Med_disc!H18&amp;" "&amp;ber_Med_disc!F18,"")</f>
        <v/>
      </c>
      <c r="F19" s="233" t="str">
        <f>IF(AND(D19&lt;&gt;"",D19&lt;&gt;"STOP"),ber_Med_disc!L18," ")</f>
        <v xml:space="preserve"> </v>
      </c>
      <c r="G19" s="233" t="str">
        <f>IF(Med_disc!L38&lt;&gt;"",Med_disc!L38&amp;" "&amp;Med_disc!M38&amp;" "&amp;INDEX(ber_Med_disc!$B$27:$B$30,ber_Med_disc!O18,1)&amp;" in "&amp;Med_disc!$O$38,"")</f>
        <v/>
      </c>
      <c r="H19" s="106" t="str">
        <f>IF(OR($D19="1 dd",$D19="2 dd",$D19="3 dd",$D19="4 dd",$D19="6 dd",$D19="8 dd",$D19="12 dd",$D19="an",$D19="1 X"),VLOOKUP($D19,ber_tijden!$A$16:$X$26,ber_tijden!B$14,FALSE),"")</f>
        <v/>
      </c>
      <c r="I19" s="15" t="str">
        <f>IF(OR($D19="1 dd",$D19="2 dd",$D19="3 dd",$D19="4 dd",$D19="6 dd",$D19="8 dd",$D19="12 dd",$D19="an",$D19="1 X"),VLOOKUP($D19,ber_tijden!$A$16:$X$26,ber_tijden!C$14,FALSE),"")</f>
        <v/>
      </c>
      <c r="J19" s="106" t="str">
        <f>IF(OR($D19="1 dd",$D19="2 dd",$D19="3 dd",$D19="4 dd",$D19="6 dd",$D19="8 dd",$D19="12 dd",$D19="an",$D19="1 X"),VLOOKUP($D19,ber_tijden!$A$16:$X$26,ber_tijden!D$14,FALSE),"")</f>
        <v/>
      </c>
      <c r="K19" s="15" t="str">
        <f>IF(OR($D19="1 dd",$D19="2 dd",$D19="3 dd",$D19="4 dd",$D19="6 dd",$D19="8 dd",$D19="12 dd",$D19="an",$D19="1 X"),VLOOKUP($D19,ber_tijden!$A$16:$X$26,ber_tijden!E$14,FALSE),"")</f>
        <v/>
      </c>
      <c r="L19" s="106" t="str">
        <f>IF(OR($D19="1 dd",$D19="2 dd",$D19="3 dd",$D19="4 dd",$D19="6 dd",$D19="8 dd",$D19="12 dd",$D19="an",$D19="1 X"),VLOOKUP($D19,ber_tijden!$A$16:$X$26,ber_tijden!F$14,FALSE),"")</f>
        <v/>
      </c>
      <c r="M19" s="15" t="str">
        <f>IF(OR($D19="1 dd",$D19="2 dd",$D19="3 dd",$D19="4 dd",$D19="6 dd",$D19="8 dd",$D19="12 dd",$D19="an",$D19="1 X"),VLOOKUP($D19,ber_tijden!$A$16:$X$26,ber_tijden!G$14,FALSE),"")</f>
        <v/>
      </c>
      <c r="N19" s="106" t="str">
        <f>IF(OR($D19="1 dd",$D19="2 dd",$D19="3 dd",$D19="4 dd",$D19="6 dd",$D19="8 dd",$D19="12 dd",$D19="an",$D19="1 X"),VLOOKUP($D19,ber_tijden!$A$16:$X$26,ber_tijden!H$14,FALSE),"")</f>
        <v/>
      </c>
      <c r="O19" s="15" t="str">
        <f>IF(OR($D19="1 dd",$D19="2 dd",$D19="3 dd",$D19="4 dd",$D19="6 dd",$D19="8 dd",$D19="12 dd",$D19="an",$D19="1 X"),VLOOKUP($D19,ber_tijden!$A$16:$X$26,ber_tijden!I$14,FALSE),"")</f>
        <v/>
      </c>
      <c r="P19" s="106" t="str">
        <f>IF(OR($D19="1 dd",$D19="2 dd",$D19="3 dd",$D19="4 dd",$D19="6 dd",$D19="8 dd",$D19="12 dd",$D19="an",$D19="1 X"),VLOOKUP($D19,ber_tijden!$A$16:$X$26,ber_tijden!J$14,FALSE),"")</f>
        <v/>
      </c>
      <c r="Q19" s="15" t="str">
        <f>IF(OR($D19="1 dd",$D19="2 dd",$D19="3 dd",$D19="4 dd",$D19="6 dd",$D19="8 dd",$D19="12 dd",$D19="an",$D19="1 X"),VLOOKUP($D19,ber_tijden!$A$16:$X$26,ber_tijden!K$14,FALSE),"")</f>
        <v/>
      </c>
      <c r="R19" s="106" t="str">
        <f>IF(OR($D19="1 dd",$D19="2 dd",$D19="3 dd",$D19="4 dd",$D19="6 dd",$D19="8 dd",$D19="12 dd",$D19="an",$D19="1 X"),VLOOKUP($D19,ber_tijden!$A$16:$X$26,ber_tijden!L$14,FALSE),"")</f>
        <v/>
      </c>
      <c r="S19" s="15" t="str">
        <f>IF(OR($D19="1 dd",$D19="2 dd",$D19="3 dd",$D19="4 dd",$D19="6 dd",$D19="8 dd",$D19="12 dd",$D19="an",$D19="1 X"),VLOOKUP($D19,ber_tijden!$A$16:$X$26,ber_tijden!M$14,FALSE),"")</f>
        <v/>
      </c>
      <c r="T19" s="106" t="str">
        <f>IF(OR($D19="1 dd",$D19="2 dd",$D19="3 dd",$D19="4 dd",$D19="6 dd",$D19="8 dd",$D19="12 dd",$D19="an",$D19="1 X"),VLOOKUP($D19,ber_tijden!$A$16:$X$26,ber_tijden!N$14,FALSE),"")</f>
        <v/>
      </c>
      <c r="U19" s="15" t="str">
        <f>IF(OR($D19="1 dd",$D19="2 dd",$D19="3 dd",$D19="4 dd",$D19="6 dd",$D19="8 dd",$D19="12 dd",$D19="an",$D19="1 X"),VLOOKUP($D19,ber_tijden!$A$16:$X$26,ber_tijden!O$14,FALSE),"")</f>
        <v/>
      </c>
      <c r="V19" s="106" t="str">
        <f>IF(OR($D19="1 dd",$D19="2 dd",$D19="3 dd",$D19="4 dd",$D19="6 dd",$D19="8 dd",$D19="12 dd",$D19="an",$D19="1 X"),VLOOKUP($D19,ber_tijden!$A$16:$X$26,ber_tijden!P$14,FALSE),"")</f>
        <v/>
      </c>
      <c r="W19" s="15" t="str">
        <f>IF(OR($D19="1 dd",$D19="2 dd",$D19="3 dd",$D19="4 dd",$D19="6 dd",$D19="8 dd",$D19="12 dd",$D19="an",$D19="1 X"),VLOOKUP($D19,ber_tijden!$A$16:$X$26,ber_tijden!Q$14,FALSE),"")</f>
        <v/>
      </c>
      <c r="X19" s="106" t="str">
        <f>IF(OR($D19="1 dd",$D19="2 dd",$D19="3 dd",$D19="4 dd",$D19="6 dd",$D19="8 dd",$D19="12 dd",$D19="an",$D19="1 X"),VLOOKUP($D19,ber_tijden!$A$16:$X$26,ber_tijden!R$14,FALSE),"")</f>
        <v/>
      </c>
      <c r="Y19" s="15" t="str">
        <f>IF(OR($D19="1 dd",$D19="2 dd",$D19="3 dd",$D19="4 dd",$D19="6 dd",$D19="8 dd",$D19="12 dd",$D19="an",$D19="1 X"),VLOOKUP($D19,ber_tijden!$A$16:$X$26,ber_tijden!S$14,FALSE),"")</f>
        <v/>
      </c>
      <c r="Z19" s="106" t="str">
        <f>IF(OR($D19="1 dd",$D19="2 dd",$D19="3 dd",$D19="4 dd",$D19="6 dd",$D19="8 dd",$D19="12 dd",$D19="an",$D19="1 X"),VLOOKUP($D19,ber_tijden!$A$16:$X$26,ber_tijden!T$14,FALSE),"")</f>
        <v/>
      </c>
      <c r="AA19" s="15" t="str">
        <f>IF(OR($D19="1 dd",$D19="2 dd",$D19="3 dd",$D19="4 dd",$D19="6 dd",$D19="8 dd",$D19="12 dd",$D19="an",$D19="1 X"),VLOOKUP($D19,ber_tijden!$A$16:$X$26,ber_tijden!U$14,FALSE),"")</f>
        <v/>
      </c>
      <c r="AB19" s="106" t="str">
        <f>IF(OR($D19="1 dd",$D19="2 dd",$D19="3 dd",$D19="4 dd",$D19="6 dd",$D19="8 dd",$D19="12 dd",$D19="an",$D19="1 X"),VLOOKUP($D19,ber_tijden!$A$16:$X$26,ber_tijden!V$14,FALSE),"")</f>
        <v/>
      </c>
      <c r="AC19" s="15" t="str">
        <f>IF(OR($D19="1 dd",$D19="2 dd",$D19="3 dd",$D19="4 dd",$D19="6 dd",$D19="8 dd",$D19="12 dd",$D19="an",$D19="1 X"),VLOOKUP($D19,ber_tijden!$A$16:$X$26,ber_tijden!W$14,FALSE),"")</f>
        <v/>
      </c>
      <c r="AD19" s="106" t="str">
        <f>IF(OR($D19="1 dd",$D19="2 dd",$D19="3 dd",$D19="4 dd",$D19="6 dd",$D19="8 dd",$D19="12 dd",$D19="an",$D19="1 X"),VLOOKUP($D19,ber_tijden!$A$16:$X$26,ber_tijden!X$14,FALSE),"")</f>
        <v/>
      </c>
      <c r="AE19" s="17"/>
      <c r="AF19" s="105"/>
      <c r="AG19" s="17"/>
    </row>
    <row r="20" spans="2:33" ht="26.1" customHeight="1" x14ac:dyDescent="0.35">
      <c r="B20" s="107"/>
      <c r="C20" s="231" t="str">
        <f>IF(ber_Med_disc!C19&lt;&gt;"",IF(ber_Med_disc!C19&gt;1,TRIM(ber_Med_disc!C19)&amp;", "&amp;ber_Opm!C33&amp;" ("&amp;ber_Med_disc!M19&amp;" "&amp;ber_Med_disc!F19&amp;"/kg/dag)",TRIM(ber_Med_disc!C19)&amp;", "&amp;ber_Opm!C33),"")</f>
        <v/>
      </c>
      <c r="D20" s="232" t="str">
        <f>IF(Med_disc!H40&lt;&gt;"",Med_disc!H40,"")</f>
        <v/>
      </c>
      <c r="E20" s="233" t="str">
        <f>IF(AND(D20&lt;&gt;"",D20&lt;&gt;"STOP"),ber_Med_disc!H19&amp;" "&amp;ber_Med_disc!F19,"")</f>
        <v/>
      </c>
      <c r="F20" s="233" t="str">
        <f>IF(AND(D20&lt;&gt;"",D20&lt;&gt;"STOP"),ber_Med_disc!L19," ")</f>
        <v xml:space="preserve"> </v>
      </c>
      <c r="G20" s="233" t="str">
        <f>IF(Med_disc!L40&lt;&gt;"",Med_disc!L40&amp;" "&amp;Med_disc!M40&amp;" "&amp;INDEX(ber_Med_disc!$B$27:$B$30,ber_Med_disc!O19,1)&amp;" in "&amp;Med_disc!$O$40,"")</f>
        <v/>
      </c>
      <c r="H20" s="106" t="str">
        <f>IF(OR($D20="1 dd",$D20="2 dd",$D20="3 dd",$D20="4 dd",$D20="6 dd",$D20="8 dd",$D20="12 dd",$D20="an",$D20="1 X"),VLOOKUP($D20,ber_tijden!$A$16:$X$26,ber_tijden!B$14,FALSE),"")</f>
        <v/>
      </c>
      <c r="I20" s="15" t="str">
        <f>IF(OR($D20="1 dd",$D20="2 dd",$D20="3 dd",$D20="4 dd",$D20="6 dd",$D20="8 dd",$D20="12 dd",$D20="an",$D20="1 X"),VLOOKUP($D20,ber_tijden!$A$16:$X$26,ber_tijden!C$14,FALSE),"")</f>
        <v/>
      </c>
      <c r="J20" s="106" t="str">
        <f>IF(OR($D20="1 dd",$D20="2 dd",$D20="3 dd",$D20="4 dd",$D20="6 dd",$D20="8 dd",$D20="12 dd",$D20="an",$D20="1 X"),VLOOKUP($D20,ber_tijden!$A$16:$X$26,ber_tijden!D$14,FALSE),"")</f>
        <v/>
      </c>
      <c r="K20" s="15" t="str">
        <f>IF(OR($D20="1 dd",$D20="2 dd",$D20="3 dd",$D20="4 dd",$D20="6 dd",$D20="8 dd",$D20="12 dd",$D20="an",$D20="1 X"),VLOOKUP($D20,ber_tijden!$A$16:$X$26,ber_tijden!E$14,FALSE),"")</f>
        <v/>
      </c>
      <c r="L20" s="106" t="str">
        <f>IF(OR($D20="1 dd",$D20="2 dd",$D20="3 dd",$D20="4 dd",$D20="6 dd",$D20="8 dd",$D20="12 dd",$D20="an",$D20="1 X"),VLOOKUP($D20,ber_tijden!$A$16:$X$26,ber_tijden!F$14,FALSE),"")</f>
        <v/>
      </c>
      <c r="M20" s="15" t="str">
        <f>IF(OR($D20="1 dd",$D20="2 dd",$D20="3 dd",$D20="4 dd",$D20="6 dd",$D20="8 dd",$D20="12 dd",$D20="an",$D20="1 X"),VLOOKUP($D20,ber_tijden!$A$16:$X$26,ber_tijden!G$14,FALSE),"")</f>
        <v/>
      </c>
      <c r="N20" s="106" t="str">
        <f>IF(OR($D20="1 dd",$D20="2 dd",$D20="3 dd",$D20="4 dd",$D20="6 dd",$D20="8 dd",$D20="12 dd",$D20="an",$D20="1 X"),VLOOKUP($D20,ber_tijden!$A$16:$X$26,ber_tijden!H$14,FALSE),"")</f>
        <v/>
      </c>
      <c r="O20" s="15" t="str">
        <f>IF(OR($D20="1 dd",$D20="2 dd",$D20="3 dd",$D20="4 dd",$D20="6 dd",$D20="8 dd",$D20="12 dd",$D20="an",$D20="1 X"),VLOOKUP($D20,ber_tijden!$A$16:$X$26,ber_tijden!I$14,FALSE),"")</f>
        <v/>
      </c>
      <c r="P20" s="106" t="str">
        <f>IF(OR($D20="1 dd",$D20="2 dd",$D20="3 dd",$D20="4 dd",$D20="6 dd",$D20="8 dd",$D20="12 dd",$D20="an",$D20="1 X"),VLOOKUP($D20,ber_tijden!$A$16:$X$26,ber_tijden!J$14,FALSE),"")</f>
        <v/>
      </c>
      <c r="Q20" s="15" t="str">
        <f>IF(OR($D20="1 dd",$D20="2 dd",$D20="3 dd",$D20="4 dd",$D20="6 dd",$D20="8 dd",$D20="12 dd",$D20="an",$D20="1 X"),VLOOKUP($D20,ber_tijden!$A$16:$X$26,ber_tijden!K$14,FALSE),"")</f>
        <v/>
      </c>
      <c r="R20" s="106" t="str">
        <f>IF(OR($D20="1 dd",$D20="2 dd",$D20="3 dd",$D20="4 dd",$D20="6 dd",$D20="8 dd",$D20="12 dd",$D20="an",$D20="1 X"),VLOOKUP($D20,ber_tijden!$A$16:$X$26,ber_tijden!L$14,FALSE),"")</f>
        <v/>
      </c>
      <c r="S20" s="15" t="str">
        <f>IF(OR($D20="1 dd",$D20="2 dd",$D20="3 dd",$D20="4 dd",$D20="6 dd",$D20="8 dd",$D20="12 dd",$D20="an",$D20="1 X"),VLOOKUP($D20,ber_tijden!$A$16:$X$26,ber_tijden!M$14,FALSE),"")</f>
        <v/>
      </c>
      <c r="T20" s="106" t="str">
        <f>IF(OR($D20="1 dd",$D20="2 dd",$D20="3 dd",$D20="4 dd",$D20="6 dd",$D20="8 dd",$D20="12 dd",$D20="an",$D20="1 X"),VLOOKUP($D20,ber_tijden!$A$16:$X$26,ber_tijden!N$14,FALSE),"")</f>
        <v/>
      </c>
      <c r="U20" s="15" t="str">
        <f>IF(OR($D20="1 dd",$D20="2 dd",$D20="3 dd",$D20="4 dd",$D20="6 dd",$D20="8 dd",$D20="12 dd",$D20="an",$D20="1 X"),VLOOKUP($D20,ber_tijden!$A$16:$X$26,ber_tijden!O$14,FALSE),"")</f>
        <v/>
      </c>
      <c r="V20" s="106" t="str">
        <f>IF(OR($D20="1 dd",$D20="2 dd",$D20="3 dd",$D20="4 dd",$D20="6 dd",$D20="8 dd",$D20="12 dd",$D20="an",$D20="1 X"),VLOOKUP($D20,ber_tijden!$A$16:$X$26,ber_tijden!P$14,FALSE),"")</f>
        <v/>
      </c>
      <c r="W20" s="15" t="str">
        <f>IF(OR($D20="1 dd",$D20="2 dd",$D20="3 dd",$D20="4 dd",$D20="6 dd",$D20="8 dd",$D20="12 dd",$D20="an",$D20="1 X"),VLOOKUP($D20,ber_tijden!$A$16:$X$26,ber_tijden!Q$14,FALSE),"")</f>
        <v/>
      </c>
      <c r="X20" s="106" t="str">
        <f>IF(OR($D20="1 dd",$D20="2 dd",$D20="3 dd",$D20="4 dd",$D20="6 dd",$D20="8 dd",$D20="12 dd",$D20="an",$D20="1 X"),VLOOKUP($D20,ber_tijden!$A$16:$X$26,ber_tijden!R$14,FALSE),"")</f>
        <v/>
      </c>
      <c r="Y20" s="15" t="str">
        <f>IF(OR($D20="1 dd",$D20="2 dd",$D20="3 dd",$D20="4 dd",$D20="6 dd",$D20="8 dd",$D20="12 dd",$D20="an",$D20="1 X"),VLOOKUP($D20,ber_tijden!$A$16:$X$26,ber_tijden!S$14,FALSE),"")</f>
        <v/>
      </c>
      <c r="Z20" s="106" t="str">
        <f>IF(OR($D20="1 dd",$D20="2 dd",$D20="3 dd",$D20="4 dd",$D20="6 dd",$D20="8 dd",$D20="12 dd",$D20="an",$D20="1 X"),VLOOKUP($D20,ber_tijden!$A$16:$X$26,ber_tijden!T$14,FALSE),"")</f>
        <v/>
      </c>
      <c r="AA20" s="15" t="str">
        <f>IF(OR($D20="1 dd",$D20="2 dd",$D20="3 dd",$D20="4 dd",$D20="6 dd",$D20="8 dd",$D20="12 dd",$D20="an",$D20="1 X"),VLOOKUP($D20,ber_tijden!$A$16:$X$26,ber_tijden!U$14,FALSE),"")</f>
        <v/>
      </c>
      <c r="AB20" s="106" t="str">
        <f>IF(OR($D20="1 dd",$D20="2 dd",$D20="3 dd",$D20="4 dd",$D20="6 dd",$D20="8 dd",$D20="12 dd",$D20="an",$D20="1 X"),VLOOKUP($D20,ber_tijden!$A$16:$X$26,ber_tijden!V$14,FALSE),"")</f>
        <v/>
      </c>
      <c r="AC20" s="15" t="str">
        <f>IF(OR($D20="1 dd",$D20="2 dd",$D20="3 dd",$D20="4 dd",$D20="6 dd",$D20="8 dd",$D20="12 dd",$D20="an",$D20="1 X"),VLOOKUP($D20,ber_tijden!$A$16:$X$26,ber_tijden!W$14,FALSE),"")</f>
        <v/>
      </c>
      <c r="AD20" s="106" t="str">
        <f>IF(OR($D20="1 dd",$D20="2 dd",$D20="3 dd",$D20="4 dd",$D20="6 dd",$D20="8 dd",$D20="12 dd",$D20="an",$D20="1 X"),VLOOKUP($D20,ber_tijden!$A$16:$X$26,ber_tijden!X$14,FALSE),"")</f>
        <v/>
      </c>
      <c r="AE20" s="17"/>
      <c r="AF20" s="105"/>
      <c r="AG20" s="17"/>
    </row>
    <row r="21" spans="2:33" ht="26.1" customHeight="1" x14ac:dyDescent="0.35">
      <c r="B21" s="107"/>
      <c r="C21" s="231" t="str">
        <f>IF(ber_Med_disc!C20&lt;&gt;"",IF(ber_Med_disc!C20&gt;1,TRIM(ber_Med_disc!C20)&amp;", "&amp;ber_Opm!C34&amp;" ("&amp;ber_Med_disc!M20&amp;" "&amp;ber_Med_disc!F20&amp;"/kg/dag)",TRIM(ber_Med_disc!C20)&amp;", "&amp;ber_Opm!C34),"")</f>
        <v/>
      </c>
      <c r="D21" s="232" t="str">
        <f>IF(Med_disc!H42&lt;&gt;"",Med_disc!H42,"")</f>
        <v/>
      </c>
      <c r="E21" s="233" t="str">
        <f>IF(AND(D21&lt;&gt;"",D21&lt;&gt;"STOP"),ber_Med_disc!H20&amp;" "&amp;ber_Med_disc!F20,"")</f>
        <v/>
      </c>
      <c r="F21" s="233" t="str">
        <f>IF(AND(D21&lt;&gt;"",D21&lt;&gt;"STOP"),ber_Med_disc!L20," ")</f>
        <v xml:space="preserve"> </v>
      </c>
      <c r="G21" s="233" t="str">
        <f>IF(Med_disc!L42&lt;&gt;"",Med_disc!L42&amp;" "&amp;Med_disc!M42&amp;" "&amp;INDEX(ber_Med_disc!$B$27:$B$30,ber_Med_disc!O20,1)&amp;" in "&amp;Med_disc!$O$42,"")</f>
        <v/>
      </c>
      <c r="H21" s="106" t="str">
        <f>IF(OR($D21="1 dd",$D21="2 dd",$D21="3 dd",$D21="4 dd",$D21="6 dd",$D21="8 dd",$D21="12 dd",$D21="an",$D21="1 X"),VLOOKUP($D21,ber_tijden!$A$16:$X$26,ber_tijden!B$14,FALSE),"")</f>
        <v/>
      </c>
      <c r="I21" s="15" t="str">
        <f>IF(OR($D21="1 dd",$D21="2 dd",$D21="3 dd",$D21="4 dd",$D21="6 dd",$D21="8 dd",$D21="12 dd",$D21="an",$D21="1 X"),VLOOKUP($D21,ber_tijden!$A$16:$X$26,ber_tijden!C$14,FALSE),"")</f>
        <v/>
      </c>
      <c r="J21" s="106" t="str">
        <f>IF(OR($D21="1 dd",$D21="2 dd",$D21="3 dd",$D21="4 dd",$D21="6 dd",$D21="8 dd",$D21="12 dd",$D21="an",$D21="1 X"),VLOOKUP($D21,ber_tijden!$A$16:$X$26,ber_tijden!D$14,FALSE),"")</f>
        <v/>
      </c>
      <c r="K21" s="15" t="str">
        <f>IF(OR($D21="1 dd",$D21="2 dd",$D21="3 dd",$D21="4 dd",$D21="6 dd",$D21="8 dd",$D21="12 dd",$D21="an",$D21="1 X"),VLOOKUP($D21,ber_tijden!$A$16:$X$26,ber_tijden!E$14,FALSE),"")</f>
        <v/>
      </c>
      <c r="L21" s="106" t="str">
        <f>IF(OR($D21="1 dd",$D21="2 dd",$D21="3 dd",$D21="4 dd",$D21="6 dd",$D21="8 dd",$D21="12 dd",$D21="an",$D21="1 X"),VLOOKUP($D21,ber_tijden!$A$16:$X$26,ber_tijden!F$14,FALSE),"")</f>
        <v/>
      </c>
      <c r="M21" s="15" t="str">
        <f>IF(OR($D21="1 dd",$D21="2 dd",$D21="3 dd",$D21="4 dd",$D21="6 dd",$D21="8 dd",$D21="12 dd",$D21="an",$D21="1 X"),VLOOKUP($D21,ber_tijden!$A$16:$X$26,ber_tijden!G$14,FALSE),"")</f>
        <v/>
      </c>
      <c r="N21" s="106" t="str">
        <f>IF(OR($D21="1 dd",$D21="2 dd",$D21="3 dd",$D21="4 dd",$D21="6 dd",$D21="8 dd",$D21="12 dd",$D21="an",$D21="1 X"),VLOOKUP($D21,ber_tijden!$A$16:$X$26,ber_tijden!H$14,FALSE),"")</f>
        <v/>
      </c>
      <c r="O21" s="15" t="str">
        <f>IF(OR($D21="1 dd",$D21="2 dd",$D21="3 dd",$D21="4 dd",$D21="6 dd",$D21="8 dd",$D21="12 dd",$D21="an",$D21="1 X"),VLOOKUP($D21,ber_tijden!$A$16:$X$26,ber_tijden!I$14,FALSE),"")</f>
        <v/>
      </c>
      <c r="P21" s="106" t="str">
        <f>IF(OR($D21="1 dd",$D21="2 dd",$D21="3 dd",$D21="4 dd",$D21="6 dd",$D21="8 dd",$D21="12 dd",$D21="an",$D21="1 X"),VLOOKUP($D21,ber_tijden!$A$16:$X$26,ber_tijden!J$14,FALSE),"")</f>
        <v/>
      </c>
      <c r="Q21" s="15" t="str">
        <f>IF(OR($D21="1 dd",$D21="2 dd",$D21="3 dd",$D21="4 dd",$D21="6 dd",$D21="8 dd",$D21="12 dd",$D21="an",$D21="1 X"),VLOOKUP($D21,ber_tijden!$A$16:$X$26,ber_tijden!K$14,FALSE),"")</f>
        <v/>
      </c>
      <c r="R21" s="106" t="str">
        <f>IF(OR($D21="1 dd",$D21="2 dd",$D21="3 dd",$D21="4 dd",$D21="6 dd",$D21="8 dd",$D21="12 dd",$D21="an",$D21="1 X"),VLOOKUP($D21,ber_tijden!$A$16:$X$26,ber_tijden!L$14,FALSE),"")</f>
        <v/>
      </c>
      <c r="S21" s="15" t="str">
        <f>IF(OR($D21="1 dd",$D21="2 dd",$D21="3 dd",$D21="4 dd",$D21="6 dd",$D21="8 dd",$D21="12 dd",$D21="an",$D21="1 X"),VLOOKUP($D21,ber_tijden!$A$16:$X$26,ber_tijden!M$14,FALSE),"")</f>
        <v/>
      </c>
      <c r="T21" s="106" t="str">
        <f>IF(OR($D21="1 dd",$D21="2 dd",$D21="3 dd",$D21="4 dd",$D21="6 dd",$D21="8 dd",$D21="12 dd",$D21="an",$D21="1 X"),VLOOKUP($D21,ber_tijden!$A$16:$X$26,ber_tijden!N$14,FALSE),"")</f>
        <v/>
      </c>
      <c r="U21" s="15" t="str">
        <f>IF(OR($D21="1 dd",$D21="2 dd",$D21="3 dd",$D21="4 dd",$D21="6 dd",$D21="8 dd",$D21="12 dd",$D21="an",$D21="1 X"),VLOOKUP($D21,ber_tijden!$A$16:$X$26,ber_tijden!O$14,FALSE),"")</f>
        <v/>
      </c>
      <c r="V21" s="106" t="str">
        <f>IF(OR($D21="1 dd",$D21="2 dd",$D21="3 dd",$D21="4 dd",$D21="6 dd",$D21="8 dd",$D21="12 dd",$D21="an",$D21="1 X"),VLOOKUP($D21,ber_tijden!$A$16:$X$26,ber_tijden!P$14,FALSE),"")</f>
        <v/>
      </c>
      <c r="W21" s="15" t="str">
        <f>IF(OR($D21="1 dd",$D21="2 dd",$D21="3 dd",$D21="4 dd",$D21="6 dd",$D21="8 dd",$D21="12 dd",$D21="an",$D21="1 X"),VLOOKUP($D21,ber_tijden!$A$16:$X$26,ber_tijden!Q$14,FALSE),"")</f>
        <v/>
      </c>
      <c r="X21" s="106" t="str">
        <f>IF(OR($D21="1 dd",$D21="2 dd",$D21="3 dd",$D21="4 dd",$D21="6 dd",$D21="8 dd",$D21="12 dd",$D21="an",$D21="1 X"),VLOOKUP($D21,ber_tijden!$A$16:$X$26,ber_tijden!R$14,FALSE),"")</f>
        <v/>
      </c>
      <c r="Y21" s="15" t="str">
        <f>IF(OR($D21="1 dd",$D21="2 dd",$D21="3 dd",$D21="4 dd",$D21="6 dd",$D21="8 dd",$D21="12 dd",$D21="an",$D21="1 X"),VLOOKUP($D21,ber_tijden!$A$16:$X$26,ber_tijden!S$14,FALSE),"")</f>
        <v/>
      </c>
      <c r="Z21" s="106" t="str">
        <f>IF(OR($D21="1 dd",$D21="2 dd",$D21="3 dd",$D21="4 dd",$D21="6 dd",$D21="8 dd",$D21="12 dd",$D21="an",$D21="1 X"),VLOOKUP($D21,ber_tijden!$A$16:$X$26,ber_tijden!T$14,FALSE),"")</f>
        <v/>
      </c>
      <c r="AA21" s="15" t="str">
        <f>IF(OR($D21="1 dd",$D21="2 dd",$D21="3 dd",$D21="4 dd",$D21="6 dd",$D21="8 dd",$D21="12 dd",$D21="an",$D21="1 X"),VLOOKUP($D21,ber_tijden!$A$16:$X$26,ber_tijden!U$14,FALSE),"")</f>
        <v/>
      </c>
      <c r="AB21" s="106" t="str">
        <f>IF(OR($D21="1 dd",$D21="2 dd",$D21="3 dd",$D21="4 dd",$D21="6 dd",$D21="8 dd",$D21="12 dd",$D21="an",$D21="1 X"),VLOOKUP($D21,ber_tijden!$A$16:$X$26,ber_tijden!V$14,FALSE),"")</f>
        <v/>
      </c>
      <c r="AC21" s="15" t="str">
        <f>IF(OR($D21="1 dd",$D21="2 dd",$D21="3 dd",$D21="4 dd",$D21="6 dd",$D21="8 dd",$D21="12 dd",$D21="an",$D21="1 X"),VLOOKUP($D21,ber_tijden!$A$16:$X$26,ber_tijden!W$14,FALSE),"")</f>
        <v/>
      </c>
      <c r="AD21" s="106" t="str">
        <f>IF(OR($D21="1 dd",$D21="2 dd",$D21="3 dd",$D21="4 dd",$D21="6 dd",$D21="8 dd",$D21="12 dd",$D21="an",$D21="1 X"),VLOOKUP($D21,ber_tijden!$A$16:$X$26,ber_tijden!X$14,FALSE),"")</f>
        <v/>
      </c>
      <c r="AE21" s="17"/>
      <c r="AF21" s="105"/>
      <c r="AG21" s="17"/>
    </row>
    <row r="22" spans="2:33" ht="26.1" customHeight="1" x14ac:dyDescent="0.35">
      <c r="B22" s="107"/>
      <c r="C22" s="231" t="str">
        <f>IF(ber_Med_disc!C21&lt;&gt;"",IF(ber_Med_disc!C21&gt;1,TRIM(ber_Med_disc!C21)&amp;", "&amp;ber_Opm!C35&amp;" ("&amp;ber_Med_disc!M21&amp;" "&amp;ber_Med_disc!F21&amp;"/kg/dag)",TRIM(ber_Med_disc!C21)&amp;", "&amp;ber_Opm!C35),"")</f>
        <v/>
      </c>
      <c r="D22" s="232" t="str">
        <f>IF(Med_disc!H44&lt;&gt;"",Med_disc!H44,"")</f>
        <v/>
      </c>
      <c r="E22" s="233" t="str">
        <f>IF(AND(D22&lt;&gt;"",D22&lt;&gt;"STOP"),ber_Med_disc!H21&amp;" "&amp;ber_Med_disc!F21,"")</f>
        <v/>
      </c>
      <c r="F22" s="233" t="str">
        <f>IF(AND(D22&lt;&gt;"",D22&lt;&gt;"STOP"),ber_Med_disc!L21," ")</f>
        <v xml:space="preserve"> </v>
      </c>
      <c r="G22" s="233" t="str">
        <f>IF(Med_disc!L44&lt;&gt;"",Med_disc!L44&amp;" "&amp;Med_disc!M44&amp;" "&amp;INDEX(ber_Med_disc!$B$27:$B$30,ber_Med_disc!O21,1)&amp;" in "&amp;Med_disc!$O$44,"")</f>
        <v/>
      </c>
      <c r="H22" s="106" t="str">
        <f>IF(OR($D22="1 dd",$D22="2 dd",$D22="3 dd",$D22="4 dd",$D22="6 dd",$D22="8 dd",$D22="12 dd",$D22="an",$D22="1 X"),VLOOKUP($D22,ber_tijden!$A$16:$X$26,ber_tijden!B$14,FALSE),"")</f>
        <v/>
      </c>
      <c r="I22" s="15" t="str">
        <f>IF(OR($D22="1 dd",$D22="2 dd",$D22="3 dd",$D22="4 dd",$D22="6 dd",$D22="8 dd",$D22="12 dd",$D22="an",$D22="1 X"),VLOOKUP($D22,ber_tijden!$A$16:$X$26,ber_tijden!C$14,FALSE),"")</f>
        <v/>
      </c>
      <c r="J22" s="106" t="str">
        <f>IF(OR($D22="1 dd",$D22="2 dd",$D22="3 dd",$D22="4 dd",$D22="6 dd",$D22="8 dd",$D22="12 dd",$D22="an",$D22="1 X"),VLOOKUP($D22,ber_tijden!$A$16:$X$26,ber_tijden!D$14,FALSE),"")</f>
        <v/>
      </c>
      <c r="K22" s="15" t="str">
        <f>IF(OR($D22="1 dd",$D22="2 dd",$D22="3 dd",$D22="4 dd",$D22="6 dd",$D22="8 dd",$D22="12 dd",$D22="an",$D22="1 X"),VLOOKUP($D22,ber_tijden!$A$16:$X$26,ber_tijden!E$14,FALSE),"")</f>
        <v/>
      </c>
      <c r="L22" s="106" t="str">
        <f>IF(OR($D22="1 dd",$D22="2 dd",$D22="3 dd",$D22="4 dd",$D22="6 dd",$D22="8 dd",$D22="12 dd",$D22="an",$D22="1 X"),VLOOKUP($D22,ber_tijden!$A$16:$X$26,ber_tijden!F$14,FALSE),"")</f>
        <v/>
      </c>
      <c r="M22" s="15" t="str">
        <f>IF(OR($D22="1 dd",$D22="2 dd",$D22="3 dd",$D22="4 dd",$D22="6 dd",$D22="8 dd",$D22="12 dd",$D22="an",$D22="1 X"),VLOOKUP($D22,ber_tijden!$A$16:$X$26,ber_tijden!G$14,FALSE),"")</f>
        <v/>
      </c>
      <c r="N22" s="106" t="str">
        <f>IF(OR($D22="1 dd",$D22="2 dd",$D22="3 dd",$D22="4 dd",$D22="6 dd",$D22="8 dd",$D22="12 dd",$D22="an",$D22="1 X"),VLOOKUP($D22,ber_tijden!$A$16:$X$26,ber_tijden!H$14,FALSE),"")</f>
        <v/>
      </c>
      <c r="O22" s="15" t="str">
        <f>IF(OR($D22="1 dd",$D22="2 dd",$D22="3 dd",$D22="4 dd",$D22="6 dd",$D22="8 dd",$D22="12 dd",$D22="an",$D22="1 X"),VLOOKUP($D22,ber_tijden!$A$16:$X$26,ber_tijden!I$14,FALSE),"")</f>
        <v/>
      </c>
      <c r="P22" s="106" t="str">
        <f>IF(OR($D22="1 dd",$D22="2 dd",$D22="3 dd",$D22="4 dd",$D22="6 dd",$D22="8 dd",$D22="12 dd",$D22="an",$D22="1 X"),VLOOKUP($D22,ber_tijden!$A$16:$X$26,ber_tijden!J$14,FALSE),"")</f>
        <v/>
      </c>
      <c r="Q22" s="15" t="str">
        <f>IF(OR($D22="1 dd",$D22="2 dd",$D22="3 dd",$D22="4 dd",$D22="6 dd",$D22="8 dd",$D22="12 dd",$D22="an",$D22="1 X"),VLOOKUP($D22,ber_tijden!$A$16:$X$26,ber_tijden!K$14,FALSE),"")</f>
        <v/>
      </c>
      <c r="R22" s="106" t="str">
        <f>IF(OR($D22="1 dd",$D22="2 dd",$D22="3 dd",$D22="4 dd",$D22="6 dd",$D22="8 dd",$D22="12 dd",$D22="an",$D22="1 X"),VLOOKUP($D22,ber_tijden!$A$16:$X$26,ber_tijden!L$14,FALSE),"")</f>
        <v/>
      </c>
      <c r="S22" s="15" t="str">
        <f>IF(OR($D22="1 dd",$D22="2 dd",$D22="3 dd",$D22="4 dd",$D22="6 dd",$D22="8 dd",$D22="12 dd",$D22="an",$D22="1 X"),VLOOKUP($D22,ber_tijden!$A$16:$X$26,ber_tijden!M$14,FALSE),"")</f>
        <v/>
      </c>
      <c r="T22" s="106" t="str">
        <f>IF(OR($D22="1 dd",$D22="2 dd",$D22="3 dd",$D22="4 dd",$D22="6 dd",$D22="8 dd",$D22="12 dd",$D22="an",$D22="1 X"),VLOOKUP($D22,ber_tijden!$A$16:$X$26,ber_tijden!N$14,FALSE),"")</f>
        <v/>
      </c>
      <c r="U22" s="15" t="str">
        <f>IF(OR($D22="1 dd",$D22="2 dd",$D22="3 dd",$D22="4 dd",$D22="6 dd",$D22="8 dd",$D22="12 dd",$D22="an",$D22="1 X"),VLOOKUP($D22,ber_tijden!$A$16:$X$26,ber_tijden!O$14,FALSE),"")</f>
        <v/>
      </c>
      <c r="V22" s="106" t="str">
        <f>IF(OR($D22="1 dd",$D22="2 dd",$D22="3 dd",$D22="4 dd",$D22="6 dd",$D22="8 dd",$D22="12 dd",$D22="an",$D22="1 X"),VLOOKUP($D22,ber_tijden!$A$16:$X$26,ber_tijden!P$14,FALSE),"")</f>
        <v/>
      </c>
      <c r="W22" s="15" t="str">
        <f>IF(OR($D22="1 dd",$D22="2 dd",$D22="3 dd",$D22="4 dd",$D22="6 dd",$D22="8 dd",$D22="12 dd",$D22="an",$D22="1 X"),VLOOKUP($D22,ber_tijden!$A$16:$X$26,ber_tijden!Q$14,FALSE),"")</f>
        <v/>
      </c>
      <c r="X22" s="106" t="str">
        <f>IF(OR($D22="1 dd",$D22="2 dd",$D22="3 dd",$D22="4 dd",$D22="6 dd",$D22="8 dd",$D22="12 dd",$D22="an",$D22="1 X"),VLOOKUP($D22,ber_tijden!$A$16:$X$26,ber_tijden!R$14,FALSE),"")</f>
        <v/>
      </c>
      <c r="Y22" s="15" t="str">
        <f>IF(OR($D22="1 dd",$D22="2 dd",$D22="3 dd",$D22="4 dd",$D22="6 dd",$D22="8 dd",$D22="12 dd",$D22="an",$D22="1 X"),VLOOKUP($D22,ber_tijden!$A$16:$X$26,ber_tijden!S$14,FALSE),"")</f>
        <v/>
      </c>
      <c r="Z22" s="106" t="str">
        <f>IF(OR($D22="1 dd",$D22="2 dd",$D22="3 dd",$D22="4 dd",$D22="6 dd",$D22="8 dd",$D22="12 dd",$D22="an",$D22="1 X"),VLOOKUP($D22,ber_tijden!$A$16:$X$26,ber_tijden!T$14,FALSE),"")</f>
        <v/>
      </c>
      <c r="AA22" s="15" t="str">
        <f>IF(OR($D22="1 dd",$D22="2 dd",$D22="3 dd",$D22="4 dd",$D22="6 dd",$D22="8 dd",$D22="12 dd",$D22="an",$D22="1 X"),VLOOKUP($D22,ber_tijden!$A$16:$X$26,ber_tijden!U$14,FALSE),"")</f>
        <v/>
      </c>
      <c r="AB22" s="106" t="str">
        <f>IF(OR($D22="1 dd",$D22="2 dd",$D22="3 dd",$D22="4 dd",$D22="6 dd",$D22="8 dd",$D22="12 dd",$D22="an",$D22="1 X"),VLOOKUP($D22,ber_tijden!$A$16:$X$26,ber_tijden!V$14,FALSE),"")</f>
        <v/>
      </c>
      <c r="AC22" s="15" t="str">
        <f>IF(OR($D22="1 dd",$D22="2 dd",$D22="3 dd",$D22="4 dd",$D22="6 dd",$D22="8 dd",$D22="12 dd",$D22="an",$D22="1 X"),VLOOKUP($D22,ber_tijden!$A$16:$X$26,ber_tijden!W$14,FALSE),"")</f>
        <v/>
      </c>
      <c r="AD22" s="106" t="str">
        <f>IF(OR($D22="1 dd",$D22="2 dd",$D22="3 dd",$D22="4 dd",$D22="6 dd",$D22="8 dd",$D22="12 dd",$D22="an",$D22="1 X"),VLOOKUP($D22,ber_tijden!$A$16:$X$26,ber_tijden!X$14,FALSE),"")</f>
        <v/>
      </c>
      <c r="AE22" s="17"/>
      <c r="AF22" s="105"/>
      <c r="AG22" s="17"/>
    </row>
    <row r="23" spans="2:33" s="517" customFormat="1" ht="26.1" customHeight="1" x14ac:dyDescent="0.35">
      <c r="B23" s="107"/>
      <c r="C23" s="231" t="str">
        <f>IF(ber_Med_disc!C22&lt;&gt;"",IF(ber_Med_disc!C22&gt;1,TRIM(ber_Med_disc!C22)&amp;", "&amp;ber_Opm!C36&amp;" ("&amp;ber_Med_disc!M22&amp;" "&amp;ber_Med_disc!F22&amp;"/kg/dag)",TRIM(ber_Med_disc!C22)&amp;", "&amp;ber_Opm!C36),"")</f>
        <v/>
      </c>
      <c r="D23" s="232" t="str">
        <f>IF(Med_disc!H46&lt;&gt;"",Med_disc!H46,"")</f>
        <v/>
      </c>
      <c r="E23" s="233" t="str">
        <f>IF(AND(D23&lt;&gt;"",D23&lt;&gt;"STOP"),ber_Med_disc!H22&amp;" "&amp;ber_Med_disc!F22,"")</f>
        <v/>
      </c>
      <c r="F23" s="233" t="str">
        <f>IF(AND(D23&lt;&gt;"",D23&lt;&gt;"STOP"),ber_Med_disc!L22," ")</f>
        <v xml:space="preserve"> </v>
      </c>
      <c r="G23" s="233" t="str">
        <f>IF(Med_disc!L45&lt;&gt;"",Med_disc!L45&amp;" "&amp;Med_disc!M45&amp;" "&amp;INDEX(ber_Med_disc!$B$27:$B$30,ber_Med_disc!O22,1)&amp;" in "&amp;Med_disc!$O$44,"")</f>
        <v/>
      </c>
      <c r="H23" s="106" t="str">
        <f>IF(OR($D23="1 dd",$D23="2 dd",$D23="3 dd",$D23="4 dd",$D23="6 dd",$D23="8 dd",$D23="12 dd",$D23="an",$D23="1 X"),VLOOKUP($D23,ber_tijden!$A$16:$X$26,ber_tijden!B$14,FALSE),"")</f>
        <v/>
      </c>
      <c r="I23" s="15" t="str">
        <f>IF(OR($D23="1 dd",$D23="2 dd",$D23="3 dd",$D23="4 dd",$D23="6 dd",$D23="8 dd",$D23="12 dd",$D23="an",$D23="1 X"),VLOOKUP($D23,ber_tijden!$A$16:$X$26,ber_tijden!C$14,FALSE),"")</f>
        <v/>
      </c>
      <c r="J23" s="106" t="str">
        <f>IF(OR($D23="1 dd",$D23="2 dd",$D23="3 dd",$D23="4 dd",$D23="6 dd",$D23="8 dd",$D23="12 dd",$D23="an",$D23="1 X"),VLOOKUP($D23,ber_tijden!$A$16:$X$26,ber_tijden!D$14,FALSE),"")</f>
        <v/>
      </c>
      <c r="K23" s="15" t="str">
        <f>IF(OR($D23="1 dd",$D23="2 dd",$D23="3 dd",$D23="4 dd",$D23="6 dd",$D23="8 dd",$D23="12 dd",$D23="an",$D23="1 X"),VLOOKUP($D23,ber_tijden!$A$16:$X$26,ber_tijden!E$14,FALSE),"")</f>
        <v/>
      </c>
      <c r="L23" s="106" t="str">
        <f>IF(OR($D23="1 dd",$D23="2 dd",$D23="3 dd",$D23="4 dd",$D23="6 dd",$D23="8 dd",$D23="12 dd",$D23="an",$D23="1 X"),VLOOKUP($D23,ber_tijden!$A$16:$X$26,ber_tijden!F$14,FALSE),"")</f>
        <v/>
      </c>
      <c r="M23" s="15" t="str">
        <f>IF(OR($D23="1 dd",$D23="2 dd",$D23="3 dd",$D23="4 dd",$D23="6 dd",$D23="8 dd",$D23="12 dd",$D23="an",$D23="1 X"),VLOOKUP($D23,ber_tijden!$A$16:$X$26,ber_tijden!G$14,FALSE),"")</f>
        <v/>
      </c>
      <c r="N23" s="106" t="str">
        <f>IF(OR($D23="1 dd",$D23="2 dd",$D23="3 dd",$D23="4 dd",$D23="6 dd",$D23="8 dd",$D23="12 dd",$D23="an",$D23="1 X"),VLOOKUP($D23,ber_tijden!$A$16:$X$26,ber_tijden!H$14,FALSE),"")</f>
        <v/>
      </c>
      <c r="O23" s="15" t="str">
        <f>IF(OR($D23="1 dd",$D23="2 dd",$D23="3 dd",$D23="4 dd",$D23="6 dd",$D23="8 dd",$D23="12 dd",$D23="an",$D23="1 X"),VLOOKUP($D23,ber_tijden!$A$16:$X$26,ber_tijden!I$14,FALSE),"")</f>
        <v/>
      </c>
      <c r="P23" s="106" t="str">
        <f>IF(OR($D23="1 dd",$D23="2 dd",$D23="3 dd",$D23="4 dd",$D23="6 dd",$D23="8 dd",$D23="12 dd",$D23="an",$D23="1 X"),VLOOKUP($D23,ber_tijden!$A$16:$X$26,ber_tijden!J$14,FALSE),"")</f>
        <v/>
      </c>
      <c r="Q23" s="15" t="str">
        <f>IF(OR($D23="1 dd",$D23="2 dd",$D23="3 dd",$D23="4 dd",$D23="6 dd",$D23="8 dd",$D23="12 dd",$D23="an",$D23="1 X"),VLOOKUP($D23,ber_tijden!$A$16:$X$26,ber_tijden!K$14,FALSE),"")</f>
        <v/>
      </c>
      <c r="R23" s="106" t="str">
        <f>IF(OR($D23="1 dd",$D23="2 dd",$D23="3 dd",$D23="4 dd",$D23="6 dd",$D23="8 dd",$D23="12 dd",$D23="an",$D23="1 X"),VLOOKUP($D23,ber_tijden!$A$16:$X$26,ber_tijden!L$14,FALSE),"")</f>
        <v/>
      </c>
      <c r="S23" s="15" t="str">
        <f>IF(OR($D23="1 dd",$D23="2 dd",$D23="3 dd",$D23="4 dd",$D23="6 dd",$D23="8 dd",$D23="12 dd",$D23="an",$D23="1 X"),VLOOKUP($D23,ber_tijden!$A$16:$X$26,ber_tijden!M$14,FALSE),"")</f>
        <v/>
      </c>
      <c r="T23" s="106" t="str">
        <f>IF(OR($D23="1 dd",$D23="2 dd",$D23="3 dd",$D23="4 dd",$D23="6 dd",$D23="8 dd",$D23="12 dd",$D23="an",$D23="1 X"),VLOOKUP($D23,ber_tijden!$A$16:$X$26,ber_tijden!N$14,FALSE),"")</f>
        <v/>
      </c>
      <c r="U23" s="15" t="str">
        <f>IF(OR($D23="1 dd",$D23="2 dd",$D23="3 dd",$D23="4 dd",$D23="6 dd",$D23="8 dd",$D23="12 dd",$D23="an",$D23="1 X"),VLOOKUP($D23,ber_tijden!$A$16:$X$26,ber_tijden!O$14,FALSE),"")</f>
        <v/>
      </c>
      <c r="V23" s="106" t="str">
        <f>IF(OR($D23="1 dd",$D23="2 dd",$D23="3 dd",$D23="4 dd",$D23="6 dd",$D23="8 dd",$D23="12 dd",$D23="an",$D23="1 X"),VLOOKUP($D23,ber_tijden!$A$16:$X$26,ber_tijden!P$14,FALSE),"")</f>
        <v/>
      </c>
      <c r="W23" s="15" t="str">
        <f>IF(OR($D23="1 dd",$D23="2 dd",$D23="3 dd",$D23="4 dd",$D23="6 dd",$D23="8 dd",$D23="12 dd",$D23="an",$D23="1 X"),VLOOKUP($D23,ber_tijden!$A$16:$X$26,ber_tijden!Q$14,FALSE),"")</f>
        <v/>
      </c>
      <c r="X23" s="106" t="str">
        <f>IF(OR($D23="1 dd",$D23="2 dd",$D23="3 dd",$D23="4 dd",$D23="6 dd",$D23="8 dd",$D23="12 dd",$D23="an",$D23="1 X"),VLOOKUP($D23,ber_tijden!$A$16:$X$26,ber_tijden!R$14,FALSE),"")</f>
        <v/>
      </c>
      <c r="Y23" s="15" t="str">
        <f>IF(OR($D23="1 dd",$D23="2 dd",$D23="3 dd",$D23="4 dd",$D23="6 dd",$D23="8 dd",$D23="12 dd",$D23="an",$D23="1 X"),VLOOKUP($D23,ber_tijden!$A$16:$X$26,ber_tijden!S$14,FALSE),"")</f>
        <v/>
      </c>
      <c r="Z23" s="106" t="str">
        <f>IF(OR($D23="1 dd",$D23="2 dd",$D23="3 dd",$D23="4 dd",$D23="6 dd",$D23="8 dd",$D23="12 dd",$D23="an",$D23="1 X"),VLOOKUP($D23,ber_tijden!$A$16:$X$26,ber_tijden!T$14,FALSE),"")</f>
        <v/>
      </c>
      <c r="AA23" s="15" t="str">
        <f>IF(OR($D23="1 dd",$D23="2 dd",$D23="3 dd",$D23="4 dd",$D23="6 dd",$D23="8 dd",$D23="12 dd",$D23="an",$D23="1 X"),VLOOKUP($D23,ber_tijden!$A$16:$X$26,ber_tijden!U$14,FALSE),"")</f>
        <v/>
      </c>
      <c r="AB23" s="106" t="str">
        <f>IF(OR($D23="1 dd",$D23="2 dd",$D23="3 dd",$D23="4 dd",$D23="6 dd",$D23="8 dd",$D23="12 dd",$D23="an",$D23="1 X"),VLOOKUP($D23,ber_tijden!$A$16:$X$26,ber_tijden!V$14,FALSE),"")</f>
        <v/>
      </c>
      <c r="AC23" s="15" t="str">
        <f>IF(OR($D23="1 dd",$D23="2 dd",$D23="3 dd",$D23="4 dd",$D23="6 dd",$D23="8 dd",$D23="12 dd",$D23="an",$D23="1 X"),VLOOKUP($D23,ber_tijden!$A$16:$X$26,ber_tijden!W$14,FALSE),"")</f>
        <v/>
      </c>
      <c r="AD23" s="106" t="str">
        <f>IF(OR($D23="1 dd",$D23="2 dd",$D23="3 dd",$D23="4 dd",$D23="6 dd",$D23="8 dd",$D23="12 dd",$D23="an",$D23="1 X"),VLOOKUP($D23,ber_tijden!$A$16:$X$26,ber_tijden!X$14,FALSE),"")</f>
        <v/>
      </c>
      <c r="AE23" s="17"/>
      <c r="AF23" s="105"/>
      <c r="AG23" s="17"/>
    </row>
    <row r="24" spans="2:33" s="517" customFormat="1" ht="26.1" customHeight="1" x14ac:dyDescent="0.35">
      <c r="B24" s="107"/>
      <c r="C24" s="231" t="str">
        <f>IF(ber_Med_disc!C23&lt;&gt;"",IF(ber_Med_disc!C23&gt;1,TRIM(ber_Med_disc!C23)&amp;", "&amp;ber_Opm!C37&amp;" ("&amp;ber_Med_disc!M23&amp;" "&amp;ber_Med_disc!F23&amp;"/kg/dag)",TRIM(ber_Med_disc!C23)&amp;", "&amp;ber_Opm!C37),"")</f>
        <v/>
      </c>
      <c r="D24" s="232" t="str">
        <f>IF(Med_disc!H48&lt;&gt;"",Med_disc!H48,"")</f>
        <v/>
      </c>
      <c r="E24" s="233" t="str">
        <f>IF(AND(D24&lt;&gt;"",D24&lt;&gt;"STOP"),ber_Med_disc!H23&amp;" "&amp;ber_Med_disc!F23,"")</f>
        <v/>
      </c>
      <c r="F24" s="233" t="str">
        <f>IF(AND(D24&lt;&gt;"",D24&lt;&gt;"STOP"),ber_Med_disc!L23," ")</f>
        <v xml:space="preserve"> </v>
      </c>
      <c r="G24" s="233" t="str">
        <f>IF(Med_disc!L46&lt;&gt;"",Med_disc!L46&amp;" "&amp;Med_disc!M46&amp;" "&amp;INDEX(ber_Med_disc!$B$27:$B$30,ber_Med_disc!O23,1)&amp;" in "&amp;Med_disc!$O$44,"")</f>
        <v/>
      </c>
      <c r="H24" s="106" t="str">
        <f>IF(OR($D24="1 dd",$D24="2 dd",$D24="3 dd",$D24="4 dd",$D24="6 dd",$D24="8 dd",$D24="12 dd",$D24="an",$D24="1 X"),VLOOKUP($D24,ber_tijden!$A$16:$X$26,ber_tijden!B$14,FALSE),"")</f>
        <v/>
      </c>
      <c r="I24" s="15" t="str">
        <f>IF(OR($D24="1 dd",$D24="2 dd",$D24="3 dd",$D24="4 dd",$D24="6 dd",$D24="8 dd",$D24="12 dd",$D24="an",$D24="1 X"),VLOOKUP($D24,ber_tijden!$A$16:$X$26,ber_tijden!C$14,FALSE),"")</f>
        <v/>
      </c>
      <c r="J24" s="106" t="str">
        <f>IF(OR($D24="1 dd",$D24="2 dd",$D24="3 dd",$D24="4 dd",$D24="6 dd",$D24="8 dd",$D24="12 dd",$D24="an",$D24="1 X"),VLOOKUP($D24,ber_tijden!$A$16:$X$26,ber_tijden!D$14,FALSE),"")</f>
        <v/>
      </c>
      <c r="K24" s="15" t="str">
        <f>IF(OR($D24="1 dd",$D24="2 dd",$D24="3 dd",$D24="4 dd",$D24="6 dd",$D24="8 dd",$D24="12 dd",$D24="an",$D24="1 X"),VLOOKUP($D24,ber_tijden!$A$16:$X$26,ber_tijden!E$14,FALSE),"")</f>
        <v/>
      </c>
      <c r="L24" s="106" t="str">
        <f>IF(OR($D24="1 dd",$D24="2 dd",$D24="3 dd",$D24="4 dd",$D24="6 dd",$D24="8 dd",$D24="12 dd",$D24="an",$D24="1 X"),VLOOKUP($D24,ber_tijden!$A$16:$X$26,ber_tijden!F$14,FALSE),"")</f>
        <v/>
      </c>
      <c r="M24" s="15" t="str">
        <f>IF(OR($D24="1 dd",$D24="2 dd",$D24="3 dd",$D24="4 dd",$D24="6 dd",$D24="8 dd",$D24="12 dd",$D24="an",$D24="1 X"),VLOOKUP($D24,ber_tijden!$A$16:$X$26,ber_tijden!G$14,FALSE),"")</f>
        <v/>
      </c>
      <c r="N24" s="106" t="str">
        <f>IF(OR($D24="1 dd",$D24="2 dd",$D24="3 dd",$D24="4 dd",$D24="6 dd",$D24="8 dd",$D24="12 dd",$D24="an",$D24="1 X"),VLOOKUP($D24,ber_tijden!$A$16:$X$26,ber_tijden!H$14,FALSE),"")</f>
        <v/>
      </c>
      <c r="O24" s="15" t="str">
        <f>IF(OR($D24="1 dd",$D24="2 dd",$D24="3 dd",$D24="4 dd",$D24="6 dd",$D24="8 dd",$D24="12 dd",$D24="an",$D24="1 X"),VLOOKUP($D24,ber_tijden!$A$16:$X$26,ber_tijden!I$14,FALSE),"")</f>
        <v/>
      </c>
      <c r="P24" s="106" t="str">
        <f>IF(OR($D24="1 dd",$D24="2 dd",$D24="3 dd",$D24="4 dd",$D24="6 dd",$D24="8 dd",$D24="12 dd",$D24="an",$D24="1 X"),VLOOKUP($D24,ber_tijden!$A$16:$X$26,ber_tijden!J$14,FALSE),"")</f>
        <v/>
      </c>
      <c r="Q24" s="15" t="str">
        <f>IF(OR($D24="1 dd",$D24="2 dd",$D24="3 dd",$D24="4 dd",$D24="6 dd",$D24="8 dd",$D24="12 dd",$D24="an",$D24="1 X"),VLOOKUP($D24,ber_tijden!$A$16:$X$26,ber_tijden!K$14,FALSE),"")</f>
        <v/>
      </c>
      <c r="R24" s="106" t="str">
        <f>IF(OR($D24="1 dd",$D24="2 dd",$D24="3 dd",$D24="4 dd",$D24="6 dd",$D24="8 dd",$D24="12 dd",$D24="an",$D24="1 X"),VLOOKUP($D24,ber_tijden!$A$16:$X$26,ber_tijden!L$14,FALSE),"")</f>
        <v/>
      </c>
      <c r="S24" s="15" t="str">
        <f>IF(OR($D24="1 dd",$D24="2 dd",$D24="3 dd",$D24="4 dd",$D24="6 dd",$D24="8 dd",$D24="12 dd",$D24="an",$D24="1 X"),VLOOKUP($D24,ber_tijden!$A$16:$X$26,ber_tijden!M$14,FALSE),"")</f>
        <v/>
      </c>
      <c r="T24" s="106" t="str">
        <f>IF(OR($D24="1 dd",$D24="2 dd",$D24="3 dd",$D24="4 dd",$D24="6 dd",$D24="8 dd",$D24="12 dd",$D24="an",$D24="1 X"),VLOOKUP($D24,ber_tijden!$A$16:$X$26,ber_tijden!N$14,FALSE),"")</f>
        <v/>
      </c>
      <c r="U24" s="15" t="str">
        <f>IF(OR($D24="1 dd",$D24="2 dd",$D24="3 dd",$D24="4 dd",$D24="6 dd",$D24="8 dd",$D24="12 dd",$D24="an",$D24="1 X"),VLOOKUP($D24,ber_tijden!$A$16:$X$26,ber_tijden!O$14,FALSE),"")</f>
        <v/>
      </c>
      <c r="V24" s="106" t="str">
        <f>IF(OR($D24="1 dd",$D24="2 dd",$D24="3 dd",$D24="4 dd",$D24="6 dd",$D24="8 dd",$D24="12 dd",$D24="an",$D24="1 X"),VLOOKUP($D24,ber_tijden!$A$16:$X$26,ber_tijden!P$14,FALSE),"")</f>
        <v/>
      </c>
      <c r="W24" s="15" t="str">
        <f>IF(OR($D24="1 dd",$D24="2 dd",$D24="3 dd",$D24="4 dd",$D24="6 dd",$D24="8 dd",$D24="12 dd",$D24="an",$D24="1 X"),VLOOKUP($D24,ber_tijden!$A$16:$X$26,ber_tijden!Q$14,FALSE),"")</f>
        <v/>
      </c>
      <c r="X24" s="106" t="str">
        <f>IF(OR($D24="1 dd",$D24="2 dd",$D24="3 dd",$D24="4 dd",$D24="6 dd",$D24="8 dd",$D24="12 dd",$D24="an",$D24="1 X"),VLOOKUP($D24,ber_tijden!$A$16:$X$26,ber_tijden!R$14,FALSE),"")</f>
        <v/>
      </c>
      <c r="Y24" s="15" t="str">
        <f>IF(OR($D24="1 dd",$D24="2 dd",$D24="3 dd",$D24="4 dd",$D24="6 dd",$D24="8 dd",$D24="12 dd",$D24="an",$D24="1 X"),VLOOKUP($D24,ber_tijden!$A$16:$X$26,ber_tijden!S$14,FALSE),"")</f>
        <v/>
      </c>
      <c r="Z24" s="106" t="str">
        <f>IF(OR($D24="1 dd",$D24="2 dd",$D24="3 dd",$D24="4 dd",$D24="6 dd",$D24="8 dd",$D24="12 dd",$D24="an",$D24="1 X"),VLOOKUP($D24,ber_tijden!$A$16:$X$26,ber_tijden!T$14,FALSE),"")</f>
        <v/>
      </c>
      <c r="AA24" s="15" t="str">
        <f>IF(OR($D24="1 dd",$D24="2 dd",$D24="3 dd",$D24="4 dd",$D24="6 dd",$D24="8 dd",$D24="12 dd",$D24="an",$D24="1 X"),VLOOKUP($D24,ber_tijden!$A$16:$X$26,ber_tijden!U$14,FALSE),"")</f>
        <v/>
      </c>
      <c r="AB24" s="106" t="str">
        <f>IF(OR($D24="1 dd",$D24="2 dd",$D24="3 dd",$D24="4 dd",$D24="6 dd",$D24="8 dd",$D24="12 dd",$D24="an",$D24="1 X"),VLOOKUP($D24,ber_tijden!$A$16:$X$26,ber_tijden!V$14,FALSE),"")</f>
        <v/>
      </c>
      <c r="AC24" s="15" t="str">
        <f>IF(OR($D24="1 dd",$D24="2 dd",$D24="3 dd",$D24="4 dd",$D24="6 dd",$D24="8 dd",$D24="12 dd",$D24="an",$D24="1 X"),VLOOKUP($D24,ber_tijden!$A$16:$X$26,ber_tijden!W$14,FALSE),"")</f>
        <v/>
      </c>
      <c r="AD24" s="106" t="str">
        <f>IF(OR($D24="1 dd",$D24="2 dd",$D24="3 dd",$D24="4 dd",$D24="6 dd",$D24="8 dd",$D24="12 dd",$D24="an",$D24="1 X"),VLOOKUP($D24,ber_tijden!$A$16:$X$26,ber_tijden!X$14,FALSE),"")</f>
        <v/>
      </c>
      <c r="AE24" s="17"/>
      <c r="AF24" s="105"/>
      <c r="AG24" s="17"/>
    </row>
    <row r="25" spans="2:33" s="517" customFormat="1" ht="26.1" customHeight="1" x14ac:dyDescent="0.35">
      <c r="B25" s="107"/>
      <c r="C25" s="231" t="str">
        <f>IF(ber_Med_disc!C24&lt;&gt;"",IF(ber_Med_disc!C24&gt;1,TRIM(ber_Med_disc!C24)&amp;", "&amp;ber_Opm!C38&amp;" ("&amp;ber_Med_disc!M24&amp;" "&amp;ber_Med_disc!F24&amp;"/kg/dag)",TRIM(ber_Med_disc!C24)&amp;", "&amp;ber_Opm!C38),"")</f>
        <v/>
      </c>
      <c r="D25" s="232" t="str">
        <f>IF(Med_disc!H50&lt;&gt;"",Med_disc!H50,"")</f>
        <v/>
      </c>
      <c r="E25" s="233" t="str">
        <f>IF(AND(D25&lt;&gt;"",D25&lt;&gt;"STOP"),ber_Med_disc!H24&amp;" "&amp;ber_Med_disc!F24,"")</f>
        <v/>
      </c>
      <c r="F25" s="233" t="str">
        <f>IF(AND(D25&lt;&gt;"",D25&lt;&gt;"STOP"),ber_Med_disc!L24," ")</f>
        <v xml:space="preserve"> </v>
      </c>
      <c r="G25" s="233" t="str">
        <f>IF(Med_disc!L47&lt;&gt;"",Med_disc!L47&amp;" "&amp;Med_disc!M47&amp;" "&amp;INDEX(ber_Med_disc!$B$27:$B$30,ber_Med_disc!O24,1)&amp;" in "&amp;Med_disc!$O$44,"")</f>
        <v/>
      </c>
      <c r="H25" s="106" t="str">
        <f>IF(OR($D25="1 dd",$D25="2 dd",$D25="3 dd",$D25="4 dd",$D25="6 dd",$D25="8 dd",$D25="12 dd",$D25="an",$D25="1 X"),VLOOKUP($D25,ber_tijden!$A$16:$X$26,ber_tijden!B$14,FALSE),"")</f>
        <v/>
      </c>
      <c r="I25" s="15" t="str">
        <f>IF(OR($D25="1 dd",$D25="2 dd",$D25="3 dd",$D25="4 dd",$D25="6 dd",$D25="8 dd",$D25="12 dd",$D25="an",$D25="1 X"),VLOOKUP($D25,ber_tijden!$A$16:$X$26,ber_tijden!C$14,FALSE),"")</f>
        <v/>
      </c>
      <c r="J25" s="106" t="str">
        <f>IF(OR($D25="1 dd",$D25="2 dd",$D25="3 dd",$D25="4 dd",$D25="6 dd",$D25="8 dd",$D25="12 dd",$D25="an",$D25="1 X"),VLOOKUP($D25,ber_tijden!$A$16:$X$26,ber_tijden!D$14,FALSE),"")</f>
        <v/>
      </c>
      <c r="K25" s="15" t="str">
        <f>IF(OR($D25="1 dd",$D25="2 dd",$D25="3 dd",$D25="4 dd",$D25="6 dd",$D25="8 dd",$D25="12 dd",$D25="an",$D25="1 X"),VLOOKUP($D25,ber_tijden!$A$16:$X$26,ber_tijden!E$14,FALSE),"")</f>
        <v/>
      </c>
      <c r="L25" s="106" t="str">
        <f>IF(OR($D25="1 dd",$D25="2 dd",$D25="3 dd",$D25="4 dd",$D25="6 dd",$D25="8 dd",$D25="12 dd",$D25="an",$D25="1 X"),VLOOKUP($D25,ber_tijden!$A$16:$X$26,ber_tijden!F$14,FALSE),"")</f>
        <v/>
      </c>
      <c r="M25" s="15" t="str">
        <f>IF(OR($D25="1 dd",$D25="2 dd",$D25="3 dd",$D25="4 dd",$D25="6 dd",$D25="8 dd",$D25="12 dd",$D25="an",$D25="1 X"),VLOOKUP($D25,ber_tijden!$A$16:$X$26,ber_tijden!G$14,FALSE),"")</f>
        <v/>
      </c>
      <c r="N25" s="106" t="str">
        <f>IF(OR($D25="1 dd",$D25="2 dd",$D25="3 dd",$D25="4 dd",$D25="6 dd",$D25="8 dd",$D25="12 dd",$D25="an",$D25="1 X"),VLOOKUP($D25,ber_tijden!$A$16:$X$26,ber_tijden!H$14,FALSE),"")</f>
        <v/>
      </c>
      <c r="O25" s="15" t="str">
        <f>IF(OR($D25="1 dd",$D25="2 dd",$D25="3 dd",$D25="4 dd",$D25="6 dd",$D25="8 dd",$D25="12 dd",$D25="an",$D25="1 X"),VLOOKUP($D25,ber_tijden!$A$16:$X$26,ber_tijden!I$14,FALSE),"")</f>
        <v/>
      </c>
      <c r="P25" s="106" t="str">
        <f>IF(OR($D25="1 dd",$D25="2 dd",$D25="3 dd",$D25="4 dd",$D25="6 dd",$D25="8 dd",$D25="12 dd",$D25="an",$D25="1 X"),VLOOKUP($D25,ber_tijden!$A$16:$X$26,ber_tijden!J$14,FALSE),"")</f>
        <v/>
      </c>
      <c r="Q25" s="15" t="str">
        <f>IF(OR($D25="1 dd",$D25="2 dd",$D25="3 dd",$D25="4 dd",$D25="6 dd",$D25="8 dd",$D25="12 dd",$D25="an",$D25="1 X"),VLOOKUP($D25,ber_tijden!$A$16:$X$26,ber_tijden!K$14,FALSE),"")</f>
        <v/>
      </c>
      <c r="R25" s="106" t="str">
        <f>IF(OR($D25="1 dd",$D25="2 dd",$D25="3 dd",$D25="4 dd",$D25="6 dd",$D25="8 dd",$D25="12 dd",$D25="an",$D25="1 X"),VLOOKUP($D25,ber_tijden!$A$16:$X$26,ber_tijden!L$14,FALSE),"")</f>
        <v/>
      </c>
      <c r="S25" s="15" t="str">
        <f>IF(OR($D25="1 dd",$D25="2 dd",$D25="3 dd",$D25="4 dd",$D25="6 dd",$D25="8 dd",$D25="12 dd",$D25="an",$D25="1 X"),VLOOKUP($D25,ber_tijden!$A$16:$X$26,ber_tijden!M$14,FALSE),"")</f>
        <v/>
      </c>
      <c r="T25" s="106" t="str">
        <f>IF(OR($D25="1 dd",$D25="2 dd",$D25="3 dd",$D25="4 dd",$D25="6 dd",$D25="8 dd",$D25="12 dd",$D25="an",$D25="1 X"),VLOOKUP($D25,ber_tijden!$A$16:$X$26,ber_tijden!N$14,FALSE),"")</f>
        <v/>
      </c>
      <c r="U25" s="15" t="str">
        <f>IF(OR($D25="1 dd",$D25="2 dd",$D25="3 dd",$D25="4 dd",$D25="6 dd",$D25="8 dd",$D25="12 dd",$D25="an",$D25="1 X"),VLOOKUP($D25,ber_tijden!$A$16:$X$26,ber_tijden!O$14,FALSE),"")</f>
        <v/>
      </c>
      <c r="V25" s="106" t="str">
        <f>IF(OR($D25="1 dd",$D25="2 dd",$D25="3 dd",$D25="4 dd",$D25="6 dd",$D25="8 dd",$D25="12 dd",$D25="an",$D25="1 X"),VLOOKUP($D25,ber_tijden!$A$16:$X$26,ber_tijden!P$14,FALSE),"")</f>
        <v/>
      </c>
      <c r="W25" s="15" t="str">
        <f>IF(OR($D25="1 dd",$D25="2 dd",$D25="3 dd",$D25="4 dd",$D25="6 dd",$D25="8 dd",$D25="12 dd",$D25="an",$D25="1 X"),VLOOKUP($D25,ber_tijden!$A$16:$X$26,ber_tijden!Q$14,FALSE),"")</f>
        <v/>
      </c>
      <c r="X25" s="106" t="str">
        <f>IF(OR($D25="1 dd",$D25="2 dd",$D25="3 dd",$D25="4 dd",$D25="6 dd",$D25="8 dd",$D25="12 dd",$D25="an",$D25="1 X"),VLOOKUP($D25,ber_tijden!$A$16:$X$26,ber_tijden!R$14,FALSE),"")</f>
        <v/>
      </c>
      <c r="Y25" s="15" t="str">
        <f>IF(OR($D25="1 dd",$D25="2 dd",$D25="3 dd",$D25="4 dd",$D25="6 dd",$D25="8 dd",$D25="12 dd",$D25="an",$D25="1 X"),VLOOKUP($D25,ber_tijden!$A$16:$X$26,ber_tijden!S$14,FALSE),"")</f>
        <v/>
      </c>
      <c r="Z25" s="106" t="str">
        <f>IF(OR($D25="1 dd",$D25="2 dd",$D25="3 dd",$D25="4 dd",$D25="6 dd",$D25="8 dd",$D25="12 dd",$D25="an",$D25="1 X"),VLOOKUP($D25,ber_tijden!$A$16:$X$26,ber_tijden!T$14,FALSE),"")</f>
        <v/>
      </c>
      <c r="AA25" s="15" t="str">
        <f>IF(OR($D25="1 dd",$D25="2 dd",$D25="3 dd",$D25="4 dd",$D25="6 dd",$D25="8 dd",$D25="12 dd",$D25="an",$D25="1 X"),VLOOKUP($D25,ber_tijden!$A$16:$X$26,ber_tijden!U$14,FALSE),"")</f>
        <v/>
      </c>
      <c r="AB25" s="106" t="str">
        <f>IF(OR($D25="1 dd",$D25="2 dd",$D25="3 dd",$D25="4 dd",$D25="6 dd",$D25="8 dd",$D25="12 dd",$D25="an",$D25="1 X"),VLOOKUP($D25,ber_tijden!$A$16:$X$26,ber_tijden!V$14,FALSE),"")</f>
        <v/>
      </c>
      <c r="AC25" s="15" t="str">
        <f>IF(OR($D25="1 dd",$D25="2 dd",$D25="3 dd",$D25="4 dd",$D25="6 dd",$D25="8 dd",$D25="12 dd",$D25="an",$D25="1 X"),VLOOKUP($D25,ber_tijden!$A$16:$X$26,ber_tijden!W$14,FALSE),"")</f>
        <v/>
      </c>
      <c r="AD25" s="106" t="str">
        <f>IF(OR($D25="1 dd",$D25="2 dd",$D25="3 dd",$D25="4 dd",$D25="6 dd",$D25="8 dd",$D25="12 dd",$D25="an",$D25="1 X"),VLOOKUP($D25,ber_tijden!$A$16:$X$26,ber_tijden!X$14,FALSE),"")</f>
        <v/>
      </c>
      <c r="AE25" s="17"/>
      <c r="AF25" s="105"/>
      <c r="AG25" s="17"/>
    </row>
    <row r="26" spans="2:33" s="517" customFormat="1" ht="26.1" customHeight="1" x14ac:dyDescent="0.35">
      <c r="B26" s="107"/>
      <c r="C26" s="231" t="str">
        <f>IF(ber_Med_disc!C25&lt;&gt;"",IF(ber_Med_disc!C25&gt;1,TRIM(ber_Med_disc!C25)&amp;", "&amp;ber_Opm!C39&amp;" ("&amp;ber_Med_disc!M25&amp;" "&amp;ber_Med_disc!F25&amp;"/kg/dag)",TRIM(ber_Med_disc!C25)&amp;", "&amp;ber_Opm!C39),"")</f>
        <v/>
      </c>
      <c r="D26" s="232" t="str">
        <f>IF(Med_disc!H52&lt;&gt;"",Med_disc!H52,"")</f>
        <v/>
      </c>
      <c r="E26" s="233" t="str">
        <f>IF(AND(D26&lt;&gt;"",D26&lt;&gt;"STOP"),ber_Med_disc!H25&amp;" "&amp;ber_Med_disc!F25,"")</f>
        <v/>
      </c>
      <c r="F26" s="233" t="str">
        <f>IF(AND(D26&lt;&gt;"",D26&lt;&gt;"STOP"),ber_Med_disc!L25," ")</f>
        <v xml:space="preserve"> </v>
      </c>
      <c r="G26" s="233" t="str">
        <f>IF(Med_disc!L48&lt;&gt;"",Med_disc!L48&amp;" "&amp;Med_disc!M48&amp;" "&amp;INDEX(ber_Med_disc!$B$27:$B$30,ber_Med_disc!O25,1)&amp;" in "&amp;Med_disc!$O$44,"")</f>
        <v/>
      </c>
      <c r="H26" s="106" t="str">
        <f>IF(OR($D26="1 dd",$D26="2 dd",$D26="3 dd",$D26="4 dd",$D26="6 dd",$D26="8 dd",$D26="12 dd",$D26="an",$D26="1 X"),VLOOKUP($D26,ber_tijden!$A$16:$X$26,ber_tijden!B$14,FALSE),"")</f>
        <v/>
      </c>
      <c r="I26" s="15" t="str">
        <f>IF(OR($D26="1 dd",$D26="2 dd",$D26="3 dd",$D26="4 dd",$D26="6 dd",$D26="8 dd",$D26="12 dd",$D26="an",$D26="1 X"),VLOOKUP($D26,ber_tijden!$A$16:$X$26,ber_tijden!C$14,FALSE),"")</f>
        <v/>
      </c>
      <c r="J26" s="106" t="str">
        <f>IF(OR($D26="1 dd",$D26="2 dd",$D26="3 dd",$D26="4 dd",$D26="6 dd",$D26="8 dd",$D26="12 dd",$D26="an",$D26="1 X"),VLOOKUP($D26,ber_tijden!$A$16:$X$26,ber_tijden!D$14,FALSE),"")</f>
        <v/>
      </c>
      <c r="K26" s="15" t="str">
        <f>IF(OR($D26="1 dd",$D26="2 dd",$D26="3 dd",$D26="4 dd",$D26="6 dd",$D26="8 dd",$D26="12 dd",$D26="an",$D26="1 X"),VLOOKUP($D26,ber_tijden!$A$16:$X$26,ber_tijden!E$14,FALSE),"")</f>
        <v/>
      </c>
      <c r="L26" s="106" t="str">
        <f>IF(OR($D26="1 dd",$D26="2 dd",$D26="3 dd",$D26="4 dd",$D26="6 dd",$D26="8 dd",$D26="12 dd",$D26="an",$D26="1 X"),VLOOKUP($D26,ber_tijden!$A$16:$X$26,ber_tijden!F$14,FALSE),"")</f>
        <v/>
      </c>
      <c r="M26" s="15" t="str">
        <f>IF(OR($D26="1 dd",$D26="2 dd",$D26="3 dd",$D26="4 dd",$D26="6 dd",$D26="8 dd",$D26="12 dd",$D26="an",$D26="1 X"),VLOOKUP($D26,ber_tijden!$A$16:$X$26,ber_tijden!G$14,FALSE),"")</f>
        <v/>
      </c>
      <c r="N26" s="106" t="str">
        <f>IF(OR($D26="1 dd",$D26="2 dd",$D26="3 dd",$D26="4 dd",$D26="6 dd",$D26="8 dd",$D26="12 dd",$D26="an",$D26="1 X"),VLOOKUP($D26,ber_tijden!$A$16:$X$26,ber_tijden!H$14,FALSE),"")</f>
        <v/>
      </c>
      <c r="O26" s="15" t="str">
        <f>IF(OR($D26="1 dd",$D26="2 dd",$D26="3 dd",$D26="4 dd",$D26="6 dd",$D26="8 dd",$D26="12 dd",$D26="an",$D26="1 X"),VLOOKUP($D26,ber_tijden!$A$16:$X$26,ber_tijden!I$14,FALSE),"")</f>
        <v/>
      </c>
      <c r="P26" s="106" t="str">
        <f>IF(OR($D26="1 dd",$D26="2 dd",$D26="3 dd",$D26="4 dd",$D26="6 dd",$D26="8 dd",$D26="12 dd",$D26="an",$D26="1 X"),VLOOKUP($D26,ber_tijden!$A$16:$X$26,ber_tijden!J$14,FALSE),"")</f>
        <v/>
      </c>
      <c r="Q26" s="15" t="str">
        <f>IF(OR($D26="1 dd",$D26="2 dd",$D26="3 dd",$D26="4 dd",$D26="6 dd",$D26="8 dd",$D26="12 dd",$D26="an",$D26="1 X"),VLOOKUP($D26,ber_tijden!$A$16:$X$26,ber_tijden!K$14,FALSE),"")</f>
        <v/>
      </c>
      <c r="R26" s="106" t="str">
        <f>IF(OR($D26="1 dd",$D26="2 dd",$D26="3 dd",$D26="4 dd",$D26="6 dd",$D26="8 dd",$D26="12 dd",$D26="an",$D26="1 X"),VLOOKUP($D26,ber_tijden!$A$16:$X$26,ber_tijden!L$14,FALSE),"")</f>
        <v/>
      </c>
      <c r="S26" s="15" t="str">
        <f>IF(OR($D26="1 dd",$D26="2 dd",$D26="3 dd",$D26="4 dd",$D26="6 dd",$D26="8 dd",$D26="12 dd",$D26="an",$D26="1 X"),VLOOKUP($D26,ber_tijden!$A$16:$X$26,ber_tijden!M$14,FALSE),"")</f>
        <v/>
      </c>
      <c r="T26" s="106" t="str">
        <f>IF(OR($D26="1 dd",$D26="2 dd",$D26="3 dd",$D26="4 dd",$D26="6 dd",$D26="8 dd",$D26="12 dd",$D26="an",$D26="1 X"),VLOOKUP($D26,ber_tijden!$A$16:$X$26,ber_tijden!N$14,FALSE),"")</f>
        <v/>
      </c>
      <c r="U26" s="15" t="str">
        <f>IF(OR($D26="1 dd",$D26="2 dd",$D26="3 dd",$D26="4 dd",$D26="6 dd",$D26="8 dd",$D26="12 dd",$D26="an",$D26="1 X"),VLOOKUP($D26,ber_tijden!$A$16:$X$26,ber_tijden!O$14,FALSE),"")</f>
        <v/>
      </c>
      <c r="V26" s="106" t="str">
        <f>IF(OR($D26="1 dd",$D26="2 dd",$D26="3 dd",$D26="4 dd",$D26="6 dd",$D26="8 dd",$D26="12 dd",$D26="an",$D26="1 X"),VLOOKUP($D26,ber_tijden!$A$16:$X$26,ber_tijden!P$14,FALSE),"")</f>
        <v/>
      </c>
      <c r="W26" s="15" t="str">
        <f>IF(OR($D26="1 dd",$D26="2 dd",$D26="3 dd",$D26="4 dd",$D26="6 dd",$D26="8 dd",$D26="12 dd",$D26="an",$D26="1 X"),VLOOKUP($D26,ber_tijden!$A$16:$X$26,ber_tijden!Q$14,FALSE),"")</f>
        <v/>
      </c>
      <c r="X26" s="106" t="str">
        <f>IF(OR($D26="1 dd",$D26="2 dd",$D26="3 dd",$D26="4 dd",$D26="6 dd",$D26="8 dd",$D26="12 dd",$D26="an",$D26="1 X"),VLOOKUP($D26,ber_tijden!$A$16:$X$26,ber_tijden!R$14,FALSE),"")</f>
        <v/>
      </c>
      <c r="Y26" s="15" t="str">
        <f>IF(OR($D26="1 dd",$D26="2 dd",$D26="3 dd",$D26="4 dd",$D26="6 dd",$D26="8 dd",$D26="12 dd",$D26="an",$D26="1 X"),VLOOKUP($D26,ber_tijden!$A$16:$X$26,ber_tijden!S$14,FALSE),"")</f>
        <v/>
      </c>
      <c r="Z26" s="106" t="str">
        <f>IF(OR($D26="1 dd",$D26="2 dd",$D26="3 dd",$D26="4 dd",$D26="6 dd",$D26="8 dd",$D26="12 dd",$D26="an",$D26="1 X"),VLOOKUP($D26,ber_tijden!$A$16:$X$26,ber_tijden!T$14,FALSE),"")</f>
        <v/>
      </c>
      <c r="AA26" s="15" t="str">
        <f>IF(OR($D26="1 dd",$D26="2 dd",$D26="3 dd",$D26="4 dd",$D26="6 dd",$D26="8 dd",$D26="12 dd",$D26="an",$D26="1 X"),VLOOKUP($D26,ber_tijden!$A$16:$X$26,ber_tijden!U$14,FALSE),"")</f>
        <v/>
      </c>
      <c r="AB26" s="106" t="str">
        <f>IF(OR($D26="1 dd",$D26="2 dd",$D26="3 dd",$D26="4 dd",$D26="6 dd",$D26="8 dd",$D26="12 dd",$D26="an",$D26="1 X"),VLOOKUP($D26,ber_tijden!$A$16:$X$26,ber_tijden!V$14,FALSE),"")</f>
        <v/>
      </c>
      <c r="AC26" s="15" t="str">
        <f>IF(OR($D26="1 dd",$D26="2 dd",$D26="3 dd",$D26="4 dd",$D26="6 dd",$D26="8 dd",$D26="12 dd",$D26="an",$D26="1 X"),VLOOKUP($D26,ber_tijden!$A$16:$X$26,ber_tijden!W$14,FALSE),"")</f>
        <v/>
      </c>
      <c r="AD26" s="106" t="str">
        <f>IF(OR($D26="1 dd",$D26="2 dd",$D26="3 dd",$D26="4 dd",$D26="6 dd",$D26="8 dd",$D26="12 dd",$D26="an",$D26="1 X"),VLOOKUP($D26,ber_tijden!$A$16:$X$26,ber_tijden!X$14,FALSE),"")</f>
        <v/>
      </c>
      <c r="AE26" s="17"/>
      <c r="AF26" s="105"/>
      <c r="AG26" s="17"/>
    </row>
    <row r="27" spans="2:33" s="517" customFormat="1" ht="26.1" customHeight="1" x14ac:dyDescent="0.35">
      <c r="B27" s="107"/>
      <c r="C27" s="231" t="str">
        <f>IF(ber_Med_disc!C26&lt;&gt;"",IF(ber_Med_disc!C26&gt;1,TRIM(ber_Med_disc!C26)&amp;", "&amp;ber_Opm!C40&amp;" ("&amp;ber_Med_disc!M26&amp;" "&amp;ber_Med_disc!F26&amp;"/kg/dag)",TRIM(ber_Med_disc!C26)&amp;", "&amp;ber_Opm!C40),"")</f>
        <v/>
      </c>
      <c r="D27" s="232" t="str">
        <f>IF(Med_disc!H54&lt;&gt;"",Med_disc!H54,"")</f>
        <v/>
      </c>
      <c r="E27" s="233" t="str">
        <f>IF(AND(D27&lt;&gt;"",D27&lt;&gt;"STOP"),ber_Med_disc!H26&amp;" "&amp;ber_Med_disc!F26,"")</f>
        <v/>
      </c>
      <c r="F27" s="233" t="str">
        <f>IF(AND(D27&lt;&gt;"",D27&lt;&gt;"STOP"),ber_Med_disc!L26," ")</f>
        <v xml:space="preserve"> </v>
      </c>
      <c r="G27" s="233" t="str">
        <f>IF(Med_disc!L49&lt;&gt;"",Med_disc!L49&amp;" "&amp;Med_disc!M49&amp;" "&amp;INDEX(ber_Med_disc!$B$27:$B$30,ber_Med_disc!O26,1)&amp;" in "&amp;Med_disc!$O$44,"")</f>
        <v/>
      </c>
      <c r="H27" s="106" t="str">
        <f>IF(OR($D27="1 dd",$D27="2 dd",$D27="3 dd",$D27="4 dd",$D27="6 dd",$D27="8 dd",$D27="12 dd",$D27="an",$D27="1 X"),VLOOKUP($D27,ber_tijden!$A$16:$X$26,ber_tijden!B$14,FALSE),"")</f>
        <v/>
      </c>
      <c r="I27" s="15" t="str">
        <f>IF(OR($D27="1 dd",$D27="2 dd",$D27="3 dd",$D27="4 dd",$D27="6 dd",$D27="8 dd",$D27="12 dd",$D27="an",$D27="1 X"),VLOOKUP($D27,ber_tijden!$A$16:$X$26,ber_tijden!C$14,FALSE),"")</f>
        <v/>
      </c>
      <c r="J27" s="106" t="str">
        <f>IF(OR($D27="1 dd",$D27="2 dd",$D27="3 dd",$D27="4 dd",$D27="6 dd",$D27="8 dd",$D27="12 dd",$D27="an",$D27="1 X"),VLOOKUP($D27,ber_tijden!$A$16:$X$26,ber_tijden!D$14,FALSE),"")</f>
        <v/>
      </c>
      <c r="K27" s="15" t="str">
        <f>IF(OR($D27="1 dd",$D27="2 dd",$D27="3 dd",$D27="4 dd",$D27="6 dd",$D27="8 dd",$D27="12 dd",$D27="an",$D27="1 X"),VLOOKUP($D27,ber_tijden!$A$16:$X$26,ber_tijden!E$14,FALSE),"")</f>
        <v/>
      </c>
      <c r="L27" s="106" t="str">
        <f>IF(OR($D27="1 dd",$D27="2 dd",$D27="3 dd",$D27="4 dd",$D27="6 dd",$D27="8 dd",$D27="12 dd",$D27="an",$D27="1 X"),VLOOKUP($D27,ber_tijden!$A$16:$X$26,ber_tijden!F$14,FALSE),"")</f>
        <v/>
      </c>
      <c r="M27" s="15" t="str">
        <f>IF(OR($D27="1 dd",$D27="2 dd",$D27="3 dd",$D27="4 dd",$D27="6 dd",$D27="8 dd",$D27="12 dd",$D27="an",$D27="1 X"),VLOOKUP($D27,ber_tijden!$A$16:$X$26,ber_tijden!G$14,FALSE),"")</f>
        <v/>
      </c>
      <c r="N27" s="106" t="str">
        <f>IF(OR($D27="1 dd",$D27="2 dd",$D27="3 dd",$D27="4 dd",$D27="6 dd",$D27="8 dd",$D27="12 dd",$D27="an",$D27="1 X"),VLOOKUP($D27,ber_tijden!$A$16:$X$26,ber_tijden!H$14,FALSE),"")</f>
        <v/>
      </c>
      <c r="O27" s="15" t="str">
        <f>IF(OR($D27="1 dd",$D27="2 dd",$D27="3 dd",$D27="4 dd",$D27="6 dd",$D27="8 dd",$D27="12 dd",$D27="an",$D27="1 X"),VLOOKUP($D27,ber_tijden!$A$16:$X$26,ber_tijden!I$14,FALSE),"")</f>
        <v/>
      </c>
      <c r="P27" s="106" t="str">
        <f>IF(OR($D27="1 dd",$D27="2 dd",$D27="3 dd",$D27="4 dd",$D27="6 dd",$D27="8 dd",$D27="12 dd",$D27="an",$D27="1 X"),VLOOKUP($D27,ber_tijden!$A$16:$X$26,ber_tijden!J$14,FALSE),"")</f>
        <v/>
      </c>
      <c r="Q27" s="15" t="str">
        <f>IF(OR($D27="1 dd",$D27="2 dd",$D27="3 dd",$D27="4 dd",$D27="6 dd",$D27="8 dd",$D27="12 dd",$D27="an",$D27="1 X"),VLOOKUP($D27,ber_tijden!$A$16:$X$26,ber_tijden!K$14,FALSE),"")</f>
        <v/>
      </c>
      <c r="R27" s="106" t="str">
        <f>IF(OR($D27="1 dd",$D27="2 dd",$D27="3 dd",$D27="4 dd",$D27="6 dd",$D27="8 dd",$D27="12 dd",$D27="an",$D27="1 X"),VLOOKUP($D27,ber_tijden!$A$16:$X$26,ber_tijden!L$14,FALSE),"")</f>
        <v/>
      </c>
      <c r="S27" s="15" t="str">
        <f>IF(OR($D27="1 dd",$D27="2 dd",$D27="3 dd",$D27="4 dd",$D27="6 dd",$D27="8 dd",$D27="12 dd",$D27="an",$D27="1 X"),VLOOKUP($D27,ber_tijden!$A$16:$X$26,ber_tijden!M$14,FALSE),"")</f>
        <v/>
      </c>
      <c r="T27" s="106" t="str">
        <f>IF(OR($D27="1 dd",$D27="2 dd",$D27="3 dd",$D27="4 dd",$D27="6 dd",$D27="8 dd",$D27="12 dd",$D27="an",$D27="1 X"),VLOOKUP($D27,ber_tijden!$A$16:$X$26,ber_tijden!N$14,FALSE),"")</f>
        <v/>
      </c>
      <c r="U27" s="15" t="str">
        <f>IF(OR($D27="1 dd",$D27="2 dd",$D27="3 dd",$D27="4 dd",$D27="6 dd",$D27="8 dd",$D27="12 dd",$D27="an",$D27="1 X"),VLOOKUP($D27,ber_tijden!$A$16:$X$26,ber_tijden!O$14,FALSE),"")</f>
        <v/>
      </c>
      <c r="V27" s="106" t="str">
        <f>IF(OR($D27="1 dd",$D27="2 dd",$D27="3 dd",$D27="4 dd",$D27="6 dd",$D27="8 dd",$D27="12 dd",$D27="an",$D27="1 X"),VLOOKUP($D27,ber_tijden!$A$16:$X$26,ber_tijden!P$14,FALSE),"")</f>
        <v/>
      </c>
      <c r="W27" s="15" t="str">
        <f>IF(OR($D27="1 dd",$D27="2 dd",$D27="3 dd",$D27="4 dd",$D27="6 dd",$D27="8 dd",$D27="12 dd",$D27="an",$D27="1 X"),VLOOKUP($D27,ber_tijden!$A$16:$X$26,ber_tijden!Q$14,FALSE),"")</f>
        <v/>
      </c>
      <c r="X27" s="106" t="str">
        <f>IF(OR($D27="1 dd",$D27="2 dd",$D27="3 dd",$D27="4 dd",$D27="6 dd",$D27="8 dd",$D27="12 dd",$D27="an",$D27="1 X"),VLOOKUP($D27,ber_tijden!$A$16:$X$26,ber_tijden!R$14,FALSE),"")</f>
        <v/>
      </c>
      <c r="Y27" s="15" t="str">
        <f>IF(OR($D27="1 dd",$D27="2 dd",$D27="3 dd",$D27="4 dd",$D27="6 dd",$D27="8 dd",$D27="12 dd",$D27="an",$D27="1 X"),VLOOKUP($D27,ber_tijden!$A$16:$X$26,ber_tijden!S$14,FALSE),"")</f>
        <v/>
      </c>
      <c r="Z27" s="106" t="str">
        <f>IF(OR($D27="1 dd",$D27="2 dd",$D27="3 dd",$D27="4 dd",$D27="6 dd",$D27="8 dd",$D27="12 dd",$D27="an",$D27="1 X"),VLOOKUP($D27,ber_tijden!$A$16:$X$26,ber_tijden!T$14,FALSE),"")</f>
        <v/>
      </c>
      <c r="AA27" s="15" t="str">
        <f>IF(OR($D27="1 dd",$D27="2 dd",$D27="3 dd",$D27="4 dd",$D27="6 dd",$D27="8 dd",$D27="12 dd",$D27="an",$D27="1 X"),VLOOKUP($D27,ber_tijden!$A$16:$X$26,ber_tijden!U$14,FALSE),"")</f>
        <v/>
      </c>
      <c r="AB27" s="106" t="str">
        <f>IF(OR($D27="1 dd",$D27="2 dd",$D27="3 dd",$D27="4 dd",$D27="6 dd",$D27="8 dd",$D27="12 dd",$D27="an",$D27="1 X"),VLOOKUP($D27,ber_tijden!$A$16:$X$26,ber_tijden!V$14,FALSE),"")</f>
        <v/>
      </c>
      <c r="AC27" s="15" t="str">
        <f>IF(OR($D27="1 dd",$D27="2 dd",$D27="3 dd",$D27="4 dd",$D27="6 dd",$D27="8 dd",$D27="12 dd",$D27="an",$D27="1 X"),VLOOKUP($D27,ber_tijden!$A$16:$X$26,ber_tijden!W$14,FALSE),"")</f>
        <v/>
      </c>
      <c r="AD27" s="106" t="str">
        <f>IF(OR($D27="1 dd",$D27="2 dd",$D27="3 dd",$D27="4 dd",$D27="6 dd",$D27="8 dd",$D27="12 dd",$D27="an",$D27="1 X"),VLOOKUP($D27,ber_tijden!$A$16:$X$26,ber_tijden!X$14,FALSE),"")</f>
        <v/>
      </c>
      <c r="AE27" s="17"/>
      <c r="AF27" s="105"/>
      <c r="AG27" s="17"/>
    </row>
    <row r="28" spans="2:33" s="517" customFormat="1" ht="26.1" customHeight="1" x14ac:dyDescent="0.35">
      <c r="B28" s="107"/>
      <c r="C28" s="231" t="str">
        <f>IF(ber_Med_disc!C27&lt;&gt;"",IF(ber_Med_disc!C27&gt;1,TRIM(ber_Med_disc!C27)&amp;", "&amp;ber_Opm!C41&amp;" ("&amp;ber_Med_disc!M27&amp;" "&amp;ber_Med_disc!F27&amp;"/kg/dag)",TRIM(ber_Med_disc!C27)&amp;", "&amp;ber_Opm!C41),"")</f>
        <v/>
      </c>
      <c r="D28" s="232" t="str">
        <f>IF(Med_disc!H56&lt;&gt;"",Med_disc!H56,"")</f>
        <v/>
      </c>
      <c r="E28" s="233" t="str">
        <f>IF(AND(D28&lt;&gt;"",D28&lt;&gt;"STOP"),ber_Med_disc!H27&amp;" "&amp;ber_Med_disc!F27,"")</f>
        <v/>
      </c>
      <c r="F28" s="233" t="str">
        <f>IF(AND(D28&lt;&gt;"",D28&lt;&gt;"STOP"),ber_Med_disc!L27," ")</f>
        <v xml:space="preserve"> </v>
      </c>
      <c r="G28" s="233" t="str">
        <f>IF(Med_disc!L50&lt;&gt;"",Med_disc!L50&amp;" "&amp;Med_disc!M50&amp;" "&amp;INDEX(ber_Med_disc!$B$27:$B$30,ber_Med_disc!O27,1)&amp;" in "&amp;Med_disc!$O$44,"")</f>
        <v/>
      </c>
      <c r="H28" s="106" t="str">
        <f>IF(OR($D28="1 dd",$D28="2 dd",$D28="3 dd",$D28="4 dd",$D28="6 dd",$D28="8 dd",$D28="12 dd",$D28="an",$D28="1 X"),VLOOKUP($D28,ber_tijden!$A$16:$X$26,ber_tijden!B$14,FALSE),"")</f>
        <v/>
      </c>
      <c r="I28" s="15" t="str">
        <f>IF(OR($D28="1 dd",$D28="2 dd",$D28="3 dd",$D28="4 dd",$D28="6 dd",$D28="8 dd",$D28="12 dd",$D28="an",$D28="1 X"),VLOOKUP($D28,ber_tijden!$A$16:$X$26,ber_tijden!C$14,FALSE),"")</f>
        <v/>
      </c>
      <c r="J28" s="106" t="str">
        <f>IF(OR($D28="1 dd",$D28="2 dd",$D28="3 dd",$D28="4 dd",$D28="6 dd",$D28="8 dd",$D28="12 dd",$D28="an",$D28="1 X"),VLOOKUP($D28,ber_tijden!$A$16:$X$26,ber_tijden!D$14,FALSE),"")</f>
        <v/>
      </c>
      <c r="K28" s="15" t="str">
        <f>IF(OR($D28="1 dd",$D28="2 dd",$D28="3 dd",$D28="4 dd",$D28="6 dd",$D28="8 dd",$D28="12 dd",$D28="an",$D28="1 X"),VLOOKUP($D28,ber_tijden!$A$16:$X$26,ber_tijden!E$14,FALSE),"")</f>
        <v/>
      </c>
      <c r="L28" s="106" t="str">
        <f>IF(OR($D28="1 dd",$D28="2 dd",$D28="3 dd",$D28="4 dd",$D28="6 dd",$D28="8 dd",$D28="12 dd",$D28="an",$D28="1 X"),VLOOKUP($D28,ber_tijden!$A$16:$X$26,ber_tijden!F$14,FALSE),"")</f>
        <v/>
      </c>
      <c r="M28" s="15" t="str">
        <f>IF(OR($D28="1 dd",$D28="2 dd",$D28="3 dd",$D28="4 dd",$D28="6 dd",$D28="8 dd",$D28="12 dd",$D28="an",$D28="1 X"),VLOOKUP($D28,ber_tijden!$A$16:$X$26,ber_tijden!G$14,FALSE),"")</f>
        <v/>
      </c>
      <c r="N28" s="106" t="str">
        <f>IF(OR($D28="1 dd",$D28="2 dd",$D28="3 dd",$D28="4 dd",$D28="6 dd",$D28="8 dd",$D28="12 dd",$D28="an",$D28="1 X"),VLOOKUP($D28,ber_tijden!$A$16:$X$26,ber_tijden!H$14,FALSE),"")</f>
        <v/>
      </c>
      <c r="O28" s="15" t="str">
        <f>IF(OR($D28="1 dd",$D28="2 dd",$D28="3 dd",$D28="4 dd",$D28="6 dd",$D28="8 dd",$D28="12 dd",$D28="an",$D28="1 X"),VLOOKUP($D28,ber_tijden!$A$16:$X$26,ber_tijden!I$14,FALSE),"")</f>
        <v/>
      </c>
      <c r="P28" s="106" t="str">
        <f>IF(OR($D28="1 dd",$D28="2 dd",$D28="3 dd",$D28="4 dd",$D28="6 dd",$D28="8 dd",$D28="12 dd",$D28="an",$D28="1 X"),VLOOKUP($D28,ber_tijden!$A$16:$X$26,ber_tijden!J$14,FALSE),"")</f>
        <v/>
      </c>
      <c r="Q28" s="15" t="str">
        <f>IF(OR($D28="1 dd",$D28="2 dd",$D28="3 dd",$D28="4 dd",$D28="6 dd",$D28="8 dd",$D28="12 dd",$D28="an",$D28="1 X"),VLOOKUP($D28,ber_tijden!$A$16:$X$26,ber_tijden!K$14,FALSE),"")</f>
        <v/>
      </c>
      <c r="R28" s="106" t="str">
        <f>IF(OR($D28="1 dd",$D28="2 dd",$D28="3 dd",$D28="4 dd",$D28="6 dd",$D28="8 dd",$D28="12 dd",$D28="an",$D28="1 X"),VLOOKUP($D28,ber_tijden!$A$16:$X$26,ber_tijden!L$14,FALSE),"")</f>
        <v/>
      </c>
      <c r="S28" s="15" t="str">
        <f>IF(OR($D28="1 dd",$D28="2 dd",$D28="3 dd",$D28="4 dd",$D28="6 dd",$D28="8 dd",$D28="12 dd",$D28="an",$D28="1 X"),VLOOKUP($D28,ber_tijden!$A$16:$X$26,ber_tijden!M$14,FALSE),"")</f>
        <v/>
      </c>
      <c r="T28" s="106" t="str">
        <f>IF(OR($D28="1 dd",$D28="2 dd",$D28="3 dd",$D28="4 dd",$D28="6 dd",$D28="8 dd",$D28="12 dd",$D28="an",$D28="1 X"),VLOOKUP($D28,ber_tijden!$A$16:$X$26,ber_tijden!N$14,FALSE),"")</f>
        <v/>
      </c>
      <c r="U28" s="15" t="str">
        <f>IF(OR($D28="1 dd",$D28="2 dd",$D28="3 dd",$D28="4 dd",$D28="6 dd",$D28="8 dd",$D28="12 dd",$D28="an",$D28="1 X"),VLOOKUP($D28,ber_tijden!$A$16:$X$26,ber_tijden!O$14,FALSE),"")</f>
        <v/>
      </c>
      <c r="V28" s="106" t="str">
        <f>IF(OR($D28="1 dd",$D28="2 dd",$D28="3 dd",$D28="4 dd",$D28="6 dd",$D28="8 dd",$D28="12 dd",$D28="an",$D28="1 X"),VLOOKUP($D28,ber_tijden!$A$16:$X$26,ber_tijden!P$14,FALSE),"")</f>
        <v/>
      </c>
      <c r="W28" s="15" t="str">
        <f>IF(OR($D28="1 dd",$D28="2 dd",$D28="3 dd",$D28="4 dd",$D28="6 dd",$D28="8 dd",$D28="12 dd",$D28="an",$D28="1 X"),VLOOKUP($D28,ber_tijden!$A$16:$X$26,ber_tijden!Q$14,FALSE),"")</f>
        <v/>
      </c>
      <c r="X28" s="106" t="str">
        <f>IF(OR($D28="1 dd",$D28="2 dd",$D28="3 dd",$D28="4 dd",$D28="6 dd",$D28="8 dd",$D28="12 dd",$D28="an",$D28="1 X"),VLOOKUP($D28,ber_tijden!$A$16:$X$26,ber_tijden!R$14,FALSE),"")</f>
        <v/>
      </c>
      <c r="Y28" s="15" t="str">
        <f>IF(OR($D28="1 dd",$D28="2 dd",$D28="3 dd",$D28="4 dd",$D28="6 dd",$D28="8 dd",$D28="12 dd",$D28="an",$D28="1 X"),VLOOKUP($D28,ber_tijden!$A$16:$X$26,ber_tijden!S$14,FALSE),"")</f>
        <v/>
      </c>
      <c r="Z28" s="106" t="str">
        <f>IF(OR($D28="1 dd",$D28="2 dd",$D28="3 dd",$D28="4 dd",$D28="6 dd",$D28="8 dd",$D28="12 dd",$D28="an",$D28="1 X"),VLOOKUP($D28,ber_tijden!$A$16:$X$26,ber_tijden!T$14,FALSE),"")</f>
        <v/>
      </c>
      <c r="AA28" s="15" t="str">
        <f>IF(OR($D28="1 dd",$D28="2 dd",$D28="3 dd",$D28="4 dd",$D28="6 dd",$D28="8 dd",$D28="12 dd",$D28="an",$D28="1 X"),VLOOKUP($D28,ber_tijden!$A$16:$X$26,ber_tijden!U$14,FALSE),"")</f>
        <v/>
      </c>
      <c r="AB28" s="106" t="str">
        <f>IF(OR($D28="1 dd",$D28="2 dd",$D28="3 dd",$D28="4 dd",$D28="6 dd",$D28="8 dd",$D28="12 dd",$D28="an",$D28="1 X"),VLOOKUP($D28,ber_tijden!$A$16:$X$26,ber_tijden!V$14,FALSE),"")</f>
        <v/>
      </c>
      <c r="AC28" s="15" t="str">
        <f>IF(OR($D28="1 dd",$D28="2 dd",$D28="3 dd",$D28="4 dd",$D28="6 dd",$D28="8 dd",$D28="12 dd",$D28="an",$D28="1 X"),VLOOKUP($D28,ber_tijden!$A$16:$X$26,ber_tijden!W$14,FALSE),"")</f>
        <v/>
      </c>
      <c r="AD28" s="106" t="str">
        <f>IF(OR($D28="1 dd",$D28="2 dd",$D28="3 dd",$D28="4 dd",$D28="6 dd",$D28="8 dd",$D28="12 dd",$D28="an",$D28="1 X"),VLOOKUP($D28,ber_tijden!$A$16:$X$26,ber_tijden!X$14,FALSE),"")</f>
        <v/>
      </c>
      <c r="AE28" s="17"/>
      <c r="AF28" s="105"/>
      <c r="AG28" s="17"/>
    </row>
    <row r="29" spans="2:33" s="517" customFormat="1" ht="26.1" customHeight="1" x14ac:dyDescent="0.35">
      <c r="B29" s="107"/>
      <c r="C29" s="231" t="str">
        <f>IF(ber_Med_disc!C28&lt;&gt;"",IF(ber_Med_disc!C28&gt;1,TRIM(ber_Med_disc!C28)&amp;", "&amp;ber_Opm!C42&amp;" ("&amp;ber_Med_disc!M28&amp;" "&amp;ber_Med_disc!F28&amp;"/kg/dag)",TRIM(ber_Med_disc!C28)&amp;", "&amp;ber_Opm!C42),"")</f>
        <v/>
      </c>
      <c r="D29" s="232" t="str">
        <f>IF(Med_disc!H58&lt;&gt;"",Med_disc!H58,"")</f>
        <v/>
      </c>
      <c r="E29" s="233" t="str">
        <f>IF(AND(D29&lt;&gt;"",D29&lt;&gt;"STOP"),ber_Med_disc!H28&amp;" "&amp;ber_Med_disc!F28,"")</f>
        <v/>
      </c>
      <c r="F29" s="233" t="str">
        <f>IF(AND(D29&lt;&gt;"",D29&lt;&gt;"STOP"),ber_Med_disc!L28," ")</f>
        <v xml:space="preserve"> </v>
      </c>
      <c r="G29" s="233" t="str">
        <f>IF(Med_disc!L51&lt;&gt;"",Med_disc!L51&amp;" "&amp;Med_disc!M51&amp;" "&amp;INDEX(ber_Med_disc!$B$27:$B$30,ber_Med_disc!O28,1)&amp;" in "&amp;Med_disc!$O$44,"")</f>
        <v/>
      </c>
      <c r="H29" s="106" t="str">
        <f>IF(OR($D29="1 dd",$D29="2 dd",$D29="3 dd",$D29="4 dd",$D29="6 dd",$D29="8 dd",$D29="12 dd",$D29="an",$D29="1 X"),VLOOKUP($D29,ber_tijden!$A$16:$X$26,ber_tijden!B$14,FALSE),"")</f>
        <v/>
      </c>
      <c r="I29" s="15" t="str">
        <f>IF(OR($D29="1 dd",$D29="2 dd",$D29="3 dd",$D29="4 dd",$D29="6 dd",$D29="8 dd",$D29="12 dd",$D29="an",$D29="1 X"),VLOOKUP($D29,ber_tijden!$A$16:$X$26,ber_tijden!C$14,FALSE),"")</f>
        <v/>
      </c>
      <c r="J29" s="106" t="str">
        <f>IF(OR($D29="1 dd",$D29="2 dd",$D29="3 dd",$D29="4 dd",$D29="6 dd",$D29="8 dd",$D29="12 dd",$D29="an",$D29="1 X"),VLOOKUP($D29,ber_tijden!$A$16:$X$26,ber_tijden!D$14,FALSE),"")</f>
        <v/>
      </c>
      <c r="K29" s="15" t="str">
        <f>IF(OR($D29="1 dd",$D29="2 dd",$D29="3 dd",$D29="4 dd",$D29="6 dd",$D29="8 dd",$D29="12 dd",$D29="an",$D29="1 X"),VLOOKUP($D29,ber_tijden!$A$16:$X$26,ber_tijden!E$14,FALSE),"")</f>
        <v/>
      </c>
      <c r="L29" s="106" t="str">
        <f>IF(OR($D29="1 dd",$D29="2 dd",$D29="3 dd",$D29="4 dd",$D29="6 dd",$D29="8 dd",$D29="12 dd",$D29="an",$D29="1 X"),VLOOKUP($D29,ber_tijden!$A$16:$X$26,ber_tijden!F$14,FALSE),"")</f>
        <v/>
      </c>
      <c r="M29" s="15" t="str">
        <f>IF(OR($D29="1 dd",$D29="2 dd",$D29="3 dd",$D29="4 dd",$D29="6 dd",$D29="8 dd",$D29="12 dd",$D29="an",$D29="1 X"),VLOOKUP($D29,ber_tijden!$A$16:$X$26,ber_tijden!G$14,FALSE),"")</f>
        <v/>
      </c>
      <c r="N29" s="106" t="str">
        <f>IF(OR($D29="1 dd",$D29="2 dd",$D29="3 dd",$D29="4 dd",$D29="6 dd",$D29="8 dd",$D29="12 dd",$D29="an",$D29="1 X"),VLOOKUP($D29,ber_tijden!$A$16:$X$26,ber_tijden!H$14,FALSE),"")</f>
        <v/>
      </c>
      <c r="O29" s="15" t="str">
        <f>IF(OR($D29="1 dd",$D29="2 dd",$D29="3 dd",$D29="4 dd",$D29="6 dd",$D29="8 dd",$D29="12 dd",$D29="an",$D29="1 X"),VLOOKUP($D29,ber_tijden!$A$16:$X$26,ber_tijden!I$14,FALSE),"")</f>
        <v/>
      </c>
      <c r="P29" s="106" t="str">
        <f>IF(OR($D29="1 dd",$D29="2 dd",$D29="3 dd",$D29="4 dd",$D29="6 dd",$D29="8 dd",$D29="12 dd",$D29="an",$D29="1 X"),VLOOKUP($D29,ber_tijden!$A$16:$X$26,ber_tijden!J$14,FALSE),"")</f>
        <v/>
      </c>
      <c r="Q29" s="15" t="str">
        <f>IF(OR($D29="1 dd",$D29="2 dd",$D29="3 dd",$D29="4 dd",$D29="6 dd",$D29="8 dd",$D29="12 dd",$D29="an",$D29="1 X"),VLOOKUP($D29,ber_tijden!$A$16:$X$26,ber_tijden!K$14,FALSE),"")</f>
        <v/>
      </c>
      <c r="R29" s="106" t="str">
        <f>IF(OR($D29="1 dd",$D29="2 dd",$D29="3 dd",$D29="4 dd",$D29="6 dd",$D29="8 dd",$D29="12 dd",$D29="an",$D29="1 X"),VLOOKUP($D29,ber_tijden!$A$16:$X$26,ber_tijden!L$14,FALSE),"")</f>
        <v/>
      </c>
      <c r="S29" s="15" t="str">
        <f>IF(OR($D29="1 dd",$D29="2 dd",$D29="3 dd",$D29="4 dd",$D29="6 dd",$D29="8 dd",$D29="12 dd",$D29="an",$D29="1 X"),VLOOKUP($D29,ber_tijden!$A$16:$X$26,ber_tijden!M$14,FALSE),"")</f>
        <v/>
      </c>
      <c r="T29" s="106" t="str">
        <f>IF(OR($D29="1 dd",$D29="2 dd",$D29="3 dd",$D29="4 dd",$D29="6 dd",$D29="8 dd",$D29="12 dd",$D29="an",$D29="1 X"),VLOOKUP($D29,ber_tijden!$A$16:$X$26,ber_tijden!N$14,FALSE),"")</f>
        <v/>
      </c>
      <c r="U29" s="15" t="str">
        <f>IF(OR($D29="1 dd",$D29="2 dd",$D29="3 dd",$D29="4 dd",$D29="6 dd",$D29="8 dd",$D29="12 dd",$D29="an",$D29="1 X"),VLOOKUP($D29,ber_tijden!$A$16:$X$26,ber_tijden!O$14,FALSE),"")</f>
        <v/>
      </c>
      <c r="V29" s="106" t="str">
        <f>IF(OR($D29="1 dd",$D29="2 dd",$D29="3 dd",$D29="4 dd",$D29="6 dd",$D29="8 dd",$D29="12 dd",$D29="an",$D29="1 X"),VLOOKUP($D29,ber_tijden!$A$16:$X$26,ber_tijden!P$14,FALSE),"")</f>
        <v/>
      </c>
      <c r="W29" s="15" t="str">
        <f>IF(OR($D29="1 dd",$D29="2 dd",$D29="3 dd",$D29="4 dd",$D29="6 dd",$D29="8 dd",$D29="12 dd",$D29="an",$D29="1 X"),VLOOKUP($D29,ber_tijden!$A$16:$X$26,ber_tijden!Q$14,FALSE),"")</f>
        <v/>
      </c>
      <c r="X29" s="106" t="str">
        <f>IF(OR($D29="1 dd",$D29="2 dd",$D29="3 dd",$D29="4 dd",$D29="6 dd",$D29="8 dd",$D29="12 dd",$D29="an",$D29="1 X"),VLOOKUP($D29,ber_tijden!$A$16:$X$26,ber_tijden!R$14,FALSE),"")</f>
        <v/>
      </c>
      <c r="Y29" s="15" t="str">
        <f>IF(OR($D29="1 dd",$D29="2 dd",$D29="3 dd",$D29="4 dd",$D29="6 dd",$D29="8 dd",$D29="12 dd",$D29="an",$D29="1 X"),VLOOKUP($D29,ber_tijden!$A$16:$X$26,ber_tijden!S$14,FALSE),"")</f>
        <v/>
      </c>
      <c r="Z29" s="106" t="str">
        <f>IF(OR($D29="1 dd",$D29="2 dd",$D29="3 dd",$D29="4 dd",$D29="6 dd",$D29="8 dd",$D29="12 dd",$D29="an",$D29="1 X"),VLOOKUP($D29,ber_tijden!$A$16:$X$26,ber_tijden!T$14,FALSE),"")</f>
        <v/>
      </c>
      <c r="AA29" s="15" t="str">
        <f>IF(OR($D29="1 dd",$D29="2 dd",$D29="3 dd",$D29="4 dd",$D29="6 dd",$D29="8 dd",$D29="12 dd",$D29="an",$D29="1 X"),VLOOKUP($D29,ber_tijden!$A$16:$X$26,ber_tijden!U$14,FALSE),"")</f>
        <v/>
      </c>
      <c r="AB29" s="106" t="str">
        <f>IF(OR($D29="1 dd",$D29="2 dd",$D29="3 dd",$D29="4 dd",$D29="6 dd",$D29="8 dd",$D29="12 dd",$D29="an",$D29="1 X"),VLOOKUP($D29,ber_tijden!$A$16:$X$26,ber_tijden!V$14,FALSE),"")</f>
        <v/>
      </c>
      <c r="AC29" s="15" t="str">
        <f>IF(OR($D29="1 dd",$D29="2 dd",$D29="3 dd",$D29="4 dd",$D29="6 dd",$D29="8 dd",$D29="12 dd",$D29="an",$D29="1 X"),VLOOKUP($D29,ber_tijden!$A$16:$X$26,ber_tijden!W$14,FALSE),"")</f>
        <v/>
      </c>
      <c r="AD29" s="106" t="str">
        <f>IF(OR($D29="1 dd",$D29="2 dd",$D29="3 dd",$D29="4 dd",$D29="6 dd",$D29="8 dd",$D29="12 dd",$D29="an",$D29="1 X"),VLOOKUP($D29,ber_tijden!$A$16:$X$26,ber_tijden!X$14,FALSE),"")</f>
        <v/>
      </c>
      <c r="AE29" s="17"/>
      <c r="AF29" s="105"/>
      <c r="AG29" s="17"/>
    </row>
    <row r="30" spans="2:33" s="517" customFormat="1" ht="26.1" customHeight="1" x14ac:dyDescent="0.35">
      <c r="B30" s="107"/>
      <c r="C30" s="231" t="str">
        <f>IF(ber_Med_disc!C29&lt;&gt;"",IF(ber_Med_disc!C29&gt;1,TRIM(ber_Med_disc!C29)&amp;", "&amp;ber_Opm!C43&amp;" ("&amp;ber_Med_disc!M29&amp;" "&amp;ber_Med_disc!F29&amp;"/kg/dag)",TRIM(ber_Med_disc!C29)&amp;", "&amp;ber_Opm!C43),"")</f>
        <v/>
      </c>
      <c r="D30" s="232" t="str">
        <f>IF(Med_disc!H60&lt;&gt;"",Med_disc!H60,"")</f>
        <v/>
      </c>
      <c r="E30" s="233" t="str">
        <f>IF(AND(D30&lt;&gt;"",D30&lt;&gt;"STOP"),ber_Med_disc!H29&amp;" "&amp;ber_Med_disc!F29,"")</f>
        <v/>
      </c>
      <c r="F30" s="233" t="str">
        <f>IF(AND(D30&lt;&gt;"",D30&lt;&gt;"STOP"),ber_Med_disc!L29," ")</f>
        <v xml:space="preserve"> </v>
      </c>
      <c r="G30" s="233" t="str">
        <f>IF(Med_disc!L52&lt;&gt;"",Med_disc!L52&amp;" "&amp;Med_disc!M52&amp;" "&amp;INDEX(ber_Med_disc!$B$27:$B$30,ber_Med_disc!O29,1)&amp;" in "&amp;Med_disc!$O$44,"")</f>
        <v/>
      </c>
      <c r="H30" s="106" t="str">
        <f>IF(OR($D30="1 dd",$D30="2 dd",$D30="3 dd",$D30="4 dd",$D30="6 dd",$D30="8 dd",$D30="12 dd",$D30="an",$D30="1 X"),VLOOKUP($D30,ber_tijden!$A$16:$X$26,ber_tijden!B$14,FALSE),"")</f>
        <v/>
      </c>
      <c r="I30" s="15" t="str">
        <f>IF(OR($D30="1 dd",$D30="2 dd",$D30="3 dd",$D30="4 dd",$D30="6 dd",$D30="8 dd",$D30="12 dd",$D30="an",$D30="1 X"),VLOOKUP($D30,ber_tijden!$A$16:$X$26,ber_tijden!C$14,FALSE),"")</f>
        <v/>
      </c>
      <c r="J30" s="106" t="str">
        <f>IF(OR($D30="1 dd",$D30="2 dd",$D30="3 dd",$D30="4 dd",$D30="6 dd",$D30="8 dd",$D30="12 dd",$D30="an",$D30="1 X"),VLOOKUP($D30,ber_tijden!$A$16:$X$26,ber_tijden!D$14,FALSE),"")</f>
        <v/>
      </c>
      <c r="K30" s="15" t="str">
        <f>IF(OR($D30="1 dd",$D30="2 dd",$D30="3 dd",$D30="4 dd",$D30="6 dd",$D30="8 dd",$D30="12 dd",$D30="an",$D30="1 X"),VLOOKUP($D30,ber_tijden!$A$16:$X$26,ber_tijden!E$14,FALSE),"")</f>
        <v/>
      </c>
      <c r="L30" s="106" t="str">
        <f>IF(OR($D30="1 dd",$D30="2 dd",$D30="3 dd",$D30="4 dd",$D30="6 dd",$D30="8 dd",$D30="12 dd",$D30="an",$D30="1 X"),VLOOKUP($D30,ber_tijden!$A$16:$X$26,ber_tijden!F$14,FALSE),"")</f>
        <v/>
      </c>
      <c r="M30" s="15" t="str">
        <f>IF(OR($D30="1 dd",$D30="2 dd",$D30="3 dd",$D30="4 dd",$D30="6 dd",$D30="8 dd",$D30="12 dd",$D30="an",$D30="1 X"),VLOOKUP($D30,ber_tijden!$A$16:$X$26,ber_tijden!G$14,FALSE),"")</f>
        <v/>
      </c>
      <c r="N30" s="106" t="str">
        <f>IF(OR($D30="1 dd",$D30="2 dd",$D30="3 dd",$D30="4 dd",$D30="6 dd",$D30="8 dd",$D30="12 dd",$D30="an",$D30="1 X"),VLOOKUP($D30,ber_tijden!$A$16:$X$26,ber_tijden!H$14,FALSE),"")</f>
        <v/>
      </c>
      <c r="O30" s="15" t="str">
        <f>IF(OR($D30="1 dd",$D30="2 dd",$D30="3 dd",$D30="4 dd",$D30="6 dd",$D30="8 dd",$D30="12 dd",$D30="an",$D30="1 X"),VLOOKUP($D30,ber_tijden!$A$16:$X$26,ber_tijden!I$14,FALSE),"")</f>
        <v/>
      </c>
      <c r="P30" s="106" t="str">
        <f>IF(OR($D30="1 dd",$D30="2 dd",$D30="3 dd",$D30="4 dd",$D30="6 dd",$D30="8 dd",$D30="12 dd",$D30="an",$D30="1 X"),VLOOKUP($D30,ber_tijden!$A$16:$X$26,ber_tijden!J$14,FALSE),"")</f>
        <v/>
      </c>
      <c r="Q30" s="15" t="str">
        <f>IF(OR($D30="1 dd",$D30="2 dd",$D30="3 dd",$D30="4 dd",$D30="6 dd",$D30="8 dd",$D30="12 dd",$D30="an",$D30="1 X"),VLOOKUP($D30,ber_tijden!$A$16:$X$26,ber_tijden!K$14,FALSE),"")</f>
        <v/>
      </c>
      <c r="R30" s="106" t="str">
        <f>IF(OR($D30="1 dd",$D30="2 dd",$D30="3 dd",$D30="4 dd",$D30="6 dd",$D30="8 dd",$D30="12 dd",$D30="an",$D30="1 X"),VLOOKUP($D30,ber_tijden!$A$16:$X$26,ber_tijden!L$14,FALSE),"")</f>
        <v/>
      </c>
      <c r="S30" s="15" t="str">
        <f>IF(OR($D30="1 dd",$D30="2 dd",$D30="3 dd",$D30="4 dd",$D30="6 dd",$D30="8 dd",$D30="12 dd",$D30="an",$D30="1 X"),VLOOKUP($D30,ber_tijden!$A$16:$X$26,ber_tijden!M$14,FALSE),"")</f>
        <v/>
      </c>
      <c r="T30" s="106" t="str">
        <f>IF(OR($D30="1 dd",$D30="2 dd",$D30="3 dd",$D30="4 dd",$D30="6 dd",$D30="8 dd",$D30="12 dd",$D30="an",$D30="1 X"),VLOOKUP($D30,ber_tijden!$A$16:$X$26,ber_tijden!N$14,FALSE),"")</f>
        <v/>
      </c>
      <c r="U30" s="15" t="str">
        <f>IF(OR($D30="1 dd",$D30="2 dd",$D30="3 dd",$D30="4 dd",$D30="6 dd",$D30="8 dd",$D30="12 dd",$D30="an",$D30="1 X"),VLOOKUP($D30,ber_tijden!$A$16:$X$26,ber_tijden!O$14,FALSE),"")</f>
        <v/>
      </c>
      <c r="V30" s="106" t="str">
        <f>IF(OR($D30="1 dd",$D30="2 dd",$D30="3 dd",$D30="4 dd",$D30="6 dd",$D30="8 dd",$D30="12 dd",$D30="an",$D30="1 X"),VLOOKUP($D30,ber_tijden!$A$16:$X$26,ber_tijden!P$14,FALSE),"")</f>
        <v/>
      </c>
      <c r="W30" s="15" t="str">
        <f>IF(OR($D30="1 dd",$D30="2 dd",$D30="3 dd",$D30="4 dd",$D30="6 dd",$D30="8 dd",$D30="12 dd",$D30="an",$D30="1 X"),VLOOKUP($D30,ber_tijden!$A$16:$X$26,ber_tijden!Q$14,FALSE),"")</f>
        <v/>
      </c>
      <c r="X30" s="106" t="str">
        <f>IF(OR($D30="1 dd",$D30="2 dd",$D30="3 dd",$D30="4 dd",$D30="6 dd",$D30="8 dd",$D30="12 dd",$D30="an",$D30="1 X"),VLOOKUP($D30,ber_tijden!$A$16:$X$26,ber_tijden!R$14,FALSE),"")</f>
        <v/>
      </c>
      <c r="Y30" s="15" t="str">
        <f>IF(OR($D30="1 dd",$D30="2 dd",$D30="3 dd",$D30="4 dd",$D30="6 dd",$D30="8 dd",$D30="12 dd",$D30="an",$D30="1 X"),VLOOKUP($D30,ber_tijden!$A$16:$X$26,ber_tijden!S$14,FALSE),"")</f>
        <v/>
      </c>
      <c r="Z30" s="106" t="str">
        <f>IF(OR($D30="1 dd",$D30="2 dd",$D30="3 dd",$D30="4 dd",$D30="6 dd",$D30="8 dd",$D30="12 dd",$D30="an",$D30="1 X"),VLOOKUP($D30,ber_tijden!$A$16:$X$26,ber_tijden!T$14,FALSE),"")</f>
        <v/>
      </c>
      <c r="AA30" s="15" t="str">
        <f>IF(OR($D30="1 dd",$D30="2 dd",$D30="3 dd",$D30="4 dd",$D30="6 dd",$D30="8 dd",$D30="12 dd",$D30="an",$D30="1 X"),VLOOKUP($D30,ber_tijden!$A$16:$X$26,ber_tijden!U$14,FALSE),"")</f>
        <v/>
      </c>
      <c r="AB30" s="106" t="str">
        <f>IF(OR($D30="1 dd",$D30="2 dd",$D30="3 dd",$D30="4 dd",$D30="6 dd",$D30="8 dd",$D30="12 dd",$D30="an",$D30="1 X"),VLOOKUP($D30,ber_tijden!$A$16:$X$26,ber_tijden!V$14,FALSE),"")</f>
        <v/>
      </c>
      <c r="AC30" s="15" t="str">
        <f>IF(OR($D30="1 dd",$D30="2 dd",$D30="3 dd",$D30="4 dd",$D30="6 dd",$D30="8 dd",$D30="12 dd",$D30="an",$D30="1 X"),VLOOKUP($D30,ber_tijden!$A$16:$X$26,ber_tijden!W$14,FALSE),"")</f>
        <v/>
      </c>
      <c r="AD30" s="106" t="str">
        <f>IF(OR($D30="1 dd",$D30="2 dd",$D30="3 dd",$D30="4 dd",$D30="6 dd",$D30="8 dd",$D30="12 dd",$D30="an",$D30="1 X"),VLOOKUP($D30,ber_tijden!$A$16:$X$26,ber_tijden!X$14,FALSE),"")</f>
        <v/>
      </c>
      <c r="AE30" s="17"/>
      <c r="AF30" s="105"/>
      <c r="AG30" s="17"/>
    </row>
    <row r="31" spans="2:33" s="517" customFormat="1" ht="26.1" customHeight="1" x14ac:dyDescent="0.35">
      <c r="B31" s="107"/>
      <c r="C31" s="231" t="str">
        <f>IF(ber_Med_disc!C30&lt;&gt;"",IF(ber_Med_disc!C30&gt;1,TRIM(ber_Med_disc!C30)&amp;", "&amp;ber_Opm!C44&amp;" ("&amp;ber_Med_disc!M30&amp;" "&amp;ber_Med_disc!F30&amp;"/kg/dag)",TRIM(ber_Med_disc!C30)&amp;", "&amp;ber_Opm!C44),"")</f>
        <v/>
      </c>
      <c r="D31" s="232" t="str">
        <f>IF(Med_disc!H62&lt;&gt;"",Med_disc!H62,"")</f>
        <v/>
      </c>
      <c r="E31" s="233" t="str">
        <f>IF(AND(D31&lt;&gt;"",D31&lt;&gt;"STOP"),ber_Med_disc!H30&amp;" "&amp;ber_Med_disc!F30,"")</f>
        <v/>
      </c>
      <c r="F31" s="233" t="str">
        <f>IF(AND(D31&lt;&gt;"",D31&lt;&gt;"STOP"),ber_Med_disc!L30," ")</f>
        <v xml:space="preserve"> </v>
      </c>
      <c r="G31" s="233" t="str">
        <f>IF(Med_disc!L53&lt;&gt;"",Med_disc!L53&amp;" "&amp;Med_disc!M53&amp;" "&amp;INDEX(ber_Med_disc!$B$27:$B$30,ber_Med_disc!O30,1)&amp;" in "&amp;Med_disc!$O$44,"")</f>
        <v/>
      </c>
      <c r="H31" s="106" t="str">
        <f>IF(OR($D31="1 dd",$D31="2 dd",$D31="3 dd",$D31="4 dd",$D31="6 dd",$D31="8 dd",$D31="12 dd",$D31="an",$D31="1 X"),VLOOKUP($D31,ber_tijden!$A$16:$X$26,ber_tijden!B$14,FALSE),"")</f>
        <v/>
      </c>
      <c r="I31" s="15" t="str">
        <f>IF(OR($D31="1 dd",$D31="2 dd",$D31="3 dd",$D31="4 dd",$D31="6 dd",$D31="8 dd",$D31="12 dd",$D31="an",$D31="1 X"),VLOOKUP($D31,ber_tijden!$A$16:$X$26,ber_tijden!C$14,FALSE),"")</f>
        <v/>
      </c>
      <c r="J31" s="106" t="str">
        <f>IF(OR($D31="1 dd",$D31="2 dd",$D31="3 dd",$D31="4 dd",$D31="6 dd",$D31="8 dd",$D31="12 dd",$D31="an",$D31="1 X"),VLOOKUP($D31,ber_tijden!$A$16:$X$26,ber_tijden!D$14,FALSE),"")</f>
        <v/>
      </c>
      <c r="K31" s="15" t="str">
        <f>IF(OR($D31="1 dd",$D31="2 dd",$D31="3 dd",$D31="4 dd",$D31="6 dd",$D31="8 dd",$D31="12 dd",$D31="an",$D31="1 X"),VLOOKUP($D31,ber_tijden!$A$16:$X$26,ber_tijden!E$14,FALSE),"")</f>
        <v/>
      </c>
      <c r="L31" s="106" t="str">
        <f>IF(OR($D31="1 dd",$D31="2 dd",$D31="3 dd",$D31="4 dd",$D31="6 dd",$D31="8 dd",$D31="12 dd",$D31="an",$D31="1 X"),VLOOKUP($D31,ber_tijden!$A$16:$X$26,ber_tijden!F$14,FALSE),"")</f>
        <v/>
      </c>
      <c r="M31" s="15" t="str">
        <f>IF(OR($D31="1 dd",$D31="2 dd",$D31="3 dd",$D31="4 dd",$D31="6 dd",$D31="8 dd",$D31="12 dd",$D31="an",$D31="1 X"),VLOOKUP($D31,ber_tijden!$A$16:$X$26,ber_tijden!G$14,FALSE),"")</f>
        <v/>
      </c>
      <c r="N31" s="106" t="str">
        <f>IF(OR($D31="1 dd",$D31="2 dd",$D31="3 dd",$D31="4 dd",$D31="6 dd",$D31="8 dd",$D31="12 dd",$D31="an",$D31="1 X"),VLOOKUP($D31,ber_tijden!$A$16:$X$26,ber_tijden!H$14,FALSE),"")</f>
        <v/>
      </c>
      <c r="O31" s="15" t="str">
        <f>IF(OR($D31="1 dd",$D31="2 dd",$D31="3 dd",$D31="4 dd",$D31="6 dd",$D31="8 dd",$D31="12 dd",$D31="an",$D31="1 X"),VLOOKUP($D31,ber_tijden!$A$16:$X$26,ber_tijden!I$14,FALSE),"")</f>
        <v/>
      </c>
      <c r="P31" s="106" t="str">
        <f>IF(OR($D31="1 dd",$D31="2 dd",$D31="3 dd",$D31="4 dd",$D31="6 dd",$D31="8 dd",$D31="12 dd",$D31="an",$D31="1 X"),VLOOKUP($D31,ber_tijden!$A$16:$X$26,ber_tijden!J$14,FALSE),"")</f>
        <v/>
      </c>
      <c r="Q31" s="15" t="str">
        <f>IF(OR($D31="1 dd",$D31="2 dd",$D31="3 dd",$D31="4 dd",$D31="6 dd",$D31="8 dd",$D31="12 dd",$D31="an",$D31="1 X"),VLOOKUP($D31,ber_tijden!$A$16:$X$26,ber_tijden!K$14,FALSE),"")</f>
        <v/>
      </c>
      <c r="R31" s="106" t="str">
        <f>IF(OR($D31="1 dd",$D31="2 dd",$D31="3 dd",$D31="4 dd",$D31="6 dd",$D31="8 dd",$D31="12 dd",$D31="an",$D31="1 X"),VLOOKUP($D31,ber_tijden!$A$16:$X$26,ber_tijden!L$14,FALSE),"")</f>
        <v/>
      </c>
      <c r="S31" s="15" t="str">
        <f>IF(OR($D31="1 dd",$D31="2 dd",$D31="3 dd",$D31="4 dd",$D31="6 dd",$D31="8 dd",$D31="12 dd",$D31="an",$D31="1 X"),VLOOKUP($D31,ber_tijden!$A$16:$X$26,ber_tijden!M$14,FALSE),"")</f>
        <v/>
      </c>
      <c r="T31" s="106" t="str">
        <f>IF(OR($D31="1 dd",$D31="2 dd",$D31="3 dd",$D31="4 dd",$D31="6 dd",$D31="8 dd",$D31="12 dd",$D31="an",$D31="1 X"),VLOOKUP($D31,ber_tijden!$A$16:$X$26,ber_tijden!N$14,FALSE),"")</f>
        <v/>
      </c>
      <c r="U31" s="15" t="str">
        <f>IF(OR($D31="1 dd",$D31="2 dd",$D31="3 dd",$D31="4 dd",$D31="6 dd",$D31="8 dd",$D31="12 dd",$D31="an",$D31="1 X"),VLOOKUP($D31,ber_tijden!$A$16:$X$26,ber_tijden!O$14,FALSE),"")</f>
        <v/>
      </c>
      <c r="V31" s="106" t="str">
        <f>IF(OR($D31="1 dd",$D31="2 dd",$D31="3 dd",$D31="4 dd",$D31="6 dd",$D31="8 dd",$D31="12 dd",$D31="an",$D31="1 X"),VLOOKUP($D31,ber_tijden!$A$16:$X$26,ber_tijden!P$14,FALSE),"")</f>
        <v/>
      </c>
      <c r="W31" s="15" t="str">
        <f>IF(OR($D31="1 dd",$D31="2 dd",$D31="3 dd",$D31="4 dd",$D31="6 dd",$D31="8 dd",$D31="12 dd",$D31="an",$D31="1 X"),VLOOKUP($D31,ber_tijden!$A$16:$X$26,ber_tijden!Q$14,FALSE),"")</f>
        <v/>
      </c>
      <c r="X31" s="106" t="str">
        <f>IF(OR($D31="1 dd",$D31="2 dd",$D31="3 dd",$D31="4 dd",$D31="6 dd",$D31="8 dd",$D31="12 dd",$D31="an",$D31="1 X"),VLOOKUP($D31,ber_tijden!$A$16:$X$26,ber_tijden!R$14,FALSE),"")</f>
        <v/>
      </c>
      <c r="Y31" s="15" t="str">
        <f>IF(OR($D31="1 dd",$D31="2 dd",$D31="3 dd",$D31="4 dd",$D31="6 dd",$D31="8 dd",$D31="12 dd",$D31="an",$D31="1 X"),VLOOKUP($D31,ber_tijden!$A$16:$X$26,ber_tijden!S$14,FALSE),"")</f>
        <v/>
      </c>
      <c r="Z31" s="106" t="str">
        <f>IF(OR($D31="1 dd",$D31="2 dd",$D31="3 dd",$D31="4 dd",$D31="6 dd",$D31="8 dd",$D31="12 dd",$D31="an",$D31="1 X"),VLOOKUP($D31,ber_tijden!$A$16:$X$26,ber_tijden!T$14,FALSE),"")</f>
        <v/>
      </c>
      <c r="AA31" s="15" t="str">
        <f>IF(OR($D31="1 dd",$D31="2 dd",$D31="3 dd",$D31="4 dd",$D31="6 dd",$D31="8 dd",$D31="12 dd",$D31="an",$D31="1 X"),VLOOKUP($D31,ber_tijden!$A$16:$X$26,ber_tijden!U$14,FALSE),"")</f>
        <v/>
      </c>
      <c r="AB31" s="106" t="str">
        <f>IF(OR($D31="1 dd",$D31="2 dd",$D31="3 dd",$D31="4 dd",$D31="6 dd",$D31="8 dd",$D31="12 dd",$D31="an",$D31="1 X"),VLOOKUP($D31,ber_tijden!$A$16:$X$26,ber_tijden!V$14,FALSE),"")</f>
        <v/>
      </c>
      <c r="AC31" s="15" t="str">
        <f>IF(OR($D31="1 dd",$D31="2 dd",$D31="3 dd",$D31="4 dd",$D31="6 dd",$D31="8 dd",$D31="12 dd",$D31="an",$D31="1 X"),VLOOKUP($D31,ber_tijden!$A$16:$X$26,ber_tijden!W$14,FALSE),"")</f>
        <v/>
      </c>
      <c r="AD31" s="106" t="str">
        <f>IF(OR($D31="1 dd",$D31="2 dd",$D31="3 dd",$D31="4 dd",$D31="6 dd",$D31="8 dd",$D31="12 dd",$D31="an",$D31="1 X"),VLOOKUP($D31,ber_tijden!$A$16:$X$26,ber_tijden!X$14,FALSE),"")</f>
        <v/>
      </c>
      <c r="AE31" s="17"/>
      <c r="AF31" s="105"/>
      <c r="AG31" s="17"/>
    </row>
    <row r="32" spans="2:33" s="517" customFormat="1" ht="26.1" customHeight="1" x14ac:dyDescent="0.35">
      <c r="B32" s="107"/>
      <c r="C32" s="231" t="str">
        <f>IF(ber_Med_disc!C31&lt;&gt;"",IF(ber_Med_disc!C31&gt;1,TRIM(ber_Med_disc!C31)&amp;", "&amp;ber_Opm!C45&amp;" ("&amp;ber_Med_disc!M31&amp;" "&amp;ber_Med_disc!F31&amp;"/kg/dag)",TRIM(ber_Med_disc!C31)&amp;", "&amp;ber_Opm!C45),"")</f>
        <v/>
      </c>
      <c r="D32" s="232" t="str">
        <f>IF(Med_disc!H64&lt;&gt;"",Med_disc!H64,"")</f>
        <v/>
      </c>
      <c r="E32" s="233" t="str">
        <f>IF(AND(D32&lt;&gt;"",D32&lt;&gt;"STOP"),ber_Med_disc!H31&amp;" "&amp;ber_Med_disc!F31,"")</f>
        <v/>
      </c>
      <c r="F32" s="233" t="str">
        <f>IF(AND(D32&lt;&gt;"",D32&lt;&gt;"STOP"),ber_Med_disc!L31," ")</f>
        <v xml:space="preserve"> </v>
      </c>
      <c r="G32" s="233" t="str">
        <f>IF(Med_disc!L54&lt;&gt;"",Med_disc!L54&amp;" "&amp;Med_disc!M54&amp;" "&amp;INDEX(ber_Med_disc!$B$27:$B$30,ber_Med_disc!O31,1)&amp;" in "&amp;Med_disc!$O$44,"")</f>
        <v/>
      </c>
      <c r="H32" s="106" t="str">
        <f>IF(OR($D32="1 dd",$D32="2 dd",$D32="3 dd",$D32="4 dd",$D32="6 dd",$D32="8 dd",$D32="12 dd",$D32="an",$D32="1 X"),VLOOKUP($D32,ber_tijden!$A$16:$X$26,ber_tijden!B$14,FALSE),"")</f>
        <v/>
      </c>
      <c r="I32" s="15" t="str">
        <f>IF(OR($D32="1 dd",$D32="2 dd",$D32="3 dd",$D32="4 dd",$D32="6 dd",$D32="8 dd",$D32="12 dd",$D32="an",$D32="1 X"),VLOOKUP($D32,ber_tijden!$A$16:$X$26,ber_tijden!C$14,FALSE),"")</f>
        <v/>
      </c>
      <c r="J32" s="106" t="str">
        <f>IF(OR($D32="1 dd",$D32="2 dd",$D32="3 dd",$D32="4 dd",$D32="6 dd",$D32="8 dd",$D32="12 dd",$D32="an",$D32="1 X"),VLOOKUP($D32,ber_tijden!$A$16:$X$26,ber_tijden!D$14,FALSE),"")</f>
        <v/>
      </c>
      <c r="K32" s="15" t="str">
        <f>IF(OR($D32="1 dd",$D32="2 dd",$D32="3 dd",$D32="4 dd",$D32="6 dd",$D32="8 dd",$D32="12 dd",$D32="an",$D32="1 X"),VLOOKUP($D32,ber_tijden!$A$16:$X$26,ber_tijden!E$14,FALSE),"")</f>
        <v/>
      </c>
      <c r="L32" s="106" t="str">
        <f>IF(OR($D32="1 dd",$D32="2 dd",$D32="3 dd",$D32="4 dd",$D32="6 dd",$D32="8 dd",$D32="12 dd",$D32="an",$D32="1 X"),VLOOKUP($D32,ber_tijden!$A$16:$X$26,ber_tijden!F$14,FALSE),"")</f>
        <v/>
      </c>
      <c r="M32" s="15" t="str">
        <f>IF(OR($D32="1 dd",$D32="2 dd",$D32="3 dd",$D32="4 dd",$D32="6 dd",$D32="8 dd",$D32="12 dd",$D32="an",$D32="1 X"),VLOOKUP($D32,ber_tijden!$A$16:$X$26,ber_tijden!G$14,FALSE),"")</f>
        <v/>
      </c>
      <c r="N32" s="106" t="str">
        <f>IF(OR($D32="1 dd",$D32="2 dd",$D32="3 dd",$D32="4 dd",$D32="6 dd",$D32="8 dd",$D32="12 dd",$D32="an",$D32="1 X"),VLOOKUP($D32,ber_tijden!$A$16:$X$26,ber_tijden!H$14,FALSE),"")</f>
        <v/>
      </c>
      <c r="O32" s="15" t="str">
        <f>IF(OR($D32="1 dd",$D32="2 dd",$D32="3 dd",$D32="4 dd",$D32="6 dd",$D32="8 dd",$D32="12 dd",$D32="an",$D32="1 X"),VLOOKUP($D32,ber_tijden!$A$16:$X$26,ber_tijden!I$14,FALSE),"")</f>
        <v/>
      </c>
      <c r="P32" s="106" t="str">
        <f>IF(OR($D32="1 dd",$D32="2 dd",$D32="3 dd",$D32="4 dd",$D32="6 dd",$D32="8 dd",$D32="12 dd",$D32="an",$D32="1 X"),VLOOKUP($D32,ber_tijden!$A$16:$X$26,ber_tijden!J$14,FALSE),"")</f>
        <v/>
      </c>
      <c r="Q32" s="15" t="str">
        <f>IF(OR($D32="1 dd",$D32="2 dd",$D32="3 dd",$D32="4 dd",$D32="6 dd",$D32="8 dd",$D32="12 dd",$D32="an",$D32="1 X"),VLOOKUP($D32,ber_tijden!$A$16:$X$26,ber_tijden!K$14,FALSE),"")</f>
        <v/>
      </c>
      <c r="R32" s="106" t="str">
        <f>IF(OR($D32="1 dd",$D32="2 dd",$D32="3 dd",$D32="4 dd",$D32="6 dd",$D32="8 dd",$D32="12 dd",$D32="an",$D32="1 X"),VLOOKUP($D32,ber_tijden!$A$16:$X$26,ber_tijden!L$14,FALSE),"")</f>
        <v/>
      </c>
      <c r="S32" s="15" t="str">
        <f>IF(OR($D32="1 dd",$D32="2 dd",$D32="3 dd",$D32="4 dd",$D32="6 dd",$D32="8 dd",$D32="12 dd",$D32="an",$D32="1 X"),VLOOKUP($D32,ber_tijden!$A$16:$X$26,ber_tijden!M$14,FALSE),"")</f>
        <v/>
      </c>
      <c r="T32" s="106" t="str">
        <f>IF(OR($D32="1 dd",$D32="2 dd",$D32="3 dd",$D32="4 dd",$D32="6 dd",$D32="8 dd",$D32="12 dd",$D32="an",$D32="1 X"),VLOOKUP($D32,ber_tijden!$A$16:$X$26,ber_tijden!N$14,FALSE),"")</f>
        <v/>
      </c>
      <c r="U32" s="15" t="str">
        <f>IF(OR($D32="1 dd",$D32="2 dd",$D32="3 dd",$D32="4 dd",$D32="6 dd",$D32="8 dd",$D32="12 dd",$D32="an",$D32="1 X"),VLOOKUP($D32,ber_tijden!$A$16:$X$26,ber_tijden!O$14,FALSE),"")</f>
        <v/>
      </c>
      <c r="V32" s="106" t="str">
        <f>IF(OR($D32="1 dd",$D32="2 dd",$D32="3 dd",$D32="4 dd",$D32="6 dd",$D32="8 dd",$D32="12 dd",$D32="an",$D32="1 X"),VLOOKUP($D32,ber_tijden!$A$16:$X$26,ber_tijden!P$14,FALSE),"")</f>
        <v/>
      </c>
      <c r="W32" s="15" t="str">
        <f>IF(OR($D32="1 dd",$D32="2 dd",$D32="3 dd",$D32="4 dd",$D32="6 dd",$D32="8 dd",$D32="12 dd",$D32="an",$D32="1 X"),VLOOKUP($D32,ber_tijden!$A$16:$X$26,ber_tijden!Q$14,FALSE),"")</f>
        <v/>
      </c>
      <c r="X32" s="106" t="str">
        <f>IF(OR($D32="1 dd",$D32="2 dd",$D32="3 dd",$D32="4 dd",$D32="6 dd",$D32="8 dd",$D32="12 dd",$D32="an",$D32="1 X"),VLOOKUP($D32,ber_tijden!$A$16:$X$26,ber_tijden!R$14,FALSE),"")</f>
        <v/>
      </c>
      <c r="Y32" s="15" t="str">
        <f>IF(OR($D32="1 dd",$D32="2 dd",$D32="3 dd",$D32="4 dd",$D32="6 dd",$D32="8 dd",$D32="12 dd",$D32="an",$D32="1 X"),VLOOKUP($D32,ber_tijden!$A$16:$X$26,ber_tijden!S$14,FALSE),"")</f>
        <v/>
      </c>
      <c r="Z32" s="106" t="str">
        <f>IF(OR($D32="1 dd",$D32="2 dd",$D32="3 dd",$D32="4 dd",$D32="6 dd",$D32="8 dd",$D32="12 dd",$D32="an",$D32="1 X"),VLOOKUP($D32,ber_tijden!$A$16:$X$26,ber_tijden!T$14,FALSE),"")</f>
        <v/>
      </c>
      <c r="AA32" s="15" t="str">
        <f>IF(OR($D32="1 dd",$D32="2 dd",$D32="3 dd",$D32="4 dd",$D32="6 dd",$D32="8 dd",$D32="12 dd",$D32="an",$D32="1 X"),VLOOKUP($D32,ber_tijden!$A$16:$X$26,ber_tijden!U$14,FALSE),"")</f>
        <v/>
      </c>
      <c r="AB32" s="106" t="str">
        <f>IF(OR($D32="1 dd",$D32="2 dd",$D32="3 dd",$D32="4 dd",$D32="6 dd",$D32="8 dd",$D32="12 dd",$D32="an",$D32="1 X"),VLOOKUP($D32,ber_tijden!$A$16:$X$26,ber_tijden!V$14,FALSE),"")</f>
        <v/>
      </c>
      <c r="AC32" s="15" t="str">
        <f>IF(OR($D32="1 dd",$D32="2 dd",$D32="3 dd",$D32="4 dd",$D32="6 dd",$D32="8 dd",$D32="12 dd",$D32="an",$D32="1 X"),VLOOKUP($D32,ber_tijden!$A$16:$X$26,ber_tijden!W$14,FALSE),"")</f>
        <v/>
      </c>
      <c r="AD32" s="106" t="str">
        <f>IF(OR($D32="1 dd",$D32="2 dd",$D32="3 dd",$D32="4 dd",$D32="6 dd",$D32="8 dd",$D32="12 dd",$D32="an",$D32="1 X"),VLOOKUP($D32,ber_tijden!$A$16:$X$26,ber_tijden!X$14,FALSE),"")</f>
        <v/>
      </c>
      <c r="AE32" s="17"/>
      <c r="AF32" s="105"/>
      <c r="AG32" s="17"/>
    </row>
  </sheetData>
  <sheetProtection algorithmName="SHA-512" hashValue="q2ju+I2xvl8wrCIE/IXyMjxCvhM9/87GH/sWH61i+yTKK9MrLGA7KX7LJemucruEqETykxiS94Mz2ebjzUMwOA==" saltValue="iSVGi28B8Bjo+zakrAjQMA==" spinCount="100000" sheet="1" objects="1" scenarios="1" selectLockedCells="1" selectUnlockedCells="1"/>
  <customSheetViews>
    <customSheetView guid="{33CCADFA-0D48-46A6-8927-2B2144029216}">
      <selection activeCell="C7" sqref="C7"/>
      <pageMargins left="0.31" right="0.69" top="0.19685039370078741" bottom="0.19685039370078741" header="0.19685039370078741" footer="0.19685039370078741"/>
      <printOptions horizontalCentered="1" verticalCentered="1"/>
      <pageSetup paperSize="9" orientation="landscape" r:id="rId1"/>
      <headerFooter alignWithMargins="0">
        <oddHeader>&amp;LBed 1.4</oddHeader>
      </headerFooter>
    </customSheetView>
  </customSheetViews>
  <mergeCells count="3">
    <mergeCell ref="R1:W1"/>
    <mergeCell ref="AB1:AF1"/>
    <mergeCell ref="F1:G1"/>
  </mergeCells>
  <phoneticPr fontId="29" type="noConversion"/>
  <conditionalFormatting sqref="B3:B22">
    <cfRule type="cellIs" dxfId="17" priority="11" stopIfTrue="1" operator="equal">
      <formula>$AB$1</formula>
    </cfRule>
  </conditionalFormatting>
  <conditionalFormatting sqref="B23">
    <cfRule type="cellIs" dxfId="16" priority="10" stopIfTrue="1" operator="equal">
      <formula>$AB$1</formula>
    </cfRule>
  </conditionalFormatting>
  <conditionalFormatting sqref="B24">
    <cfRule type="cellIs" dxfId="15" priority="9" stopIfTrue="1" operator="equal">
      <formula>$AB$1</formula>
    </cfRule>
  </conditionalFormatting>
  <conditionalFormatting sqref="B25">
    <cfRule type="cellIs" dxfId="14" priority="8" stopIfTrue="1" operator="equal">
      <formula>$AB$1</formula>
    </cfRule>
  </conditionalFormatting>
  <conditionalFormatting sqref="B26">
    <cfRule type="cellIs" dxfId="13" priority="7" stopIfTrue="1" operator="equal">
      <formula>$AB$1</formula>
    </cfRule>
  </conditionalFormatting>
  <conditionalFormatting sqref="B27">
    <cfRule type="cellIs" dxfId="12" priority="6" stopIfTrue="1" operator="equal">
      <formula>$AB$1</formula>
    </cfRule>
  </conditionalFormatting>
  <conditionalFormatting sqref="B28">
    <cfRule type="cellIs" dxfId="11" priority="5" stopIfTrue="1" operator="equal">
      <formula>$AB$1</formula>
    </cfRule>
  </conditionalFormatting>
  <conditionalFormatting sqref="B29">
    <cfRule type="cellIs" dxfId="10" priority="4" stopIfTrue="1" operator="equal">
      <formula>$AB$1</formula>
    </cfRule>
  </conditionalFormatting>
  <conditionalFormatting sqref="B30">
    <cfRule type="cellIs" dxfId="9" priority="3" stopIfTrue="1" operator="equal">
      <formula>$AB$1</formula>
    </cfRule>
  </conditionalFormatting>
  <conditionalFormatting sqref="B31">
    <cfRule type="cellIs" dxfId="8" priority="2" stopIfTrue="1" operator="equal">
      <formula>$AB$1</formula>
    </cfRule>
  </conditionalFormatting>
  <conditionalFormatting sqref="B32">
    <cfRule type="cellIs" dxfId="7" priority="1" stopIfTrue="1" operator="equal">
      <formula>$AB$1</formula>
    </cfRule>
  </conditionalFormatting>
  <printOptions horizontalCentered="1" verticalCentered="1"/>
  <pageMargins left="0.31" right="0.69" top="0.19685039370078741" bottom="0.19685039370078741" header="0.19685039370078741" footer="0.19685039370078741"/>
  <pageSetup paperSize="9" orientation="landscape" r:id="rId2"/>
  <headerFooter alignWithMargins="0">
    <oddHeader>&amp;LBed 1.4</oddHeader>
  </headerFooter>
  <ignoredErrors>
    <ignoredError sqref="D26" formula="1"/>
  </ignoredError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ijden">
    <tabColor rgb="FF92D050"/>
  </sheetPr>
  <dimension ref="A1:X29"/>
  <sheetViews>
    <sheetView workbookViewId="0"/>
  </sheetViews>
  <sheetFormatPr defaultRowHeight="12.85" x14ac:dyDescent="0.35"/>
  <cols>
    <col min="2" max="24" width="4.73046875" customWidth="1"/>
  </cols>
  <sheetData>
    <row r="1" spans="1:24" x14ac:dyDescent="0.35">
      <c r="A1" s="577" t="s">
        <v>852</v>
      </c>
    </row>
    <row r="2" spans="1:24" x14ac:dyDescent="0.35">
      <c r="A2" t="s">
        <v>805</v>
      </c>
      <c r="B2">
        <v>20</v>
      </c>
    </row>
    <row r="3" spans="1:24" x14ac:dyDescent="0.35">
      <c r="A3" t="s">
        <v>853</v>
      </c>
      <c r="B3">
        <v>10</v>
      </c>
    </row>
    <row r="4" spans="1:24" x14ac:dyDescent="0.35">
      <c r="A4" t="s">
        <v>854</v>
      </c>
      <c r="B4">
        <v>10</v>
      </c>
      <c r="C4">
        <v>22</v>
      </c>
    </row>
    <row r="5" spans="1:24" x14ac:dyDescent="0.35">
      <c r="A5" t="s">
        <v>855</v>
      </c>
      <c r="B5">
        <v>10</v>
      </c>
      <c r="C5">
        <v>18</v>
      </c>
      <c r="D5">
        <v>2</v>
      </c>
    </row>
    <row r="6" spans="1:24" x14ac:dyDescent="0.35">
      <c r="A6" s="577" t="s">
        <v>856</v>
      </c>
      <c r="B6">
        <v>10</v>
      </c>
      <c r="C6">
        <v>18</v>
      </c>
      <c r="D6">
        <v>24</v>
      </c>
      <c r="E6">
        <v>6</v>
      </c>
    </row>
    <row r="7" spans="1:24" x14ac:dyDescent="0.35">
      <c r="A7" t="s">
        <v>393</v>
      </c>
      <c r="B7">
        <v>10</v>
      </c>
      <c r="C7">
        <v>14</v>
      </c>
      <c r="D7">
        <v>18</v>
      </c>
      <c r="E7">
        <v>22</v>
      </c>
      <c r="F7">
        <v>2</v>
      </c>
      <c r="G7">
        <v>6</v>
      </c>
    </row>
    <row r="8" spans="1:24" x14ac:dyDescent="0.35">
      <c r="A8" t="s">
        <v>394</v>
      </c>
      <c r="B8">
        <v>11</v>
      </c>
      <c r="C8">
        <v>14</v>
      </c>
      <c r="D8">
        <v>17</v>
      </c>
      <c r="E8">
        <v>20</v>
      </c>
      <c r="F8">
        <v>23</v>
      </c>
      <c r="G8">
        <v>2</v>
      </c>
      <c r="H8">
        <v>5</v>
      </c>
      <c r="I8">
        <v>8</v>
      </c>
    </row>
    <row r="9" spans="1:24" x14ac:dyDescent="0.35">
      <c r="A9" t="s">
        <v>395</v>
      </c>
      <c r="B9">
        <v>10</v>
      </c>
      <c r="C9">
        <v>12</v>
      </c>
      <c r="D9">
        <v>14</v>
      </c>
      <c r="E9">
        <v>16</v>
      </c>
      <c r="F9">
        <v>18</v>
      </c>
      <c r="G9">
        <v>20</v>
      </c>
      <c r="H9">
        <v>22</v>
      </c>
      <c r="I9">
        <v>24</v>
      </c>
      <c r="J9">
        <v>2</v>
      </c>
      <c r="K9">
        <v>4</v>
      </c>
      <c r="L9">
        <v>6</v>
      </c>
      <c r="M9">
        <v>8</v>
      </c>
    </row>
    <row r="10" spans="1:24" x14ac:dyDescent="0.35">
      <c r="A10" t="s">
        <v>50</v>
      </c>
    </row>
    <row r="12" spans="1:24" x14ac:dyDescent="0.35">
      <c r="A12">
        <v>10</v>
      </c>
      <c r="B12" t="s">
        <v>853</v>
      </c>
      <c r="C12" t="s">
        <v>854</v>
      </c>
      <c r="D12" t="s">
        <v>855</v>
      </c>
      <c r="E12" t="s">
        <v>856</v>
      </c>
      <c r="F12" t="s">
        <v>393</v>
      </c>
      <c r="G12" t="s">
        <v>395</v>
      </c>
    </row>
    <row r="14" spans="1:24" x14ac:dyDescent="0.35">
      <c r="B14">
        <v>2</v>
      </c>
      <c r="C14">
        <v>3</v>
      </c>
      <c r="D14">
        <v>4</v>
      </c>
      <c r="E14">
        <v>5</v>
      </c>
      <c r="F14">
        <v>6</v>
      </c>
      <c r="G14">
        <v>7</v>
      </c>
      <c r="H14">
        <v>8</v>
      </c>
      <c r="I14">
        <v>9</v>
      </c>
      <c r="J14">
        <v>10</v>
      </c>
      <c r="K14">
        <v>11</v>
      </c>
      <c r="L14">
        <v>12</v>
      </c>
      <c r="M14">
        <v>13</v>
      </c>
      <c r="N14">
        <v>14</v>
      </c>
      <c r="O14">
        <v>15</v>
      </c>
      <c r="P14">
        <v>16</v>
      </c>
      <c r="Q14">
        <v>17</v>
      </c>
      <c r="R14">
        <v>18</v>
      </c>
      <c r="S14">
        <v>19</v>
      </c>
      <c r="T14">
        <v>20</v>
      </c>
      <c r="U14">
        <v>21</v>
      </c>
      <c r="V14">
        <v>22</v>
      </c>
      <c r="W14">
        <v>23</v>
      </c>
      <c r="X14">
        <v>24</v>
      </c>
    </row>
    <row r="15" spans="1:24" x14ac:dyDescent="0.35">
      <c r="B15" s="14">
        <v>10</v>
      </c>
      <c r="C15" s="14">
        <v>11</v>
      </c>
      <c r="D15" s="14">
        <v>12</v>
      </c>
      <c r="E15" s="14">
        <v>13</v>
      </c>
      <c r="F15" s="14">
        <v>14</v>
      </c>
      <c r="G15" s="14">
        <v>15</v>
      </c>
      <c r="H15" s="14">
        <v>16</v>
      </c>
      <c r="I15" s="14">
        <v>17</v>
      </c>
      <c r="J15" s="14">
        <v>18</v>
      </c>
      <c r="K15" s="14">
        <v>19</v>
      </c>
      <c r="L15" s="14">
        <v>20</v>
      </c>
      <c r="M15" s="14">
        <v>21</v>
      </c>
      <c r="N15" s="14">
        <v>22</v>
      </c>
      <c r="O15" s="14">
        <v>23</v>
      </c>
      <c r="P15" s="14">
        <v>24</v>
      </c>
      <c r="Q15" s="14">
        <v>1</v>
      </c>
      <c r="R15" s="14">
        <v>2</v>
      </c>
      <c r="S15" s="14">
        <v>3</v>
      </c>
      <c r="T15" s="14">
        <v>4</v>
      </c>
      <c r="U15" s="14">
        <v>5</v>
      </c>
      <c r="V15" s="14">
        <v>6</v>
      </c>
      <c r="W15" s="14">
        <v>7</v>
      </c>
      <c r="X15" s="14">
        <v>8</v>
      </c>
    </row>
    <row r="16" spans="1:24" x14ac:dyDescent="0.35">
      <c r="A16" t="s">
        <v>919</v>
      </c>
      <c r="B16" s="27"/>
      <c r="C16" s="27"/>
      <c r="D16" s="29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8"/>
      <c r="S16" s="28"/>
      <c r="T16" s="28"/>
      <c r="U16" s="28"/>
      <c r="V16" s="28"/>
      <c r="W16" s="28"/>
      <c r="X16" s="28"/>
    </row>
    <row r="17" spans="1:24" s="517" customFormat="1" x14ac:dyDescent="0.35">
      <c r="A17" s="517" t="s">
        <v>766</v>
      </c>
      <c r="B17" s="27"/>
      <c r="C17" s="27"/>
      <c r="D17" s="29"/>
      <c r="E17" s="27"/>
      <c r="F17" s="27"/>
      <c r="G17" s="27"/>
      <c r="H17" s="27"/>
      <c r="I17" s="27"/>
      <c r="J17" s="27"/>
      <c r="K17" s="27"/>
      <c r="L17" s="29" t="s">
        <v>396</v>
      </c>
      <c r="M17" s="27"/>
      <c r="N17" s="27"/>
      <c r="O17" s="27"/>
      <c r="P17" s="27"/>
      <c r="Q17" s="27"/>
      <c r="R17" s="28"/>
      <c r="S17" s="28"/>
      <c r="T17" s="28"/>
      <c r="U17" s="28"/>
      <c r="V17" s="28"/>
      <c r="W17" s="28"/>
      <c r="X17" s="28"/>
    </row>
    <row r="18" spans="1:24" x14ac:dyDescent="0.35">
      <c r="A18" t="s">
        <v>1774</v>
      </c>
      <c r="B18" s="27"/>
      <c r="C18" s="27"/>
      <c r="D18" s="27"/>
      <c r="E18" s="27"/>
      <c r="F18" s="27"/>
      <c r="G18" s="27"/>
      <c r="H18" s="27"/>
      <c r="I18" s="27"/>
      <c r="J18" s="27"/>
      <c r="K18" s="27"/>
      <c r="M18" s="27"/>
      <c r="N18" s="29"/>
      <c r="O18" s="27"/>
      <c r="P18" s="27"/>
      <c r="Q18" s="27"/>
      <c r="R18" s="28"/>
      <c r="S18" s="28"/>
      <c r="T18" s="28"/>
      <c r="U18" s="28"/>
      <c r="V18" s="28"/>
      <c r="W18" s="28"/>
      <c r="X18" s="28"/>
    </row>
    <row r="19" spans="1:24" x14ac:dyDescent="0.35">
      <c r="A19" t="s">
        <v>853</v>
      </c>
      <c r="B19" s="15" t="s">
        <v>396</v>
      </c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</row>
    <row r="20" spans="1:24" x14ac:dyDescent="0.35">
      <c r="A20" t="s">
        <v>854</v>
      </c>
      <c r="B20" s="15" t="s">
        <v>396</v>
      </c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 t="s">
        <v>396</v>
      </c>
      <c r="O20" s="15"/>
      <c r="P20" s="15"/>
      <c r="Q20" s="15"/>
    </row>
    <row r="21" spans="1:24" x14ac:dyDescent="0.35">
      <c r="A21" t="s">
        <v>855</v>
      </c>
      <c r="B21" s="15" t="s">
        <v>396</v>
      </c>
      <c r="C21" s="15"/>
      <c r="D21" s="15"/>
      <c r="E21" s="15"/>
      <c r="F21" s="15"/>
      <c r="G21" s="15"/>
      <c r="H21" s="15"/>
      <c r="I21" s="15"/>
      <c r="J21" s="15" t="s">
        <v>396</v>
      </c>
      <c r="K21" s="15"/>
      <c r="L21" s="15"/>
      <c r="M21" s="15"/>
      <c r="N21" s="15"/>
      <c r="O21" s="15"/>
      <c r="P21" s="15"/>
      <c r="Q21" s="15"/>
      <c r="R21" t="s">
        <v>396</v>
      </c>
    </row>
    <row r="22" spans="1:24" x14ac:dyDescent="0.35">
      <c r="A22" t="s">
        <v>856</v>
      </c>
      <c r="B22" s="15"/>
      <c r="C22" s="15"/>
      <c r="D22" s="15" t="s">
        <v>396</v>
      </c>
      <c r="E22" s="15"/>
      <c r="F22" s="15"/>
      <c r="G22" s="15"/>
      <c r="H22" s="15"/>
      <c r="I22" s="15"/>
      <c r="J22" s="15" t="s">
        <v>396</v>
      </c>
      <c r="K22" s="15"/>
      <c r="L22" s="15"/>
      <c r="M22" s="15"/>
      <c r="N22" s="15"/>
      <c r="O22" s="15"/>
      <c r="P22" s="15" t="s">
        <v>396</v>
      </c>
      <c r="Q22" s="15"/>
      <c r="V22" t="s">
        <v>396</v>
      </c>
    </row>
    <row r="23" spans="1:24" x14ac:dyDescent="0.35">
      <c r="A23" t="s">
        <v>393</v>
      </c>
      <c r="B23" s="15" t="s">
        <v>396</v>
      </c>
      <c r="C23" s="15"/>
      <c r="D23" s="15"/>
      <c r="E23" s="15"/>
      <c r="F23" s="15" t="s">
        <v>396</v>
      </c>
      <c r="G23" s="15"/>
      <c r="H23" s="15"/>
      <c r="I23" s="15"/>
      <c r="J23" s="15" t="s">
        <v>396</v>
      </c>
      <c r="K23" s="15"/>
      <c r="L23" s="15"/>
      <c r="M23" s="15"/>
      <c r="N23" s="15" t="s">
        <v>396</v>
      </c>
      <c r="O23" s="15"/>
      <c r="P23" s="15"/>
      <c r="Q23" s="15"/>
      <c r="R23" t="s">
        <v>396</v>
      </c>
      <c r="V23" t="s">
        <v>396</v>
      </c>
    </row>
    <row r="24" spans="1:24" x14ac:dyDescent="0.35">
      <c r="A24" t="s">
        <v>394</v>
      </c>
      <c r="B24" s="15"/>
      <c r="C24" s="15" t="s">
        <v>396</v>
      </c>
      <c r="D24" s="15"/>
      <c r="E24" s="15"/>
      <c r="F24" s="15" t="s">
        <v>396</v>
      </c>
      <c r="G24" s="15"/>
      <c r="H24" s="15"/>
      <c r="I24" s="15" t="s">
        <v>396</v>
      </c>
      <c r="J24" s="15"/>
      <c r="K24" s="15"/>
      <c r="L24" s="15" t="s">
        <v>396</v>
      </c>
      <c r="M24" s="15"/>
      <c r="N24" s="15"/>
      <c r="O24" s="15" t="s">
        <v>396</v>
      </c>
      <c r="P24" s="15"/>
      <c r="Q24" s="15"/>
      <c r="R24" t="s">
        <v>396</v>
      </c>
      <c r="U24" t="s">
        <v>396</v>
      </c>
      <c r="X24" t="s">
        <v>396</v>
      </c>
    </row>
    <row r="25" spans="1:24" x14ac:dyDescent="0.35">
      <c r="A25" t="s">
        <v>395</v>
      </c>
      <c r="B25" s="15" t="s">
        <v>396</v>
      </c>
      <c r="C25" s="15"/>
      <c r="D25" s="15" t="s">
        <v>396</v>
      </c>
      <c r="E25" s="15"/>
      <c r="F25" s="15" t="s">
        <v>396</v>
      </c>
      <c r="G25" s="15"/>
      <c r="H25" s="15" t="s">
        <v>396</v>
      </c>
      <c r="I25" s="15"/>
      <c r="J25" s="15" t="s">
        <v>396</v>
      </c>
      <c r="K25" s="15"/>
      <c r="L25" s="15" t="s">
        <v>396</v>
      </c>
      <c r="M25" s="15"/>
      <c r="N25" s="15" t="s">
        <v>396</v>
      </c>
      <c r="O25" s="15"/>
      <c r="P25" s="15" t="s">
        <v>396</v>
      </c>
      <c r="Q25" s="15"/>
      <c r="R25" t="s">
        <v>396</v>
      </c>
      <c r="T25" t="s">
        <v>396</v>
      </c>
      <c r="V25" t="s">
        <v>396</v>
      </c>
      <c r="X25" t="s">
        <v>396</v>
      </c>
    </row>
    <row r="26" spans="1:24" x14ac:dyDescent="0.35">
      <c r="A26" t="s">
        <v>50</v>
      </c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</row>
    <row r="27" spans="1:24" x14ac:dyDescent="0.35"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</row>
    <row r="28" spans="1:24" x14ac:dyDescent="0.35"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</row>
    <row r="29" spans="1:24" x14ac:dyDescent="0.35"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</row>
  </sheetData>
  <customSheetViews>
    <customSheetView guid="{33CCADFA-0D48-46A6-8927-2B2144029216}" state="veryHidden">
      <selection activeCell="A17" sqref="A17"/>
      <pageMargins left="0.75" right="0.75" top="1" bottom="1" header="0.5" footer="0.5"/>
      <pageSetup paperSize="9" orientation="portrait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r:id="rId2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2tot6kg">
    <tabColor rgb="FF7030A0"/>
  </sheetPr>
  <dimension ref="A1:H49"/>
  <sheetViews>
    <sheetView zoomScaleNormal="100" workbookViewId="0"/>
  </sheetViews>
  <sheetFormatPr defaultColWidth="9.1328125" defaultRowHeight="12.85" x14ac:dyDescent="0.35"/>
  <cols>
    <col min="1" max="1" width="8.73046875" style="9" customWidth="1"/>
    <col min="2" max="2" width="23.86328125" style="9" customWidth="1"/>
    <col min="3" max="3" width="9.265625" style="9" bestFit="1" customWidth="1"/>
    <col min="4" max="6" width="10.73046875" style="9" customWidth="1"/>
    <col min="7" max="7" width="9.1328125" style="9"/>
    <col min="8" max="8" width="14.73046875" style="9" customWidth="1"/>
    <col min="9" max="16384" width="9.1328125" style="9"/>
  </cols>
  <sheetData>
    <row r="1" spans="1:8" ht="13.2" x14ac:dyDescent="0.4">
      <c r="A1" s="595" t="s">
        <v>535</v>
      </c>
      <c r="F1" s="3" t="s">
        <v>92</v>
      </c>
    </row>
    <row r="3" spans="1:8" x14ac:dyDescent="0.35">
      <c r="A3" s="9" t="s">
        <v>536</v>
      </c>
      <c r="B3" s="43">
        <f ca="1">TODAY()</f>
        <v>42722</v>
      </c>
      <c r="F3" s="51">
        <f>PatNummer</f>
        <v>0</v>
      </c>
      <c r="G3" s="52"/>
      <c r="H3" s="53"/>
    </row>
    <row r="4" spans="1:8" x14ac:dyDescent="0.35">
      <c r="F4" s="54" t="str">
        <f>_AchterNaam&amp;",  "&amp;_VoorNaam</f>
        <v>Achternaam,  Voornaam</v>
      </c>
      <c r="G4" s="55"/>
      <c r="H4" s="56"/>
    </row>
    <row r="5" spans="1:8" x14ac:dyDescent="0.35">
      <c r="A5" s="9" t="s">
        <v>537</v>
      </c>
      <c r="B5" s="9" t="s">
        <v>771</v>
      </c>
      <c r="F5" s="57">
        <f>GebDatum</f>
        <v>42370</v>
      </c>
      <c r="G5" s="55"/>
      <c r="H5" s="56"/>
    </row>
    <row r="6" spans="1:8" x14ac:dyDescent="0.35">
      <c r="A6" s="583" t="s">
        <v>1001</v>
      </c>
      <c r="B6" s="9">
        <f>BedNummer</f>
        <v>0</v>
      </c>
      <c r="F6" s="54" t="s">
        <v>572</v>
      </c>
      <c r="G6" s="55" t="str">
        <f>Gewicht/10&amp;" kg"</f>
        <v>10 kg</v>
      </c>
      <c r="H6" s="56"/>
    </row>
    <row r="7" spans="1:8" x14ac:dyDescent="0.35">
      <c r="A7" s="9" t="s">
        <v>648</v>
      </c>
      <c r="B7" s="9" t="s">
        <v>538</v>
      </c>
      <c r="F7" s="58"/>
      <c r="G7" s="50"/>
      <c r="H7" s="59"/>
    </row>
    <row r="8" spans="1:8" x14ac:dyDescent="0.35">
      <c r="A8" s="9" t="s">
        <v>594</v>
      </c>
      <c r="B8" s="9" t="s">
        <v>538</v>
      </c>
    </row>
    <row r="10" spans="1:8" ht="13.2" thickBot="1" x14ac:dyDescent="0.4">
      <c r="A10" s="9" t="str">
        <f>IF(Gewicht/10&lt;7,"Tot. hoev. vocht* (150 ml/kg/24 uur):","Tot. hoev. vocht* (110-90 ml/kg/24 uur):")</f>
        <v>Tot. hoev. vocht* (110-90 ml/kg/24 uur):</v>
      </c>
      <c r="C10" s="9">
        <f>ber_TPN!F24</f>
        <v>0</v>
      </c>
      <c r="D10" s="9" t="s">
        <v>649</v>
      </c>
    </row>
    <row r="11" spans="1:8" ht="13.2" thickTop="1" x14ac:dyDescent="0.35">
      <c r="A11" s="896" t="s">
        <v>23</v>
      </c>
      <c r="B11" s="897"/>
      <c r="C11" s="897"/>
      <c r="D11" s="897"/>
      <c r="E11" s="897"/>
      <c r="F11" s="897"/>
      <c r="G11" s="897"/>
      <c r="H11" s="898"/>
    </row>
    <row r="12" spans="1:8" ht="25.65" x14ac:dyDescent="0.35">
      <c r="A12" s="32" t="s">
        <v>627</v>
      </c>
      <c r="B12" s="899" t="s">
        <v>383</v>
      </c>
      <c r="C12" s="901"/>
      <c r="D12" s="903" t="s">
        <v>384</v>
      </c>
      <c r="E12" s="903" t="s">
        <v>385</v>
      </c>
      <c r="F12" s="903" t="s">
        <v>386</v>
      </c>
      <c r="G12" s="33"/>
      <c r="H12" s="33" t="s">
        <v>387</v>
      </c>
    </row>
    <row r="13" spans="1:8" x14ac:dyDescent="0.35">
      <c r="A13" s="34" t="s">
        <v>388</v>
      </c>
      <c r="B13" s="900"/>
      <c r="C13" s="902"/>
      <c r="D13" s="904"/>
      <c r="E13" s="904"/>
      <c r="F13" s="904"/>
      <c r="G13" s="33" t="s">
        <v>389</v>
      </c>
      <c r="H13" s="35" t="s">
        <v>390</v>
      </c>
    </row>
    <row r="14" spans="1:8" ht="20.100000000000001" customHeight="1" x14ac:dyDescent="0.35">
      <c r="A14" s="910" t="str">
        <f>IF(TPN&lt;&gt;1,ROUND(G21/24,1)&amp;" ml/u","")</f>
        <v/>
      </c>
      <c r="B14" s="72" t="s">
        <v>66</v>
      </c>
      <c r="C14" s="73"/>
      <c r="D14" s="73" t="s">
        <v>391</v>
      </c>
      <c r="E14" s="73" t="s">
        <v>391</v>
      </c>
      <c r="F14" s="74" t="s">
        <v>391</v>
      </c>
      <c r="G14" s="75" t="str">
        <f>IF(AND(TPN&lt;&gt;1,G16&lt;&gt;0,Gewicht/10&lt;=50),ROUND(ber_TPN!F7,0),"")</f>
        <v/>
      </c>
      <c r="H14" s="66"/>
    </row>
    <row r="15" spans="1:8" ht="20.100000000000001" customHeight="1" x14ac:dyDescent="0.35">
      <c r="A15" s="911"/>
      <c r="B15" s="76" t="s">
        <v>868</v>
      </c>
      <c r="C15" s="77"/>
      <c r="D15" s="77" t="s">
        <v>88</v>
      </c>
      <c r="E15" s="77" t="s">
        <v>183</v>
      </c>
      <c r="F15" s="78" t="s">
        <v>183</v>
      </c>
      <c r="G15" s="75" t="str">
        <f>IF(AND(TPN&lt;&gt;1,G16&lt;&gt;0,Gewicht/10&lt;=50),ROUND(ber_TPN!F8,0),"")</f>
        <v/>
      </c>
      <c r="H15" s="66"/>
    </row>
    <row r="16" spans="1:8" ht="20.100000000000001" customHeight="1" x14ac:dyDescent="0.35">
      <c r="A16" s="32"/>
      <c r="B16" s="76" t="s">
        <v>869</v>
      </c>
      <c r="C16" s="77"/>
      <c r="D16" s="77" t="s">
        <v>392</v>
      </c>
      <c r="E16" s="77" t="s">
        <v>89</v>
      </c>
      <c r="F16" s="78" t="s">
        <v>90</v>
      </c>
      <c r="G16" s="79" t="str">
        <f>IF(TPN&lt;&gt;1,ber_TPN!F4,"")</f>
        <v/>
      </c>
      <c r="H16" s="66"/>
    </row>
    <row r="17" spans="1:8" ht="20.100000000000001" customHeight="1" x14ac:dyDescent="0.35">
      <c r="A17" s="32"/>
      <c r="B17" s="76" t="s">
        <v>621</v>
      </c>
      <c r="C17" s="77"/>
      <c r="D17" s="77" t="s">
        <v>91</v>
      </c>
      <c r="E17" s="77"/>
      <c r="F17" s="78"/>
      <c r="G17" s="79" t="str">
        <f>IF(AND(SSTglucose=2,TPN&lt;&gt;1,Gewicht/10&lt;=50),ROUND(ber_TPN!F6,0),"")</f>
        <v/>
      </c>
      <c r="H17" s="66"/>
    </row>
    <row r="18" spans="1:8" ht="20.100000000000001" customHeight="1" x14ac:dyDescent="0.35">
      <c r="A18" s="32"/>
      <c r="B18" s="76" t="s">
        <v>870</v>
      </c>
      <c r="C18" s="77"/>
      <c r="D18" s="77"/>
      <c r="E18" s="77" t="s">
        <v>93</v>
      </c>
      <c r="F18" s="78"/>
      <c r="G18" s="79" t="str">
        <f>IF(AND(SSTglucose=3,TPN&lt;&gt;1,Gewicht/10&lt;=50),ROUND(ber_TPN!F6,0),"")</f>
        <v/>
      </c>
      <c r="H18" s="66"/>
    </row>
    <row r="19" spans="1:8" ht="20.100000000000001" customHeight="1" x14ac:dyDescent="0.35">
      <c r="A19" s="32"/>
      <c r="B19" s="76" t="s">
        <v>186</v>
      </c>
      <c r="C19" s="77"/>
      <c r="D19" s="77"/>
      <c r="E19" s="77"/>
      <c r="F19" s="78" t="s">
        <v>94</v>
      </c>
      <c r="G19" s="79" t="str">
        <f>IF(AND(SSTglucose=5,TPN&lt;&gt;1,Gewicht/10&lt;=50),ROUND(ber_TPN!F6,0),"")</f>
        <v/>
      </c>
      <c r="H19" s="66"/>
    </row>
    <row r="20" spans="1:8" ht="20.100000000000001" customHeight="1" x14ac:dyDescent="0.35">
      <c r="A20" s="32"/>
      <c r="B20" s="76" t="str">
        <f>IF(AND(TPN=2,SSTglucose&lt;&gt;2,SSTglucose&lt;&gt;3,SSTglucose&lt;&gt;5,SSTglucose&lt;11),INDEX(tblSSTGlucose,SSTglucose,1),"Glucose       %")</f>
        <v>Glucose       %</v>
      </c>
      <c r="C20" s="77"/>
      <c r="D20" s="77"/>
      <c r="E20" s="77"/>
      <c r="F20" s="78"/>
      <c r="G20" s="79" t="str">
        <f>IF(AND(TPN&lt;&gt;1,B20&lt;&gt;"",Gewicht/10&lt;=50),IF(AND(SSTglucose&lt;&gt;2,SSTglucose&lt;&gt;3,SSTglucose&lt;&gt;5,SSTglucose&lt;11),ROUND(ber_TPN!F6,0),""),"")</f>
        <v/>
      </c>
      <c r="H20" s="66"/>
    </row>
    <row r="21" spans="1:8" ht="15.95" customHeight="1" x14ac:dyDescent="0.35">
      <c r="A21" s="32"/>
      <c r="B21" s="42"/>
      <c r="C21" s="42"/>
      <c r="D21" s="42"/>
      <c r="E21" s="914" t="s">
        <v>461</v>
      </c>
      <c r="F21" s="914"/>
      <c r="G21" s="67">
        <f>SUM(G14:G20)+IF(AND(Gewicht/10&gt;=16,Gewicht/10&lt;=50),ber_TPN!F5,0)</f>
        <v>0</v>
      </c>
      <c r="H21" s="66"/>
    </row>
    <row r="22" spans="1:8" ht="15.95" customHeight="1" x14ac:dyDescent="0.35">
      <c r="A22" s="32"/>
      <c r="B22" s="37"/>
      <c r="C22" s="37"/>
      <c r="D22" s="37"/>
      <c r="E22" s="37"/>
      <c r="F22" s="37"/>
      <c r="G22" s="37"/>
      <c r="H22" s="33"/>
    </row>
    <row r="23" spans="1:8" ht="20.100000000000001" customHeight="1" x14ac:dyDescent="0.35">
      <c r="A23" s="908" t="str">
        <f>IF(G26&gt;0,ROUND(G26/24,1)&amp;" ml/u","")</f>
        <v/>
      </c>
      <c r="B23" s="72" t="s">
        <v>433</v>
      </c>
      <c r="C23" s="73"/>
      <c r="D23" s="73" t="s">
        <v>812</v>
      </c>
      <c r="E23" s="73" t="s">
        <v>813</v>
      </c>
      <c r="F23" s="74" t="s">
        <v>392</v>
      </c>
      <c r="G23" s="75">
        <f>ROUND(ber_TPN!F13,0)</f>
        <v>0</v>
      </c>
      <c r="H23" s="38"/>
    </row>
    <row r="24" spans="1:8" ht="20.100000000000001" customHeight="1" x14ac:dyDescent="0.35">
      <c r="A24" s="909"/>
      <c r="B24" s="76" t="s">
        <v>434</v>
      </c>
      <c r="C24" s="77"/>
      <c r="D24" s="77"/>
      <c r="E24" s="915" t="s">
        <v>595</v>
      </c>
      <c r="F24" s="916"/>
      <c r="G24" s="79">
        <f>ROUND(ber_TPN!F14,0)</f>
        <v>0</v>
      </c>
      <c r="H24" s="33"/>
    </row>
    <row r="25" spans="1:8" ht="20.100000000000001" customHeight="1" x14ac:dyDescent="0.35">
      <c r="A25" s="32"/>
      <c r="B25" s="76"/>
      <c r="C25" s="77"/>
      <c r="D25" s="77"/>
      <c r="E25" s="915"/>
      <c r="F25" s="916"/>
      <c r="G25" s="79"/>
      <c r="H25" s="33"/>
    </row>
    <row r="26" spans="1:8" ht="15.95" customHeight="1" x14ac:dyDescent="0.35">
      <c r="A26" s="32"/>
      <c r="B26" s="64"/>
      <c r="C26" s="64"/>
      <c r="D26" s="64"/>
      <c r="E26" s="917" t="s">
        <v>461</v>
      </c>
      <c r="F26" s="917"/>
      <c r="G26" s="69">
        <f>SUM(G23:G25)</f>
        <v>0</v>
      </c>
      <c r="H26" s="65"/>
    </row>
    <row r="27" spans="1:8" ht="15.95" customHeight="1" thickBot="1" x14ac:dyDescent="0.4">
      <c r="A27" s="32"/>
      <c r="B27" s="64"/>
      <c r="C27" s="64"/>
      <c r="D27" s="64"/>
      <c r="E27" s="64"/>
      <c r="F27" s="64"/>
      <c r="G27" s="37"/>
      <c r="H27" s="33"/>
    </row>
    <row r="28" spans="1:8" ht="15.95" customHeight="1" thickTop="1" x14ac:dyDescent="0.35">
      <c r="A28" s="39"/>
      <c r="B28" s="912" t="s">
        <v>245</v>
      </c>
      <c r="C28" s="913"/>
      <c r="D28" s="913"/>
      <c r="E28" s="913"/>
      <c r="F28" s="913"/>
      <c r="G28" s="60"/>
      <c r="H28" s="40"/>
    </row>
    <row r="29" spans="1:8" ht="20.100000000000001" customHeight="1" x14ac:dyDescent="0.35">
      <c r="A29" s="908" t="str">
        <f>IF(G36&gt;0,ROUND(G36/24,1)&amp;" ml/u","")</f>
        <v/>
      </c>
      <c r="B29" s="83" t="s">
        <v>66</v>
      </c>
      <c r="C29" s="85"/>
      <c r="D29" s="85"/>
      <c r="E29" s="85"/>
      <c r="F29" s="86"/>
      <c r="G29" s="75">
        <f>IF(AND(OR(TPN=1,AND(TPN=2,SSTglucose&gt;10),Gewicht/10&gt;50)),ROUND(ber_TPN!F7,0),0)</f>
        <v>0</v>
      </c>
      <c r="H29" s="33"/>
    </row>
    <row r="30" spans="1:8" ht="20.100000000000001" customHeight="1" x14ac:dyDescent="0.35">
      <c r="A30" s="909"/>
      <c r="B30" s="84" t="s">
        <v>871</v>
      </c>
      <c r="C30" s="87"/>
      <c r="D30" s="87"/>
      <c r="E30" s="87"/>
      <c r="F30" s="88"/>
      <c r="G30" s="79">
        <f>IF(AND(OR(TPN=1,AND(TPN=2,SSTglucose&gt;10),Gewicht/10&gt;50)),ROUND(ber_TPN!F8,0),0)</f>
        <v>0</v>
      </c>
      <c r="H30" s="33"/>
    </row>
    <row r="31" spans="1:8" ht="20.100000000000001" customHeight="1" x14ac:dyDescent="0.35">
      <c r="A31" s="32"/>
      <c r="B31" s="84" t="s">
        <v>898</v>
      </c>
      <c r="C31" s="87"/>
      <c r="D31" s="87"/>
      <c r="E31" s="87"/>
      <c r="F31" s="88"/>
      <c r="G31" s="79">
        <f>ber_TPN!F9</f>
        <v>0</v>
      </c>
      <c r="H31" s="33"/>
    </row>
    <row r="32" spans="1:8" ht="20.100000000000001" customHeight="1" x14ac:dyDescent="0.35">
      <c r="A32" s="32"/>
      <c r="B32" s="84" t="s">
        <v>899</v>
      </c>
      <c r="C32" s="87"/>
      <c r="D32" s="87"/>
      <c r="E32" s="87"/>
      <c r="F32" s="88"/>
      <c r="G32" s="79">
        <f>ber_TPN!F10</f>
        <v>0</v>
      </c>
      <c r="H32" s="33"/>
    </row>
    <row r="33" spans="1:8" ht="20.100000000000001" customHeight="1" x14ac:dyDescent="0.35">
      <c r="A33" s="32"/>
      <c r="B33" s="84" t="s">
        <v>621</v>
      </c>
      <c r="C33" s="87"/>
      <c r="D33" s="87"/>
      <c r="E33" s="87"/>
      <c r="F33" s="88"/>
      <c r="G33" s="79">
        <f>IF(Gewicht/10&lt;=50,ber_TPN!F17,0)+IF(AND(SSTglucose=2,TPN=1,Gewicht/10&lt;=50),ROUND(ber_TPN!F6,0),0)</f>
        <v>0</v>
      </c>
      <c r="H33" s="33"/>
    </row>
    <row r="34" spans="1:8" ht="20.100000000000001" customHeight="1" x14ac:dyDescent="0.35">
      <c r="A34" s="32"/>
      <c r="B34" s="84" t="str">
        <f>IF(AND(OR(TPN=1,AND(TPN=2,SSTglucose&gt;10)),SSTglucose&lt;&gt;11,SSTglucose&lt;&gt;2),INDEX(tblSSTGlucose,SSTglucose,1),"Glucose       %")</f>
        <v>Glucose 5%</v>
      </c>
      <c r="C34" s="87"/>
      <c r="D34" s="87"/>
      <c r="E34" s="87"/>
      <c r="F34" s="88"/>
      <c r="G34" s="79">
        <f>IF(AND(OR(TPN=1,AND(TPN=2,SSTglucose&gt;10),Gewicht/10&gt;50),SSTglucose&lt;&gt;2,SSTglucose&lt;&gt;11),ROUND(ber_TPN!F6,0),"")</f>
        <v>0</v>
      </c>
      <c r="H34" s="33"/>
    </row>
    <row r="35" spans="1:8" ht="20.100000000000001" customHeight="1" x14ac:dyDescent="0.35">
      <c r="A35" s="32"/>
      <c r="B35" s="83" t="s">
        <v>872</v>
      </c>
      <c r="C35" s="85"/>
      <c r="D35" s="85"/>
      <c r="E35" s="85"/>
      <c r="F35" s="86"/>
      <c r="G35" s="79" t="str">
        <f>IF(AND(SSTglucose=11),ROUND(ber_TPN!F6,0),"")</f>
        <v/>
      </c>
      <c r="H35" s="33"/>
    </row>
    <row r="36" spans="1:8" ht="15.95" customHeight="1" x14ac:dyDescent="0.35">
      <c r="A36" s="32"/>
      <c r="B36" s="64"/>
      <c r="C36" s="64"/>
      <c r="D36" s="64"/>
      <c r="E36" s="917" t="s">
        <v>463</v>
      </c>
      <c r="F36" s="917"/>
      <c r="G36" s="68">
        <f>SUM(G29:G35)</f>
        <v>0</v>
      </c>
      <c r="H36" s="33"/>
    </row>
    <row r="37" spans="1:8" ht="15.95" customHeight="1" thickBot="1" x14ac:dyDescent="0.4">
      <c r="A37" s="32"/>
      <c r="B37" s="64"/>
      <c r="C37" s="64"/>
      <c r="D37" s="64"/>
      <c r="E37" s="64"/>
      <c r="F37" s="64"/>
      <c r="G37" s="37"/>
      <c r="H37" s="33"/>
    </row>
    <row r="38" spans="1:8" ht="15.95" customHeight="1" thickTop="1" x14ac:dyDescent="0.35">
      <c r="A38" s="39"/>
      <c r="B38" s="918" t="s">
        <v>516</v>
      </c>
      <c r="C38" s="919"/>
      <c r="D38" s="919"/>
      <c r="E38" s="919"/>
      <c r="F38" s="920"/>
      <c r="G38" s="40" t="s">
        <v>517</v>
      </c>
      <c r="H38" s="40"/>
    </row>
    <row r="39" spans="1:8" ht="15.95" customHeight="1" x14ac:dyDescent="0.35">
      <c r="A39" s="41"/>
      <c r="B39" s="905" t="s">
        <v>518</v>
      </c>
      <c r="C39" s="906"/>
      <c r="D39" s="906"/>
      <c r="E39" s="906"/>
      <c r="F39" s="907"/>
      <c r="G39" s="35" t="s">
        <v>519</v>
      </c>
      <c r="H39" s="33"/>
    </row>
    <row r="40" spans="1:8" ht="15.95" customHeight="1" x14ac:dyDescent="0.35">
      <c r="A40" s="41"/>
      <c r="B40" s="905" t="s">
        <v>520</v>
      </c>
      <c r="C40" s="906"/>
      <c r="D40" s="906"/>
      <c r="E40" s="906"/>
      <c r="F40" s="907"/>
      <c r="G40" s="35" t="s">
        <v>517</v>
      </c>
      <c r="H40" s="36"/>
    </row>
    <row r="42" spans="1:8" x14ac:dyDescent="0.35">
      <c r="A42" s="9" t="s">
        <v>521</v>
      </c>
    </row>
    <row r="43" spans="1:8" x14ac:dyDescent="0.35">
      <c r="A43" s="9" t="s">
        <v>462</v>
      </c>
    </row>
    <row r="45" spans="1:8" x14ac:dyDescent="0.35">
      <c r="A45" s="9" t="s">
        <v>522</v>
      </c>
    </row>
    <row r="47" spans="1:8" x14ac:dyDescent="0.35">
      <c r="A47" s="9" t="s">
        <v>182</v>
      </c>
    </row>
    <row r="49" spans="6:6" ht="13.2" x14ac:dyDescent="0.4">
      <c r="F49" s="3"/>
    </row>
  </sheetData>
  <sheetProtection algorithmName="SHA-512" hashValue="oJgWQ3LVqaN5KSXZD2HdPqsGDWVWtFXbrayHVNW0FwXd6k5YH3LyO0fNGsLoBCzMwByEOBOANXUOhgerO2503g==" saltValue="Fg+QeryHGmRYRXFa6B1aMw==" spinCount="100000" sheet="1" objects="1" scenarios="1" selectLockedCells="1" selectUnlockedCells="1"/>
  <customSheetViews>
    <customSheetView guid="{33CCADFA-0D48-46A6-8927-2B2144029216}">
      <selection activeCell="B12" sqref="B12:B13"/>
      <rowBreaks count="1" manualBreakCount="1">
        <brk id="48" max="7" man="1"/>
      </rowBreaks>
      <pageMargins left="0.39" right="0.26" top="0.42" bottom="0.49" header="0.22" footer="0.24"/>
      <pageSetup paperSize="9" orientation="portrait" horizontalDpi="300" r:id="rId1"/>
      <headerFooter alignWithMargins="0">
        <oddHeader>&amp;LUitgeprint: &amp;D &amp;T&amp;CBed 1.2</oddHeader>
      </headerFooter>
    </customSheetView>
  </customSheetViews>
  <mergeCells count="18">
    <mergeCell ref="B40:F40"/>
    <mergeCell ref="A29:A30"/>
    <mergeCell ref="A14:A15"/>
    <mergeCell ref="A23:A24"/>
    <mergeCell ref="B28:F28"/>
    <mergeCell ref="E21:F21"/>
    <mergeCell ref="E24:F24"/>
    <mergeCell ref="E25:F25"/>
    <mergeCell ref="E26:F26"/>
    <mergeCell ref="E36:F36"/>
    <mergeCell ref="B38:F38"/>
    <mergeCell ref="B39:F39"/>
    <mergeCell ref="A11:H11"/>
    <mergeCell ref="B12:B13"/>
    <mergeCell ref="C12:C13"/>
    <mergeCell ref="D12:D13"/>
    <mergeCell ref="E12:E13"/>
    <mergeCell ref="F12:F13"/>
  </mergeCells>
  <phoneticPr fontId="29" type="noConversion"/>
  <pageMargins left="0.39" right="0.26" top="0.42" bottom="0.49" header="0.22" footer="0.24"/>
  <pageSetup paperSize="9" orientation="portrait" horizontalDpi="300" r:id="rId2"/>
  <headerFooter alignWithMargins="0">
    <oddHeader>&amp;LUitgeprint: &amp;D &amp;T&amp;CBed 1.2</oddHeader>
  </headerFooter>
  <rowBreaks count="1" manualBreakCount="1">
    <brk id="48" max="7" man="1"/>
  </rowBreak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7tot15kg">
    <tabColor rgb="FF7030A0"/>
  </sheetPr>
  <dimension ref="A1:H51"/>
  <sheetViews>
    <sheetView zoomScaleNormal="100" workbookViewId="0"/>
  </sheetViews>
  <sheetFormatPr defaultColWidth="9.1328125" defaultRowHeight="12.85" x14ac:dyDescent="0.35"/>
  <cols>
    <col min="1" max="1" width="8.73046875" style="9" customWidth="1"/>
    <col min="2" max="2" width="23.86328125" style="9" customWidth="1"/>
    <col min="3" max="3" width="9.265625" style="9" bestFit="1" customWidth="1"/>
    <col min="4" max="6" width="10.73046875" style="9" customWidth="1"/>
    <col min="7" max="7" width="9.1328125" style="9"/>
    <col min="8" max="8" width="14.73046875" style="9" customWidth="1"/>
    <col min="9" max="16384" width="9.1328125" style="9"/>
  </cols>
  <sheetData>
    <row r="1" spans="1:8" ht="13.2" x14ac:dyDescent="0.4">
      <c r="A1" s="595" t="s">
        <v>535</v>
      </c>
      <c r="F1" s="3" t="s">
        <v>219</v>
      </c>
    </row>
    <row r="3" spans="1:8" x14ac:dyDescent="0.35">
      <c r="A3" s="9" t="s">
        <v>536</v>
      </c>
      <c r="B3" s="43">
        <f ca="1">TODAY()</f>
        <v>42722</v>
      </c>
      <c r="F3" s="51">
        <f>PatNummer</f>
        <v>0</v>
      </c>
      <c r="G3" s="52"/>
      <c r="H3" s="53"/>
    </row>
    <row r="4" spans="1:8" x14ac:dyDescent="0.35">
      <c r="F4" s="54" t="str">
        <f>_AchterNaam&amp;",  "&amp;_VoorNaam</f>
        <v>Achternaam,  Voornaam</v>
      </c>
      <c r="G4" s="55"/>
      <c r="H4" s="56"/>
    </row>
    <row r="5" spans="1:8" x14ac:dyDescent="0.35">
      <c r="A5" s="9" t="s">
        <v>537</v>
      </c>
      <c r="B5" s="9" t="s">
        <v>771</v>
      </c>
      <c r="F5" s="57">
        <f>GebDatum</f>
        <v>42370</v>
      </c>
      <c r="G5" s="55"/>
      <c r="H5" s="56"/>
    </row>
    <row r="6" spans="1:8" x14ac:dyDescent="0.35">
      <c r="A6" s="583" t="s">
        <v>1001</v>
      </c>
      <c r="B6" s="9">
        <f>BedNummer</f>
        <v>0</v>
      </c>
      <c r="F6" s="54" t="s">
        <v>572</v>
      </c>
      <c r="G6" s="55" t="str">
        <f>Gewicht/10&amp;" kg"</f>
        <v>10 kg</v>
      </c>
      <c r="H6" s="56"/>
    </row>
    <row r="7" spans="1:8" x14ac:dyDescent="0.35">
      <c r="A7" s="9" t="s">
        <v>648</v>
      </c>
      <c r="B7" s="9" t="s">
        <v>538</v>
      </c>
      <c r="F7" s="58"/>
      <c r="G7" s="50"/>
      <c r="H7" s="59"/>
    </row>
    <row r="8" spans="1:8" x14ac:dyDescent="0.35">
      <c r="A8" s="9" t="s">
        <v>594</v>
      </c>
      <c r="B8" s="9" t="s">
        <v>538</v>
      </c>
    </row>
    <row r="10" spans="1:8" ht="13.2" thickBot="1" x14ac:dyDescent="0.4">
      <c r="A10" s="9" t="str">
        <f>IF(Gewicht/10&lt;7,"Tot. hoev. vocht* (150 ml/kg/24 uur):","Tot. hoev. vocht* (110-90 ml/kg/24 uur):")</f>
        <v>Tot. hoev. vocht* (110-90 ml/kg/24 uur):</v>
      </c>
      <c r="C10" s="9">
        <f>ber_TPN!F24</f>
        <v>0</v>
      </c>
      <c r="D10" s="9" t="s">
        <v>649</v>
      </c>
    </row>
    <row r="11" spans="1:8" ht="13.2" thickTop="1" x14ac:dyDescent="0.35">
      <c r="A11" s="896" t="s">
        <v>23</v>
      </c>
      <c r="B11" s="897"/>
      <c r="C11" s="897"/>
      <c r="D11" s="897"/>
      <c r="E11" s="897"/>
      <c r="F11" s="897"/>
      <c r="G11" s="897"/>
      <c r="H11" s="898"/>
    </row>
    <row r="12" spans="1:8" ht="25.65" x14ac:dyDescent="0.35">
      <c r="A12" s="32" t="s">
        <v>627</v>
      </c>
      <c r="B12" s="899" t="s">
        <v>383</v>
      </c>
      <c r="C12" s="901"/>
      <c r="D12" s="903" t="s">
        <v>384</v>
      </c>
      <c r="E12" s="903" t="s">
        <v>385</v>
      </c>
      <c r="F12" s="903" t="s">
        <v>386</v>
      </c>
      <c r="G12" s="33"/>
      <c r="H12" s="33" t="s">
        <v>387</v>
      </c>
    </row>
    <row r="13" spans="1:8" ht="15" customHeight="1" x14ac:dyDescent="0.35">
      <c r="A13" s="34" t="s">
        <v>388</v>
      </c>
      <c r="B13" s="900"/>
      <c r="C13" s="902"/>
      <c r="D13" s="904"/>
      <c r="E13" s="904"/>
      <c r="F13" s="904"/>
      <c r="G13" s="33" t="s">
        <v>389</v>
      </c>
      <c r="H13" s="35" t="s">
        <v>390</v>
      </c>
    </row>
    <row r="14" spans="1:8" ht="20.100000000000001" customHeight="1" x14ac:dyDescent="0.35">
      <c r="A14" s="910" t="str">
        <f>IF(TPN&lt;&gt;1,ROUND(G22/24,1)&amp;" ml/u","")</f>
        <v/>
      </c>
      <c r="B14" s="72" t="s">
        <v>66</v>
      </c>
      <c r="C14" s="73"/>
      <c r="D14" s="73" t="s">
        <v>391</v>
      </c>
      <c r="E14" s="73" t="s">
        <v>391</v>
      </c>
      <c r="F14" s="74" t="s">
        <v>391</v>
      </c>
      <c r="G14" s="75" t="str">
        <f>IF(AND(TPN&lt;&gt;1,G16&lt;&gt;0),ROUND(ber_TPN!F7,0),"")</f>
        <v/>
      </c>
      <c r="H14" s="33"/>
    </row>
    <row r="15" spans="1:8" ht="20.100000000000001" customHeight="1" x14ac:dyDescent="0.35">
      <c r="A15" s="911"/>
      <c r="B15" s="76" t="s">
        <v>868</v>
      </c>
      <c r="C15" s="77"/>
      <c r="D15" s="77" t="s">
        <v>873</v>
      </c>
      <c r="E15" s="77" t="s">
        <v>88</v>
      </c>
      <c r="F15" s="78" t="s">
        <v>88</v>
      </c>
      <c r="G15" s="75" t="str">
        <f>IF(AND(TPN&lt;&gt;1,G16&lt;&gt;0),ROUND(ber_TPN!F8,0),"")</f>
        <v/>
      </c>
      <c r="H15" s="33"/>
    </row>
    <row r="16" spans="1:8" ht="20.100000000000001" customHeight="1" x14ac:dyDescent="0.35">
      <c r="A16" s="32"/>
      <c r="B16" s="76" t="s">
        <v>874</v>
      </c>
      <c r="C16" s="77"/>
      <c r="D16" s="77" t="s">
        <v>813</v>
      </c>
      <c r="E16" s="77" t="s">
        <v>875</v>
      </c>
      <c r="F16" s="78" t="s">
        <v>89</v>
      </c>
      <c r="G16" s="79" t="str">
        <f>IF(TPN&lt;&gt;1,ber_TPN!F4,"")</f>
        <v/>
      </c>
      <c r="H16" s="33"/>
    </row>
    <row r="17" spans="1:8" ht="20.100000000000001" customHeight="1" x14ac:dyDescent="0.35">
      <c r="A17" s="32"/>
      <c r="B17" s="76" t="s">
        <v>621</v>
      </c>
      <c r="C17" s="77"/>
      <c r="D17" s="77" t="s">
        <v>876</v>
      </c>
      <c r="E17" s="77"/>
      <c r="F17" s="78"/>
      <c r="G17" s="79" t="str">
        <f>IF(AND(SSTglucose=2,TPN&lt;&gt;1),ROUND(ber_TPN!F6,0),"")</f>
        <v/>
      </c>
      <c r="H17" s="33"/>
    </row>
    <row r="18" spans="1:8" ht="20.100000000000001" customHeight="1" x14ac:dyDescent="0.35">
      <c r="A18" s="32"/>
      <c r="B18" s="76" t="s">
        <v>197</v>
      </c>
      <c r="C18" s="77"/>
      <c r="D18" s="77"/>
      <c r="E18" s="77" t="s">
        <v>877</v>
      </c>
      <c r="F18" s="78"/>
      <c r="G18" s="79" t="str">
        <f>IF(AND(SSTglucose=6,TPN&lt;&gt;1),ROUND(ber_TPN!F6,0),"")</f>
        <v/>
      </c>
      <c r="H18" s="33"/>
    </row>
    <row r="19" spans="1:8" ht="20.100000000000001" customHeight="1" x14ac:dyDescent="0.35">
      <c r="A19" s="32"/>
      <c r="B19" s="76" t="s">
        <v>878</v>
      </c>
      <c r="C19" s="77"/>
      <c r="D19" s="77"/>
      <c r="E19" s="77"/>
      <c r="F19" s="78" t="s">
        <v>879</v>
      </c>
      <c r="G19" s="79" t="str">
        <f>IF(AND(SSTglucose=8,TPN&lt;&gt;1,Gewicht/10&lt;=10),ROUND(ber_TPN!F6,0),"")</f>
        <v/>
      </c>
      <c r="H19" s="33"/>
    </row>
    <row r="20" spans="1:8" ht="20.100000000000001" customHeight="1" x14ac:dyDescent="0.35">
      <c r="A20" s="32"/>
      <c r="B20" s="76" t="s">
        <v>880</v>
      </c>
      <c r="C20" s="77"/>
      <c r="D20" s="77"/>
      <c r="E20" s="77"/>
      <c r="F20" s="78" t="s">
        <v>881</v>
      </c>
      <c r="G20" s="79" t="str">
        <f>IF(AND(SSTglucose=8,TPN&lt;&gt;1,Gewicht/10&gt;10),ROUND(ber_TPN!F6,0),"")</f>
        <v/>
      </c>
      <c r="H20" s="33"/>
    </row>
    <row r="21" spans="1:8" ht="20.100000000000001" customHeight="1" x14ac:dyDescent="0.35">
      <c r="A21" s="32"/>
      <c r="B21" s="76" t="str">
        <f>IF(AND(TPN=2,SSTglucose&lt;&gt;2,SSTglucose&lt;&gt;6,SSTglucose&lt;&gt;8,SSTglucose&lt;11),INDEX(tblSSTGlucose,SSTglucose,1),"Glucose       %")</f>
        <v>Glucose       %</v>
      </c>
      <c r="C21" s="77"/>
      <c r="D21" s="77"/>
      <c r="E21" s="77"/>
      <c r="F21" s="78"/>
      <c r="G21" s="79" t="str">
        <f>IF(AND(TPN&lt;&gt;1,B20&lt;&gt;""),IF(AND(SSTglucose&lt;&gt;2,SSTglucose&lt;&gt;6,SSTglucose&lt;&gt;8,SSTglucose&lt;11),ROUND(ber_TPN!F6,0),""),"")</f>
        <v/>
      </c>
      <c r="H21" s="33"/>
    </row>
    <row r="22" spans="1:8" ht="15.95" customHeight="1" x14ac:dyDescent="0.35">
      <c r="A22" s="32"/>
      <c r="B22" s="42"/>
      <c r="C22" s="42"/>
      <c r="D22" s="42"/>
      <c r="E22" s="914" t="s">
        <v>461</v>
      </c>
      <c r="F22" s="914"/>
      <c r="G22" s="67">
        <f>SUM(G14:G21)</f>
        <v>0</v>
      </c>
      <c r="H22" s="65"/>
    </row>
    <row r="23" spans="1:8" ht="10.5" customHeight="1" x14ac:dyDescent="0.35">
      <c r="A23" s="32"/>
      <c r="B23" s="37"/>
      <c r="C23" s="37"/>
      <c r="D23" s="37"/>
      <c r="E23" s="37"/>
      <c r="F23" s="37"/>
      <c r="G23" s="37"/>
      <c r="H23" s="33"/>
    </row>
    <row r="24" spans="1:8" ht="20.100000000000001" customHeight="1" x14ac:dyDescent="0.35">
      <c r="A24" s="908" t="str">
        <f>IF(G27&gt;0,ROUND(G27/24,1)&amp;" ml/u","")</f>
        <v/>
      </c>
      <c r="B24" s="72" t="s">
        <v>433</v>
      </c>
      <c r="C24" s="73"/>
      <c r="D24" s="73" t="s">
        <v>812</v>
      </c>
      <c r="E24" s="73" t="s">
        <v>813</v>
      </c>
      <c r="F24" s="74" t="s">
        <v>392</v>
      </c>
      <c r="G24" s="75">
        <f>ROUND(ber_TPN!F13,0)</f>
        <v>0</v>
      </c>
      <c r="H24" s="38"/>
    </row>
    <row r="25" spans="1:8" ht="20.100000000000001" customHeight="1" x14ac:dyDescent="0.35">
      <c r="A25" s="909"/>
      <c r="B25" s="76" t="s">
        <v>434</v>
      </c>
      <c r="C25" s="77"/>
      <c r="D25" s="77"/>
      <c r="E25" s="931" t="s">
        <v>762</v>
      </c>
      <c r="F25" s="932"/>
      <c r="G25" s="75">
        <f>ROUND(ber_TPN!F14,0)</f>
        <v>0</v>
      </c>
      <c r="H25" s="33"/>
    </row>
    <row r="26" spans="1:8" ht="20.100000000000001" customHeight="1" x14ac:dyDescent="0.35">
      <c r="A26" s="32"/>
      <c r="B26" s="76" t="s">
        <v>454</v>
      </c>
      <c r="C26" s="77"/>
      <c r="D26" s="77"/>
      <c r="E26" s="931" t="s">
        <v>762</v>
      </c>
      <c r="F26" s="932"/>
      <c r="G26" s="75">
        <f>ROUND(ber_TPN!F15,0)</f>
        <v>0</v>
      </c>
      <c r="H26" s="33"/>
    </row>
    <row r="27" spans="1:8" ht="15.95" customHeight="1" x14ac:dyDescent="0.35">
      <c r="A27" s="32"/>
      <c r="B27" s="37"/>
      <c r="C27" s="37"/>
      <c r="D27" s="37"/>
      <c r="E27" s="914" t="s">
        <v>461</v>
      </c>
      <c r="F27" s="914"/>
      <c r="G27" s="69">
        <f>SUM(G24:G26)</f>
        <v>0</v>
      </c>
      <c r="H27" s="65"/>
    </row>
    <row r="28" spans="1:8" ht="10.5" customHeight="1" thickBot="1" x14ac:dyDescent="0.4">
      <c r="A28" s="32"/>
      <c r="B28" s="37"/>
      <c r="C28" s="37"/>
      <c r="D28" s="37"/>
      <c r="E28" s="37"/>
      <c r="F28" s="37"/>
      <c r="G28" s="37"/>
      <c r="H28" s="33"/>
    </row>
    <row r="29" spans="1:8" ht="15.95" customHeight="1" thickTop="1" x14ac:dyDescent="0.35">
      <c r="A29" s="39"/>
      <c r="B29" s="929" t="s">
        <v>245</v>
      </c>
      <c r="C29" s="930"/>
      <c r="D29" s="930"/>
      <c r="E29" s="930"/>
      <c r="F29" s="930"/>
      <c r="G29" s="60"/>
      <c r="H29" s="40"/>
    </row>
    <row r="30" spans="1:8" ht="20.100000000000001" customHeight="1" x14ac:dyDescent="0.35">
      <c r="A30" s="908" t="str">
        <f>IF(G33&gt;0,ROUND(G39/24,1)&amp;" ml/u","")</f>
        <v/>
      </c>
      <c r="B30" s="83" t="s">
        <v>66</v>
      </c>
      <c r="C30" s="85"/>
      <c r="D30" s="85"/>
      <c r="E30" s="85"/>
      <c r="F30" s="89"/>
      <c r="G30" s="90">
        <f>IF(AND(OR(TPN=1,AND(TPN=2,SSTglucose&gt;10))),ROUND(ber_TPN!F7,0),0)</f>
        <v>0</v>
      </c>
      <c r="H30" s="33"/>
    </row>
    <row r="31" spans="1:8" ht="20.100000000000001" customHeight="1" x14ac:dyDescent="0.35">
      <c r="A31" s="909"/>
      <c r="B31" s="84" t="s">
        <v>871</v>
      </c>
      <c r="C31" s="87"/>
      <c r="D31" s="87"/>
      <c r="E31" s="87"/>
      <c r="F31" s="91"/>
      <c r="G31" s="92">
        <f>IF(AND(OR(TPN=1,AND(TPN=2,SSTglucose&gt;10))),ROUND(ber_TPN!F8,0),0)</f>
        <v>0</v>
      </c>
      <c r="H31" s="33"/>
    </row>
    <row r="32" spans="1:8" ht="20.100000000000001" customHeight="1" x14ac:dyDescent="0.35">
      <c r="A32" s="62"/>
      <c r="B32" s="84" t="s">
        <v>898</v>
      </c>
      <c r="C32" s="87"/>
      <c r="D32" s="87"/>
      <c r="E32" s="87"/>
      <c r="F32" s="91"/>
      <c r="G32" s="92">
        <f>ber_TPN!F9</f>
        <v>0</v>
      </c>
      <c r="H32" s="33"/>
    </row>
    <row r="33" spans="1:8" ht="20.100000000000001" customHeight="1" x14ac:dyDescent="0.35">
      <c r="A33" s="62"/>
      <c r="B33" s="84" t="s">
        <v>899</v>
      </c>
      <c r="C33" s="87"/>
      <c r="D33" s="87"/>
      <c r="E33" s="87"/>
      <c r="F33" s="91"/>
      <c r="G33" s="92">
        <f>ber_TPN!F10</f>
        <v>0</v>
      </c>
      <c r="H33" s="33"/>
    </row>
    <row r="34" spans="1:8" ht="20.100000000000001" customHeight="1" x14ac:dyDescent="0.35">
      <c r="A34" s="62"/>
      <c r="B34" s="84" t="s">
        <v>621</v>
      </c>
      <c r="C34" s="87"/>
      <c r="D34" s="87"/>
      <c r="E34" s="87"/>
      <c r="F34" s="91"/>
      <c r="G34" s="92">
        <f>ber_TPN!F17+IF(AND(SSTglucose=2,TPN=1),ROUND(ber_TPN!F6,0),0)</f>
        <v>0</v>
      </c>
      <c r="H34" s="33"/>
    </row>
    <row r="35" spans="1:8" ht="20.100000000000001" customHeight="1" x14ac:dyDescent="0.35">
      <c r="A35" s="32"/>
      <c r="B35" s="84" t="str">
        <f>IF(AND(OR(TPN=1,AND(TPN=2,SSTglucose&gt;10)),SSTglucose&lt;&gt;2,SSTglucose&lt;&gt;11,SSTglucose&lt;&gt;12,SSTglucose&lt;&gt;13),INDEX(tblSSTGlucose,SSTglucose,1),"Glucose       %")</f>
        <v>Glucose 5%</v>
      </c>
      <c r="C35" s="87"/>
      <c r="D35" s="87"/>
      <c r="E35" s="87"/>
      <c r="F35" s="91"/>
      <c r="G35" s="92">
        <f>IF(AND(OR(TPN=1,AND(TPN=2,SSTglucose&gt;10)),SSTglucose&lt;&gt;2,SSTglucose&lt;&gt;11,SSTglucose&lt;&gt;12,SSTglucose&lt;&gt;13),ROUND(ber_TPN!F6,0),"")</f>
        <v>0</v>
      </c>
      <c r="H35" s="33"/>
    </row>
    <row r="36" spans="1:8" ht="20.100000000000001" customHeight="1" x14ac:dyDescent="0.35">
      <c r="A36" s="32"/>
      <c r="B36" s="927" t="s">
        <v>872</v>
      </c>
      <c r="C36" s="928"/>
      <c r="D36" s="928"/>
      <c r="E36" s="928"/>
      <c r="F36" s="91"/>
      <c r="G36" s="92" t="str">
        <f>IF(OR(SSTglucose=11),ROUND(ber_TPN!F6,0),"")</f>
        <v/>
      </c>
      <c r="H36" s="33"/>
    </row>
    <row r="37" spans="1:8" ht="20.100000000000001" customHeight="1" x14ac:dyDescent="0.35">
      <c r="A37" s="32"/>
      <c r="B37" s="927" t="s">
        <v>67</v>
      </c>
      <c r="C37" s="928"/>
      <c r="D37" s="928"/>
      <c r="E37" s="928"/>
      <c r="F37" s="91"/>
      <c r="G37" s="92" t="str">
        <f>IF(AND(SSTglucose=12),ROUND(ber_TPN!F6,0),"")</f>
        <v/>
      </c>
      <c r="H37" s="33"/>
    </row>
    <row r="38" spans="1:8" ht="20.100000000000001" customHeight="1" x14ac:dyDescent="0.35">
      <c r="A38" s="32"/>
      <c r="B38" s="927" t="s">
        <v>68</v>
      </c>
      <c r="C38" s="928"/>
      <c r="D38" s="928"/>
      <c r="E38" s="928"/>
      <c r="F38" s="89"/>
      <c r="G38" s="92" t="str">
        <f>IF(AND(SSTglucose=13),ROUND(ber_TPN!F6,0),"")</f>
        <v/>
      </c>
      <c r="H38" s="33"/>
    </row>
    <row r="39" spans="1:8" ht="15.95" customHeight="1" x14ac:dyDescent="0.35">
      <c r="A39" s="32"/>
      <c r="B39" s="37"/>
      <c r="C39" s="37"/>
      <c r="D39" s="37"/>
      <c r="E39" s="914" t="s">
        <v>463</v>
      </c>
      <c r="F39" s="914"/>
      <c r="G39" s="68">
        <f>SUM(G30:G38)</f>
        <v>0</v>
      </c>
      <c r="H39" s="33"/>
    </row>
    <row r="40" spans="1:8" ht="10.5" customHeight="1" thickBot="1" x14ac:dyDescent="0.4">
      <c r="A40" s="32"/>
      <c r="B40" s="37"/>
      <c r="C40" s="37"/>
      <c r="D40" s="37"/>
      <c r="E40" s="37"/>
      <c r="F40" s="37"/>
      <c r="G40" s="37"/>
      <c r="H40" s="33"/>
    </row>
    <row r="41" spans="1:8" ht="15.95" customHeight="1" thickTop="1" x14ac:dyDescent="0.35">
      <c r="A41" s="39"/>
      <c r="B41" s="921" t="s">
        <v>516</v>
      </c>
      <c r="C41" s="922"/>
      <c r="D41" s="922"/>
      <c r="E41" s="922"/>
      <c r="F41" s="923"/>
      <c r="G41" s="40" t="s">
        <v>517</v>
      </c>
      <c r="H41" s="40"/>
    </row>
    <row r="42" spans="1:8" ht="15.95" customHeight="1" x14ac:dyDescent="0.35">
      <c r="A42" s="41"/>
      <c r="B42" s="924" t="s">
        <v>518</v>
      </c>
      <c r="C42" s="925"/>
      <c r="D42" s="925"/>
      <c r="E42" s="925"/>
      <c r="F42" s="926"/>
      <c r="G42" s="35" t="s">
        <v>519</v>
      </c>
      <c r="H42" s="33"/>
    </row>
    <row r="43" spans="1:8" ht="15.95" customHeight="1" x14ac:dyDescent="0.35">
      <c r="A43" s="41"/>
      <c r="B43" s="924" t="s">
        <v>520</v>
      </c>
      <c r="C43" s="925"/>
      <c r="D43" s="925"/>
      <c r="E43" s="925"/>
      <c r="F43" s="926"/>
      <c r="G43" s="35" t="s">
        <v>517</v>
      </c>
      <c r="H43" s="36"/>
    </row>
    <row r="45" spans="1:8" x14ac:dyDescent="0.35">
      <c r="A45" s="9" t="s">
        <v>521</v>
      </c>
    </row>
    <row r="46" spans="1:8" x14ac:dyDescent="0.35">
      <c r="A46" s="9" t="s">
        <v>462</v>
      </c>
    </row>
    <row r="47" spans="1:8" x14ac:dyDescent="0.35">
      <c r="A47" s="9" t="s">
        <v>522</v>
      </c>
    </row>
    <row r="49" spans="1:6" x14ac:dyDescent="0.35">
      <c r="A49" s="9" t="s">
        <v>182</v>
      </c>
    </row>
    <row r="51" spans="1:6" ht="13.2" x14ac:dyDescent="0.4">
      <c r="F51" s="3"/>
    </row>
  </sheetData>
  <sheetProtection algorithmName="SHA-512" hashValue="USyMYPUxgfiTteI1Whnw2RQSqPNOQ2DpXaeJpAxj3XpTk3qMR+kGQXOU6d2BqEm+r9hJ69aibd0czZY9tNe67A==" saltValue="C6QxMgtXljTWTp4FtAdB+g==" spinCount="100000" sheet="1" objects="1" scenarios="1" selectLockedCells="1" selectUnlockedCells="1"/>
  <customSheetViews>
    <customSheetView guid="{33CCADFA-0D48-46A6-8927-2B2144029216}">
      <selection activeCell="G15" sqref="G15"/>
      <rowBreaks count="1" manualBreakCount="1">
        <brk id="50" max="7" man="1"/>
      </rowBreaks>
      <pageMargins left="0.44" right="0.26" top="0.35" bottom="0.34" header="0.17" footer="0.17"/>
      <pageSetup paperSize="9" orientation="portrait" horizontalDpi="300" r:id="rId1"/>
      <headerFooter alignWithMargins="0">
        <oddHeader>&amp;LUitgeprint: &amp;D &amp;T&amp;CBed 1.3</oddHeader>
      </headerFooter>
    </customSheetView>
  </customSheetViews>
  <mergeCells count="21">
    <mergeCell ref="A30:A31"/>
    <mergeCell ref="A11:H11"/>
    <mergeCell ref="B12:B13"/>
    <mergeCell ref="C12:C13"/>
    <mergeCell ref="D12:D13"/>
    <mergeCell ref="E12:E13"/>
    <mergeCell ref="F12:F13"/>
    <mergeCell ref="A14:A15"/>
    <mergeCell ref="A24:A25"/>
    <mergeCell ref="B29:F29"/>
    <mergeCell ref="E22:F22"/>
    <mergeCell ref="E25:F25"/>
    <mergeCell ref="E26:F26"/>
    <mergeCell ref="E27:F27"/>
    <mergeCell ref="E39:F39"/>
    <mergeCell ref="B41:F41"/>
    <mergeCell ref="B42:F42"/>
    <mergeCell ref="B43:F43"/>
    <mergeCell ref="B36:E36"/>
    <mergeCell ref="B37:E37"/>
    <mergeCell ref="B38:E38"/>
  </mergeCells>
  <phoneticPr fontId="29" type="noConversion"/>
  <pageMargins left="0.44" right="0.26" top="0.35" bottom="0.34" header="0.17" footer="0.17"/>
  <pageSetup paperSize="9" orientation="portrait" horizontalDpi="300" r:id="rId2"/>
  <headerFooter alignWithMargins="0">
    <oddHeader>&amp;LUitgeprint: &amp;D &amp;T&amp;CBed 1.3</oddHeader>
  </headerFooter>
  <rowBreaks count="1" manualBreakCount="1">
    <brk id="50" max="7" man="1"/>
  </rowBreak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16tot30kg">
    <tabColor rgb="FF7030A0"/>
  </sheetPr>
  <dimension ref="A1:H50"/>
  <sheetViews>
    <sheetView zoomScaleNormal="100" workbookViewId="0"/>
  </sheetViews>
  <sheetFormatPr defaultColWidth="9.1328125" defaultRowHeight="12.85" x14ac:dyDescent="0.35"/>
  <cols>
    <col min="1" max="1" width="8.73046875" style="9" customWidth="1"/>
    <col min="2" max="2" width="23.86328125" style="9" customWidth="1"/>
    <col min="3" max="3" width="9.265625" style="9" bestFit="1" customWidth="1"/>
    <col min="4" max="6" width="10.73046875" style="9" customWidth="1"/>
    <col min="7" max="7" width="9.1328125" style="9"/>
    <col min="8" max="8" width="14.73046875" style="9" customWidth="1"/>
    <col min="9" max="16384" width="9.1328125" style="9"/>
  </cols>
  <sheetData>
    <row r="1" spans="1:8" ht="13.2" x14ac:dyDescent="0.4">
      <c r="A1" s="595" t="s">
        <v>535</v>
      </c>
      <c r="F1" s="3" t="s">
        <v>220</v>
      </c>
    </row>
    <row r="3" spans="1:8" x14ac:dyDescent="0.35">
      <c r="A3" s="9" t="s">
        <v>536</v>
      </c>
      <c r="B3" s="43">
        <f ca="1">TODAY()</f>
        <v>42722</v>
      </c>
      <c r="F3" s="51">
        <f>PatNummer</f>
        <v>0</v>
      </c>
      <c r="G3" s="52"/>
      <c r="H3" s="53"/>
    </row>
    <row r="4" spans="1:8" x14ac:dyDescent="0.35">
      <c r="A4" s="248" t="s">
        <v>1001</v>
      </c>
      <c r="B4" s="9">
        <f>BedNummer</f>
        <v>0</v>
      </c>
      <c r="F4" s="54" t="str">
        <f>_AchterNaam&amp;",  "&amp;_VoorNaam</f>
        <v>Achternaam,  Voornaam</v>
      </c>
      <c r="G4" s="55"/>
      <c r="H4" s="56"/>
    </row>
    <row r="5" spans="1:8" x14ac:dyDescent="0.35">
      <c r="A5" s="9" t="s">
        <v>537</v>
      </c>
      <c r="B5" s="9" t="s">
        <v>771</v>
      </c>
      <c r="F5" s="57">
        <f>GebDatum</f>
        <v>42370</v>
      </c>
      <c r="G5" s="55"/>
      <c r="H5" s="56"/>
    </row>
    <row r="6" spans="1:8" x14ac:dyDescent="0.35">
      <c r="A6" s="595"/>
      <c r="F6" s="54" t="s">
        <v>572</v>
      </c>
      <c r="G6" s="55" t="str">
        <f>Gewicht/10&amp;" kg"</f>
        <v>10 kg</v>
      </c>
      <c r="H6" s="56"/>
    </row>
    <row r="7" spans="1:8" x14ac:dyDescent="0.35">
      <c r="A7" s="9" t="s">
        <v>648</v>
      </c>
      <c r="B7" s="9" t="s">
        <v>538</v>
      </c>
      <c r="F7" s="58"/>
      <c r="G7" s="50"/>
      <c r="H7" s="59"/>
    </row>
    <row r="8" spans="1:8" x14ac:dyDescent="0.35">
      <c r="A8" s="9" t="s">
        <v>594</v>
      </c>
      <c r="B8" s="9" t="s">
        <v>538</v>
      </c>
    </row>
    <row r="10" spans="1:8" ht="13.2" thickBot="1" x14ac:dyDescent="0.4">
      <c r="A10" s="9" t="s">
        <v>735</v>
      </c>
      <c r="C10" s="9">
        <f>ber_TPN!F24</f>
        <v>0</v>
      </c>
      <c r="D10" s="9" t="s">
        <v>649</v>
      </c>
    </row>
    <row r="11" spans="1:8" ht="13.2" thickTop="1" x14ac:dyDescent="0.35">
      <c r="A11" s="896" t="s">
        <v>23</v>
      </c>
      <c r="B11" s="897"/>
      <c r="C11" s="897"/>
      <c r="D11" s="897"/>
      <c r="E11" s="897"/>
      <c r="F11" s="897"/>
      <c r="G11" s="897"/>
      <c r="H11" s="898"/>
    </row>
    <row r="12" spans="1:8" ht="25.65" x14ac:dyDescent="0.35">
      <c r="A12" s="32" t="s">
        <v>627</v>
      </c>
      <c r="B12" s="899" t="s">
        <v>383</v>
      </c>
      <c r="C12" s="901"/>
      <c r="D12" s="903" t="s">
        <v>384</v>
      </c>
      <c r="E12" s="903" t="s">
        <v>385</v>
      </c>
      <c r="F12" s="903" t="s">
        <v>386</v>
      </c>
      <c r="G12" s="33"/>
      <c r="H12" s="33" t="s">
        <v>387</v>
      </c>
    </row>
    <row r="13" spans="1:8" x14ac:dyDescent="0.35">
      <c r="A13" s="34" t="s">
        <v>388</v>
      </c>
      <c r="B13" s="900"/>
      <c r="C13" s="902"/>
      <c r="D13" s="904"/>
      <c r="E13" s="904"/>
      <c r="F13" s="904"/>
      <c r="G13" s="33" t="s">
        <v>389</v>
      </c>
      <c r="H13" s="35" t="s">
        <v>390</v>
      </c>
    </row>
    <row r="14" spans="1:8" ht="20.100000000000001" customHeight="1" x14ac:dyDescent="0.35">
      <c r="A14" s="910" t="str">
        <f>IF(TPN&lt;&gt;1,ROUND(G22/24,1)&amp;" ml/u","")</f>
        <v/>
      </c>
      <c r="B14" s="72" t="s">
        <v>66</v>
      </c>
      <c r="C14" s="73"/>
      <c r="D14" s="73" t="s">
        <v>391</v>
      </c>
      <c r="E14" s="73" t="s">
        <v>391</v>
      </c>
      <c r="F14" s="74" t="s">
        <v>391</v>
      </c>
      <c r="G14" s="75" t="str">
        <f>IF(AND(TPN&lt;&gt;1,G16&lt;&gt;0),ROUND(ber_TPN!F7,0),"")</f>
        <v/>
      </c>
      <c r="H14" s="33"/>
    </row>
    <row r="15" spans="1:8" ht="20.100000000000001" customHeight="1" x14ac:dyDescent="0.35">
      <c r="A15" s="911"/>
      <c r="B15" s="76" t="s">
        <v>868</v>
      </c>
      <c r="C15" s="77"/>
      <c r="D15" s="77" t="s">
        <v>873</v>
      </c>
      <c r="E15" s="77" t="s">
        <v>88</v>
      </c>
      <c r="F15" s="78" t="s">
        <v>88</v>
      </c>
      <c r="G15" s="75" t="str">
        <f>IF(AND(TPN&lt;&gt;1,G16&lt;&gt;0),ROUND(ber_TPN!F8,0),"")</f>
        <v/>
      </c>
      <c r="H15" s="33"/>
    </row>
    <row r="16" spans="1:8" ht="20.100000000000001" customHeight="1" x14ac:dyDescent="0.35">
      <c r="A16" s="32"/>
      <c r="B16" s="76" t="s">
        <v>882</v>
      </c>
      <c r="C16" s="77"/>
      <c r="D16" s="77" t="s">
        <v>813</v>
      </c>
      <c r="E16" s="77" t="s">
        <v>392</v>
      </c>
      <c r="F16" s="78" t="s">
        <v>875</v>
      </c>
      <c r="G16" s="79" t="str">
        <f>IF(TPN&lt;&gt;1,ber_TPN!F4,"")</f>
        <v/>
      </c>
      <c r="H16" s="33"/>
    </row>
    <row r="17" spans="1:8" ht="20.100000000000001" customHeight="1" x14ac:dyDescent="0.35">
      <c r="A17" s="32"/>
      <c r="B17" s="76" t="s">
        <v>630</v>
      </c>
      <c r="C17" s="77"/>
      <c r="D17" s="77"/>
      <c r="E17" s="931" t="s">
        <v>267</v>
      </c>
      <c r="F17" s="932"/>
      <c r="G17" s="79">
        <f>ROUND(ber_TPN!F5,0)</f>
        <v>0</v>
      </c>
      <c r="H17" s="33"/>
    </row>
    <row r="18" spans="1:8" ht="20.100000000000001" customHeight="1" x14ac:dyDescent="0.35">
      <c r="A18" s="32"/>
      <c r="B18" s="76" t="s">
        <v>621</v>
      </c>
      <c r="C18" s="77"/>
      <c r="D18" s="77" t="s">
        <v>268</v>
      </c>
      <c r="E18" s="77"/>
      <c r="F18" s="78"/>
      <c r="G18" s="79" t="str">
        <f>IF(AND(SSTglucose=2,TPN&lt;&gt;1),ROUND(ber_TPN!F6,0),"")</f>
        <v/>
      </c>
      <c r="H18" s="33"/>
    </row>
    <row r="19" spans="1:8" ht="20.100000000000001" customHeight="1" x14ac:dyDescent="0.35">
      <c r="A19" s="32"/>
      <c r="B19" s="76" t="s">
        <v>197</v>
      </c>
      <c r="C19" s="77"/>
      <c r="D19" s="77"/>
      <c r="E19" s="77" t="s">
        <v>269</v>
      </c>
      <c r="F19" s="78"/>
      <c r="G19" s="79" t="str">
        <f>IF(AND(SSTglucose=6,TPN&lt;&gt;1),ROUND(ber_TPN!F6,0),"")</f>
        <v/>
      </c>
      <c r="H19" s="33"/>
    </row>
    <row r="20" spans="1:8" ht="20.100000000000001" customHeight="1" x14ac:dyDescent="0.35">
      <c r="A20" s="32"/>
      <c r="B20" s="76" t="s">
        <v>459</v>
      </c>
      <c r="C20" s="77"/>
      <c r="D20" s="77"/>
      <c r="E20" s="77"/>
      <c r="F20" s="78" t="s">
        <v>270</v>
      </c>
      <c r="G20" s="79" t="str">
        <f>IF(AND(SSTglucose=8,TPN&lt;&gt;1),ROUND(ber_TPN!F6,0),"")</f>
        <v/>
      </c>
      <c r="H20" s="33"/>
    </row>
    <row r="21" spans="1:8" ht="20.100000000000001" customHeight="1" x14ac:dyDescent="0.35">
      <c r="A21" s="32"/>
      <c r="B21" s="76" t="str">
        <f>IF(AND(TPN=2,SSTglucose&lt;&gt;2,SSTglucose&lt;&gt;6,SSTglucose&lt;&gt;8,SSTglucose&lt;11),INDEX(tblSSTGlucose,SSTglucose,1),"Glucose       %")</f>
        <v>Glucose       %</v>
      </c>
      <c r="C21" s="77"/>
      <c r="D21" s="77"/>
      <c r="E21" s="77"/>
      <c r="F21" s="78"/>
      <c r="G21" s="79" t="str">
        <f>IF(AND(TPN&lt;&gt;1,B20&lt;&gt;""),IF(AND(SSTglucose&lt;&gt;2,SSTglucose&lt;&gt;6,SSTglucose&lt;&gt;8,SSTglucose&lt;11),ROUND(ber_TPN!F6,0),""),"")</f>
        <v/>
      </c>
      <c r="H21" s="33"/>
    </row>
    <row r="22" spans="1:8" ht="15.95" customHeight="1" x14ac:dyDescent="0.35">
      <c r="A22" s="32"/>
      <c r="B22" s="70"/>
      <c r="C22" s="70"/>
      <c r="D22" s="70"/>
      <c r="E22" s="917" t="s">
        <v>461</v>
      </c>
      <c r="F22" s="917"/>
      <c r="G22" s="67">
        <f>SUM(G14:G21)</f>
        <v>0</v>
      </c>
      <c r="H22" s="65"/>
    </row>
    <row r="23" spans="1:8" ht="10.5" customHeight="1" x14ac:dyDescent="0.35">
      <c r="A23" s="32"/>
      <c r="B23" s="64"/>
      <c r="C23" s="64"/>
      <c r="D23" s="64"/>
      <c r="E23" s="64"/>
      <c r="F23" s="64"/>
      <c r="G23" s="37"/>
      <c r="H23" s="33"/>
    </row>
    <row r="24" spans="1:8" ht="20.100000000000001" customHeight="1" x14ac:dyDescent="0.35">
      <c r="A24" s="910" t="str">
        <f>IF(TPN&lt;&gt;1,ROUND(G27/24,1)&amp;" ml/u","")</f>
        <v/>
      </c>
      <c r="B24" s="72" t="s">
        <v>433</v>
      </c>
      <c r="C24" s="73"/>
      <c r="D24" s="73" t="s">
        <v>812</v>
      </c>
      <c r="E24" s="73" t="s">
        <v>813</v>
      </c>
      <c r="F24" s="74" t="s">
        <v>392</v>
      </c>
      <c r="G24" s="75">
        <f>ROUND(ber_TPN!F13,0)</f>
        <v>0</v>
      </c>
      <c r="H24" s="38"/>
    </row>
    <row r="25" spans="1:8" ht="20.100000000000001" customHeight="1" x14ac:dyDescent="0.35">
      <c r="A25" s="911"/>
      <c r="B25" s="76" t="s">
        <v>434</v>
      </c>
      <c r="C25" s="77"/>
      <c r="D25" s="77"/>
      <c r="E25" s="931" t="s">
        <v>762</v>
      </c>
      <c r="F25" s="932"/>
      <c r="G25" s="79">
        <f>ROUND(ber_TPN!F14,0)</f>
        <v>0</v>
      </c>
      <c r="H25" s="33"/>
    </row>
    <row r="26" spans="1:8" ht="20.100000000000001" customHeight="1" x14ac:dyDescent="0.35">
      <c r="A26" s="32"/>
      <c r="B26" s="76" t="s">
        <v>454</v>
      </c>
      <c r="C26" s="77"/>
      <c r="D26" s="77"/>
      <c r="E26" s="931" t="s">
        <v>762</v>
      </c>
      <c r="F26" s="932"/>
      <c r="G26" s="79">
        <f>ROUND(ber_TPN!F15,0)</f>
        <v>0</v>
      </c>
      <c r="H26" s="33"/>
    </row>
    <row r="27" spans="1:8" ht="15.95" customHeight="1" x14ac:dyDescent="0.35">
      <c r="A27" s="32"/>
      <c r="B27" s="64"/>
      <c r="C27" s="64"/>
      <c r="D27" s="64"/>
      <c r="E27" s="917" t="s">
        <v>461</v>
      </c>
      <c r="F27" s="917"/>
      <c r="G27" s="69">
        <f>SUM(G24:G26)</f>
        <v>0</v>
      </c>
      <c r="H27" s="65"/>
    </row>
    <row r="28" spans="1:8" ht="10.5" customHeight="1" thickBot="1" x14ac:dyDescent="0.4">
      <c r="A28" s="32"/>
      <c r="B28" s="64"/>
      <c r="C28" s="64"/>
      <c r="D28" s="64"/>
      <c r="E28" s="64"/>
      <c r="F28" s="64"/>
      <c r="G28" s="37"/>
      <c r="H28" s="33"/>
    </row>
    <row r="29" spans="1:8" ht="15.95" customHeight="1" thickTop="1" x14ac:dyDescent="0.35">
      <c r="A29" s="39"/>
      <c r="B29" s="912" t="s">
        <v>245</v>
      </c>
      <c r="C29" s="913"/>
      <c r="D29" s="913"/>
      <c r="E29" s="913"/>
      <c r="F29" s="913"/>
      <c r="G29" s="60"/>
      <c r="H29" s="40"/>
    </row>
    <row r="30" spans="1:8" ht="20.100000000000001" customHeight="1" x14ac:dyDescent="0.35">
      <c r="A30" s="910" t="str">
        <f>ROUND(G38/24,1)&amp;" ml/u"</f>
        <v>0 ml/u</v>
      </c>
      <c r="B30" s="83" t="s">
        <v>66</v>
      </c>
      <c r="C30" s="85"/>
      <c r="D30" s="85"/>
      <c r="E30" s="85"/>
      <c r="F30" s="86"/>
      <c r="G30" s="90">
        <f>IF(AND(OR(TPN=1,AND(TPN=2,SSTglucose&gt;10))),ROUND(ber_TPN!F7,0),"")</f>
        <v>0</v>
      </c>
      <c r="H30" s="33"/>
    </row>
    <row r="31" spans="1:8" ht="20.100000000000001" customHeight="1" x14ac:dyDescent="0.35">
      <c r="A31" s="911"/>
      <c r="B31" s="84" t="s">
        <v>871</v>
      </c>
      <c r="C31" s="87"/>
      <c r="D31" s="87"/>
      <c r="E31" s="87"/>
      <c r="F31" s="88"/>
      <c r="G31" s="92">
        <f>IF(AND(OR(TPN=1,AND(TPN=2,SSTglucose&gt;10))),ROUND(ber_TPN!F8,0),"")</f>
        <v>0</v>
      </c>
      <c r="H31" s="33"/>
    </row>
    <row r="32" spans="1:8" ht="20.100000000000001" customHeight="1" x14ac:dyDescent="0.35">
      <c r="A32" s="62"/>
      <c r="B32" s="84" t="s">
        <v>898</v>
      </c>
      <c r="C32" s="87"/>
      <c r="D32" s="87"/>
      <c r="E32" s="87"/>
      <c r="F32" s="88"/>
      <c r="G32" s="92">
        <f>ber_TPN!F9</f>
        <v>0</v>
      </c>
      <c r="H32" s="33"/>
    </row>
    <row r="33" spans="1:8" ht="20.100000000000001" customHeight="1" x14ac:dyDescent="0.35">
      <c r="A33" s="62"/>
      <c r="B33" s="84" t="s">
        <v>899</v>
      </c>
      <c r="C33" s="87"/>
      <c r="D33" s="87"/>
      <c r="E33" s="87"/>
      <c r="F33" s="88"/>
      <c r="G33" s="92">
        <f>ber_TPN!F10</f>
        <v>0</v>
      </c>
      <c r="H33" s="33"/>
    </row>
    <row r="34" spans="1:8" ht="20.100000000000001" customHeight="1" x14ac:dyDescent="0.35">
      <c r="A34" s="62"/>
      <c r="B34" s="84" t="s">
        <v>621</v>
      </c>
      <c r="C34" s="87"/>
      <c r="D34" s="87"/>
      <c r="E34" s="87"/>
      <c r="F34" s="88"/>
      <c r="G34" s="92">
        <f>ber_TPN!F17+IF(AND(SSTglucose=2,TPN=1),ROUND(ber_TPN!F6,0),0)</f>
        <v>0</v>
      </c>
      <c r="H34" s="33"/>
    </row>
    <row r="35" spans="1:8" ht="20.100000000000001" customHeight="1" x14ac:dyDescent="0.35">
      <c r="A35" s="62"/>
      <c r="B35" s="84" t="str">
        <f>IF(AND(OR(TPN=1,AND(TPN=2,SSTglucose&gt;10)),SSTglucose&lt;&gt;2,SSTglucose&lt;&gt;12,SSTglucose&lt;&gt;13),INDEX(tblSSTGlucose,SSTglucose,1),"Glucose       %")</f>
        <v>Glucose 5%</v>
      </c>
      <c r="C35" s="87"/>
      <c r="D35" s="87"/>
      <c r="E35" s="87"/>
      <c r="F35" s="88"/>
      <c r="G35" s="92">
        <f>IF(AND(OR(TPN=1,AND(TPN=2,SSTglucose&gt;10)),SSTglucose&lt;&gt;2,SSTglucose&lt;&gt;12,SSTglucose&lt;&gt;13),ROUND(ber_TPN!F6,0),"")</f>
        <v>0</v>
      </c>
      <c r="H35" s="33"/>
    </row>
    <row r="36" spans="1:8" ht="20.100000000000001" customHeight="1" x14ac:dyDescent="0.35">
      <c r="A36" s="62"/>
      <c r="B36" s="927" t="s">
        <v>67</v>
      </c>
      <c r="C36" s="928"/>
      <c r="D36" s="928"/>
      <c r="E36" s="928"/>
      <c r="F36" s="88"/>
      <c r="G36" s="92" t="str">
        <f>IF(AND(SSTglucose=12),ROUND(ber_TPN!F6,0),"")</f>
        <v/>
      </c>
      <c r="H36" s="33"/>
    </row>
    <row r="37" spans="1:8" ht="20.100000000000001" customHeight="1" x14ac:dyDescent="0.35">
      <c r="A37" s="32"/>
      <c r="B37" s="927" t="s">
        <v>68</v>
      </c>
      <c r="C37" s="928"/>
      <c r="D37" s="928"/>
      <c r="E37" s="928"/>
      <c r="F37" s="88"/>
      <c r="G37" s="92" t="str">
        <f>IF(AND(SSTglucose=13),ROUND(ber_TPN!F6,0),"")</f>
        <v/>
      </c>
      <c r="H37" s="33"/>
    </row>
    <row r="38" spans="1:8" ht="15.95" customHeight="1" x14ac:dyDescent="0.35">
      <c r="A38" s="32"/>
      <c r="B38" s="64"/>
      <c r="C38" s="64"/>
      <c r="D38" s="64"/>
      <c r="E38" s="917" t="s">
        <v>463</v>
      </c>
      <c r="F38" s="917"/>
      <c r="G38" s="68">
        <f>SUM(G30:G37)</f>
        <v>0</v>
      </c>
      <c r="H38" s="33"/>
    </row>
    <row r="39" spans="1:8" ht="15.95" customHeight="1" thickBot="1" x14ac:dyDescent="0.4">
      <c r="A39" s="32"/>
      <c r="B39" s="64"/>
      <c r="C39" s="64"/>
      <c r="D39" s="64"/>
      <c r="E39" s="64"/>
      <c r="F39" s="64"/>
      <c r="G39" s="37"/>
      <c r="H39" s="33"/>
    </row>
    <row r="40" spans="1:8" ht="15.95" customHeight="1" thickTop="1" x14ac:dyDescent="0.35">
      <c r="A40" s="39"/>
      <c r="B40" s="918" t="s">
        <v>516</v>
      </c>
      <c r="C40" s="919"/>
      <c r="D40" s="919"/>
      <c r="E40" s="919"/>
      <c r="F40" s="920"/>
      <c r="G40" s="40" t="s">
        <v>517</v>
      </c>
      <c r="H40" s="40"/>
    </row>
    <row r="41" spans="1:8" ht="15.95" customHeight="1" x14ac:dyDescent="0.35">
      <c r="A41" s="41"/>
      <c r="B41" s="905" t="s">
        <v>518</v>
      </c>
      <c r="C41" s="906"/>
      <c r="D41" s="906"/>
      <c r="E41" s="906"/>
      <c r="F41" s="907"/>
      <c r="G41" s="35" t="s">
        <v>519</v>
      </c>
      <c r="H41" s="33"/>
    </row>
    <row r="42" spans="1:8" ht="15.95" customHeight="1" x14ac:dyDescent="0.35">
      <c r="A42" s="41"/>
      <c r="B42" s="905" t="s">
        <v>520</v>
      </c>
      <c r="C42" s="906"/>
      <c r="D42" s="906"/>
      <c r="E42" s="906"/>
      <c r="F42" s="907"/>
      <c r="G42" s="35" t="s">
        <v>517</v>
      </c>
      <c r="H42" s="36"/>
    </row>
    <row r="44" spans="1:8" x14ac:dyDescent="0.35">
      <c r="A44" s="9" t="s">
        <v>521</v>
      </c>
    </row>
    <row r="45" spans="1:8" x14ac:dyDescent="0.35">
      <c r="A45" s="9" t="s">
        <v>462</v>
      </c>
    </row>
    <row r="46" spans="1:8" x14ac:dyDescent="0.35">
      <c r="A46" s="9" t="s">
        <v>522</v>
      </c>
    </row>
    <row r="48" spans="1:8" x14ac:dyDescent="0.35">
      <c r="A48" s="9" t="s">
        <v>182</v>
      </c>
    </row>
    <row r="50" spans="6:6" ht="13.2" x14ac:dyDescent="0.4">
      <c r="F50" s="3"/>
    </row>
  </sheetData>
  <sheetProtection algorithmName="SHA-512" hashValue="uXlNYsvhf0UupReA1fsoNz6dc7gnMrB061CLc1iVkzfjfeiQvvc0mnbeUrTwLjC84Dk1bGlR8j1ViMNyVX401Q==" saltValue="twKCrdCtmFci2Pf4gafqlw==" spinCount="100000" sheet="1" objects="1" scenarios="1" selectLockedCells="1" selectUnlockedCells="1"/>
  <customSheetViews>
    <customSheetView guid="{33CCADFA-0D48-46A6-8927-2B2144029216}">
      <selection activeCell="G22" sqref="G22"/>
      <rowBreaks count="1" manualBreakCount="1">
        <brk id="49" max="7" man="1"/>
      </rowBreaks>
      <pageMargins left="0.39" right="0.26" top="0.42" bottom="0.37" header="0.23" footer="0.17"/>
      <pageSetup paperSize="9" orientation="portrait" horizontalDpi="300" r:id="rId1"/>
      <headerFooter alignWithMargins="0">
        <oddHeader>&amp;CBed 0</oddHeader>
      </headerFooter>
    </customSheetView>
  </customSheetViews>
  <mergeCells count="21">
    <mergeCell ref="E38:F38"/>
    <mergeCell ref="B40:F40"/>
    <mergeCell ref="B41:F41"/>
    <mergeCell ref="B42:F42"/>
    <mergeCell ref="B36:E36"/>
    <mergeCell ref="B37:E37"/>
    <mergeCell ref="A30:A31"/>
    <mergeCell ref="A14:A15"/>
    <mergeCell ref="A11:H11"/>
    <mergeCell ref="B12:B13"/>
    <mergeCell ref="C12:C13"/>
    <mergeCell ref="D12:D13"/>
    <mergeCell ref="E12:E13"/>
    <mergeCell ref="F12:F13"/>
    <mergeCell ref="E17:F17"/>
    <mergeCell ref="A24:A25"/>
    <mergeCell ref="B29:F29"/>
    <mergeCell ref="E22:F22"/>
    <mergeCell ref="E25:F25"/>
    <mergeCell ref="E26:F26"/>
    <mergeCell ref="E27:F27"/>
  </mergeCells>
  <phoneticPr fontId="29" type="noConversion"/>
  <pageMargins left="0.39" right="0.26" top="0.42" bottom="0.37" header="0.23" footer="0.17"/>
  <pageSetup paperSize="9" orientation="portrait" horizontalDpi="300" r:id="rId2"/>
  <headerFooter alignWithMargins="0">
    <oddHeader>&amp;CBed 0</oddHeader>
  </headerFooter>
  <rowBreaks count="1" manualBreakCount="1">
    <brk id="49" max="7" man="1"/>
  </rowBreak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31tot50kg">
    <tabColor rgb="FF7030A0"/>
  </sheetPr>
  <dimension ref="A1:H51"/>
  <sheetViews>
    <sheetView zoomScaleNormal="100" workbookViewId="0"/>
  </sheetViews>
  <sheetFormatPr defaultColWidth="9.1328125" defaultRowHeight="12.85" x14ac:dyDescent="0.35"/>
  <cols>
    <col min="1" max="1" width="8.73046875" style="9" customWidth="1"/>
    <col min="2" max="2" width="23.86328125" style="9" customWidth="1"/>
    <col min="3" max="3" width="9.265625" style="9" bestFit="1" customWidth="1"/>
    <col min="4" max="6" width="10.73046875" style="9" customWidth="1"/>
    <col min="7" max="7" width="9.1328125" style="9"/>
    <col min="8" max="8" width="14.73046875" style="9" customWidth="1"/>
    <col min="9" max="16384" width="9.1328125" style="9"/>
  </cols>
  <sheetData>
    <row r="1" spans="1:8" ht="13.2" x14ac:dyDescent="0.4">
      <c r="A1" s="595" t="s">
        <v>535</v>
      </c>
      <c r="F1" s="3" t="s">
        <v>221</v>
      </c>
    </row>
    <row r="3" spans="1:8" x14ac:dyDescent="0.35">
      <c r="A3" s="9" t="s">
        <v>536</v>
      </c>
      <c r="B3" s="43">
        <f ca="1">TODAY()</f>
        <v>42722</v>
      </c>
      <c r="F3" s="51">
        <f>PatNummer</f>
        <v>0</v>
      </c>
      <c r="G3" s="52"/>
      <c r="H3" s="53"/>
    </row>
    <row r="4" spans="1:8" x14ac:dyDescent="0.35">
      <c r="A4" s="248" t="s">
        <v>1001</v>
      </c>
      <c r="B4" s="9">
        <f>BedNummer</f>
        <v>0</v>
      </c>
      <c r="F4" s="54" t="str">
        <f>_AchterNaam&amp;",  "&amp;_VoorNaam</f>
        <v>Achternaam,  Voornaam</v>
      </c>
      <c r="G4" s="55"/>
      <c r="H4" s="56"/>
    </row>
    <row r="5" spans="1:8" x14ac:dyDescent="0.35">
      <c r="A5" s="9" t="s">
        <v>537</v>
      </c>
      <c r="B5" s="9" t="s">
        <v>771</v>
      </c>
      <c r="F5" s="57">
        <f>GebDatum</f>
        <v>42370</v>
      </c>
      <c r="G5" s="55"/>
      <c r="H5" s="56"/>
    </row>
    <row r="6" spans="1:8" x14ac:dyDescent="0.35">
      <c r="A6" s="595"/>
      <c r="F6" s="54" t="s">
        <v>572</v>
      </c>
      <c r="G6" s="55" t="str">
        <f>Gewicht/10&amp;" kg"</f>
        <v>10 kg</v>
      </c>
      <c r="H6" s="56"/>
    </row>
    <row r="7" spans="1:8" x14ac:dyDescent="0.35">
      <c r="A7" s="9" t="s">
        <v>648</v>
      </c>
      <c r="B7" s="9" t="s">
        <v>538</v>
      </c>
      <c r="F7" s="58"/>
      <c r="G7" s="50"/>
      <c r="H7" s="59"/>
    </row>
    <row r="8" spans="1:8" x14ac:dyDescent="0.35">
      <c r="A8" s="9" t="s">
        <v>594</v>
      </c>
      <c r="B8" s="9" t="s">
        <v>538</v>
      </c>
    </row>
    <row r="9" spans="1:8" ht="13.2" thickBot="1" x14ac:dyDescent="0.4">
      <c r="A9" s="9" t="s">
        <v>734</v>
      </c>
      <c r="C9" s="9">
        <f>ber_TPN!F24</f>
        <v>0</v>
      </c>
      <c r="D9" s="9" t="s">
        <v>649</v>
      </c>
    </row>
    <row r="10" spans="1:8" ht="13.2" thickTop="1" x14ac:dyDescent="0.35">
      <c r="A10" s="896" t="s">
        <v>23</v>
      </c>
      <c r="B10" s="897"/>
      <c r="C10" s="897"/>
      <c r="D10" s="897"/>
      <c r="E10" s="897"/>
      <c r="F10" s="897"/>
      <c r="G10" s="897"/>
      <c r="H10" s="898"/>
    </row>
    <row r="11" spans="1:8" ht="25.65" x14ac:dyDescent="0.35">
      <c r="A11" s="32" t="s">
        <v>627</v>
      </c>
      <c r="B11" s="899" t="s">
        <v>383</v>
      </c>
      <c r="C11" s="901"/>
      <c r="D11" s="903" t="s">
        <v>384</v>
      </c>
      <c r="E11" s="903" t="s">
        <v>385</v>
      </c>
      <c r="F11" s="903" t="s">
        <v>386</v>
      </c>
      <c r="G11" s="33"/>
      <c r="H11" s="33" t="s">
        <v>387</v>
      </c>
    </row>
    <row r="12" spans="1:8" x14ac:dyDescent="0.35">
      <c r="A12" s="34" t="s">
        <v>388</v>
      </c>
      <c r="B12" s="900"/>
      <c r="C12" s="902"/>
      <c r="D12" s="904"/>
      <c r="E12" s="904"/>
      <c r="F12" s="904"/>
      <c r="G12" s="33" t="s">
        <v>389</v>
      </c>
      <c r="H12" s="35" t="s">
        <v>390</v>
      </c>
    </row>
    <row r="13" spans="1:8" ht="20.100000000000001" customHeight="1" x14ac:dyDescent="0.35">
      <c r="A13" s="910" t="str">
        <f>IF(G22&lt;&gt;0,ROUND(G22/24,1)&amp;" ml/u","")</f>
        <v/>
      </c>
      <c r="B13" s="72" t="s">
        <v>66</v>
      </c>
      <c r="C13" s="73"/>
      <c r="D13" s="73" t="s">
        <v>391</v>
      </c>
      <c r="E13" s="73" t="s">
        <v>391</v>
      </c>
      <c r="F13" s="74" t="s">
        <v>391</v>
      </c>
      <c r="G13" s="75" t="str">
        <f>IF(AND(TPN&lt;&gt;1,G15&lt;&gt;0),ROUND(ber_TPN!F7,0),"")</f>
        <v/>
      </c>
      <c r="H13" s="33"/>
    </row>
    <row r="14" spans="1:8" ht="20.100000000000001" customHeight="1" x14ac:dyDescent="0.35">
      <c r="A14" s="911"/>
      <c r="B14" s="76" t="s">
        <v>868</v>
      </c>
      <c r="C14" s="77"/>
      <c r="D14" s="77" t="s">
        <v>873</v>
      </c>
      <c r="E14" s="77" t="s">
        <v>88</v>
      </c>
      <c r="F14" s="78" t="s">
        <v>88</v>
      </c>
      <c r="G14" s="75" t="str">
        <f>IF(AND(TPN&lt;&gt;1,G15&lt;&gt;0),ROUND(ber_TPN!F8,0),"")</f>
        <v/>
      </c>
      <c r="H14" s="33"/>
    </row>
    <row r="15" spans="1:8" ht="20.100000000000001" customHeight="1" x14ac:dyDescent="0.35">
      <c r="A15" s="32"/>
      <c r="B15" s="76" t="s">
        <v>271</v>
      </c>
      <c r="C15" s="77"/>
      <c r="D15" s="77" t="s">
        <v>812</v>
      </c>
      <c r="E15" s="77" t="s">
        <v>272</v>
      </c>
      <c r="F15" s="78" t="s">
        <v>277</v>
      </c>
      <c r="G15" s="79" t="str">
        <f>IF(TPN&lt;&gt;1,ber_TPN!F4,"")</f>
        <v/>
      </c>
      <c r="H15" s="33"/>
    </row>
    <row r="16" spans="1:8" ht="20.100000000000001" customHeight="1" x14ac:dyDescent="0.35">
      <c r="A16" s="32"/>
      <c r="B16" s="76" t="s">
        <v>630</v>
      </c>
      <c r="C16" s="77"/>
      <c r="D16" s="77"/>
      <c r="E16" s="931" t="s">
        <v>267</v>
      </c>
      <c r="F16" s="932"/>
      <c r="G16" s="79" t="str">
        <f>IF(AND(SSTglucose&lt;11,TPN&lt;&gt;1),ROUND(ber_TPN!F5,0),"")</f>
        <v/>
      </c>
      <c r="H16" s="33"/>
    </row>
    <row r="17" spans="1:8" ht="20.100000000000001" customHeight="1" x14ac:dyDescent="0.35">
      <c r="A17" s="32"/>
      <c r="B17" s="76" t="s">
        <v>621</v>
      </c>
      <c r="C17" s="77"/>
      <c r="D17" s="77" t="s">
        <v>273</v>
      </c>
      <c r="E17" s="77"/>
      <c r="F17" s="78"/>
      <c r="G17" s="79" t="str">
        <f>IF(AND(SSTglucose=2,TPN&lt;&gt;1),ROUND(ber_TPN!F6,0),"")</f>
        <v/>
      </c>
      <c r="H17" s="33"/>
    </row>
    <row r="18" spans="1:8" ht="20.100000000000001" customHeight="1" x14ac:dyDescent="0.35">
      <c r="A18" s="32"/>
      <c r="B18" s="76" t="s">
        <v>197</v>
      </c>
      <c r="C18" s="77"/>
      <c r="D18" s="77"/>
      <c r="E18" s="77" t="s">
        <v>274</v>
      </c>
      <c r="F18" s="78"/>
      <c r="G18" s="79" t="str">
        <f>IF(AND(SSTglucose=6,TPN&lt;&gt;1),ROUND(ber_TPN!F6,0),"")</f>
        <v/>
      </c>
      <c r="H18" s="33"/>
    </row>
    <row r="19" spans="1:8" ht="20.100000000000001" customHeight="1" x14ac:dyDescent="0.35">
      <c r="A19" s="32"/>
      <c r="B19" s="76" t="s">
        <v>275</v>
      </c>
      <c r="C19" s="77" t="s">
        <v>482</v>
      </c>
      <c r="D19" s="77"/>
      <c r="E19" s="77"/>
      <c r="F19" s="78" t="s">
        <v>881</v>
      </c>
      <c r="G19" s="79" t="str">
        <f>IF(AND(SSTglucose=7,TPN&lt;&gt;1),ROUND(ber_TPN!F6,0),"")</f>
        <v/>
      </c>
      <c r="H19" s="33"/>
    </row>
    <row r="20" spans="1:8" ht="20.100000000000001" customHeight="1" x14ac:dyDescent="0.35">
      <c r="A20" s="32"/>
      <c r="B20" s="76" t="s">
        <v>276</v>
      </c>
      <c r="C20" s="77"/>
      <c r="D20" s="77"/>
      <c r="E20" s="77"/>
      <c r="F20" s="78" t="s">
        <v>875</v>
      </c>
      <c r="G20" s="79" t="str">
        <f>IF(AND(SSTglucose=9,TPN&lt;&gt;1),ROUND(ber_TPN!F6,0),"")</f>
        <v/>
      </c>
      <c r="H20" s="33"/>
    </row>
    <row r="21" spans="1:8" ht="20.100000000000001" customHeight="1" x14ac:dyDescent="0.35">
      <c r="A21" s="32"/>
      <c r="B21" s="80" t="str">
        <f>IF(AND(TPN=2,SSTglucose&lt;&gt;2,SSTglucose&lt;&gt;6,SSTglucose&lt;&gt;7,SSTglucose&lt;&gt;9,SSTglucose&lt;11),INDEX(tblSSTGlucose,SSTglucose,1),"Glucose       %")</f>
        <v>Glucose       %</v>
      </c>
      <c r="C21" s="81"/>
      <c r="D21" s="81"/>
      <c r="E21" s="81"/>
      <c r="F21" s="82"/>
      <c r="G21" s="79" t="str">
        <f>IF(AND(TPN&lt;&gt;1,B19&lt;&gt;""),IF(AND(SSTglucose&lt;&gt;2,SSTglucose&lt;&gt;6,SSTglucose&lt;&gt;7,SSTglucose&lt;&gt;9,SSTglucose&lt;11),ROUND(ber_TPN!F6,0),""),"")</f>
        <v/>
      </c>
      <c r="H21" s="33"/>
    </row>
    <row r="22" spans="1:8" ht="15.95" customHeight="1" x14ac:dyDescent="0.35">
      <c r="A22" s="32"/>
      <c r="B22" s="70"/>
      <c r="C22" s="70"/>
      <c r="D22" s="70"/>
      <c r="E22" s="917" t="s">
        <v>461</v>
      </c>
      <c r="F22" s="917"/>
      <c r="G22" s="67">
        <f>SUM(G13:G21)</f>
        <v>0</v>
      </c>
      <c r="H22" s="65"/>
    </row>
    <row r="23" spans="1:8" ht="10.5" customHeight="1" x14ac:dyDescent="0.35">
      <c r="A23" s="32"/>
      <c r="B23" s="64"/>
      <c r="C23" s="64"/>
      <c r="D23" s="64"/>
      <c r="E23" s="64"/>
      <c r="F23" s="64"/>
      <c r="G23" s="37"/>
      <c r="H23" s="33"/>
    </row>
    <row r="24" spans="1:8" ht="20.100000000000001" customHeight="1" x14ac:dyDescent="0.35">
      <c r="A24" s="910" t="str">
        <f>IF(G27&lt;&gt;0,ROUND(G27/24,1)&amp;" ml/u","")</f>
        <v/>
      </c>
      <c r="B24" s="72" t="s">
        <v>433</v>
      </c>
      <c r="C24" s="73"/>
      <c r="D24" s="73" t="s">
        <v>733</v>
      </c>
      <c r="E24" s="73" t="s">
        <v>391</v>
      </c>
      <c r="F24" s="74" t="s">
        <v>813</v>
      </c>
      <c r="G24" s="75">
        <f>ROUND(ber_TPN!F13,0)</f>
        <v>0</v>
      </c>
      <c r="H24" s="38"/>
    </row>
    <row r="25" spans="1:8" ht="20.100000000000001" customHeight="1" x14ac:dyDescent="0.35">
      <c r="A25" s="911"/>
      <c r="B25" s="76" t="s">
        <v>434</v>
      </c>
      <c r="C25" s="77"/>
      <c r="D25" s="77"/>
      <c r="E25" s="931" t="s">
        <v>762</v>
      </c>
      <c r="F25" s="932"/>
      <c r="G25" s="79">
        <f>ROUND(ber_TPN!F14,0)</f>
        <v>0</v>
      </c>
      <c r="H25" s="33"/>
    </row>
    <row r="26" spans="1:8" ht="20.100000000000001" customHeight="1" x14ac:dyDescent="0.35">
      <c r="A26" s="32"/>
      <c r="B26" s="76" t="s">
        <v>454</v>
      </c>
      <c r="C26" s="77"/>
      <c r="D26" s="77"/>
      <c r="E26" s="931" t="s">
        <v>762</v>
      </c>
      <c r="F26" s="932"/>
      <c r="G26" s="79">
        <f>ROUND(ber_TPN!F15,0)</f>
        <v>0</v>
      </c>
      <c r="H26" s="33"/>
    </row>
    <row r="27" spans="1:8" ht="15.95" customHeight="1" x14ac:dyDescent="0.35">
      <c r="A27" s="32"/>
      <c r="B27" s="64"/>
      <c r="C27" s="64"/>
      <c r="D27" s="64"/>
      <c r="E27" s="917" t="s">
        <v>461</v>
      </c>
      <c r="F27" s="917"/>
      <c r="G27" s="69">
        <f>SUM(G24:G26)</f>
        <v>0</v>
      </c>
      <c r="H27" s="65"/>
    </row>
    <row r="28" spans="1:8" ht="10.5" customHeight="1" thickBot="1" x14ac:dyDescent="0.4">
      <c r="A28" s="32"/>
      <c r="B28" s="64"/>
      <c r="C28" s="64"/>
      <c r="D28" s="64"/>
      <c r="E28" s="64"/>
      <c r="F28" s="64"/>
      <c r="G28" s="37"/>
      <c r="H28" s="33"/>
    </row>
    <row r="29" spans="1:8" ht="15.95" customHeight="1" thickTop="1" x14ac:dyDescent="0.35">
      <c r="A29" s="39"/>
      <c r="B29" s="929" t="s">
        <v>245</v>
      </c>
      <c r="C29" s="930"/>
      <c r="D29" s="930"/>
      <c r="E29" s="930"/>
      <c r="F29" s="930"/>
      <c r="G29" s="60"/>
      <c r="H29" s="40"/>
    </row>
    <row r="30" spans="1:8" ht="20.100000000000001" customHeight="1" x14ac:dyDescent="0.35">
      <c r="A30" s="910" t="str">
        <f>IF(G38&lt;&gt;0,ROUND(G38/24,1)&amp;" ml/u","")</f>
        <v/>
      </c>
      <c r="B30" s="83" t="s">
        <v>66</v>
      </c>
      <c r="C30" s="85"/>
      <c r="D30" s="85"/>
      <c r="E30" s="85"/>
      <c r="F30" s="89"/>
      <c r="G30" s="90">
        <f>IF(AND(OR(TPN=1,AND(TPN=2,SSTglucose&gt;10))),ROUND(ber_TPN!F7,0),"")</f>
        <v>0</v>
      </c>
      <c r="H30" s="33"/>
    </row>
    <row r="31" spans="1:8" ht="20.100000000000001" customHeight="1" x14ac:dyDescent="0.35">
      <c r="A31" s="911"/>
      <c r="B31" s="84" t="s">
        <v>871</v>
      </c>
      <c r="C31" s="87"/>
      <c r="D31" s="87"/>
      <c r="E31" s="87"/>
      <c r="F31" s="91"/>
      <c r="G31" s="92">
        <f>IF(AND(OR(TPN=1,AND(TPN=2,SSTglucose&gt;10))),ROUND(ber_TPN!F8,0),"")</f>
        <v>0</v>
      </c>
      <c r="H31" s="33"/>
    </row>
    <row r="32" spans="1:8" ht="20.100000000000001" customHeight="1" x14ac:dyDescent="0.35">
      <c r="A32" s="62"/>
      <c r="B32" s="84" t="s">
        <v>898</v>
      </c>
      <c r="C32" s="87"/>
      <c r="D32" s="87"/>
      <c r="E32" s="87"/>
      <c r="F32" s="91"/>
      <c r="G32" s="92">
        <f>ber_TPN!F9</f>
        <v>0</v>
      </c>
      <c r="H32" s="33"/>
    </row>
    <row r="33" spans="1:8" ht="20.100000000000001" customHeight="1" x14ac:dyDescent="0.35">
      <c r="A33" s="62"/>
      <c r="B33" s="84" t="s">
        <v>899</v>
      </c>
      <c r="C33" s="87"/>
      <c r="D33" s="87"/>
      <c r="E33" s="87"/>
      <c r="F33" s="91"/>
      <c r="G33" s="92">
        <f>ber_TPN!F10</f>
        <v>0</v>
      </c>
      <c r="H33" s="33"/>
    </row>
    <row r="34" spans="1:8" ht="20.100000000000001" customHeight="1" x14ac:dyDescent="0.35">
      <c r="A34" s="62"/>
      <c r="B34" s="84" t="s">
        <v>621</v>
      </c>
      <c r="C34" s="87"/>
      <c r="D34" s="87"/>
      <c r="E34" s="87"/>
      <c r="F34" s="91"/>
      <c r="G34" s="92">
        <f>ber_TPN!F17+IF(AND(SSTglucose=2,TPN=1),ROUND(ber_TPN!F6,0),0)</f>
        <v>0</v>
      </c>
      <c r="H34" s="33"/>
    </row>
    <row r="35" spans="1:8" ht="20.100000000000001" customHeight="1" x14ac:dyDescent="0.35">
      <c r="A35" s="62"/>
      <c r="B35" s="84" t="str">
        <f>IF(AND(OR(TPN=1,AND(TPN=2,SSTglucose&gt;10)),SSTglucose&lt;&gt;2,SSTglucose&lt;&gt;12,SSTglucose&lt;&gt;13),INDEX(tblSSTGlucose,SSTglucose,1),"Glucose       %")</f>
        <v>Glucose 5%</v>
      </c>
      <c r="C35" s="87"/>
      <c r="D35" s="87"/>
      <c r="E35" s="87"/>
      <c r="F35" s="91"/>
      <c r="G35" s="92">
        <f>IF(AND(OR(TPN=1,AND(TPN=2,SSTglucose&gt;10)),SSTglucose&lt;&gt;2,SSTglucose&lt;&gt;12,SSTglucose&lt;&gt;13),ber_TPN!F6,"")</f>
        <v>0</v>
      </c>
      <c r="H35" s="33"/>
    </row>
    <row r="36" spans="1:8" ht="20.100000000000001" customHeight="1" x14ac:dyDescent="0.35">
      <c r="A36" s="62"/>
      <c r="B36" s="927" t="s">
        <v>67</v>
      </c>
      <c r="C36" s="928"/>
      <c r="D36" s="928"/>
      <c r="E36" s="928"/>
      <c r="F36" s="91"/>
      <c r="G36" s="92" t="str">
        <f>IF(AND(SSTglucose=12),ROUND(ber_TPN!F6,0),"")</f>
        <v/>
      </c>
      <c r="H36" s="33"/>
    </row>
    <row r="37" spans="1:8" ht="20.100000000000001" customHeight="1" x14ac:dyDescent="0.35">
      <c r="A37" s="32"/>
      <c r="B37" s="927" t="s">
        <v>68</v>
      </c>
      <c r="C37" s="928"/>
      <c r="D37" s="928"/>
      <c r="E37" s="928"/>
      <c r="F37" s="91"/>
      <c r="G37" s="92" t="str">
        <f>IF(AND(SSTglucose=13),ROUND(ber_TPN!F6,0),"")</f>
        <v/>
      </c>
      <c r="H37" s="33"/>
    </row>
    <row r="38" spans="1:8" ht="15.95" customHeight="1" x14ac:dyDescent="0.35">
      <c r="A38" s="32"/>
      <c r="B38" s="37"/>
      <c r="C38" s="37"/>
      <c r="D38" s="37"/>
      <c r="E38" s="914" t="s">
        <v>463</v>
      </c>
      <c r="F38" s="914"/>
      <c r="G38" s="68">
        <f>SUM(G30:G37)</f>
        <v>0</v>
      </c>
      <c r="H38" s="33"/>
    </row>
    <row r="39" spans="1:8" ht="10.5" customHeight="1" thickBot="1" x14ac:dyDescent="0.4">
      <c r="A39" s="32"/>
      <c r="B39" s="37"/>
      <c r="C39" s="37"/>
      <c r="D39" s="37"/>
      <c r="E39" s="37"/>
      <c r="F39" s="37"/>
      <c r="G39" s="37"/>
      <c r="H39" s="33"/>
    </row>
    <row r="40" spans="1:8" ht="15.95" customHeight="1" thickTop="1" x14ac:dyDescent="0.35">
      <c r="A40" s="39"/>
      <c r="B40" s="918" t="s">
        <v>516</v>
      </c>
      <c r="C40" s="919"/>
      <c r="D40" s="919"/>
      <c r="E40" s="919"/>
      <c r="F40" s="920"/>
      <c r="G40" s="40" t="s">
        <v>517</v>
      </c>
      <c r="H40" s="40"/>
    </row>
    <row r="41" spans="1:8" ht="15.95" customHeight="1" x14ac:dyDescent="0.35">
      <c r="A41" s="41"/>
      <c r="B41" s="905" t="s">
        <v>518</v>
      </c>
      <c r="C41" s="906"/>
      <c r="D41" s="906"/>
      <c r="E41" s="906"/>
      <c r="F41" s="907"/>
      <c r="G41" s="35" t="s">
        <v>519</v>
      </c>
      <c r="H41" s="33"/>
    </row>
    <row r="42" spans="1:8" ht="15.95" customHeight="1" x14ac:dyDescent="0.35">
      <c r="A42" s="41"/>
      <c r="B42" s="905" t="s">
        <v>520</v>
      </c>
      <c r="C42" s="906"/>
      <c r="D42" s="906"/>
      <c r="E42" s="906"/>
      <c r="F42" s="907"/>
      <c r="G42" s="35" t="s">
        <v>517</v>
      </c>
      <c r="H42" s="36"/>
    </row>
    <row r="44" spans="1:8" x14ac:dyDescent="0.35">
      <c r="A44" s="9" t="s">
        <v>521</v>
      </c>
    </row>
    <row r="45" spans="1:8" x14ac:dyDescent="0.35">
      <c r="A45" s="9" t="s">
        <v>462</v>
      </c>
    </row>
    <row r="47" spans="1:8" x14ac:dyDescent="0.35">
      <c r="A47" s="9" t="s">
        <v>522</v>
      </c>
    </row>
    <row r="49" spans="1:6" x14ac:dyDescent="0.35">
      <c r="A49" s="9" t="s">
        <v>182</v>
      </c>
    </row>
    <row r="51" spans="1:6" ht="13.2" x14ac:dyDescent="0.4">
      <c r="F51" s="3"/>
    </row>
  </sheetData>
  <sheetProtection algorithmName="SHA-512" hashValue="jFk7/6RelrMBWRBS2oq0mMKAN0SNAgDXDV8YAl01O9H1IojccX6A6M+9CE6GYUkagX1Yq9ZBIcjG+i0GsULRLA==" saltValue="iCGUj7TK0+M8DtSkTQXYjA==" spinCount="100000" sheet="1" objects="1" scenarios="1" selectLockedCells="1" selectUnlockedCells="1"/>
  <customSheetViews>
    <customSheetView guid="{33CCADFA-0D48-46A6-8927-2B2144029216}">
      <rowBreaks count="1" manualBreakCount="1">
        <brk id="50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0</oddHeader>
      </headerFooter>
    </customSheetView>
  </customSheetViews>
  <mergeCells count="21">
    <mergeCell ref="A30:A31"/>
    <mergeCell ref="A13:A14"/>
    <mergeCell ref="A10:H10"/>
    <mergeCell ref="B11:B12"/>
    <mergeCell ref="C11:C12"/>
    <mergeCell ref="D11:D12"/>
    <mergeCell ref="E11:E12"/>
    <mergeCell ref="F11:F12"/>
    <mergeCell ref="E16:F16"/>
    <mergeCell ref="A24:A25"/>
    <mergeCell ref="B29:F29"/>
    <mergeCell ref="E22:F22"/>
    <mergeCell ref="E25:F25"/>
    <mergeCell ref="E26:F26"/>
    <mergeCell ref="E27:F27"/>
    <mergeCell ref="E38:F38"/>
    <mergeCell ref="B40:F40"/>
    <mergeCell ref="B41:F41"/>
    <mergeCell ref="B42:F42"/>
    <mergeCell ref="B36:E36"/>
    <mergeCell ref="B37:E37"/>
  </mergeCells>
  <phoneticPr fontId="29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0</oddHeader>
  </headerFooter>
  <rowBreaks count="1" manualBreakCount="1">
    <brk id="50" max="7" man="1"/>
  </rowBreak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boven50kg">
    <tabColor rgb="FF7030A0"/>
  </sheetPr>
  <dimension ref="A1:H48"/>
  <sheetViews>
    <sheetView zoomScaleNormal="100" workbookViewId="0"/>
  </sheetViews>
  <sheetFormatPr defaultColWidth="9.1328125" defaultRowHeight="12.85" x14ac:dyDescent="0.35"/>
  <cols>
    <col min="1" max="1" width="8.73046875" style="9" customWidth="1"/>
    <col min="2" max="2" width="23.86328125" style="9" customWidth="1"/>
    <col min="3" max="3" width="9.265625" style="9" bestFit="1" customWidth="1"/>
    <col min="4" max="6" width="10.73046875" style="9" customWidth="1"/>
    <col min="7" max="7" width="9.1328125" style="9"/>
    <col min="8" max="8" width="14.73046875" style="9" customWidth="1"/>
    <col min="9" max="16384" width="9.1328125" style="9"/>
  </cols>
  <sheetData>
    <row r="1" spans="1:8" ht="13.2" x14ac:dyDescent="0.4">
      <c r="A1" s="595" t="s">
        <v>535</v>
      </c>
      <c r="F1" s="3" t="s">
        <v>806</v>
      </c>
    </row>
    <row r="3" spans="1:8" x14ac:dyDescent="0.35">
      <c r="A3" s="9" t="s">
        <v>536</v>
      </c>
      <c r="B3" s="43">
        <f ca="1">TODAY()</f>
        <v>42722</v>
      </c>
      <c r="F3" s="51">
        <f>PatNummer</f>
        <v>0</v>
      </c>
      <c r="G3" s="52"/>
      <c r="H3" s="53"/>
    </row>
    <row r="4" spans="1:8" x14ac:dyDescent="0.35">
      <c r="A4" s="248" t="s">
        <v>1001</v>
      </c>
      <c r="B4" s="9">
        <f>BedNummer</f>
        <v>0</v>
      </c>
      <c r="F4" s="54" t="str">
        <f>_AchterNaam&amp;",  "&amp;_VoorNaam</f>
        <v>Achternaam,  Voornaam</v>
      </c>
      <c r="G4" s="55"/>
      <c r="H4" s="56"/>
    </row>
    <row r="5" spans="1:8" x14ac:dyDescent="0.35">
      <c r="A5" s="9" t="s">
        <v>537</v>
      </c>
      <c r="B5" s="9" t="s">
        <v>771</v>
      </c>
      <c r="F5" s="57">
        <f>GebDatum</f>
        <v>42370</v>
      </c>
      <c r="G5" s="55"/>
      <c r="H5" s="56"/>
    </row>
    <row r="6" spans="1:8" x14ac:dyDescent="0.35">
      <c r="A6" s="595"/>
      <c r="F6" s="54" t="s">
        <v>572</v>
      </c>
      <c r="G6" s="55" t="str">
        <f>Gewicht/10&amp;" kg"</f>
        <v>10 kg</v>
      </c>
      <c r="H6" s="56"/>
    </row>
    <row r="7" spans="1:8" x14ac:dyDescent="0.35">
      <c r="A7" s="9" t="s">
        <v>648</v>
      </c>
      <c r="B7" s="9" t="s">
        <v>538</v>
      </c>
      <c r="F7" s="58"/>
      <c r="G7" s="50"/>
      <c r="H7" s="59"/>
    </row>
    <row r="8" spans="1:8" x14ac:dyDescent="0.35">
      <c r="A8" s="9" t="s">
        <v>594</v>
      </c>
      <c r="B8" s="9" t="s">
        <v>538</v>
      </c>
    </row>
    <row r="9" spans="1:8" ht="13.2" thickBot="1" x14ac:dyDescent="0.4">
      <c r="A9" s="9" t="str">
        <f>IF(Gewicht/10&lt;7,"Tot. hoev. vocht* (150 ml/kg/24 uur):","Tot. hoev. vocht* (110-90 ml/kg/24 uur):")</f>
        <v>Tot. hoev. vocht* (110-90 ml/kg/24 uur):</v>
      </c>
      <c r="C9" s="9">
        <f>ber_TPN!F24</f>
        <v>0</v>
      </c>
      <c r="D9" s="9" t="s">
        <v>649</v>
      </c>
    </row>
    <row r="10" spans="1:8" ht="13.2" thickTop="1" x14ac:dyDescent="0.35">
      <c r="A10" s="896" t="s">
        <v>23</v>
      </c>
      <c r="B10" s="897"/>
      <c r="C10" s="897"/>
      <c r="D10" s="897"/>
      <c r="E10" s="897"/>
      <c r="F10" s="897"/>
      <c r="G10" s="897"/>
      <c r="H10" s="898"/>
    </row>
    <row r="11" spans="1:8" ht="25.65" x14ac:dyDescent="0.35">
      <c r="A11" s="32" t="s">
        <v>627</v>
      </c>
      <c r="B11" s="899" t="s">
        <v>383</v>
      </c>
      <c r="C11" s="901"/>
      <c r="D11" s="903" t="s">
        <v>384</v>
      </c>
      <c r="E11" s="903" t="s">
        <v>385</v>
      </c>
      <c r="F11" s="903" t="s">
        <v>386</v>
      </c>
      <c r="G11" s="33"/>
      <c r="H11" s="33" t="s">
        <v>387</v>
      </c>
    </row>
    <row r="12" spans="1:8" x14ac:dyDescent="0.35">
      <c r="A12" s="34" t="s">
        <v>388</v>
      </c>
      <c r="B12" s="900"/>
      <c r="C12" s="902"/>
      <c r="D12" s="904"/>
      <c r="E12" s="904"/>
      <c r="F12" s="904"/>
      <c r="G12" s="33" t="s">
        <v>389</v>
      </c>
      <c r="H12" s="35" t="s">
        <v>390</v>
      </c>
    </row>
    <row r="13" spans="1:8" ht="20.100000000000001" customHeight="1" x14ac:dyDescent="0.35">
      <c r="A13" s="93" t="str">
        <f>IF(G15&lt;&gt;0,ROUND(G15/24,1)&amp;" ml/u","")</f>
        <v/>
      </c>
      <c r="B13" s="76" t="s">
        <v>173</v>
      </c>
      <c r="C13" s="77"/>
      <c r="D13" s="77" t="s">
        <v>174</v>
      </c>
      <c r="E13" s="77" t="s">
        <v>175</v>
      </c>
      <c r="F13" s="78" t="s">
        <v>176</v>
      </c>
      <c r="G13" s="98" t="str">
        <f>IF(TPN&lt;&gt;1,ber_TPN!F4,"")</f>
        <v/>
      </c>
      <c r="H13" s="33"/>
    </row>
    <row r="14" spans="1:8" ht="20.100000000000001" customHeight="1" x14ac:dyDescent="0.35">
      <c r="A14" s="94"/>
      <c r="B14" s="76"/>
      <c r="C14" s="77"/>
      <c r="D14" s="77"/>
      <c r="E14" s="77"/>
      <c r="F14" s="78"/>
      <c r="G14" s="79"/>
      <c r="H14" s="33"/>
    </row>
    <row r="15" spans="1:8" ht="20.100000000000001" customHeight="1" x14ac:dyDescent="0.35">
      <c r="A15" s="32"/>
      <c r="B15" s="96"/>
      <c r="C15" s="96"/>
      <c r="D15" s="96"/>
      <c r="E15" s="96"/>
      <c r="F15" s="96" t="s">
        <v>463</v>
      </c>
      <c r="G15" s="97">
        <f>SUM(G13:G14)</f>
        <v>0</v>
      </c>
      <c r="H15" s="33"/>
    </row>
    <row r="16" spans="1:8" ht="20.100000000000001" customHeight="1" x14ac:dyDescent="0.35">
      <c r="A16" s="32"/>
      <c r="B16" s="77"/>
      <c r="C16" s="77"/>
      <c r="D16" s="77"/>
      <c r="E16" s="77"/>
      <c r="F16" s="77"/>
      <c r="G16" s="95"/>
      <c r="H16" s="33"/>
    </row>
    <row r="17" spans="1:8" ht="20.100000000000001" customHeight="1" x14ac:dyDescent="0.35">
      <c r="A17" s="94" t="str">
        <f>IF(G19&lt;&gt;0,ROUND(G19/24,1)&amp;" ml/u","")</f>
        <v/>
      </c>
      <c r="B17" s="76" t="s">
        <v>630</v>
      </c>
      <c r="C17" s="77"/>
      <c r="D17" s="77"/>
      <c r="E17" s="73"/>
      <c r="F17" s="74" t="s">
        <v>392</v>
      </c>
      <c r="G17" s="79">
        <f>IF(AND(OR(SSTglucose&lt;11,Gewicht/10&gt;50),TPN&lt;&gt;1),ROUND(ber_TPN!F5,0),0)</f>
        <v>0</v>
      </c>
      <c r="H17" s="33"/>
    </row>
    <row r="18" spans="1:8" ht="20.100000000000001" customHeight="1" x14ac:dyDescent="0.35">
      <c r="A18" s="32"/>
      <c r="B18" s="76" t="s">
        <v>621</v>
      </c>
      <c r="C18" s="77"/>
      <c r="D18" s="77"/>
      <c r="E18" s="77"/>
      <c r="F18" s="78" t="s">
        <v>172</v>
      </c>
      <c r="G18" s="79">
        <f>IF(G17&gt;0,100,0)</f>
        <v>0</v>
      </c>
      <c r="H18" s="33"/>
    </row>
    <row r="19" spans="1:8" ht="20.100000000000001" customHeight="1" x14ac:dyDescent="0.35">
      <c r="A19" s="32"/>
      <c r="B19" s="70"/>
      <c r="C19" s="70"/>
      <c r="D19" s="70"/>
      <c r="E19" s="917" t="s">
        <v>461</v>
      </c>
      <c r="F19" s="917"/>
      <c r="G19" s="67">
        <f>SUM(G17:G18)</f>
        <v>0</v>
      </c>
      <c r="H19" s="33"/>
    </row>
    <row r="20" spans="1:8" ht="20.100000000000001" customHeight="1" x14ac:dyDescent="0.35">
      <c r="A20" s="32"/>
      <c r="B20" s="64"/>
      <c r="C20" s="64"/>
      <c r="D20" s="64"/>
      <c r="E20" s="64"/>
      <c r="F20" s="64"/>
      <c r="G20" s="37"/>
      <c r="H20" s="33"/>
    </row>
    <row r="21" spans="1:8" ht="20.100000000000001" customHeight="1" x14ac:dyDescent="0.35">
      <c r="A21" s="32" t="str">
        <f>IF(G24&lt;&gt;0,ROUND(G24/24,1)&amp;" ml/u","")</f>
        <v/>
      </c>
      <c r="B21" s="72" t="s">
        <v>433</v>
      </c>
      <c r="C21" s="73"/>
      <c r="D21" s="73" t="s">
        <v>177</v>
      </c>
      <c r="E21" s="73" t="s">
        <v>178</v>
      </c>
      <c r="F21" s="74" t="s">
        <v>179</v>
      </c>
      <c r="G21" s="75">
        <f>ROUND(ber_TPN!F13,0)</f>
        <v>0</v>
      </c>
      <c r="H21" s="33"/>
    </row>
    <row r="22" spans="1:8" ht="20.100000000000001" customHeight="1" x14ac:dyDescent="0.35">
      <c r="A22" s="32"/>
      <c r="B22" s="76" t="s">
        <v>434</v>
      </c>
      <c r="C22" s="77"/>
      <c r="D22" s="77"/>
      <c r="E22" s="73"/>
      <c r="F22" s="74" t="s">
        <v>180</v>
      </c>
      <c r="G22" s="79">
        <f>ROUND(ber_TPN!F14,0)</f>
        <v>0</v>
      </c>
      <c r="H22" s="33"/>
    </row>
    <row r="23" spans="1:8" ht="20.100000000000001" customHeight="1" x14ac:dyDescent="0.35">
      <c r="A23" s="32"/>
      <c r="B23" s="76" t="s">
        <v>454</v>
      </c>
      <c r="C23" s="77"/>
      <c r="D23" s="77"/>
      <c r="E23" s="73"/>
      <c r="F23" s="74" t="s">
        <v>180</v>
      </c>
      <c r="G23" s="79">
        <f>ROUND(ber_TPN!F15,0)</f>
        <v>0</v>
      </c>
      <c r="H23" s="33"/>
    </row>
    <row r="24" spans="1:8" ht="20.100000000000001" customHeight="1" x14ac:dyDescent="0.35">
      <c r="A24" s="32"/>
      <c r="B24" s="64"/>
      <c r="C24" s="64"/>
      <c r="D24" s="64"/>
      <c r="E24" s="917" t="s">
        <v>461</v>
      </c>
      <c r="F24" s="917"/>
      <c r="G24" s="69">
        <f>SUM(G21:G23)</f>
        <v>0</v>
      </c>
      <c r="H24" s="65"/>
    </row>
    <row r="25" spans="1:8" ht="15.95" customHeight="1" thickBot="1" x14ac:dyDescent="0.4">
      <c r="A25" s="32"/>
      <c r="B25" s="64"/>
      <c r="C25" s="64"/>
      <c r="D25" s="64"/>
      <c r="E25" s="64"/>
      <c r="F25" s="64"/>
      <c r="G25" s="37"/>
      <c r="H25" s="33"/>
    </row>
    <row r="26" spans="1:8" ht="15.95" customHeight="1" thickTop="1" x14ac:dyDescent="0.35">
      <c r="A26" s="39"/>
      <c r="B26" s="929" t="s">
        <v>245</v>
      </c>
      <c r="C26" s="930"/>
      <c r="D26" s="930"/>
      <c r="E26" s="930"/>
      <c r="F26" s="930"/>
      <c r="G26" s="60"/>
      <c r="H26" s="40"/>
    </row>
    <row r="27" spans="1:8" ht="20.100000000000001" customHeight="1" x14ac:dyDescent="0.35">
      <c r="A27" s="910" t="str">
        <f>IF(G35&lt;&gt;0,ROUND(G35/24,1)&amp;" ml/u","")</f>
        <v/>
      </c>
      <c r="B27" s="83" t="s">
        <v>66</v>
      </c>
      <c r="C27" s="85"/>
      <c r="D27" s="85"/>
      <c r="E27" s="85"/>
      <c r="F27" s="89"/>
      <c r="G27" s="90">
        <f>IF(AND(OR(TPN=1,Gewicht/10&gt;50,AND(TPN=2,SSTglucose&gt;10))),ROUND(ber_TPN!F7,0),"")</f>
        <v>0</v>
      </c>
      <c r="H27" s="33"/>
    </row>
    <row r="28" spans="1:8" ht="20.100000000000001" customHeight="1" x14ac:dyDescent="0.35">
      <c r="A28" s="911"/>
      <c r="B28" s="84" t="s">
        <v>871</v>
      </c>
      <c r="C28" s="87"/>
      <c r="D28" s="87"/>
      <c r="E28" s="87"/>
      <c r="F28" s="91"/>
      <c r="G28" s="92">
        <f>IF(AND(OR(TPN=1,Gewicht/10&gt;50,AND(TPN=2,SSTglucose&gt;10))),ROUND(ber_TPN!F8,0),"")</f>
        <v>0</v>
      </c>
      <c r="H28" s="33"/>
    </row>
    <row r="29" spans="1:8" ht="15.95" customHeight="1" x14ac:dyDescent="0.35">
      <c r="A29" s="62"/>
      <c r="B29" s="84" t="s">
        <v>898</v>
      </c>
      <c r="C29" s="87"/>
      <c r="D29" s="87"/>
      <c r="E29" s="87"/>
      <c r="F29" s="91"/>
      <c r="G29" s="92">
        <f>ber_TPN!F9</f>
        <v>0</v>
      </c>
      <c r="H29" s="33"/>
    </row>
    <row r="30" spans="1:8" ht="15.95" customHeight="1" x14ac:dyDescent="0.35">
      <c r="A30" s="62"/>
      <c r="B30" s="84" t="s">
        <v>899</v>
      </c>
      <c r="C30" s="87"/>
      <c r="D30" s="87"/>
      <c r="E30" s="87"/>
      <c r="F30" s="91"/>
      <c r="G30" s="92">
        <f>ber_TPN!F10</f>
        <v>0</v>
      </c>
      <c r="H30" s="33"/>
    </row>
    <row r="31" spans="1:8" ht="15.95" customHeight="1" x14ac:dyDescent="0.35">
      <c r="A31" s="62"/>
      <c r="B31" s="84" t="s">
        <v>621</v>
      </c>
      <c r="C31" s="87"/>
      <c r="D31" s="87"/>
      <c r="E31" s="87"/>
      <c r="F31" s="91"/>
      <c r="G31" s="92">
        <f>IF(Gewicht/10&lt;=50,ber_TPN!F17,0)+IF(OR(AND(SSTglucose=2,TPN=1),AND(SSTglucose=2,Gewicht/10&gt;50)),ROUND(ber_TPN!F6,0),0)</f>
        <v>0</v>
      </c>
      <c r="H31" s="33"/>
    </row>
    <row r="32" spans="1:8" ht="15.95" customHeight="1" x14ac:dyDescent="0.35">
      <c r="A32" s="62"/>
      <c r="B32" s="84" t="str">
        <f>IF(AND(OR(TPN=1,AND(TPN=2,SSTglucose&gt;10)),SSTglucose&lt;&gt;2,SSTglucose&lt;&gt;12,SSTglucose&lt;&gt;13),INDEX(tblSSTGlucose,SSTglucose,1),"Glucose       %")</f>
        <v>Glucose 5%</v>
      </c>
      <c r="C32" s="87"/>
      <c r="D32" s="87"/>
      <c r="E32" s="87"/>
      <c r="F32" s="91"/>
      <c r="G32" s="92">
        <f>IF(AND(SSTglucose&lt;&gt;2,SSTglucose&lt;&gt;12,SSTglucose&lt;&gt;13),ber_TPN!F6,"")</f>
        <v>0</v>
      </c>
      <c r="H32" s="33"/>
    </row>
    <row r="33" spans="1:8" ht="15.95" customHeight="1" x14ac:dyDescent="0.35">
      <c r="A33" s="62"/>
      <c r="B33" s="927" t="s">
        <v>67</v>
      </c>
      <c r="C33" s="928"/>
      <c r="D33" s="928"/>
      <c r="E33" s="928"/>
      <c r="F33" s="91"/>
      <c r="G33" s="92" t="str">
        <f>IF(AND(SSTglucose=12),ROUND(ber_TPN!F6,0),"")</f>
        <v/>
      </c>
      <c r="H33" s="33"/>
    </row>
    <row r="34" spans="1:8" ht="20.100000000000001" customHeight="1" x14ac:dyDescent="0.35">
      <c r="A34" s="32"/>
      <c r="B34" s="927" t="s">
        <v>68</v>
      </c>
      <c r="C34" s="928"/>
      <c r="D34" s="928"/>
      <c r="E34" s="928"/>
      <c r="F34" s="91"/>
      <c r="G34" s="92" t="str">
        <f>IF(AND(SSTglucose=13),ROUND(ber_TPN!F6,0),"")</f>
        <v/>
      </c>
      <c r="H34" s="33"/>
    </row>
    <row r="35" spans="1:8" ht="20.100000000000001" customHeight="1" x14ac:dyDescent="0.35">
      <c r="A35" s="32"/>
      <c r="B35" s="37"/>
      <c r="C35" s="37"/>
      <c r="D35" s="37"/>
      <c r="E35" s="914" t="s">
        <v>463</v>
      </c>
      <c r="F35" s="914"/>
      <c r="G35" s="68">
        <f>SUM(G27:G34)</f>
        <v>0</v>
      </c>
      <c r="H35" s="33"/>
    </row>
    <row r="36" spans="1:8" ht="20.100000000000001" customHeight="1" thickBot="1" x14ac:dyDescent="0.4">
      <c r="A36" s="32"/>
      <c r="B36" s="37"/>
      <c r="C36" s="37"/>
      <c r="D36" s="37"/>
      <c r="E36" s="37"/>
      <c r="F36" s="37"/>
      <c r="G36" s="37"/>
      <c r="H36" s="33"/>
    </row>
    <row r="37" spans="1:8" ht="20.100000000000001" customHeight="1" thickTop="1" x14ac:dyDescent="0.35">
      <c r="A37" s="39"/>
      <c r="B37" s="918" t="s">
        <v>516</v>
      </c>
      <c r="C37" s="919"/>
      <c r="D37" s="919"/>
      <c r="E37" s="919"/>
      <c r="F37" s="920"/>
      <c r="G37" s="40" t="s">
        <v>517</v>
      </c>
      <c r="H37" s="40"/>
    </row>
    <row r="38" spans="1:8" ht="20.100000000000001" customHeight="1" x14ac:dyDescent="0.35">
      <c r="A38" s="41"/>
      <c r="B38" s="905" t="s">
        <v>518</v>
      </c>
      <c r="C38" s="906"/>
      <c r="D38" s="906"/>
      <c r="E38" s="906"/>
      <c r="F38" s="907"/>
      <c r="G38" s="35" t="s">
        <v>519</v>
      </c>
      <c r="H38" s="33"/>
    </row>
    <row r="39" spans="1:8" ht="20.100000000000001" customHeight="1" x14ac:dyDescent="0.35">
      <c r="A39" s="41"/>
      <c r="B39" s="905" t="s">
        <v>520</v>
      </c>
      <c r="C39" s="906"/>
      <c r="D39" s="906"/>
      <c r="E39" s="906"/>
      <c r="F39" s="907"/>
      <c r="G39" s="35" t="s">
        <v>517</v>
      </c>
      <c r="H39" s="36"/>
    </row>
    <row r="40" spans="1:8" ht="20.100000000000001" customHeight="1" x14ac:dyDescent="0.35"/>
    <row r="41" spans="1:8" ht="15.95" customHeight="1" x14ac:dyDescent="0.35">
      <c r="A41" s="9" t="s">
        <v>521</v>
      </c>
    </row>
    <row r="42" spans="1:8" ht="10.5" customHeight="1" x14ac:dyDescent="0.35">
      <c r="A42" s="9" t="s">
        <v>462</v>
      </c>
    </row>
    <row r="43" spans="1:8" ht="15.95" customHeight="1" x14ac:dyDescent="0.35"/>
    <row r="44" spans="1:8" ht="15.95" customHeight="1" x14ac:dyDescent="0.35">
      <c r="A44" s="9" t="s">
        <v>522</v>
      </c>
    </row>
    <row r="45" spans="1:8" ht="15.95" customHeight="1" x14ac:dyDescent="0.35"/>
    <row r="46" spans="1:8" x14ac:dyDescent="0.35">
      <c r="A46" s="9" t="s">
        <v>182</v>
      </c>
    </row>
    <row r="48" spans="1:8" ht="13.2" x14ac:dyDescent="0.4">
      <c r="F48" s="3"/>
    </row>
  </sheetData>
  <sheetProtection algorithmName="SHA-512" hashValue="i6O48v3DlAuJA53/pzMbOxWXUAB4X+wZZvPHgnFAzK14sVlOWsJ0tFL4QDnfyBVv5UmeF+9XMz2IRwQ/kAdDpw==" saltValue="z31AZxjk+5POhjRxCisWIw==" spinCount="100000" sheet="1" objects="1" scenarios="1" selectLockedCells="1" selectUnlockedCells="1"/>
  <customSheetViews>
    <customSheetView guid="{33CCADFA-0D48-46A6-8927-2B2144029216}">
      <rowBreaks count="1" manualBreakCount="1">
        <brk id="53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1.7</oddHeader>
      </headerFooter>
    </customSheetView>
  </customSheetViews>
  <mergeCells count="16">
    <mergeCell ref="B37:F37"/>
    <mergeCell ref="B38:F38"/>
    <mergeCell ref="B39:F39"/>
    <mergeCell ref="B33:E33"/>
    <mergeCell ref="B34:E34"/>
    <mergeCell ref="E35:F35"/>
    <mergeCell ref="A27:A28"/>
    <mergeCell ref="A10:H10"/>
    <mergeCell ref="B11:B12"/>
    <mergeCell ref="C11:C12"/>
    <mergeCell ref="D11:D12"/>
    <mergeCell ref="E11:E12"/>
    <mergeCell ref="F11:F12"/>
    <mergeCell ref="B26:F26"/>
    <mergeCell ref="E19:F19"/>
    <mergeCell ref="E24:F24"/>
  </mergeCells>
  <phoneticPr fontId="29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1.7</oddHeader>
  </headerFooter>
  <rowBreaks count="1" manualBreakCount="1">
    <brk id="53" max="7" man="1"/>
  </rowBreak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PN">
    <tabColor rgb="FF92D050"/>
  </sheetPr>
  <dimension ref="A1:O40"/>
  <sheetViews>
    <sheetView topLeftCell="A10" workbookViewId="0">
      <selection activeCell="B40" sqref="B40"/>
    </sheetView>
  </sheetViews>
  <sheetFormatPr defaultRowHeight="12.85" x14ac:dyDescent="0.35"/>
  <cols>
    <col min="1" max="1" width="16.3984375" customWidth="1"/>
    <col min="2" max="2" width="12" bestFit="1" customWidth="1"/>
    <col min="3" max="3" width="9.3984375" bestFit="1" customWidth="1"/>
    <col min="4" max="9" width="12" bestFit="1" customWidth="1"/>
    <col min="10" max="10" width="8.1328125" bestFit="1" customWidth="1"/>
    <col min="11" max="11" width="24.59765625" customWidth="1"/>
    <col min="12" max="13" width="8.1328125" bestFit="1" customWidth="1"/>
    <col min="14" max="14" width="8.3984375" bestFit="1" customWidth="1"/>
    <col min="15" max="15" width="4" bestFit="1" customWidth="1"/>
    <col min="16" max="17" width="7.73046875" customWidth="1"/>
  </cols>
  <sheetData>
    <row r="1" spans="1:15" x14ac:dyDescent="0.35">
      <c r="A1" s="577"/>
      <c r="G1">
        <v>3</v>
      </c>
      <c r="H1">
        <v>2</v>
      </c>
      <c r="I1">
        <v>4</v>
      </c>
      <c r="J1">
        <v>5</v>
      </c>
      <c r="K1">
        <v>6</v>
      </c>
      <c r="L1">
        <v>7</v>
      </c>
      <c r="M1">
        <v>8</v>
      </c>
      <c r="N1">
        <v>9</v>
      </c>
      <c r="O1">
        <v>10</v>
      </c>
    </row>
    <row r="2" spans="1:15" ht="25.65" x14ac:dyDescent="0.35">
      <c r="B2" t="s">
        <v>508</v>
      </c>
      <c r="C2" t="s">
        <v>244</v>
      </c>
      <c r="D2" s="25" t="s">
        <v>598</v>
      </c>
      <c r="E2" s="25" t="s">
        <v>238</v>
      </c>
      <c r="F2" t="s">
        <v>631</v>
      </c>
      <c r="G2" t="s">
        <v>425</v>
      </c>
      <c r="H2" t="s">
        <v>240</v>
      </c>
      <c r="I2" t="s">
        <v>472</v>
      </c>
      <c r="J2" t="s">
        <v>473</v>
      </c>
      <c r="K2" t="s">
        <v>474</v>
      </c>
      <c r="L2" t="s">
        <v>475</v>
      </c>
      <c r="M2" t="s">
        <v>428</v>
      </c>
      <c r="N2" t="s">
        <v>241</v>
      </c>
      <c r="O2" t="s">
        <v>431</v>
      </c>
    </row>
    <row r="3" spans="1:15" x14ac:dyDescent="0.35">
      <c r="A3" t="s">
        <v>693</v>
      </c>
      <c r="E3">
        <f>IF(D3&lt;50,D3/10,IF(D3&lt;146,D3-45,(D3-125)*5))</f>
        <v>0</v>
      </c>
      <c r="F3">
        <f>ROUND(E3*24+ROUND(IF(AND(TPN=2,Gewicht/10&lt;=50,SSTglucose&lt;11),F4*2+2*(F7+F8),2*(F7+F8)+4*(F9+F10))/24,0)*24,0)</f>
        <v>0</v>
      </c>
    </row>
    <row r="4" spans="1:15" x14ac:dyDescent="0.35">
      <c r="A4" t="s">
        <v>478</v>
      </c>
      <c r="B4">
        <v>1</v>
      </c>
      <c r="D4">
        <f>F4/24</f>
        <v>0</v>
      </c>
      <c r="F4">
        <f>IF(AND(OR(SSTglucose&lt;11,Gewicht/10&gt;50),B4&lt;&gt;1),TPNVol,0)</f>
        <v>0</v>
      </c>
      <c r="G4">
        <f t="shared" ref="G4:N4" si="0">INDEX(tblTPN,$B$4,G1)*$F$4</f>
        <v>0</v>
      </c>
      <c r="H4">
        <f t="shared" si="0"/>
        <v>0</v>
      </c>
      <c r="I4">
        <f t="shared" si="0"/>
        <v>0</v>
      </c>
      <c r="J4">
        <f t="shared" si="0"/>
        <v>0</v>
      </c>
      <c r="K4">
        <f t="shared" si="0"/>
        <v>0</v>
      </c>
      <c r="L4">
        <f t="shared" si="0"/>
        <v>0</v>
      </c>
      <c r="M4">
        <f t="shared" si="0"/>
        <v>0</v>
      </c>
      <c r="N4">
        <f t="shared" si="0"/>
        <v>0</v>
      </c>
    </row>
    <row r="5" spans="1:15" x14ac:dyDescent="0.35">
      <c r="A5" t="s">
        <v>630</v>
      </c>
      <c r="F5">
        <f>IF(AND(Gewicht/10&gt;=16,TPN&gt;1,OR(SSTglucose&lt;11,Gewicht/10&gt;50)),E5,0)</f>
        <v>0</v>
      </c>
    </row>
    <row r="6" spans="1:15" x14ac:dyDescent="0.35">
      <c r="A6" s="577" t="s">
        <v>599</v>
      </c>
      <c r="B6">
        <v>1</v>
      </c>
      <c r="F6">
        <f>IF(Gewicht/10&gt;50,F3-F7-F8-F9-F10,IF(OR(TPN=1,SSTglucose&gt;=11),F3-F7-F8-F9-F10,F3-F4-F5-F7-F8))</f>
        <v>0</v>
      </c>
      <c r="G6">
        <f>INDEX(J27:L40,B6,3)*F6</f>
        <v>0</v>
      </c>
      <c r="I6">
        <f>INDEX(J27:M40,B6,4)*F6</f>
        <v>0</v>
      </c>
      <c r="J6">
        <f>INDEX(J27:N40,B6,5)*F6</f>
        <v>0</v>
      </c>
      <c r="N6">
        <f>4*G6</f>
        <v>0</v>
      </c>
    </row>
    <row r="7" spans="1:15" x14ac:dyDescent="0.35">
      <c r="A7" t="s">
        <v>688</v>
      </c>
      <c r="C7" t="b">
        <v>0</v>
      </c>
      <c r="D7">
        <f>IF(E7&lt;50,E7/10,E7-45)</f>
        <v>0</v>
      </c>
      <c r="F7">
        <f>ROUND(IF(C7,E7,0),0)</f>
        <v>0</v>
      </c>
      <c r="I7">
        <f>F7*0.5</f>
        <v>0</v>
      </c>
    </row>
    <row r="8" spans="1:15" x14ac:dyDescent="0.35">
      <c r="A8" t="s">
        <v>469</v>
      </c>
      <c r="C8" t="b">
        <v>0</v>
      </c>
      <c r="D8">
        <f>IF(E8&lt;50,E8/10,E8-45)</f>
        <v>0</v>
      </c>
      <c r="F8">
        <f>ROUND(IF(C8,E8,0),0)</f>
        <v>0</v>
      </c>
      <c r="J8">
        <f>F8</f>
        <v>0</v>
      </c>
    </row>
    <row r="9" spans="1:15" x14ac:dyDescent="0.35">
      <c r="A9" t="s">
        <v>689</v>
      </c>
      <c r="C9" t="b">
        <v>0</v>
      </c>
      <c r="D9">
        <f>CaGlucVol</f>
        <v>0</v>
      </c>
      <c r="F9">
        <f>ROUND(IF(C9,D9,0),0)</f>
        <v>0</v>
      </c>
      <c r="K9">
        <f>F9*0.225</f>
        <v>0</v>
      </c>
    </row>
    <row r="10" spans="1:15" x14ac:dyDescent="0.35">
      <c r="A10" t="s">
        <v>644</v>
      </c>
      <c r="C10" t="b">
        <v>0</v>
      </c>
      <c r="D10">
        <f>MgClVol</f>
        <v>0</v>
      </c>
      <c r="F10">
        <f>ROUND(IF(C10,D10,0),0)</f>
        <v>0</v>
      </c>
      <c r="L10">
        <f>F10*0.5</f>
        <v>0</v>
      </c>
    </row>
    <row r="11" spans="1:15" x14ac:dyDescent="0.35">
      <c r="A11" t="s">
        <v>642</v>
      </c>
      <c r="C11" t="b">
        <v>0</v>
      </c>
      <c r="D11">
        <f>IF(E11&lt;50,E11/10,E11-45)</f>
        <v>0</v>
      </c>
      <c r="F11">
        <f>IF(C11,D11,0)</f>
        <v>0</v>
      </c>
      <c r="I11">
        <f>0.5*F11</f>
        <v>0</v>
      </c>
      <c r="J11">
        <f>1.25*F11</f>
        <v>0</v>
      </c>
      <c r="M11">
        <f>F11*1.5</f>
        <v>0</v>
      </c>
    </row>
    <row r="12" spans="1:15" x14ac:dyDescent="0.35">
      <c r="A12" t="s">
        <v>432</v>
      </c>
      <c r="D12">
        <v>0</v>
      </c>
      <c r="E12">
        <f>ROUND(IF(D12&lt;50,D12/10,D12-45),1)</f>
        <v>0</v>
      </c>
      <c r="F12">
        <f>E12*24</f>
        <v>0</v>
      </c>
    </row>
    <row r="13" spans="1:15" x14ac:dyDescent="0.35">
      <c r="A13" t="s">
        <v>433</v>
      </c>
      <c r="F13">
        <f>F12-F14-F15-F16</f>
        <v>0</v>
      </c>
      <c r="N13">
        <f>9*O13</f>
        <v>0</v>
      </c>
      <c r="O13">
        <f>0.2*F13</f>
        <v>0</v>
      </c>
    </row>
    <row r="14" spans="1:15" x14ac:dyDescent="0.35">
      <c r="A14" t="s">
        <v>434</v>
      </c>
      <c r="C14" t="b">
        <v>0</v>
      </c>
      <c r="D14">
        <f>IF(E14&lt;50,E14/10,E14-45)</f>
        <v>0.1</v>
      </c>
      <c r="E14">
        <v>1</v>
      </c>
      <c r="F14">
        <f>IF(C14,D14,0)</f>
        <v>0</v>
      </c>
    </row>
    <row r="15" spans="1:15" x14ac:dyDescent="0.35">
      <c r="A15" t="s">
        <v>435</v>
      </c>
      <c r="C15" t="b">
        <v>0</v>
      </c>
      <c r="D15">
        <f>IF(E15&lt;50,E15/10,E15-45)</f>
        <v>0.1</v>
      </c>
      <c r="E15">
        <v>1</v>
      </c>
      <c r="F15">
        <f>IF(AND(C15,Gewicht/10&gt;=7),D15,0)</f>
        <v>0</v>
      </c>
    </row>
    <row r="16" spans="1:15" s="517" customFormat="1" x14ac:dyDescent="0.35">
      <c r="A16" s="518" t="s">
        <v>2417</v>
      </c>
      <c r="D16" s="517">
        <f>IF(E16&lt;50,E16/10,E16-45)</f>
        <v>4.9000000000000004</v>
      </c>
      <c r="E16" s="517">
        <v>49</v>
      </c>
      <c r="F16" s="517">
        <f>IF(C16,D16,0)</f>
        <v>0</v>
      </c>
    </row>
    <row r="17" spans="1:15" x14ac:dyDescent="0.35">
      <c r="A17" t="s">
        <v>352</v>
      </c>
      <c r="F17">
        <f>IF(AND(TPN=2,Gewicht/10&lt;=50,SSTglucose&lt;11),ROUND((F9*4+F10*4)/10,0)*10,IF(AND(TPN=2,Gewicht/10&gt;50),100,0))</f>
        <v>0</v>
      </c>
      <c r="G17">
        <f>F17*0.1</f>
        <v>0</v>
      </c>
    </row>
    <row r="18" spans="1:15" x14ac:dyDescent="0.35">
      <c r="A18" t="s">
        <v>239</v>
      </c>
      <c r="F18">
        <f>(ROUND(ber_TPN!F11*1.5/(Gewicht/10)/24/0.01,1)*24-ber_TPN!F11)</f>
        <v>0</v>
      </c>
      <c r="G18">
        <f>F18*0.05</f>
        <v>0</v>
      </c>
      <c r="N18">
        <f>4*G18</f>
        <v>0</v>
      </c>
    </row>
    <row r="19" spans="1:15" x14ac:dyDescent="0.35">
      <c r="A19" t="s">
        <v>694</v>
      </c>
      <c r="D19">
        <v>0</v>
      </c>
      <c r="E19">
        <f>IF(D19&lt;50,D19/10,D19-45)</f>
        <v>0</v>
      </c>
      <c r="F19">
        <f>E19*24</f>
        <v>0</v>
      </c>
    </row>
    <row r="20" spans="1:15" x14ac:dyDescent="0.35">
      <c r="A20" t="s">
        <v>599</v>
      </c>
      <c r="B20">
        <v>1</v>
      </c>
      <c r="F20">
        <f>IF(F19-F21-F22&lt;0,0,F19-F21-F22)</f>
        <v>0</v>
      </c>
      <c r="G20">
        <f>INDEX(J27:L40,B20,3)*F20</f>
        <v>0</v>
      </c>
      <c r="I20">
        <f>INDEX(J27:M40,B20,4)*F20</f>
        <v>0</v>
      </c>
      <c r="J20">
        <f>INDEX(J27:N40,B6,5)*F20</f>
        <v>0</v>
      </c>
      <c r="N20">
        <f>4*G20</f>
        <v>0</v>
      </c>
    </row>
    <row r="21" spans="1:15" x14ac:dyDescent="0.35">
      <c r="A21" t="s">
        <v>688</v>
      </c>
      <c r="D21">
        <f>IF(E21&lt;50,E21/10,E21-45)</f>
        <v>0</v>
      </c>
      <c r="F21">
        <f>IF(AND(D21+D22&lt;F19,C21),D21,0)</f>
        <v>0</v>
      </c>
      <c r="I21">
        <f>F21*0.5</f>
        <v>0</v>
      </c>
    </row>
    <row r="22" spans="1:15" x14ac:dyDescent="0.35">
      <c r="A22" t="s">
        <v>469</v>
      </c>
      <c r="D22">
        <f>IF(E22&lt;50,E22/10,E22-45)</f>
        <v>0</v>
      </c>
      <c r="F22">
        <f>IF(AND(C22,D21+D22&lt;F19),D22,0)</f>
        <v>0</v>
      </c>
      <c r="J22">
        <f>F22</f>
        <v>0</v>
      </c>
    </row>
    <row r="24" spans="1:15" x14ac:dyDescent="0.35">
      <c r="A24" t="s">
        <v>242</v>
      </c>
      <c r="F24">
        <f>IF(Gewicht/10&gt;50,SUM(F3+F4+F12+F18+F17+F19),IF(TPN=1,SUM(F3+F12+F17+F18+F19),SUM(F3+F9+F10+F12+F17+F18+F19)))</f>
        <v>0</v>
      </c>
      <c r="G24">
        <f t="shared" ref="G24:N24" si="1">SUM(G3:G22)</f>
        <v>0</v>
      </c>
      <c r="H24">
        <f t="shared" si="1"/>
        <v>0</v>
      </c>
      <c r="I24">
        <f t="shared" si="1"/>
        <v>0</v>
      </c>
      <c r="J24">
        <f t="shared" si="1"/>
        <v>0</v>
      </c>
      <c r="K24">
        <f t="shared" si="1"/>
        <v>0</v>
      </c>
      <c r="L24">
        <f t="shared" si="1"/>
        <v>0</v>
      </c>
      <c r="M24">
        <f t="shared" si="1"/>
        <v>0</v>
      </c>
      <c r="N24">
        <f t="shared" si="1"/>
        <v>0</v>
      </c>
      <c r="O24">
        <f>SUM(O4:O22)</f>
        <v>0</v>
      </c>
    </row>
    <row r="26" spans="1:15" x14ac:dyDescent="0.35">
      <c r="A26" s="61"/>
      <c r="B26" s="61" t="s">
        <v>470</v>
      </c>
      <c r="C26" s="61" t="s">
        <v>471</v>
      </c>
      <c r="D26" s="61" t="s">
        <v>472</v>
      </c>
      <c r="E26" s="61" t="s">
        <v>473</v>
      </c>
      <c r="F26" s="61" t="s">
        <v>474</v>
      </c>
      <c r="G26" s="61" t="s">
        <v>475</v>
      </c>
      <c r="H26" s="61" t="s">
        <v>476</v>
      </c>
      <c r="I26" s="61" t="s">
        <v>477</v>
      </c>
      <c r="L26" t="s">
        <v>236</v>
      </c>
      <c r="M26" t="s">
        <v>237</v>
      </c>
      <c r="N26" t="s">
        <v>188</v>
      </c>
    </row>
    <row r="27" spans="1:15" x14ac:dyDescent="0.35">
      <c r="J27">
        <v>1</v>
      </c>
      <c r="K27" t="s">
        <v>620</v>
      </c>
      <c r="L27">
        <v>0.05</v>
      </c>
      <c r="M27">
        <v>0</v>
      </c>
    </row>
    <row r="28" spans="1:15" x14ac:dyDescent="0.35">
      <c r="A28" s="61" t="s">
        <v>687</v>
      </c>
      <c r="B28" s="61">
        <v>0.08</v>
      </c>
      <c r="C28" s="61">
        <v>0</v>
      </c>
      <c r="D28" s="61">
        <v>8.0000000000000002E-3</v>
      </c>
      <c r="E28" s="61">
        <v>0.02</v>
      </c>
      <c r="F28" s="61">
        <v>2.8000000000000001E-2</v>
      </c>
      <c r="G28" s="61">
        <v>8.0000000000000002E-3</v>
      </c>
      <c r="H28" s="61">
        <v>2.4E-2</v>
      </c>
      <c r="I28" s="61">
        <v>0.32</v>
      </c>
      <c r="J28">
        <v>2</v>
      </c>
      <c r="K28" t="s">
        <v>621</v>
      </c>
      <c r="L28">
        <v>0.1</v>
      </c>
      <c r="M28">
        <v>0</v>
      </c>
    </row>
    <row r="29" spans="1:15" x14ac:dyDescent="0.35">
      <c r="A29" s="61" t="s">
        <v>686</v>
      </c>
      <c r="B29" s="61">
        <v>7.3999999999999996E-2</v>
      </c>
      <c r="C29" s="61">
        <v>0</v>
      </c>
      <c r="D29" s="61">
        <f>(0.5*0.5)/35</f>
        <v>7.1428571428571426E-3</v>
      </c>
      <c r="E29" s="61">
        <f>1.7/100</f>
        <v>1.7000000000000001E-2</v>
      </c>
      <c r="F29" s="61">
        <v>2.5000000000000001E-2</v>
      </c>
      <c r="G29" s="61">
        <f>0.6/100</f>
        <v>6.0000000000000001E-3</v>
      </c>
      <c r="H29" s="61">
        <v>2.1000000000000001E-2</v>
      </c>
      <c r="I29" s="61">
        <v>0.28999999999999998</v>
      </c>
      <c r="J29">
        <v>3</v>
      </c>
      <c r="K29" t="s">
        <v>187</v>
      </c>
      <c r="L29">
        <v>0.125</v>
      </c>
    </row>
    <row r="30" spans="1:15" x14ac:dyDescent="0.35">
      <c r="A30" s="61" t="s">
        <v>687</v>
      </c>
      <c r="B30" s="61">
        <v>0.08</v>
      </c>
      <c r="C30" s="61">
        <v>0</v>
      </c>
      <c r="D30" s="61">
        <f>0.4*0.5/25</f>
        <v>8.0000000000000002E-3</v>
      </c>
      <c r="E30" s="61">
        <f>0.5/25</f>
        <v>0.02</v>
      </c>
      <c r="F30" s="61">
        <v>2.8000000000000001E-2</v>
      </c>
      <c r="G30" s="61">
        <v>8.0000000000000002E-3</v>
      </c>
      <c r="H30" s="61">
        <v>2.4E-2</v>
      </c>
      <c r="I30" s="61">
        <v>0.32</v>
      </c>
      <c r="J30">
        <v>4</v>
      </c>
      <c r="K30" t="s">
        <v>199</v>
      </c>
      <c r="L30">
        <v>0.15</v>
      </c>
      <c r="M30">
        <v>0</v>
      </c>
    </row>
    <row r="31" spans="1:15" x14ac:dyDescent="0.35">
      <c r="A31" s="61" t="s">
        <v>86</v>
      </c>
      <c r="B31" s="61">
        <v>8.7999999999999995E-2</v>
      </c>
      <c r="C31" s="61">
        <v>0</v>
      </c>
      <c r="D31" s="61">
        <f>0.5*0.4/20</f>
        <v>0.01</v>
      </c>
      <c r="E31" s="61">
        <v>2.5000000000000001E-2</v>
      </c>
      <c r="F31" s="61">
        <v>1.7999999999999999E-2</v>
      </c>
      <c r="G31" s="61">
        <v>0.01</v>
      </c>
      <c r="H31" s="61">
        <v>0.03</v>
      </c>
      <c r="I31" s="61">
        <v>0.35</v>
      </c>
      <c r="J31">
        <v>5</v>
      </c>
      <c r="K31" t="s">
        <v>186</v>
      </c>
      <c r="L31">
        <v>0.17499999999999999</v>
      </c>
    </row>
    <row r="32" spans="1:15" x14ac:dyDescent="0.35">
      <c r="A32" s="61" t="s">
        <v>87</v>
      </c>
      <c r="B32" s="61">
        <v>8.3000000000000004E-2</v>
      </c>
      <c r="C32" s="61">
        <v>0</v>
      </c>
      <c r="D32" s="61">
        <f>0.3*0.5/12</f>
        <v>1.2499999999999999E-2</v>
      </c>
      <c r="E32" s="61">
        <v>3.1E-2</v>
      </c>
      <c r="F32" s="61">
        <v>2.5999999999999999E-2</v>
      </c>
      <c r="G32" s="61">
        <v>1.2500000000000001E-2</v>
      </c>
      <c r="H32" s="61">
        <v>3.7999999999999999E-2</v>
      </c>
      <c r="I32" s="61">
        <v>0.33</v>
      </c>
      <c r="J32">
        <v>6</v>
      </c>
      <c r="K32" t="s">
        <v>197</v>
      </c>
      <c r="L32">
        <v>0.2</v>
      </c>
      <c r="M32">
        <v>0</v>
      </c>
    </row>
    <row r="33" spans="1:15" x14ac:dyDescent="0.35">
      <c r="A33" s="61" t="s">
        <v>181</v>
      </c>
      <c r="B33" s="61">
        <v>7.0000000000000007E-2</v>
      </c>
      <c r="C33" s="61">
        <v>0.24</v>
      </c>
      <c r="D33" s="61">
        <v>4.0500000000000001E-2</v>
      </c>
      <c r="E33" s="61">
        <v>2.5700000000000001E-2</v>
      </c>
      <c r="F33" s="61">
        <v>4.1000000000000003E-3</v>
      </c>
      <c r="G33" s="61">
        <v>5.0000000000000001E-3</v>
      </c>
      <c r="H33" s="61">
        <v>1.47E-2</v>
      </c>
      <c r="I33" s="61">
        <v>0.96</v>
      </c>
      <c r="J33">
        <v>7</v>
      </c>
      <c r="K33" t="s">
        <v>460</v>
      </c>
      <c r="L33">
        <v>0.25</v>
      </c>
      <c r="M33">
        <v>0</v>
      </c>
    </row>
    <row r="34" spans="1:15" x14ac:dyDescent="0.35">
      <c r="J34">
        <v>8</v>
      </c>
      <c r="K34" t="s">
        <v>459</v>
      </c>
      <c r="L34">
        <v>0.3</v>
      </c>
      <c r="M34">
        <v>0</v>
      </c>
    </row>
    <row r="35" spans="1:15" x14ac:dyDescent="0.35">
      <c r="J35">
        <v>9</v>
      </c>
      <c r="K35" t="s">
        <v>564</v>
      </c>
      <c r="L35">
        <v>0.4</v>
      </c>
      <c r="M35">
        <v>0</v>
      </c>
      <c r="N35">
        <v>0</v>
      </c>
    </row>
    <row r="36" spans="1:15" x14ac:dyDescent="0.35">
      <c r="A36" s="61" t="s">
        <v>686</v>
      </c>
      <c r="J36">
        <v>10</v>
      </c>
      <c r="K36" t="s">
        <v>198</v>
      </c>
      <c r="L36">
        <v>0.5</v>
      </c>
      <c r="M36">
        <v>0</v>
      </c>
    </row>
    <row r="37" spans="1:15" x14ac:dyDescent="0.35">
      <c r="A37" s="61" t="s">
        <v>687</v>
      </c>
      <c r="J37">
        <v>11</v>
      </c>
      <c r="K37" t="s">
        <v>932</v>
      </c>
      <c r="L37">
        <v>0.05</v>
      </c>
      <c r="M37">
        <v>7.6999999999999999E-2</v>
      </c>
      <c r="O37">
        <v>0</v>
      </c>
    </row>
    <row r="38" spans="1:15" x14ac:dyDescent="0.35">
      <c r="A38" s="61" t="s">
        <v>86</v>
      </c>
      <c r="J38">
        <v>12</v>
      </c>
      <c r="K38" t="s">
        <v>933</v>
      </c>
      <c r="L38">
        <v>0.05</v>
      </c>
      <c r="M38">
        <v>0.155</v>
      </c>
      <c r="O38">
        <v>0</v>
      </c>
    </row>
    <row r="39" spans="1:15" x14ac:dyDescent="0.35">
      <c r="A39" s="61" t="s">
        <v>87</v>
      </c>
      <c r="J39">
        <v>13</v>
      </c>
      <c r="K39" t="s">
        <v>629</v>
      </c>
      <c r="L39">
        <v>0</v>
      </c>
      <c r="M39">
        <v>0.155</v>
      </c>
      <c r="O39">
        <v>0</v>
      </c>
    </row>
    <row r="40" spans="1:15" x14ac:dyDescent="0.35">
      <c r="A40" s="61" t="s">
        <v>181</v>
      </c>
      <c r="J40">
        <v>14</v>
      </c>
      <c r="K40" s="9" t="s">
        <v>934</v>
      </c>
      <c r="L40">
        <v>0</v>
      </c>
      <c r="M40">
        <v>0.13100000000000001</v>
      </c>
      <c r="N40">
        <v>5.4000000000000003E-3</v>
      </c>
      <c r="O40">
        <v>0</v>
      </c>
    </row>
  </sheetData>
  <customSheetViews>
    <customSheetView guid="{33CCADFA-0D48-46A6-8927-2B2144029216}" state="veryHidden">
      <selection activeCell="A27" sqref="A27:I27"/>
      <pageMargins left="0.18" right="0" top="0" bottom="0" header="0" footer="0"/>
      <printOptions gridLines="1"/>
      <pageSetup paperSize="9" orientation="landscape" r:id="rId1"/>
      <headerFooter alignWithMargins="0"/>
    </customSheetView>
  </customSheetViews>
  <phoneticPr fontId="29" type="noConversion"/>
  <printOptions gridLines="1"/>
  <pageMargins left="0.18" right="0" top="0" bottom="0" header="0" footer="0"/>
  <pageSetup paperSize="9" orientation="landscape" r:id="rId2"/>
  <headerFooter alignWithMargins="0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ediatrie">
    <tabColor rgb="FFFF0000"/>
  </sheetPr>
  <dimension ref="A1"/>
  <sheetViews>
    <sheetView workbookViewId="0"/>
  </sheetViews>
  <sheetFormatPr defaultRowHeight="12.85" x14ac:dyDescent="0.3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Afspraken">
    <tabColor rgb="FF7030A0"/>
    <pageSetUpPr autoPageBreaks="0"/>
  </sheetPr>
  <dimension ref="A1:O75"/>
  <sheetViews>
    <sheetView workbookViewId="0">
      <pane ySplit="8" topLeftCell="A9" activePane="bottomLeft" state="frozenSplit"/>
      <selection activeCell="A9" sqref="A9"/>
      <selection pane="bottomLeft" activeCell="A9" sqref="A9"/>
    </sheetView>
  </sheetViews>
  <sheetFormatPr defaultColWidth="9.1328125" defaultRowHeight="15.95" customHeight="1" x14ac:dyDescent="0.35"/>
  <cols>
    <col min="1" max="1" width="3.73046875" style="421" customWidth="1"/>
    <col min="2" max="5" width="12.3984375" style="421" customWidth="1"/>
    <col min="6" max="6" width="10.73046875" style="421" customWidth="1"/>
    <col min="7" max="11" width="12.3984375" style="421" customWidth="1"/>
    <col min="12" max="12" width="5.265625" style="421" customWidth="1"/>
    <col min="13" max="13" width="7.86328125" style="421" customWidth="1"/>
    <col min="14" max="14" width="17.1328125" style="421" customWidth="1"/>
    <col min="15" max="19" width="12.3984375" style="421" customWidth="1"/>
    <col min="20" max="16384" width="9.1328125" style="421"/>
  </cols>
  <sheetData>
    <row r="1" spans="1:15" ht="9.75" customHeight="1" x14ac:dyDescent="0.35">
      <c r="A1" s="597"/>
      <c r="B1" s="422" t="str">
        <f>IF(E60&lt;0,"Te weinig volume voor TPN!","")</f>
        <v/>
      </c>
    </row>
    <row r="2" spans="1:15" ht="15.95" customHeight="1" x14ac:dyDescent="0.35">
      <c r="B2" s="423" t="s">
        <v>728</v>
      </c>
      <c r="C2" s="423" t="s">
        <v>1042</v>
      </c>
      <c r="D2" s="423" t="s">
        <v>1043</v>
      </c>
      <c r="E2" s="423" t="s">
        <v>242</v>
      </c>
      <c r="G2" s="423"/>
      <c r="H2" s="423" t="s">
        <v>1042</v>
      </c>
      <c r="I2" s="423" t="s">
        <v>1043</v>
      </c>
      <c r="J2" s="423" t="s">
        <v>242</v>
      </c>
    </row>
    <row r="3" spans="1:15" ht="15.95" customHeight="1" x14ac:dyDescent="0.4">
      <c r="B3" s="424" t="s">
        <v>631</v>
      </c>
      <c r="C3" s="425" t="str">
        <f ca="1">ROUND(Berekeningen!L50/_Gewicht,0)&amp;" ml/kg"</f>
        <v>0 ml/kg</v>
      </c>
      <c r="D3" s="425" t="str">
        <f>ROUND(Berekeningen!L49/_Gewicht,0)&amp;" ml/kg"</f>
        <v>0 ml/kg</v>
      </c>
      <c r="E3" s="425" t="str">
        <f ca="1">ROUND(Berekeningen!L47/_Gewicht,0)&amp;" ml/kg  "&amp;"= "&amp;ROUND(Berekeningen!L47,0)&amp;" ml"</f>
        <v>0 ml/kg  = 0 ml</v>
      </c>
      <c r="G3" s="424" t="s">
        <v>377</v>
      </c>
      <c r="H3" s="425" t="str">
        <f ca="1">ROUND(Berekeningen!M50/_Gewicht,1)&amp;" mmol/kg"</f>
        <v>0 mmol/kg</v>
      </c>
      <c r="I3" s="425" t="str">
        <f>ROUND(Berekeningen!M49/_Gewicht,1)&amp;" mmol/kg"</f>
        <v>0 mmol/kg</v>
      </c>
      <c r="J3" s="425" t="str">
        <f ca="1">ROUND(Berekeningen!M47/_Gewicht,1)&amp;" mmol/kg"</f>
        <v>0 mmol/kg</v>
      </c>
      <c r="K3" s="933" t="s">
        <v>2288</v>
      </c>
      <c r="L3" s="933"/>
      <c r="M3" s="933"/>
      <c r="N3" s="933"/>
    </row>
    <row r="4" spans="1:15" ht="15.95" customHeight="1" x14ac:dyDescent="0.4">
      <c r="B4" s="424" t="s">
        <v>465</v>
      </c>
      <c r="C4" s="425" t="str">
        <f ca="1">ROUND(Berekeningen!R50/_Gewicht,1)&amp;" g/kg"</f>
        <v>0 g/kg</v>
      </c>
      <c r="D4" s="425" t="str">
        <f>ROUND(Berekeningen!R49/_Gewicht,1)&amp;" g/kg"</f>
        <v>0 g/kg</v>
      </c>
      <c r="E4" s="425" t="str">
        <f ca="1">ROUND(Berekeningen!R47/_Gewicht,1)&amp;" g/kg"</f>
        <v>0 g/kg</v>
      </c>
      <c r="G4" s="424" t="s">
        <v>577</v>
      </c>
      <c r="H4" s="425" t="str">
        <f ca="1">ROUND(Berekeningen!N50/_Gewicht,1)&amp;" mmol/kg"</f>
        <v>0 mmol/kg</v>
      </c>
      <c r="I4" s="425" t="str">
        <f>ROUND(Berekeningen!N49/_Gewicht,1)&amp;" mmol/kg"</f>
        <v>0 mmol/kg</v>
      </c>
      <c r="J4" s="425" t="str">
        <f ca="1">ROUND(Berekeningen!N47/_Gewicht,1)&amp;" mmol/kg"</f>
        <v>0 mmol/kg</v>
      </c>
      <c r="K4" s="933"/>
      <c r="L4" s="933"/>
      <c r="M4" s="933"/>
      <c r="N4" s="933"/>
    </row>
    <row r="5" spans="1:15" ht="15.95" customHeight="1" x14ac:dyDescent="0.4">
      <c r="B5" s="424" t="s">
        <v>466</v>
      </c>
      <c r="C5" s="425" t="str">
        <f ca="1">ROUND(Berekeningen!T50/_Gewicht,1)&amp;" g/kg"</f>
        <v>0 g/kg</v>
      </c>
      <c r="D5" s="425" t="str">
        <f>ROUND(Berekeningen!T49/_Gewicht,1)&amp;" g/kg"</f>
        <v>0 g/kg</v>
      </c>
      <c r="E5" s="425" t="str">
        <f ca="1">ROUND(Berekeningen!T47/_Gewicht,1)&amp;" g/kg"</f>
        <v>0 g/kg</v>
      </c>
      <c r="G5" s="424" t="s">
        <v>467</v>
      </c>
      <c r="H5" s="425" t="str">
        <f ca="1">ROUND(Berekeningen!O50/_Gewicht,1)&amp;" mmol/kg"</f>
        <v>0 mmol/kg</v>
      </c>
      <c r="I5" s="425" t="str">
        <f>ROUND(Berekeningen!O49/_Gewicht,1)&amp;" mmol/kg"</f>
        <v>0 mmol/kg</v>
      </c>
      <c r="J5" s="425" t="str">
        <f ca="1">ROUND(Berekeningen!O47/_Gewicht,1)&amp;" mmol/kg"</f>
        <v>0 mmol/kg</v>
      </c>
      <c r="K5" s="933"/>
      <c r="L5" s="933"/>
      <c r="M5" s="933"/>
      <c r="N5" s="933"/>
    </row>
    <row r="6" spans="1:15" ht="15.95" customHeight="1" x14ac:dyDescent="0.4">
      <c r="A6" s="597"/>
      <c r="B6" s="424" t="s">
        <v>1044</v>
      </c>
      <c r="C6" s="425" t="str">
        <f>ROUND(1000*Berekeningen!S50/_Gewicht/1440,1)&amp;" mg/kg/min"</f>
        <v>0 mg/kg/min</v>
      </c>
      <c r="D6" s="425" t="str">
        <f>ROUND(1000*Berekeningen!S49/_Gewicht/1440,1)&amp;" mg/kg/min"</f>
        <v>0 mg/kg/min</v>
      </c>
      <c r="E6" s="425" t="str">
        <f>ROUND(1000*Berekeningen!S47/_Gewicht/1440,1)&amp;" mg/kg/min"</f>
        <v>0 mg/kg/min</v>
      </c>
      <c r="G6" s="424" t="s">
        <v>643</v>
      </c>
      <c r="H6" s="425" t="str">
        <f ca="1">ROUND(Berekeningen!P50/_Gewicht,1)&amp;" mmol/kg"</f>
        <v>0 mmol/kg</v>
      </c>
      <c r="I6" s="425" t="str">
        <f>ROUND(Berekeningen!P49/_Gewicht,1)&amp;" mmol/kg"</f>
        <v>0 mmol/kg</v>
      </c>
      <c r="J6" s="425" t="str">
        <f ca="1">ROUND(Berekeningen!P47/_Gewicht,1)&amp;" mmol/kg"</f>
        <v>0 mmol/kg</v>
      </c>
      <c r="K6" s="933"/>
      <c r="L6" s="933"/>
      <c r="M6" s="933"/>
      <c r="N6" s="933"/>
    </row>
    <row r="7" spans="1:15" ht="15.95" customHeight="1" x14ac:dyDescent="0.4">
      <c r="B7" s="424" t="s">
        <v>1037</v>
      </c>
      <c r="C7" s="425" t="str">
        <f ca="1">ROUND(Berekeningen!U50/_Gewicht,1)&amp; " kcal/kg"</f>
        <v>0 kcal/kg</v>
      </c>
      <c r="D7" s="425" t="str">
        <f>ROUND(Berekeningen!U49/_Gewicht,1)&amp; " kcal/kg"</f>
        <v>0 kcal/kg</v>
      </c>
      <c r="E7" s="425" t="str">
        <f ca="1">ROUND(Berekeningen!U47/_Gewicht,1)&amp; " kcal/kg"</f>
        <v>0 kcal/kg</v>
      </c>
      <c r="G7" s="424" t="s">
        <v>1045</v>
      </c>
      <c r="H7" s="425" t="str">
        <f ca="1">ROUND(Berekeningen!V50/_Gewicht,1)&amp;" mmol/kg"</f>
        <v>0 mmol/kg</v>
      </c>
      <c r="I7" s="425" t="str">
        <f>ROUND(Berekeningen!V49/_Gewicht,1)&amp;" mmol/kg"</f>
        <v>0 mmol/kg</v>
      </c>
      <c r="J7" s="425" t="str">
        <f ca="1">ROUND(Berekeningen!V47/_Gewicht,1)&amp;" mmol/kg"</f>
        <v>0 mmol/kg</v>
      </c>
    </row>
    <row r="8" spans="1:15" ht="15.95" customHeight="1" thickBot="1" x14ac:dyDescent="0.45">
      <c r="A8" s="426"/>
      <c r="B8" s="427" t="s">
        <v>1046</v>
      </c>
      <c r="C8" s="428" t="str">
        <f ca="1">ROUND(Berekeningen!W50,0)&amp; " IE"</f>
        <v>0 IE</v>
      </c>
      <c r="D8" s="428" t="str">
        <f>ROUND(Berekeningen!W49,0)&amp; " IE"</f>
        <v>0 IE</v>
      </c>
      <c r="E8" s="428" t="str">
        <f ca="1">ROUND(Berekeningen!W47,0)&amp; " IE"</f>
        <v>0 IE</v>
      </c>
      <c r="F8" s="426"/>
      <c r="G8" s="427" t="s">
        <v>468</v>
      </c>
      <c r="H8" s="428" t="str">
        <f>ROUND(Berekeningen!Q50/_Gewicht,1)&amp;" mmol/kg"</f>
        <v>0 mmol/kg</v>
      </c>
      <c r="I8" s="428" t="str">
        <f>ROUND(Berekeningen!Q49/_Gewicht,1)&amp;" mmol/kg"</f>
        <v>0 mmol/kg</v>
      </c>
      <c r="J8" s="428" t="str">
        <f>ROUND(Berekeningen!Q47/_Gewicht,1)&amp;" mmol/kg"</f>
        <v>0 mmol/kg</v>
      </c>
      <c r="K8" s="426"/>
      <c r="L8" s="426"/>
      <c r="M8" s="426"/>
      <c r="N8" s="426"/>
      <c r="O8" s="426"/>
    </row>
    <row r="9" spans="1:15" ht="8.3000000000000007" customHeight="1" thickTop="1" x14ac:dyDescent="0.4">
      <c r="A9" s="607"/>
      <c r="B9" s="430"/>
      <c r="C9" s="431"/>
      <c r="D9" s="431"/>
      <c r="E9" s="431"/>
      <c r="F9" s="429"/>
      <c r="G9" s="430"/>
      <c r="H9" s="431"/>
      <c r="I9" s="431"/>
      <c r="J9" s="431"/>
      <c r="K9" s="429"/>
      <c r="L9" s="429"/>
      <c r="M9" s="429"/>
      <c r="N9" s="429"/>
    </row>
    <row r="10" spans="1:15" ht="15.95" customHeight="1" x14ac:dyDescent="0.4">
      <c r="B10" s="498" t="s">
        <v>1047</v>
      </c>
      <c r="C10" s="499"/>
      <c r="D10" s="499"/>
      <c r="E10" s="499"/>
      <c r="F10" s="499"/>
      <c r="G10" s="500" t="s">
        <v>707</v>
      </c>
      <c r="H10" s="499"/>
      <c r="I10" s="499">
        <f>PatNummer</f>
        <v>0</v>
      </c>
      <c r="J10" s="499"/>
      <c r="K10" s="499"/>
      <c r="L10" s="499"/>
      <c r="M10" s="499"/>
    </row>
    <row r="11" spans="1:15" ht="15.95" customHeight="1" x14ac:dyDescent="0.4">
      <c r="B11" s="498" t="s">
        <v>1048</v>
      </c>
      <c r="C11" s="499"/>
      <c r="D11" s="499"/>
      <c r="E11" s="499"/>
      <c r="F11" s="499"/>
      <c r="G11" s="500" t="s">
        <v>54</v>
      </c>
      <c r="H11" s="499"/>
      <c r="I11" s="501" t="str">
        <f>_AchterNaam &amp;",  "&amp;_VoorNaam</f>
        <v>Achternaam,  Voornaam</v>
      </c>
      <c r="J11" s="502"/>
      <c r="K11" s="499"/>
      <c r="L11" s="499"/>
      <c r="M11" s="499"/>
    </row>
    <row r="12" spans="1:15" ht="15.95" customHeight="1" x14ac:dyDescent="0.4">
      <c r="B12" s="498" t="s">
        <v>1049</v>
      </c>
      <c r="C12" s="499"/>
      <c r="D12" s="499"/>
      <c r="E12" s="499"/>
      <c r="F12" s="499"/>
      <c r="G12" s="500" t="s">
        <v>1050</v>
      </c>
      <c r="H12" s="499"/>
      <c r="I12" s="503">
        <f>Berekeningen!B3-Berekeningen!C3</f>
        <v>42370</v>
      </c>
      <c r="J12" s="504" t="str">
        <f ca="1">"=dag "&amp;Berekeningen!B6</f>
        <v>=dag 353</v>
      </c>
      <c r="K12" s="499"/>
      <c r="L12" s="499"/>
      <c r="M12" s="499"/>
    </row>
    <row r="13" spans="1:15" ht="15.95" customHeight="1" x14ac:dyDescent="0.4">
      <c r="B13" s="499"/>
      <c r="C13" s="499"/>
      <c r="D13" s="499"/>
      <c r="E13" s="499"/>
      <c r="F13" s="499"/>
      <c r="G13" s="500" t="s">
        <v>1007</v>
      </c>
      <c r="H13" s="505">
        <f>Berekeningen!D4</f>
        <v>30</v>
      </c>
      <c r="I13" s="506" t="s">
        <v>1051</v>
      </c>
      <c r="J13" s="505">
        <f>Berekeningen!D5</f>
        <v>0</v>
      </c>
      <c r="K13" s="506" t="s">
        <v>1052</v>
      </c>
      <c r="L13" s="506"/>
      <c r="M13" s="499"/>
    </row>
    <row r="14" spans="1:15" ht="15.95" customHeight="1" x14ac:dyDescent="0.4">
      <c r="B14" s="500" t="s">
        <v>623</v>
      </c>
      <c r="C14" s="503">
        <f>Berekeningen!B5</f>
        <v>42370</v>
      </c>
      <c r="D14" s="499"/>
      <c r="E14" s="499"/>
      <c r="F14" s="499"/>
      <c r="G14" s="499"/>
      <c r="H14" s="499"/>
      <c r="I14" s="499"/>
      <c r="J14" s="499"/>
      <c r="K14" s="499"/>
      <c r="L14" s="499"/>
      <c r="M14" s="499"/>
    </row>
    <row r="15" spans="1:15" ht="15.95" customHeight="1" x14ac:dyDescent="0.4">
      <c r="B15" s="507" t="s">
        <v>1002</v>
      </c>
      <c r="C15" s="508">
        <f>BedNummer</f>
        <v>0</v>
      </c>
      <c r="D15" s="509"/>
      <c r="E15" s="499"/>
      <c r="F15" s="499"/>
      <c r="G15" s="500" t="s">
        <v>573</v>
      </c>
      <c r="H15" s="510" t="str">
        <f ca="1">TRUNC((H13*7+J13+Berekeningen!B6-1)/7)&amp;" weken en "&amp; H13*7+J13+Berekeningen!B6-1-TRUNC((H13*7+J13+Berekeningen!B6-1)/7)*7&amp;" dag(-en)"</f>
        <v>80 weken en 2 dag(-en)</v>
      </c>
      <c r="I15" s="499"/>
      <c r="J15" s="499"/>
      <c r="K15" s="499"/>
      <c r="L15" s="499"/>
      <c r="M15" s="499"/>
    </row>
    <row r="16" spans="1:15" ht="15.95" customHeight="1" x14ac:dyDescent="0.4">
      <c r="B16" s="511"/>
      <c r="C16" s="512"/>
      <c r="D16" s="512"/>
      <c r="E16" s="512"/>
      <c r="F16" s="512"/>
      <c r="G16" s="511" t="s">
        <v>1021</v>
      </c>
      <c r="H16" s="512" t="str">
        <f>Berekeningen!B4&amp;" kg"</f>
        <v>10 kg</v>
      </c>
      <c r="I16" s="512"/>
      <c r="J16" s="512"/>
      <c r="K16" s="512"/>
      <c r="L16" s="512"/>
      <c r="M16" s="512"/>
    </row>
    <row r="17" spans="1:15" ht="15.95" customHeight="1" x14ac:dyDescent="0.4">
      <c r="B17" s="424"/>
      <c r="K17" s="435" t="s">
        <v>1053</v>
      </c>
      <c r="L17" s="435"/>
    </row>
    <row r="18" spans="1:15" ht="15.95" customHeight="1" x14ac:dyDescent="0.4">
      <c r="B18" s="424" t="s">
        <v>1054</v>
      </c>
      <c r="E18" s="436">
        <f ca="1">IF(Berekeningen!B17,Berekeningen!C16,ROUND(Berekeningen!L47/_Gewicht,1))</f>
        <v>0</v>
      </c>
      <c r="F18" s="437" t="s">
        <v>1055</v>
      </c>
      <c r="K18" s="438" t="str">
        <f ca="1">ROUND(Berekeningen!B16,0)&amp;" ml/ kg/ 24 uur"</f>
        <v>150 ml/ kg/ 24 uur</v>
      </c>
      <c r="L18" s="438"/>
      <c r="M18" s="439"/>
    </row>
    <row r="19" spans="1:15" ht="15.95" customHeight="1" x14ac:dyDescent="0.4">
      <c r="B19" s="424" t="s">
        <v>1056</v>
      </c>
      <c r="F19" s="437"/>
      <c r="K19" s="440"/>
      <c r="L19" s="440"/>
      <c r="M19" s="429"/>
    </row>
    <row r="21" spans="1:15" ht="15.95" customHeight="1" x14ac:dyDescent="0.4">
      <c r="D21" s="441" t="s">
        <v>1057</v>
      </c>
      <c r="E21" s="442" t="str">
        <f>IF(_Voeding&gt;1,Berekeningen!D10,"")</f>
        <v/>
      </c>
      <c r="F21" s="443" t="s">
        <v>1058</v>
      </c>
      <c r="G21" s="444" t="str">
        <f>IF(_Voeding&gt;1,Berekeningen!D11/10&amp;" ml","")</f>
        <v/>
      </c>
      <c r="H21" s="445" t="s">
        <v>1059</v>
      </c>
    </row>
    <row r="22" spans="1:15" ht="15.95" customHeight="1" x14ac:dyDescent="0.4">
      <c r="D22" s="441" t="s">
        <v>1060</v>
      </c>
      <c r="E22" s="442" t="str">
        <f>IF(_Voeding&gt;1,Berekeningen!D12,"")</f>
        <v/>
      </c>
      <c r="F22" s="443" t="s">
        <v>1058</v>
      </c>
      <c r="G22" s="444" t="str">
        <f>IF(_Voeding&gt;1,Berekeningen!D13/10&amp;" ml","")</f>
        <v/>
      </c>
      <c r="I22" s="441" t="s">
        <v>1657</v>
      </c>
      <c r="M22" s="441" t="s">
        <v>1658</v>
      </c>
    </row>
    <row r="23" spans="1:15" ht="15.95" customHeight="1" x14ac:dyDescent="0.4">
      <c r="H23" s="441"/>
      <c r="I23" s="609" t="s">
        <v>1675</v>
      </c>
      <c r="K23" s="446" t="e">
        <f>INDEX(_VoedingBMFWaarden,Berekeningen!L52)&amp;" %"</f>
        <v>#VALUE!</v>
      </c>
    </row>
    <row r="24" spans="1:15" ht="15.95" customHeight="1" x14ac:dyDescent="0.4">
      <c r="H24" s="441"/>
      <c r="K24" s="446" t="e">
        <f>INDEX(_VoedingToevoegingenWaarden,Berekeningen!L53)&amp;" %"</f>
        <v>#VALUE!</v>
      </c>
      <c r="O24" s="446" t="e">
        <f>INDEX(_VoedingToevoegingenWaarden,Berekeningen!L58)&amp;" %"</f>
        <v>#VALUE!</v>
      </c>
    </row>
    <row r="25" spans="1:15" ht="15.95" customHeight="1" x14ac:dyDescent="0.4">
      <c r="H25" s="441"/>
      <c r="K25" s="446" t="e">
        <f>INDEX(_VoedingToevoegingenWaarden,Berekeningen!L54)&amp;" %"</f>
        <v>#VALUE!</v>
      </c>
      <c r="O25" s="446" t="e">
        <f>INDEX(_VoedingToevoegingenWaarden,Berekeningen!L59)&amp;" %"</f>
        <v>#VALUE!</v>
      </c>
    </row>
    <row r="26" spans="1:15" ht="15.95" customHeight="1" x14ac:dyDescent="0.4">
      <c r="H26" s="441"/>
      <c r="K26" s="446" t="e">
        <f>INDEX(_VoedingToevoegingenWaarden,Berekeningen!L55)&amp;" %"</f>
        <v>#VALUE!</v>
      </c>
      <c r="O26" s="446" t="e">
        <f>INDEX(_VoedingToevoegingenWaarden,Berekeningen!L60)&amp;" %"</f>
        <v>#VALUE!</v>
      </c>
    </row>
    <row r="27" spans="1:15" ht="15.95" customHeight="1" x14ac:dyDescent="0.4">
      <c r="B27" s="447"/>
      <c r="C27" s="447"/>
      <c r="D27" s="447"/>
      <c r="E27" s="448"/>
      <c r="F27" s="447"/>
      <c r="G27" s="447"/>
      <c r="H27" s="448"/>
      <c r="I27" s="447"/>
      <c r="J27" s="447"/>
      <c r="K27" s="446" t="e">
        <f>INDEX(_VoedingToevoegingenWaarden,Berekeningen!L56)&amp;" %"</f>
        <v>#VALUE!</v>
      </c>
      <c r="L27" s="447"/>
      <c r="M27" s="447"/>
      <c r="N27" s="447"/>
      <c r="O27" s="446" t="e">
        <f>INDEX(_VoedingToevoegingenWaarden,Berekeningen!L61)&amp;" %"</f>
        <v>#VALUE!</v>
      </c>
    </row>
    <row r="28" spans="1:15" ht="15.95" customHeight="1" x14ac:dyDescent="0.4">
      <c r="B28" s="424" t="s">
        <v>1061</v>
      </c>
      <c r="E28" s="449">
        <f ca="1">IF(Berekeningen!B17,Berekeningen!C17,Berekeningen!L50)</f>
        <v>0</v>
      </c>
      <c r="F28" s="437" t="s">
        <v>1062</v>
      </c>
    </row>
    <row r="29" spans="1:15" ht="15.95" customHeight="1" x14ac:dyDescent="0.35">
      <c r="H29" s="435" t="s">
        <v>1063</v>
      </c>
      <c r="I29" s="435"/>
      <c r="J29" s="450" t="s">
        <v>1011</v>
      </c>
      <c r="K29" s="435" t="s">
        <v>1064</v>
      </c>
      <c r="L29" s="435"/>
      <c r="N29" s="435" t="s">
        <v>1065</v>
      </c>
    </row>
    <row r="30" spans="1:15" ht="15.95" customHeight="1" x14ac:dyDescent="0.4">
      <c r="A30" s="451"/>
      <c r="B30" s="430" t="s">
        <v>1452</v>
      </c>
      <c r="C30" s="429"/>
      <c r="D30" s="429"/>
      <c r="E30" s="429"/>
      <c r="F30" s="429"/>
      <c r="G30" s="452" t="str">
        <f>Berekeningen!B18/10&amp;" ml/uur"</f>
        <v>0 ml/uur</v>
      </c>
      <c r="H30" s="429"/>
      <c r="I30" s="429"/>
      <c r="J30" s="429"/>
      <c r="K30" s="429"/>
      <c r="L30" s="429"/>
      <c r="M30" s="453"/>
      <c r="N30" s="429"/>
    </row>
    <row r="31" spans="1:15" ht="7.55" customHeight="1" x14ac:dyDescent="0.4">
      <c r="A31" s="451"/>
      <c r="B31" s="430"/>
      <c r="C31" s="429"/>
      <c r="D31" s="429"/>
      <c r="E31" s="429"/>
      <c r="F31" s="429"/>
      <c r="G31" s="454"/>
      <c r="H31" s="429"/>
      <c r="I31" s="429"/>
      <c r="J31" s="429"/>
      <c r="K31" s="429"/>
      <c r="L31" s="429"/>
      <c r="M31" s="453"/>
      <c r="N31" s="429"/>
    </row>
    <row r="32" spans="1:15" ht="15.95" customHeight="1" x14ac:dyDescent="0.4">
      <c r="A32" s="451">
        <v>1</v>
      </c>
      <c r="B32" s="455"/>
      <c r="C32" s="456" t="str">
        <f>IF(Berekeningen!C20&gt;0,IF(Berekeningen!B20&lt;&gt;5,Berekeningen!C20/10&amp;" mg",Berekeningen!C20/10&amp;" mg"),"")</f>
        <v/>
      </c>
      <c r="D32" s="456" t="str">
        <f>IF(Berekeningen!D20&gt;0,"in "&amp;Berekeningen!D20&amp;" ml","")</f>
        <v/>
      </c>
      <c r="E32" s="457"/>
      <c r="F32" s="455"/>
      <c r="G32" s="458" t="str">
        <f>IF(Berekeningen!F20/10&gt;0,Berekeningen!F20/10&amp;" ml/uur","")</f>
        <v/>
      </c>
      <c r="H32" s="456" t="str">
        <f>IF(AND(Berekeningen!I20&gt;0),ROUND(Berekeningen!I20,2),"")</f>
        <v/>
      </c>
      <c r="I32" s="456">
        <f>IF(_Medicament_1&gt;0,INDEX(Medicamenten,Berekeningen!B20,6),"")</f>
        <v>0</v>
      </c>
      <c r="J32" s="439"/>
      <c r="K32" s="438">
        <f>INDEX(Medicamenten,Berekeningen!B20,2)</f>
        <v>0</v>
      </c>
      <c r="L32" s="438"/>
      <c r="M32" s="459"/>
      <c r="N32" s="460" t="str">
        <f>IF(Berekeningen!I20&gt;0,IF(Berekeningen!Y20*10&gt;1,Berekeningen!X20&amp;" uren",Berekeningen!X20&amp;" minuten"),"")</f>
        <v/>
      </c>
    </row>
    <row r="33" spans="1:14" ht="15.95" customHeight="1" x14ac:dyDescent="0.4">
      <c r="A33" s="451">
        <v>2</v>
      </c>
      <c r="B33" s="461"/>
      <c r="C33" s="462" t="str">
        <f>IF(Berekeningen!C21&gt;0,Berekeningen!C21/10&amp;" mg","")</f>
        <v/>
      </c>
      <c r="D33" s="462" t="str">
        <f>IF(Berekeningen!D21&gt;0,"in "&amp;Berekeningen!D21&amp;" ml","")</f>
        <v/>
      </c>
      <c r="E33" s="463"/>
      <c r="F33" s="461"/>
      <c r="G33" s="464" t="str">
        <f>IF(Berekeningen!F21/10&gt;0,Berekeningen!F21/10&amp;" ml/uur","")</f>
        <v/>
      </c>
      <c r="H33" s="456" t="str">
        <f>IF(AND(Berekeningen!I21&gt;0),ROUND(Berekeningen!I21,2),"")</f>
        <v/>
      </c>
      <c r="I33" s="456">
        <f>IF(_Medicament_1&gt;0,INDEX(Medicamenten,Berekeningen!B21,6),"")</f>
        <v>0</v>
      </c>
      <c r="J33" s="465"/>
      <c r="K33" s="466">
        <f>INDEX(Medicamenten,Berekeningen!B21,2)</f>
        <v>0</v>
      </c>
      <c r="L33" s="466"/>
      <c r="M33" s="467"/>
      <c r="N33" s="468" t="str">
        <f>IF(Berekeningen!I21&gt;0,IF(Berekeningen!Y21*10&gt;1,Berekeningen!X21&amp;" uren",Berekeningen!X21&amp;" minuten"),"")</f>
        <v/>
      </c>
    </row>
    <row r="34" spans="1:14" ht="15.95" customHeight="1" x14ac:dyDescent="0.4">
      <c r="A34" s="451">
        <v>3</v>
      </c>
      <c r="B34" s="461"/>
      <c r="C34" s="462" t="str">
        <f>IF(Berekeningen!C22&gt;0,Berekeningen!C22/10&amp;" mg","")</f>
        <v/>
      </c>
      <c r="D34" s="462" t="str">
        <f>IF(Berekeningen!D22&gt;0,"in "&amp;Berekeningen!D22&amp;" ml","")</f>
        <v/>
      </c>
      <c r="E34" s="463"/>
      <c r="F34" s="461"/>
      <c r="G34" s="464" t="str">
        <f>IF(Berekeningen!F22/10&gt;0,Berekeningen!F22/10&amp;" ml/uur","")</f>
        <v/>
      </c>
      <c r="H34" s="456" t="str">
        <f>IF(AND(Berekeningen!I22&gt;0),ROUND(Berekeningen!I22,2),"")</f>
        <v/>
      </c>
      <c r="I34" s="456">
        <f>IF(_Medicament_1&gt;0,INDEX(Medicamenten,Berekeningen!B22,6),"")</f>
        <v>0</v>
      </c>
      <c r="J34" s="465"/>
      <c r="K34" s="466">
        <f>INDEX(Medicamenten,Berekeningen!B22,2)</f>
        <v>0</v>
      </c>
      <c r="L34" s="466"/>
      <c r="M34" s="467"/>
      <c r="N34" s="468" t="str">
        <f>IF(Berekeningen!I22&gt;0,IF(Berekeningen!Y22*10&gt;1,Berekeningen!X22&amp;" uren",Berekeningen!X22&amp;" minuten"),"")</f>
        <v/>
      </c>
    </row>
    <row r="35" spans="1:14" ht="15.95" customHeight="1" x14ac:dyDescent="0.4">
      <c r="A35" s="451">
        <v>4</v>
      </c>
      <c r="B35" s="461"/>
      <c r="C35" s="462" t="str">
        <f>IF(Berekeningen!C23&gt;0,Berekeningen!C23/10&amp;" mg","")</f>
        <v/>
      </c>
      <c r="D35" s="462" t="str">
        <f>IF(Berekeningen!D23&gt;0,"in "&amp;Berekeningen!D23&amp;" ml","")</f>
        <v/>
      </c>
      <c r="E35" s="463"/>
      <c r="F35" s="461"/>
      <c r="G35" s="464" t="str">
        <f>IF(Berekeningen!F23/10&gt;0,Berekeningen!F23/10&amp;" ml/uur","")</f>
        <v/>
      </c>
      <c r="H35" s="456" t="str">
        <f>IF(AND(Berekeningen!I23&gt;0),ROUND(Berekeningen!I23,2),"")</f>
        <v/>
      </c>
      <c r="I35" s="456">
        <f>IF(_Medicament_1&gt;0,INDEX(Medicamenten,Berekeningen!B23,6),"")</f>
        <v>0</v>
      </c>
      <c r="J35" s="465"/>
      <c r="K35" s="466">
        <f>INDEX(Medicamenten,Berekeningen!B23,2)</f>
        <v>0</v>
      </c>
      <c r="L35" s="466"/>
      <c r="M35" s="467"/>
      <c r="N35" s="468" t="str">
        <f>IF(Berekeningen!I23&gt;0,IF(Berekeningen!Y23*10&gt;1,Berekeningen!X23&amp;" uren",Berekeningen!X23&amp;" minuten"),"")</f>
        <v/>
      </c>
    </row>
    <row r="36" spans="1:14" ht="15.95" customHeight="1" x14ac:dyDescent="0.4">
      <c r="A36" s="451">
        <v>5</v>
      </c>
      <c r="B36" s="461"/>
      <c r="C36" s="462" t="str">
        <f>IF(Berekeningen!C24&gt;0,Berekeningen!C24/10&amp;" mg","")</f>
        <v/>
      </c>
      <c r="D36" s="462" t="str">
        <f>IF(Berekeningen!D24&gt;0,"in "&amp;Berekeningen!D24&amp;" ml","")</f>
        <v/>
      </c>
      <c r="E36" s="463"/>
      <c r="F36" s="461"/>
      <c r="G36" s="464" t="str">
        <f>IF(Berekeningen!F24/10&gt;0,Berekeningen!F24/10&amp;" ml/uur","")</f>
        <v/>
      </c>
      <c r="H36" s="456" t="str">
        <f>IF(AND(Berekeningen!I24&gt;0),ROUND(Berekeningen!I24,2),"")</f>
        <v/>
      </c>
      <c r="I36" s="456">
        <f>IF(_Medicament_1&gt;0,INDEX(Medicamenten,Berekeningen!B24,6),"")</f>
        <v>0</v>
      </c>
      <c r="J36" s="465"/>
      <c r="K36" s="466">
        <f>INDEX(Medicamenten,Berekeningen!B24,2)</f>
        <v>0</v>
      </c>
      <c r="L36" s="466"/>
      <c r="M36" s="467"/>
      <c r="N36" s="468" t="str">
        <f>IF(Berekeningen!I24&gt;0,IF(Berekeningen!Y24*10&gt;1,Berekeningen!X24&amp;" uren",Berekeningen!X24&amp;" minuten"),"")</f>
        <v/>
      </c>
    </row>
    <row r="37" spans="1:14" ht="15.95" customHeight="1" x14ac:dyDescent="0.4">
      <c r="A37" s="451">
        <v>6</v>
      </c>
      <c r="B37" s="461"/>
      <c r="C37" s="462" t="str">
        <f>IF(Berekeningen!C25&gt;0,Berekeningen!C25/10&amp;" mg","")</f>
        <v/>
      </c>
      <c r="D37" s="462" t="str">
        <f>IF(Berekeningen!D25&gt;0,"in "&amp;Berekeningen!D25&amp;" ml","")</f>
        <v/>
      </c>
      <c r="E37" s="463"/>
      <c r="F37" s="461"/>
      <c r="G37" s="464" t="str">
        <f>IF(Berekeningen!F25/10&gt;0,Berekeningen!F25/10&amp;" ml/uur","")</f>
        <v/>
      </c>
      <c r="H37" s="456" t="str">
        <f>IF(AND(Berekeningen!I25&gt;0),ROUND(Berekeningen!I25,2),"")</f>
        <v/>
      </c>
      <c r="I37" s="456">
        <f>IF(_Medicament_1&gt;0,INDEX(Medicamenten,Berekeningen!B25,6),"")</f>
        <v>0</v>
      </c>
      <c r="J37" s="465"/>
      <c r="K37" s="466">
        <f>INDEX(Medicamenten,Berekeningen!B25,2)</f>
        <v>0</v>
      </c>
      <c r="L37" s="466"/>
      <c r="M37" s="467"/>
      <c r="N37" s="468" t="str">
        <f>IF(Berekeningen!I25&gt;0,IF(Berekeningen!Y25*10&gt;1,Berekeningen!X25&amp;" uren",Berekeningen!X25&amp;" minuten"),"")</f>
        <v/>
      </c>
    </row>
    <row r="38" spans="1:14" ht="15.95" customHeight="1" x14ac:dyDescent="0.4">
      <c r="A38" s="451">
        <v>7</v>
      </c>
      <c r="B38" s="461"/>
      <c r="C38" s="462" t="str">
        <f>IF(Berekeningen!C26&gt;0,Berekeningen!C26/10&amp;" mg","")</f>
        <v/>
      </c>
      <c r="D38" s="462" t="str">
        <f>IF(Berekeningen!D26&gt;0,"in "&amp;Berekeningen!D26&amp;" ml","")</f>
        <v/>
      </c>
      <c r="E38" s="463"/>
      <c r="F38" s="461"/>
      <c r="G38" s="464" t="str">
        <f>IF(Berekeningen!F26/10&gt;0,Berekeningen!F26/10&amp;" ml/uur","")</f>
        <v/>
      </c>
      <c r="H38" s="456" t="str">
        <f>IF(AND(Berekeningen!I26&gt;0),ROUND(Berekeningen!I26,2),"")</f>
        <v/>
      </c>
      <c r="I38" s="456">
        <f>IF(_Medicament_1&gt;0,INDEX(Medicamenten,Berekeningen!B26,6),"")</f>
        <v>0</v>
      </c>
      <c r="J38" s="465"/>
      <c r="K38" s="466">
        <f>INDEX(Medicamenten,Berekeningen!B26,2)</f>
        <v>0</v>
      </c>
      <c r="L38" s="466"/>
      <c r="M38" s="467"/>
      <c r="N38" s="468" t="str">
        <f>IF(Berekeningen!I26&gt;0,IF(Berekeningen!Y26*10&gt;1,Berekeningen!X26&amp;" uren",Berekeningen!X26&amp;" minuten"),"")</f>
        <v/>
      </c>
    </row>
    <row r="39" spans="1:14" ht="15.95" customHeight="1" x14ac:dyDescent="0.4">
      <c r="A39" s="451">
        <v>8</v>
      </c>
      <c r="B39" s="461"/>
      <c r="C39" s="462" t="str">
        <f>IF(Berekeningen!C27&gt;0,Berekeningen!C27/10&amp;" mg","")</f>
        <v/>
      </c>
      <c r="D39" s="462" t="str">
        <f>IF(Berekeningen!D27&gt;0,"in "&amp;Berekeningen!D27&amp;" ml","")</f>
        <v/>
      </c>
      <c r="E39" s="463"/>
      <c r="F39" s="461"/>
      <c r="G39" s="464" t="str">
        <f>IF(Berekeningen!F27/10&gt;0,Berekeningen!F27/10&amp;" ml/uur","")</f>
        <v/>
      </c>
      <c r="H39" s="456" t="str">
        <f>IF(AND(Berekeningen!I27&gt;0),ROUND(Berekeningen!I27,2),"")</f>
        <v/>
      </c>
      <c r="I39" s="456">
        <f>IF(_Medicament_1&gt;0,INDEX(Medicamenten,Berekeningen!B27,6),"")</f>
        <v>0</v>
      </c>
      <c r="J39" s="465"/>
      <c r="K39" s="466">
        <f>INDEX(Medicamenten,Berekeningen!B27,2)</f>
        <v>0</v>
      </c>
      <c r="L39" s="466"/>
      <c r="M39" s="467"/>
      <c r="N39" s="468" t="str">
        <f>IF(Berekeningen!I27&gt;0,IF(Berekeningen!Y27*10&gt;1,Berekeningen!X27&amp;" uren",Berekeningen!X27&amp;" minuten"),"")</f>
        <v/>
      </c>
    </row>
    <row r="40" spans="1:14" ht="15.95" customHeight="1" x14ac:dyDescent="0.4">
      <c r="A40" s="451">
        <v>9</v>
      </c>
      <c r="B40" s="461"/>
      <c r="C40" s="462" t="str">
        <f>IF(Berekeningen!C28&gt;0,Berekeningen!C28/10&amp;" mg","")</f>
        <v/>
      </c>
      <c r="D40" s="462" t="str">
        <f>IF(Berekeningen!D28&gt;0,"in "&amp;Berekeningen!D28&amp;" ml","")</f>
        <v/>
      </c>
      <c r="E40" s="463"/>
      <c r="F40" s="455"/>
      <c r="G40" s="458" t="str">
        <f>IF(Berekeningen!F28/10&gt;0,Berekeningen!F28/10&amp;" ml/uur","")</f>
        <v/>
      </c>
      <c r="H40" s="456" t="str">
        <f>IF(AND(Berekeningen!I28&gt;0),ROUND(Berekeningen!I28,2),"")</f>
        <v/>
      </c>
      <c r="I40" s="456">
        <f>IF(_Medicament_1&gt;0,INDEX(Medicamenten,Berekeningen!B28,6),"")</f>
        <v>0</v>
      </c>
      <c r="J40" s="439"/>
      <c r="K40" s="466">
        <f>INDEX(Medicamenten,Berekeningen!B28,2)</f>
        <v>0</v>
      </c>
      <c r="L40" s="466"/>
      <c r="M40" s="467"/>
      <c r="N40" s="468" t="str">
        <f>IF(Berekeningen!I28&gt;0,IF(Berekeningen!Y28*10&gt;1,Berekeningen!X28&amp;" uren",Berekeningen!X28&amp;" minuten"),"")</f>
        <v/>
      </c>
    </row>
    <row r="41" spans="1:14" ht="9.75" customHeight="1" x14ac:dyDescent="0.4">
      <c r="A41" s="451"/>
      <c r="B41" s="469"/>
      <c r="C41" s="470"/>
      <c r="D41" s="470"/>
      <c r="E41" s="469"/>
      <c r="F41" s="429"/>
      <c r="G41" s="454"/>
      <c r="H41" s="470"/>
      <c r="I41" s="429"/>
      <c r="J41" s="429"/>
      <c r="K41" s="471"/>
      <c r="L41" s="471"/>
      <c r="M41" s="472"/>
      <c r="N41" s="473"/>
    </row>
    <row r="42" spans="1:14" ht="15.95" customHeight="1" x14ac:dyDescent="0.4">
      <c r="A42" s="451">
        <v>10</v>
      </c>
      <c r="B42" s="474" t="s">
        <v>1066</v>
      </c>
      <c r="C42" s="475"/>
      <c r="D42" s="475"/>
      <c r="E42" s="475"/>
      <c r="F42" s="475"/>
      <c r="G42" s="458" t="str">
        <f>IF(Berekeningen!F29/10&gt;0,Berekeningen!F29/10&amp;" ml/uur","")</f>
        <v/>
      </c>
      <c r="H42" s="476" t="str">
        <f>IF(Berekeningen!I32&gt;0,"= "&amp;ROUND(Berekeningen!I32,2),"")</f>
        <v/>
      </c>
      <c r="I42" s="476"/>
      <c r="J42" s="429"/>
      <c r="K42" s="440"/>
      <c r="L42" s="440"/>
      <c r="M42" s="477"/>
      <c r="N42" s="454"/>
    </row>
    <row r="43" spans="1:14" ht="15.95" customHeight="1" x14ac:dyDescent="0.4">
      <c r="A43" s="451">
        <v>11</v>
      </c>
      <c r="B43" s="474" t="s">
        <v>1067</v>
      </c>
      <c r="C43" s="475"/>
      <c r="D43" s="475"/>
      <c r="E43" s="475"/>
      <c r="F43" s="475"/>
      <c r="G43" s="458" t="str">
        <f>IF(Berekeningen!F30/10&gt;0,Berekeningen!F30/10&amp;" ml/uur","")</f>
        <v/>
      </c>
      <c r="H43" s="476" t="str">
        <f>IF(Berekeningen!I33&gt;0,"= "&amp;ROUND(Berekeningen!I33,2),"")</f>
        <v/>
      </c>
      <c r="I43" s="476"/>
      <c r="J43" s="429"/>
      <c r="K43" s="440"/>
      <c r="L43" s="440"/>
      <c r="M43" s="477"/>
      <c r="N43" s="454"/>
    </row>
    <row r="44" spans="1:14" ht="15.95" customHeight="1" x14ac:dyDescent="0.4">
      <c r="A44" s="451">
        <v>12</v>
      </c>
      <c r="B44" s="474" t="s">
        <v>1068</v>
      </c>
      <c r="C44" s="475"/>
      <c r="D44" s="475"/>
      <c r="E44" s="475"/>
      <c r="F44" s="475"/>
      <c r="G44" s="458" t="str">
        <f>IF(Berekeningen!F31/10&gt;0,Berekeningen!F31/10&amp;" ml/uur","")</f>
        <v/>
      </c>
      <c r="H44" s="476" t="str">
        <f>IF(Berekeningen!I34&gt;0,"= "&amp;ROUND(Berekeningen!I34,2),"")</f>
        <v/>
      </c>
      <c r="I44" s="476"/>
      <c r="J44" s="429"/>
      <c r="K44" s="440"/>
      <c r="L44" s="440"/>
      <c r="M44" s="477"/>
      <c r="N44" s="454"/>
    </row>
    <row r="45" spans="1:14" ht="15.95" customHeight="1" x14ac:dyDescent="0.4">
      <c r="A45" s="451">
        <v>13</v>
      </c>
      <c r="B45" s="464" t="str">
        <f>IF(_MedTekst_1="","",_MedTekst_1)</f>
        <v/>
      </c>
      <c r="C45" s="462"/>
      <c r="D45" s="462"/>
      <c r="E45" s="462"/>
      <c r="F45" s="462"/>
      <c r="G45" s="462"/>
      <c r="H45" s="456"/>
      <c r="I45" s="456"/>
      <c r="J45" s="429"/>
      <c r="K45" s="440"/>
      <c r="L45" s="440"/>
      <c r="M45" s="477"/>
      <c r="N45" s="454"/>
    </row>
    <row r="46" spans="1:14" ht="15.95" customHeight="1" x14ac:dyDescent="0.4">
      <c r="A46" s="451">
        <v>14</v>
      </c>
      <c r="B46" s="452" t="str">
        <f>IF(_MedTekst_2="","",_MedTekst_2)</f>
        <v/>
      </c>
      <c r="C46" s="478"/>
      <c r="D46" s="478"/>
      <c r="E46" s="478"/>
      <c r="F46" s="478"/>
      <c r="G46" s="478"/>
      <c r="H46" s="478"/>
      <c r="I46" s="478"/>
      <c r="J46" s="429"/>
      <c r="K46" s="440"/>
      <c r="L46" s="440"/>
      <c r="M46" s="477"/>
      <c r="N46" s="454"/>
    </row>
    <row r="47" spans="1:14" ht="15.95" customHeight="1" x14ac:dyDescent="0.35">
      <c r="D47" s="432"/>
      <c r="K47" s="479" t="s">
        <v>1053</v>
      </c>
      <c r="L47" s="479"/>
    </row>
    <row r="48" spans="1:14" ht="15.95" customHeight="1" x14ac:dyDescent="0.4">
      <c r="B48" s="433"/>
      <c r="C48" s="434"/>
      <c r="D48" s="480"/>
      <c r="E48" s="481" t="str">
        <f ca="1">IF(Berekeningen!C35&gt;0,Berekeningen!C35&amp;" ml","")</f>
        <v/>
      </c>
      <c r="F48" s="432" t="str">
        <f ca="1">IF(E48&lt;&gt;"",ROUND(Berekeningen!C35/_Gewicht,0)&amp;" ml/ kg","")</f>
        <v/>
      </c>
      <c r="K48" s="438" t="str">
        <f ca="1">IF(Berekeningen!B35&gt;0,Berekeningen!B35&amp;" ml","")</f>
        <v>120 ml</v>
      </c>
      <c r="L48" s="438"/>
      <c r="M48" s="439"/>
    </row>
    <row r="49" spans="1:13" ht="12" customHeight="1" x14ac:dyDescent="0.4">
      <c r="B49" s="430"/>
      <c r="C49" s="429"/>
      <c r="D49" s="476"/>
      <c r="E49" s="454"/>
    </row>
    <row r="50" spans="1:13" ht="15.75" customHeight="1" x14ac:dyDescent="0.35">
      <c r="B50" s="482"/>
    </row>
    <row r="51" spans="1:13" ht="15.95" customHeight="1" x14ac:dyDescent="0.4">
      <c r="B51" s="424" t="s">
        <v>1070</v>
      </c>
    </row>
    <row r="52" spans="1:13" ht="15.75" customHeight="1" x14ac:dyDescent="0.4">
      <c r="B52" s="483" t="s">
        <v>688</v>
      </c>
      <c r="C52" s="439"/>
      <c r="D52" s="439"/>
      <c r="E52" s="484" t="str">
        <f ca="1">IF(Berekeningen!$D$36=1,Berekeningen!C37&amp;" ml","")</f>
        <v>0 ml</v>
      </c>
      <c r="F52" s="439"/>
      <c r="G52" s="439"/>
      <c r="H52" s="439"/>
      <c r="I52" s="484" t="str">
        <f>IF(Berekeningen!$D$36=3,Berekeningen!C37&amp;" ml","")</f>
        <v/>
      </c>
      <c r="J52" s="439"/>
      <c r="K52" s="438" t="str">
        <f ca="1">IF(Berekeningen!B37&gt;0,Berekeningen!B37&amp;" ml","")</f>
        <v/>
      </c>
      <c r="L52" s="438"/>
      <c r="M52" s="439"/>
    </row>
    <row r="53" spans="1:13" ht="15.95" customHeight="1" x14ac:dyDescent="0.4">
      <c r="B53" s="485" t="s">
        <v>1071</v>
      </c>
      <c r="C53" s="465"/>
      <c r="D53" s="465"/>
      <c r="E53" s="486" t="str">
        <f ca="1">IF(Berekeningen!$D$36=1,Berekeningen!C38&amp;" ml","")</f>
        <v>0 ml</v>
      </c>
      <c r="F53" s="465"/>
      <c r="G53" s="465"/>
      <c r="H53" s="465"/>
      <c r="I53" s="486" t="str">
        <f>IF(Berekeningen!$D$36=3,Berekeningen!C38&amp;" ml","")</f>
        <v/>
      </c>
      <c r="J53" s="465"/>
      <c r="K53" s="466" t="str">
        <f ca="1">IF(Berekeningen!B38&gt;0,Berekeningen!B38&amp;" ml","")</f>
        <v/>
      </c>
      <c r="L53" s="466"/>
      <c r="M53" s="466"/>
    </row>
    <row r="54" spans="1:13" ht="15.95" customHeight="1" x14ac:dyDescent="0.4">
      <c r="B54" s="485" t="s">
        <v>1072</v>
      </c>
      <c r="C54" s="465"/>
      <c r="D54" s="465"/>
      <c r="E54" s="486" t="str">
        <f ca="1">IF(Berekeningen!$D$36=1,Berekeningen!C39&amp;" ml","")</f>
        <v>0 ml</v>
      </c>
      <c r="F54" s="465"/>
      <c r="G54" s="465"/>
      <c r="H54" s="465"/>
      <c r="I54" s="465"/>
      <c r="J54" s="465"/>
      <c r="K54" s="466" t="str">
        <f ca="1">IF(Berekeningen!B39&gt;0,Berekeningen!B39&amp;" ml","")</f>
        <v/>
      </c>
      <c r="L54" s="466"/>
      <c r="M54" s="466"/>
    </row>
    <row r="55" spans="1:13" ht="15.95" customHeight="1" x14ac:dyDescent="0.4">
      <c r="B55" s="485" t="s">
        <v>1073</v>
      </c>
      <c r="C55" s="465"/>
      <c r="D55" s="465"/>
      <c r="E55" s="486" t="str">
        <f ca="1">IF(Berekeningen!$D$36=1,Berekeningen!C40&amp;" ml","")</f>
        <v>0 ml</v>
      </c>
      <c r="F55" s="465"/>
      <c r="G55" s="465"/>
      <c r="H55" s="465"/>
      <c r="I55" s="465"/>
      <c r="J55" s="465"/>
      <c r="K55" s="466" t="str">
        <f ca="1">IF(Berekeningen!B40&gt;0,Berekeningen!B40&amp;" ml","")</f>
        <v/>
      </c>
      <c r="L55" s="466"/>
      <c r="M55" s="466"/>
    </row>
    <row r="56" spans="1:13" ht="15.95" customHeight="1" x14ac:dyDescent="0.4">
      <c r="B56" s="485" t="s">
        <v>435</v>
      </c>
      <c r="C56" s="465"/>
      <c r="D56" s="465"/>
      <c r="E56" s="486" t="str">
        <f ca="1">IF(Berekeningen!$D$36=1,Berekeningen!C41&amp;" ml","")</f>
        <v>0 ml</v>
      </c>
      <c r="F56" s="465"/>
      <c r="G56" s="465"/>
      <c r="H56" s="465"/>
      <c r="I56" s="465"/>
      <c r="J56" s="465"/>
      <c r="K56" s="466" t="str">
        <f ca="1">IF(Berekeningen!B41&gt;0,Berekeningen!B41&amp;" ml","")</f>
        <v/>
      </c>
      <c r="L56" s="466"/>
      <c r="M56" s="466"/>
    </row>
    <row r="57" spans="1:13" ht="15.95" customHeight="1" x14ac:dyDescent="0.4">
      <c r="B57" s="485" t="s">
        <v>1028</v>
      </c>
      <c r="C57" s="465"/>
      <c r="D57" s="465"/>
      <c r="E57" s="486" t="str">
        <f ca="1">IF(Berekeningen!$D$36=1,Berekeningen!C42&amp;" ml","")</f>
        <v>0 ml</v>
      </c>
      <c r="F57" s="465"/>
      <c r="G57" s="465"/>
      <c r="H57" s="465"/>
      <c r="I57" s="465"/>
      <c r="J57" s="465"/>
      <c r="K57" s="466" t="str">
        <f ca="1">IF(Berekeningen!B42&gt;0,Berekeningen!B42&amp;" ml","")</f>
        <v/>
      </c>
      <c r="L57" s="466"/>
      <c r="M57" s="466"/>
    </row>
    <row r="58" spans="1:13" ht="15.95" customHeight="1" x14ac:dyDescent="0.4">
      <c r="B58" s="485" t="s">
        <v>1029</v>
      </c>
      <c r="C58" s="465"/>
      <c r="D58" s="465"/>
      <c r="E58" s="465"/>
      <c r="F58" s="465"/>
      <c r="G58" s="486" t="str">
        <f>IF(Berekeningen!D36=2,Berekeningen!C43&amp;" ml","")</f>
        <v/>
      </c>
      <c r="H58" s="487" t="str">
        <f>IF(G58&lt;&gt;"","("&amp;ROUND(Berekeningen!C43/_Gewicht,0)&amp;" ml/kg)","")</f>
        <v/>
      </c>
      <c r="I58" s="465"/>
      <c r="J58" s="465"/>
      <c r="K58" s="466" t="str">
        <f ca="1">IF(Berekeningen!B43&gt;0,Berekeningen!B43&amp;" ml","")</f>
        <v>350 ml</v>
      </c>
      <c r="L58" s="466"/>
      <c r="M58" s="466"/>
    </row>
    <row r="59" spans="1:13" ht="15.95" customHeight="1" x14ac:dyDescent="0.4">
      <c r="B59" s="485" t="s">
        <v>686</v>
      </c>
      <c r="C59" s="465"/>
      <c r="D59" s="465"/>
      <c r="E59" s="465"/>
      <c r="F59" s="465"/>
      <c r="G59" s="465"/>
      <c r="H59" s="465"/>
      <c r="I59" s="486" t="str">
        <f>IF(Berekeningen!$D$36=3,Berekeningen!C44&amp;" ml","")</f>
        <v/>
      </c>
      <c r="J59" s="487" t="str">
        <f>IF(I59&lt;&gt;"","("&amp;ROUND(Berekeningen!C44/_Gewicht,0)&amp;" ml/kg)","")</f>
        <v/>
      </c>
      <c r="K59" s="466" t="str">
        <f ca="1">IF(Berekeningen!B44&gt;0,Berekeningen!B44&amp;" ml","")</f>
        <v>350 ml</v>
      </c>
      <c r="L59" s="466"/>
      <c r="M59" s="466"/>
    </row>
    <row r="60" spans="1:13" ht="20.100000000000001" customHeight="1" x14ac:dyDescent="0.4">
      <c r="B60" s="465"/>
      <c r="C60" s="465"/>
      <c r="D60" s="465"/>
      <c r="E60" s="488">
        <f>IF(Berekeningen!D36=1,Berekeningen!L45,"")</f>
        <v>0</v>
      </c>
      <c r="F60" s="465" t="str">
        <f>IF(E60&lt;&gt;"","ml","")</f>
        <v>ml</v>
      </c>
      <c r="G60" s="488" t="str">
        <f>IF(Berekeningen!D36=2,Berekeningen!L45,"")</f>
        <v/>
      </c>
      <c r="H60" s="465" t="str">
        <f>IF(G60&lt;&gt;"","ml","")</f>
        <v/>
      </c>
      <c r="I60" s="488" t="str">
        <f>IF(Berekeningen!D36=3,Berekeningen!L45,"")</f>
        <v/>
      </c>
      <c r="J60" s="465" t="str">
        <f>IF(I60&lt;&gt;"","ml","")</f>
        <v/>
      </c>
      <c r="K60" s="466"/>
      <c r="L60" s="466"/>
      <c r="M60" s="466"/>
    </row>
    <row r="63" spans="1:13" ht="15.95" customHeight="1" x14ac:dyDescent="0.35">
      <c r="B63" s="434"/>
      <c r="C63" s="434"/>
      <c r="D63" s="434"/>
      <c r="E63" s="434"/>
      <c r="F63" s="434"/>
      <c r="G63" s="434"/>
      <c r="H63" s="434"/>
      <c r="I63" s="434"/>
      <c r="J63" s="434"/>
      <c r="K63" s="429"/>
      <c r="L63" s="429"/>
      <c r="M63" s="429"/>
    </row>
    <row r="64" spans="1:13" ht="15.95" customHeight="1" x14ac:dyDescent="0.35">
      <c r="A64" s="538"/>
      <c r="B64" s="539" t="s">
        <v>246</v>
      </c>
      <c r="C64" s="540"/>
      <c r="D64" s="540"/>
      <c r="E64" s="540"/>
      <c r="F64" s="540"/>
      <c r="G64" s="540"/>
      <c r="H64" s="540"/>
      <c r="I64" s="540"/>
      <c r="J64" s="540"/>
      <c r="K64" s="429"/>
      <c r="L64" s="429"/>
      <c r="M64" s="429"/>
    </row>
    <row r="65" spans="1:10" ht="12.85" x14ac:dyDescent="0.35">
      <c r="A65" s="541"/>
      <c r="B65" s="541"/>
      <c r="C65" s="425" t="s">
        <v>770</v>
      </c>
      <c r="D65" s="425" t="str">
        <f>TRIM(Ber_Lab_Neo!B4&amp;" "&amp;Ber_Lab_Neo!B5&amp;" "&amp;Ber_Lab_Neo!B6&amp;" "&amp;Ber_Lab_Neo!B7&amp;" "&amp;Ber_Lab_Neo!B8&amp;" "&amp;Ber_Lab_Neo!B9&amp;" "&amp;Ber_Lab_Neo!B10&amp;" "&amp;Ber_Lab_Neo!B11&amp;" "&amp;Ber_Lab_Neo!B12&amp;" "&amp;Ber_Lab_Neo!B13&amp;" "&amp;Ber_Lab_Neo!B14&amp;" "&amp;Ber_Lab_Neo!B15&amp;" "&amp;Ber_Lab_Neo!B16&amp;" "&amp;Ber_Lab_Neo!B17&amp;" "&amp;Ber_Lab_Neo!B18&amp;" "&amp;Ber_Lab_Neo!B19&amp;" "&amp;Ber_Lab_Neo!B20&amp;" "&amp;Ber_Lab_Neo!B21&amp;" "&amp;Ber_Lab_Neo!B22&amp;" "&amp;Ber_Lab_Neo!B23&amp;" "&amp;Ber_Lab_Neo!B24&amp;" "&amp;Ber_Lab_Neo!B25&amp;" "&amp;Ber_Lab_Neo!B26&amp;" "&amp;Ber_Lab_Neo!B27&amp;" "&amp;Ber_Lab_Neo!B28&amp;" "&amp;Ber_Lab_Neo!B29&amp;" "&amp;Ber_Lab_Neo!B30&amp;" "&amp;Ber_Lab_Neo!B31&amp;" "&amp;Ber_Lab_Neo!B32&amp;" "&amp;Ber_Lab_Neo!B33&amp;" "&amp;Ber_Lab_Neo!B34&amp;" "&amp;Ber_Lab_Neo!B35)</f>
        <v/>
      </c>
      <c r="E65" s="425"/>
      <c r="F65" s="425"/>
      <c r="G65" s="425"/>
      <c r="H65" s="425"/>
      <c r="I65" s="425"/>
      <c r="J65" s="425"/>
    </row>
    <row r="66" spans="1:10" s="537" customFormat="1" ht="12.85" x14ac:dyDescent="0.3">
      <c r="A66" s="542"/>
      <c r="B66" s="542"/>
      <c r="C66" s="425" t="s">
        <v>1340</v>
      </c>
      <c r="D66" s="425" t="str">
        <f>TRIM(Ber_Lab_Neo!D4&amp;" "&amp;Ber_Lab_Neo!D5&amp;" "&amp;Ber_Lab_Neo!D6&amp;" "&amp;Ber_Lab_Neo!D7&amp;" "&amp;Ber_Lab_Neo!D8&amp;" "&amp;Ber_Lab_Neo!D9&amp;" "&amp;Ber_Lab_Neo!D10&amp;" "&amp;Ber_Lab_Neo!D11&amp;" "&amp;Ber_Lab_Neo!D12&amp;" "&amp;Ber_Lab_Neo!D13&amp;" "&amp;Ber_Lab_Neo!D14&amp;" "&amp;Ber_Lab_Neo!D15&amp;" "&amp;Ber_Lab_Neo!D16&amp;" "&amp;Ber_Lab_Neo!D17&amp;" "&amp;Ber_Lab_Neo!D18&amp;" "&amp;Ber_Lab_Neo!D19&amp;" "&amp;Ber_Lab_Neo!D20&amp;" "&amp;Ber_Lab_Neo!D21&amp;" "&amp;Ber_Lab_Neo!D22&amp;" "&amp;Ber_Lab_Neo!D23&amp;" "&amp;Ber_Lab_Neo!D24&amp;" "&amp;Ber_Lab_Neo!D25&amp;" "&amp;Ber_Lab_Neo!D26&amp;" "&amp;Ber_Lab_Neo!D27&amp;" "&amp;Ber_Lab_Neo!D28&amp;" "&amp;Ber_Lab_Neo!D29&amp;" "&amp;Ber_Lab_Neo!D30&amp;" "&amp;Ber_Lab_Neo!D31&amp;" "&amp;Ber_Lab_Neo!D32&amp;" "&amp;Ber_Lab_Neo!D33&amp;" "&amp;Ber_Lab_Neo!D34)</f>
        <v/>
      </c>
      <c r="E66" s="425"/>
      <c r="F66" s="425"/>
      <c r="G66" s="425"/>
      <c r="H66" s="425"/>
      <c r="I66" s="425"/>
      <c r="J66" s="425"/>
    </row>
    <row r="67" spans="1:10" s="537" customFormat="1" ht="12.85" x14ac:dyDescent="0.3">
      <c r="A67" s="542"/>
      <c r="B67" s="542"/>
      <c r="C67" s="425" t="s">
        <v>1341</v>
      </c>
      <c r="D67" s="425" t="str">
        <f>TRIM(Ber_Lab_Neo!F4&amp;" "&amp;Ber_Lab_Neo!F5&amp;" "&amp;Ber_Lab_Neo!F6&amp;" "&amp;Ber_Lab_Neo!F7&amp;" "&amp;Ber_Lab_Neo!F8&amp;" "&amp;Ber_Lab_Neo!F9&amp;" "&amp;Ber_Lab_Neo!F10&amp;" "&amp;Ber_Lab_Neo!F11&amp;" "&amp;Ber_Lab_Neo!F12&amp;" "&amp;Ber_Lab_Neo!F13&amp;" "&amp;Ber_Lab_Neo!F14&amp;" "&amp;Ber_Lab_Neo!F15&amp;" "&amp;Ber_Lab_Neo!F16&amp;" "&amp;Ber_Lab_Neo!F17&amp;" "&amp;Ber_Lab_Neo!F18&amp;" "&amp;Ber_Lab_Neo!F19&amp;" "&amp;Ber_Lab_Neo!F20&amp;" "&amp;Ber_Lab_Neo!F21&amp;" "&amp;Ber_Lab_Neo!F22&amp;" "&amp;Ber_Lab_Neo!F23&amp;" "&amp;Ber_Lab_Neo!F24&amp;" "&amp;Ber_Lab_Neo!F25&amp;" "&amp;Ber_Lab_Neo!F26&amp;" "&amp;Ber_Lab_Neo!F27&amp;" "&amp;Ber_Lab_Neo!F28&amp;" "&amp;Ber_Lab_Neo!F29&amp;" "&amp;Ber_Lab_Neo!F30&amp;" "&amp;Ber_Lab_Neo!F31&amp;" "&amp;Ber_Lab_Neo!F32&amp;" "&amp;Ber_Lab_Neo!F33&amp;" "&amp;Ber_Lab_Neo!F34)</f>
        <v/>
      </c>
      <c r="E67" s="425"/>
      <c r="F67" s="425"/>
      <c r="G67" s="425"/>
      <c r="H67" s="425"/>
      <c r="I67" s="425"/>
      <c r="J67" s="425"/>
    </row>
    <row r="68" spans="1:10" s="537" customFormat="1" ht="12.85" x14ac:dyDescent="0.3">
      <c r="A68" s="542"/>
      <c r="B68" s="542"/>
      <c r="C68" s="425" t="s">
        <v>1342</v>
      </c>
      <c r="D68" s="425" t="str">
        <f>TRIM(Ber_Lab_Neo!H4&amp;" "&amp;Ber_Lab_Neo!H5&amp;" "&amp;Ber_Lab_Neo!H6&amp;" "&amp;Ber_Lab_Neo!H7&amp;" "&amp;Ber_Lab_Neo!H8&amp;" "&amp;Ber_Lab_Neo!H9&amp;" "&amp;Ber_Lab_Neo!H10&amp;" "&amp;Ber_Lab_Neo!H11&amp;" "&amp;Ber_Lab_Neo!H12&amp;" "&amp;Ber_Lab_Neo!H13&amp;" "&amp;Ber_Lab_Neo!H14&amp;" "&amp;Ber_Lab_Neo!H15&amp;" "&amp;Ber_Lab_Neo!H16&amp;" "&amp;Ber_Lab_Neo!H17&amp;" "&amp;Ber_Lab_Neo!H18&amp;" "&amp;Ber_Lab_Neo!H19&amp;" "&amp;Ber_Lab_Neo!H20&amp;" "&amp;Ber_Lab_Neo!H21&amp;" "&amp;Ber_Lab_Neo!H22&amp;" "&amp;Ber_Lab_Neo!H23&amp;" "&amp;Ber_Lab_Neo!H24&amp;" "&amp;Ber_Lab_Neo!H25&amp;" "&amp;Ber_Lab_Neo!H26&amp;" "&amp;Ber_Lab_Neo!H27&amp;" "&amp;Ber_Lab_Neo!H28&amp;" "&amp;Ber_Lab_Neo!H29&amp;" "&amp;Ber_Lab_Neo!H30&amp;" "&amp;Ber_Lab_Neo!H31&amp;" "&amp;Ber_Lab_Neo!H32&amp;" "&amp;Ber_Lab_Neo!H33&amp;" "&amp;Ber_Lab_Neo!H34)</f>
        <v/>
      </c>
      <c r="E68" s="425"/>
      <c r="F68" s="425"/>
      <c r="G68" s="425"/>
      <c r="H68" s="425"/>
      <c r="I68" s="425"/>
      <c r="J68" s="425"/>
    </row>
    <row r="69" spans="1:10" s="537" customFormat="1" ht="12.85" x14ac:dyDescent="0.3">
      <c r="A69" s="542"/>
      <c r="B69" s="542"/>
      <c r="C69" s="425" t="s">
        <v>286</v>
      </c>
      <c r="D69" s="425" t="str">
        <f>TRIM(Ber_Lab_Neo!J4&amp;" "&amp;Ber_Lab_Neo!J5&amp;" "&amp;Ber_Lab_Neo!J6&amp;" "&amp;Ber_Lab_Neo!J7&amp;" "&amp;Ber_Lab_Neo!J8&amp;" "&amp;Ber_Lab_Neo!J9&amp;" "&amp;Ber_Lab_Neo!J10&amp;" "&amp;Ber_Lab_Neo!J11&amp;" "&amp;Ber_Lab_Neo!J12&amp;" "&amp;Ber_Lab_Neo!J13&amp;" "&amp;Ber_Lab_Neo!J14&amp;" "&amp;Ber_Lab_Neo!J15&amp;" "&amp;Ber_Lab_Neo!J16&amp;" "&amp;Ber_Lab_Neo!J17&amp;" "&amp;Ber_Lab_Neo!J18&amp;" "&amp;Ber_Lab_Neo!J19&amp;" "&amp;Ber_Lab_Neo!J20&amp;" "&amp;Ber_Lab_Neo!J21&amp;" "&amp;Ber_Lab_Neo!J22&amp;" "&amp;Ber_Lab_Neo!J23&amp;" "&amp;Ber_Lab_Neo!J24&amp;" "&amp;Ber_Lab_Neo!J25&amp;" "&amp;Ber_Lab_Neo!J26&amp;" "&amp;Ber_Lab_Neo!J27&amp;" "&amp;Ber_Lab_Neo!J28&amp;" "&amp;Ber_Lab_Neo!J29&amp;" "&amp;Ber_Lab_Neo!J30&amp;" "&amp;Ber_Lab_Neo!J31&amp;" "&amp;Ber_Lab_Neo!J32&amp;" "&amp;Ber_Lab_Neo!J33&amp;" "&amp;Ber_Lab_Neo!J34)</f>
        <v/>
      </c>
      <c r="E69" s="425"/>
      <c r="F69" s="425"/>
      <c r="G69" s="425"/>
      <c r="H69" s="425"/>
      <c r="I69" s="425"/>
      <c r="J69" s="425"/>
    </row>
    <row r="70" spans="1:10" s="537" customFormat="1" ht="12.85" x14ac:dyDescent="0.3">
      <c r="A70" s="542"/>
      <c r="B70" s="542"/>
      <c r="C70" s="425" t="s">
        <v>1343</v>
      </c>
      <c r="D70" s="425" t="str">
        <f>TRIM(Ber_Lab_Neo!L4&amp;" "&amp;Ber_Lab_Neo!L5&amp;" "&amp;Ber_Lab_Neo!L6&amp;" "&amp;Ber_Lab_Neo!L7&amp;" "&amp;Ber_Lab_Neo!L8&amp;" "&amp;Ber_Lab_Neo!L9&amp;" "&amp;Ber_Lab_Neo!L10&amp;" "&amp;Ber_Lab_Neo!L11&amp;" "&amp;Ber_Lab_Neo!L12&amp;" "&amp;Ber_Lab_Neo!L13&amp;" "&amp;Ber_Lab_Neo!L14&amp;" "&amp;Ber_Lab_Neo!L15&amp;" "&amp;Ber_Lab_Neo!L16&amp;" "&amp;Ber_Lab_Neo!L17&amp;" "&amp;Ber_Lab_Neo!L18&amp;" "&amp;Ber_Lab_Neo!L19&amp;" "&amp;Ber_Lab_Neo!L20&amp;" "&amp;Ber_Lab_Neo!L21&amp;" "&amp;Ber_Lab_Neo!L22&amp;" "&amp;Ber_Lab_Neo!L23&amp;" "&amp;Ber_Lab_Neo!L24&amp;" "&amp;Ber_Lab_Neo!L25&amp;" "&amp;Ber_Lab_Neo!L26&amp;" "&amp;Ber_Lab_Neo!L27&amp;" "&amp;Ber_Lab_Neo!L28&amp;" "&amp;Ber_Lab_Neo!L29&amp;" "&amp;Ber_Lab_Neo!L30&amp;" "&amp;Ber_Lab_Neo!L31&amp;" "&amp;Ber_Lab_Neo!L32&amp;" "&amp;Ber_Lab_Neo!L33&amp;" "&amp;Ber_Lab_Neo!L34)</f>
        <v/>
      </c>
      <c r="E70" s="425"/>
      <c r="F70" s="425"/>
      <c r="G70" s="425"/>
      <c r="H70" s="425"/>
      <c r="I70" s="425"/>
      <c r="J70" s="425"/>
    </row>
    <row r="71" spans="1:10" s="537" customFormat="1" ht="12.85" x14ac:dyDescent="0.3">
      <c r="A71" s="542"/>
      <c r="B71" s="542"/>
      <c r="C71" s="425" t="s">
        <v>2430</v>
      </c>
      <c r="D71" s="425" t="str">
        <f>TRIM(Ber_Lab_Neo!N4&amp;" "&amp;Ber_Lab_Neo!N5&amp;" "&amp;Ber_Lab_Neo!N6&amp;" "&amp;Ber_Lab_Neo!N7&amp;" "&amp;Ber_Lab_Neo!N8&amp;" "&amp;Ber_Lab_Neo!N9&amp;" "&amp;Ber_Lab_Neo!N10&amp;" "&amp;Ber_Lab_Neo!N11&amp;" "&amp;Ber_Lab_Neo!N12&amp;" "&amp;Ber_Lab_Neo!N13&amp;" "&amp;Ber_Lab_Neo!N14&amp;" "&amp;Ber_Lab_Neo!N15&amp;" "&amp;Ber_Lab_Neo!N16&amp;" "&amp;Ber_Lab_Neo!N17&amp;" "&amp;Ber_Lab_Neo!N18&amp;" "&amp;Ber_Lab_Neo!N19&amp;" "&amp;Ber_Lab_Neo!N20&amp;" "&amp;Ber_Lab_Neo!N21&amp;" "&amp;Ber_Lab_Neo!N22&amp;" "&amp;Ber_Lab_Neo!N23&amp;" "&amp;Ber_Lab_Neo!N24&amp;" "&amp;Ber_Lab_Neo!N25&amp;" "&amp;Ber_Lab_Neo!N26&amp;" "&amp;Ber_Lab_Neo!N27&amp;" "&amp;Ber_Lab_Neo!N28&amp;" "&amp;Ber_Lab_Neo!N29&amp;" "&amp;Ber_Lab_Neo!N30&amp;" "&amp;Ber_Lab_Neo!N31&amp;" "&amp;Ber_Lab_Neo!N32&amp;" "&amp;Ber_Lab_Neo!N33&amp;" "&amp;Ber_Lab_Neo!N34)</f>
        <v/>
      </c>
      <c r="E71" s="425"/>
      <c r="F71" s="425"/>
      <c r="G71" s="425"/>
      <c r="H71" s="425"/>
      <c r="I71" s="425"/>
      <c r="J71" s="425"/>
    </row>
    <row r="72" spans="1:10" s="537" customFormat="1" ht="12.85" x14ac:dyDescent="0.3">
      <c r="A72" s="542"/>
      <c r="B72" s="542"/>
      <c r="C72" s="425" t="s">
        <v>2432</v>
      </c>
      <c r="D72" s="425" t="str">
        <f>TRIM(Ber_Lab_Neo!P4&amp;" "&amp;Ber_Lab_Neo!P5&amp;" "&amp;Ber_Lab_Neo!P6&amp;" "&amp;Ber_Lab_Neo!P7&amp;" "&amp;Ber_Lab_Neo!P8&amp;" "&amp;Ber_Lab_Neo!P9&amp;" "&amp;Ber_Lab_Neo!P10&amp;" "&amp;Ber_Lab_Neo!P11&amp;" "&amp;Ber_Lab_Neo!P12&amp;" "&amp;Ber_Lab_Neo!P13&amp;" "&amp;Ber_Lab_Neo!P14&amp;" "&amp;Ber_Lab_Neo!P15&amp;" "&amp;Ber_Lab_Neo!P16&amp;" "&amp;Ber_Lab_Neo!P17&amp;" "&amp;Ber_Lab_Neo!P18&amp;" "&amp;Ber_Lab_Neo!P19&amp;" "&amp;Ber_Lab_Neo!P20&amp;" "&amp;Ber_Lab_Neo!P21&amp;" "&amp;Ber_Lab_Neo!P22&amp;" "&amp;Ber_Lab_Neo!P23&amp;" "&amp;Ber_Lab_Neo!P24&amp;" "&amp;Ber_Lab_Neo!P25&amp;" "&amp;Ber_Lab_Neo!P26&amp;" "&amp;Ber_Lab_Neo!P27&amp;" "&amp;Ber_Lab_Neo!P28&amp;" "&amp;Ber_Lab_Neo!P29&amp;" "&amp;Ber_Lab_Neo!P30&amp;" "&amp;Ber_Lab_Neo!P31&amp;" "&amp;Ber_Lab_Neo!P32&amp;" "&amp;Ber_Lab_Neo!P33&amp;" "&amp;Ber_Lab_Neo!P34)</f>
        <v/>
      </c>
      <c r="E72" s="425"/>
      <c r="F72" s="425"/>
      <c r="G72" s="425"/>
      <c r="H72" s="425"/>
      <c r="I72" s="425"/>
      <c r="J72" s="425"/>
    </row>
    <row r="73" spans="1:10" s="537" customFormat="1" ht="12.85" x14ac:dyDescent="0.3">
      <c r="A73" s="542"/>
      <c r="B73" s="542"/>
      <c r="C73" s="425" t="s">
        <v>2431</v>
      </c>
      <c r="D73" s="425" t="str">
        <f>TRIM(Ber_Lab_Neo!R4&amp;" "&amp;Ber_Lab_Neo!R5&amp;" "&amp;Ber_Lab_Neo!R6&amp;" "&amp;Ber_Lab_Neo!R7&amp;" "&amp;Ber_Lab_Neo!R8&amp;" "&amp;Ber_Lab_Neo!R9&amp;" "&amp;Ber_Lab_Neo!R10&amp;" "&amp;Ber_Lab_Neo!R11&amp;" "&amp;Ber_Lab_Neo!R12&amp;" "&amp;Ber_Lab_Neo!R13&amp;" "&amp;Ber_Lab_Neo!R14&amp;" "&amp;Ber_Lab_Neo!R15&amp;" "&amp;Ber_Lab_Neo!R16&amp;" "&amp;Ber_Lab_Neo!R17&amp;" "&amp;Ber_Lab_Neo!R18&amp;" "&amp;Ber_Lab_Neo!R19&amp;" "&amp;Ber_Lab_Neo!R20&amp;" "&amp;Ber_Lab_Neo!R21&amp;" "&amp;Ber_Lab_Neo!R22&amp;" "&amp;Ber_Lab_Neo!R23&amp;" "&amp;Ber_Lab_Neo!R24&amp;" "&amp;Ber_Lab_Neo!R25&amp;" "&amp;Ber_Lab_Neo!R26&amp;" "&amp;Ber_Lab_Neo!R27&amp;" "&amp;Ber_Lab_Neo!R28&amp;" "&amp;Ber_Lab_Neo!R29&amp;" "&amp;Ber_Lab_Neo!R30&amp;" "&amp;Ber_Lab_Neo!R31&amp;" "&amp;Ber_Lab_Neo!R32&amp;" "&amp;Ber_Lab_Neo!R33&amp;" "&amp;Ber_Lab_Neo!R34)</f>
        <v/>
      </c>
      <c r="E73" s="425"/>
      <c r="F73" s="425"/>
      <c r="G73" s="425"/>
      <c r="H73" s="425"/>
      <c r="I73" s="425"/>
      <c r="J73" s="425"/>
    </row>
    <row r="74" spans="1:10" ht="15.95" customHeight="1" x14ac:dyDescent="0.35">
      <c r="A74" s="541"/>
      <c r="B74" s="541"/>
      <c r="C74" s="425" t="s">
        <v>596</v>
      </c>
      <c r="D74" s="934" t="str">
        <f>IF(LabNeoOpmerkingen=0,"",LabNeoOpmerkingen)</f>
        <v/>
      </c>
      <c r="E74" s="934"/>
      <c r="F74" s="934"/>
      <c r="G74" s="934"/>
      <c r="H74" s="934"/>
      <c r="I74" s="934"/>
      <c r="J74" s="934"/>
    </row>
    <row r="75" spans="1:10" ht="15.95" customHeight="1" x14ac:dyDescent="0.35">
      <c r="A75" s="540"/>
      <c r="B75" s="540"/>
      <c r="C75" s="543"/>
      <c r="D75" s="935"/>
      <c r="E75" s="935"/>
      <c r="F75" s="935"/>
      <c r="G75" s="935"/>
      <c r="H75" s="935"/>
      <c r="I75" s="935"/>
      <c r="J75" s="935"/>
    </row>
  </sheetData>
  <sheetProtection algorithmName="SHA-512" hashValue="pxWG1yXWwrqPQPzXQkskDGZalXae+G9jJvHAqwNbEZkkzckN2sTwgIV3ixINN7YvBxi8QY7e9YBOBlBJ/tyadA==" saltValue="PBPeJotg3F3rUzqa/JiI8w==" spinCount="100000" sheet="1" objects="1" scenarios="1" selectLockedCells="1" selectUnlockedCells="1"/>
  <mergeCells count="2">
    <mergeCell ref="K3:N6"/>
    <mergeCell ref="D74:J75"/>
  </mergeCells>
  <conditionalFormatting sqref="E60:J60 E28">
    <cfRule type="cellIs" dxfId="6" priority="3" stopIfTrue="1" operator="lessThan">
      <formula>0</formula>
    </cfRule>
  </conditionalFormatting>
  <pageMargins left="0.17" right="0.17" top="0.56000000000000005" bottom="0.86" header="0.32" footer="0.67"/>
  <pageSetup paperSize="9" orientation="portrait" horizontalDpi="3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Drop Down 1">
              <controlPr defaultSize="0" autoLine="0" autoPict="0" macro="[0]!Afspraken_Vervolgkeuzelijst1_BijWijzigen">
                <anchor moveWithCells="1">
                  <from>
                    <xdr:col>1</xdr:col>
                    <xdr:colOff>0</xdr:colOff>
                    <xdr:row>31</xdr:row>
                    <xdr:rowOff>0</xdr:rowOff>
                  </from>
                  <to>
                    <xdr:col>2</xdr:col>
                    <xdr:colOff>191497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Drop Down 2">
              <controlPr defaultSize="0" autoLine="0" autoPict="0" macro="[0]!Vervolgkeuzelijst2_BijWijzigen">
                <anchor moveWithCells="1">
                  <from>
                    <xdr:col>1</xdr:col>
                    <xdr:colOff>0</xdr:colOff>
                    <xdr:row>32</xdr:row>
                    <xdr:rowOff>0</xdr:rowOff>
                  </from>
                  <to>
                    <xdr:col>2</xdr:col>
                    <xdr:colOff>191497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Drop Down 3">
              <controlPr defaultSize="0" autoLine="0" autoPict="0" macro="[0]!Vervolgkeuzelijst3_BijWijzigen">
                <anchor moveWithCells="1">
                  <from>
                    <xdr:col>1</xdr:col>
                    <xdr:colOff>0</xdr:colOff>
                    <xdr:row>33</xdr:row>
                    <xdr:rowOff>0</xdr:rowOff>
                  </from>
                  <to>
                    <xdr:col>2</xdr:col>
                    <xdr:colOff>191497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7" name="Drop Down 4">
              <controlPr defaultSize="0" autoLine="0" autoPict="0" macro="[0]!Vervolgkeuzelijst4_BijWijzigen">
                <anchor moveWithCells="1">
                  <from>
                    <xdr:col>1</xdr:col>
                    <xdr:colOff>0</xdr:colOff>
                    <xdr:row>34</xdr:row>
                    <xdr:rowOff>0</xdr:rowOff>
                  </from>
                  <to>
                    <xdr:col>2</xdr:col>
                    <xdr:colOff>191497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8" name="Drop Down 5">
              <controlPr defaultSize="0" autoLine="0" autoPict="0" macro="[0]!Vervolgkeuzelijst5_BijWijzigen">
                <anchor moveWithCells="1">
                  <from>
                    <xdr:col>1</xdr:col>
                    <xdr:colOff>0</xdr:colOff>
                    <xdr:row>35</xdr:row>
                    <xdr:rowOff>0</xdr:rowOff>
                  </from>
                  <to>
                    <xdr:col>2</xdr:col>
                    <xdr:colOff>191497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9" name="Drop Down 6">
              <controlPr defaultSize="0" autoLine="0" autoPict="0" macro="[0]!Vervolgkeuzelijst6_BijWijzigen">
                <anchor moveWithCells="1">
                  <from>
                    <xdr:col>1</xdr:col>
                    <xdr:colOff>0</xdr:colOff>
                    <xdr:row>36</xdr:row>
                    <xdr:rowOff>0</xdr:rowOff>
                  </from>
                  <to>
                    <xdr:col>2</xdr:col>
                    <xdr:colOff>191497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10" name="Drop Down 7">
              <controlPr defaultSize="0" autoLine="0" autoPict="0" macro="[0]!Vervolgkeuzelijst7_BijWijzigen">
                <anchor moveWithCells="1">
                  <from>
                    <xdr:col>1</xdr:col>
                    <xdr:colOff>0</xdr:colOff>
                    <xdr:row>37</xdr:row>
                    <xdr:rowOff>0</xdr:rowOff>
                  </from>
                  <to>
                    <xdr:col>2</xdr:col>
                    <xdr:colOff>191497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1" name="Spinner 8">
              <controlPr defaultSize="0" autoPict="0">
                <anchor moveWithCells="1" sizeWithCells="1">
                  <from>
                    <xdr:col>7</xdr:col>
                    <xdr:colOff>19150</xdr:colOff>
                    <xdr:row>29</xdr:row>
                    <xdr:rowOff>9575</xdr:rowOff>
                  </from>
                  <to>
                    <xdr:col>7</xdr:col>
                    <xdr:colOff>143623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2" name="Spinner 9">
              <controlPr defaultSize="0" autoPict="0">
                <anchor moveWithCells="1" sizeWithCells="1">
                  <from>
                    <xdr:col>7</xdr:col>
                    <xdr:colOff>19150</xdr:colOff>
                    <xdr:row>31</xdr:row>
                    <xdr:rowOff>9575</xdr:rowOff>
                  </from>
                  <to>
                    <xdr:col>7</xdr:col>
                    <xdr:colOff>143623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13" name="Spinner 10">
              <controlPr defaultSize="0" autoPict="0">
                <anchor moveWithCells="1" sizeWithCells="1">
                  <from>
                    <xdr:col>7</xdr:col>
                    <xdr:colOff>19150</xdr:colOff>
                    <xdr:row>32</xdr:row>
                    <xdr:rowOff>9575</xdr:rowOff>
                  </from>
                  <to>
                    <xdr:col>7</xdr:col>
                    <xdr:colOff>143623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4" name="Spinner 11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15" name="Spinner 12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1" r:id="rId16" name="Spinner 13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2" r:id="rId17" name="Spinner 14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3" r:id="rId18" name="Spinner 15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4" r:id="rId19" name="Option Button 16">
              <controlPr defaultSize="0" autoFill="0" autoLine="0" autoPict="0">
                <anchor moveWithCells="1">
                  <from>
                    <xdr:col>1</xdr:col>
                    <xdr:colOff>210647</xdr:colOff>
                    <xdr:row>20</xdr:row>
                    <xdr:rowOff>28725</xdr:rowOff>
                  </from>
                  <to>
                    <xdr:col>2</xdr:col>
                    <xdr:colOff>392570</xdr:colOff>
                    <xdr:row>21</xdr:row>
                    <xdr:rowOff>47874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20" name="Option Button 17">
              <controlPr defaultSize="0" autoFill="0" autoLine="0" autoPict="0">
                <anchor moveWithCells="1">
                  <from>
                    <xdr:col>1</xdr:col>
                    <xdr:colOff>210647</xdr:colOff>
                    <xdr:row>21</xdr:row>
                    <xdr:rowOff>38299</xdr:rowOff>
                  </from>
                  <to>
                    <xdr:col>2</xdr:col>
                    <xdr:colOff>392570</xdr:colOff>
                    <xdr:row>22</xdr:row>
                    <xdr:rowOff>57449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21" name="Spinner 18">
              <controlPr defaultSize="0" autoPict="0">
                <anchor moveWithCells="1" sizeWithCells="1">
                  <from>
                    <xdr:col>4</xdr:col>
                    <xdr:colOff>684603</xdr:colOff>
                    <xdr:row>20</xdr:row>
                    <xdr:rowOff>9575</xdr:rowOff>
                  </from>
                  <to>
                    <xdr:col>4</xdr:col>
                    <xdr:colOff>809076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22" name="Spinner 19">
              <controlPr defaultSize="0" autoPict="0">
                <anchor moveWithCells="1" sizeWithCells="1">
                  <from>
                    <xdr:col>6</xdr:col>
                    <xdr:colOff>684603</xdr:colOff>
                    <xdr:row>20</xdr:row>
                    <xdr:rowOff>9575</xdr:rowOff>
                  </from>
                  <to>
                    <xdr:col>6</xdr:col>
                    <xdr:colOff>809076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" r:id="rId23" name="Spinner 20">
              <controlPr defaultSize="0" autoPict="0">
                <anchor moveWithCells="1" sizeWithCells="1">
                  <from>
                    <xdr:col>4</xdr:col>
                    <xdr:colOff>713328</xdr:colOff>
                    <xdr:row>17</xdr:row>
                    <xdr:rowOff>9575</xdr:rowOff>
                  </from>
                  <to>
                    <xdr:col>5</xdr:col>
                    <xdr:colOff>9575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0" r:id="rId24" name="Option Button 22">
              <controlPr defaultSize="0" autoFill="0" autoLine="0" autoPict="0">
                <anchor moveWithCells="1">
                  <from>
                    <xdr:col>3</xdr:col>
                    <xdr:colOff>655879</xdr:colOff>
                    <xdr:row>49</xdr:row>
                    <xdr:rowOff>181923</xdr:rowOff>
                  </from>
                  <to>
                    <xdr:col>4</xdr:col>
                    <xdr:colOff>646304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1" r:id="rId25" name="Option Button 23">
              <controlPr defaultSize="0" autoFill="0" autoLine="0" autoPict="0">
                <anchor moveWithCells="1">
                  <from>
                    <xdr:col>6</xdr:col>
                    <xdr:colOff>0</xdr:colOff>
                    <xdr:row>49</xdr:row>
                    <xdr:rowOff>172348</xdr:rowOff>
                  </from>
                  <to>
                    <xdr:col>7</xdr:col>
                    <xdr:colOff>210647</xdr:colOff>
                    <xdr:row>50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2" r:id="rId26" name="Option Button 24">
              <controlPr defaultSize="0" autoFill="0" autoLine="0" autoPict="0">
                <anchor moveWithCells="1">
                  <from>
                    <xdr:col>8</xdr:col>
                    <xdr:colOff>9575</xdr:colOff>
                    <xdr:row>49</xdr:row>
                    <xdr:rowOff>181923</xdr:rowOff>
                  </from>
                  <to>
                    <xdr:col>9</xdr:col>
                    <xdr:colOff>315971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3" r:id="rId27" name="Spinner 25">
              <controlPr defaultSize="0" autoPict="0">
                <anchor moveWithCells="1" sizeWithCells="1">
                  <from>
                    <xdr:col>4</xdr:col>
                    <xdr:colOff>684603</xdr:colOff>
                    <xdr:row>51</xdr:row>
                    <xdr:rowOff>0</xdr:rowOff>
                  </from>
                  <to>
                    <xdr:col>4</xdr:col>
                    <xdr:colOff>809076</xdr:colOff>
                    <xdr:row>51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4" r:id="rId28" name="Spinner 26">
              <controlPr defaultSize="0" autoPict="0">
                <anchor moveWithCells="1" sizeWithCells="1">
                  <from>
                    <xdr:col>4</xdr:col>
                    <xdr:colOff>684603</xdr:colOff>
                    <xdr:row>52</xdr:row>
                    <xdr:rowOff>0</xdr:rowOff>
                  </from>
                  <to>
                    <xdr:col>4</xdr:col>
                    <xdr:colOff>809076</xdr:colOff>
                    <xdr:row>52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5" r:id="rId29" name="Spinner 27">
              <controlPr defaultSize="0" autoPict="0">
                <anchor moveWithCells="1" sizeWithCells="1">
                  <from>
                    <xdr:col>4</xdr:col>
                    <xdr:colOff>684603</xdr:colOff>
                    <xdr:row>53</xdr:row>
                    <xdr:rowOff>0</xdr:rowOff>
                  </from>
                  <to>
                    <xdr:col>4</xdr:col>
                    <xdr:colOff>809076</xdr:colOff>
                    <xdr:row>53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6" r:id="rId30" name="Spinner 28">
              <controlPr defaultSize="0" autoPict="0">
                <anchor moveWithCells="1" sizeWithCells="1">
                  <from>
                    <xdr:col>4</xdr:col>
                    <xdr:colOff>684603</xdr:colOff>
                    <xdr:row>54</xdr:row>
                    <xdr:rowOff>0</xdr:rowOff>
                  </from>
                  <to>
                    <xdr:col>4</xdr:col>
                    <xdr:colOff>809076</xdr:colOff>
                    <xdr:row>54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7" r:id="rId31" name="Spinner 29">
              <controlPr defaultSize="0" autoPict="0">
                <anchor moveWithCells="1" sizeWithCells="1">
                  <from>
                    <xdr:col>4</xdr:col>
                    <xdr:colOff>684603</xdr:colOff>
                    <xdr:row>55</xdr:row>
                    <xdr:rowOff>0</xdr:rowOff>
                  </from>
                  <to>
                    <xdr:col>4</xdr:col>
                    <xdr:colOff>809076</xdr:colOff>
                    <xdr:row>55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8" r:id="rId32" name="Spinner 30">
              <controlPr defaultSize="0" autoPict="0">
                <anchor moveWithCells="1" sizeWithCells="1">
                  <from>
                    <xdr:col>4</xdr:col>
                    <xdr:colOff>684603</xdr:colOff>
                    <xdr:row>56</xdr:row>
                    <xdr:rowOff>0</xdr:rowOff>
                  </from>
                  <to>
                    <xdr:col>4</xdr:col>
                    <xdr:colOff>809076</xdr:colOff>
                    <xdr:row>56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9" r:id="rId33" name="Spinner 31">
              <controlPr defaultSize="0" autoPict="0">
                <anchor moveWithCells="1" sizeWithCells="1">
                  <from>
                    <xdr:col>6</xdr:col>
                    <xdr:colOff>703753</xdr:colOff>
                    <xdr:row>57</xdr:row>
                    <xdr:rowOff>0</xdr:rowOff>
                  </from>
                  <to>
                    <xdr:col>7</xdr:col>
                    <xdr:colOff>0</xdr:colOff>
                    <xdr:row>57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0" r:id="rId34" name="Spinner 32">
              <controlPr defaultSize="0" autoPict="0">
                <anchor moveWithCells="1" sizeWithCells="1">
                  <from>
                    <xdr:col>8</xdr:col>
                    <xdr:colOff>694178</xdr:colOff>
                    <xdr:row>51</xdr:row>
                    <xdr:rowOff>0</xdr:rowOff>
                  </from>
                  <to>
                    <xdr:col>8</xdr:col>
                    <xdr:colOff>818651</xdr:colOff>
                    <xdr:row>51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1" r:id="rId35" name="Spinner 33">
              <controlPr defaultSize="0" autoPict="0">
                <anchor moveWithCells="1" sizeWithCells="1">
                  <from>
                    <xdr:col>8</xdr:col>
                    <xdr:colOff>694178</xdr:colOff>
                    <xdr:row>52</xdr:row>
                    <xdr:rowOff>0</xdr:rowOff>
                  </from>
                  <to>
                    <xdr:col>8</xdr:col>
                    <xdr:colOff>818651</xdr:colOff>
                    <xdr:row>52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2" r:id="rId36" name="Spinner 34">
              <controlPr defaultSize="0" autoPict="0">
                <anchor moveWithCells="1" sizeWithCells="1">
                  <from>
                    <xdr:col>8</xdr:col>
                    <xdr:colOff>694178</xdr:colOff>
                    <xdr:row>58</xdr:row>
                    <xdr:rowOff>0</xdr:rowOff>
                  </from>
                  <to>
                    <xdr:col>8</xdr:col>
                    <xdr:colOff>818651</xdr:colOff>
                    <xdr:row>58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3" r:id="rId37" name="Option Button 35">
              <controlPr defaultSize="0" autoFill="0" autoLine="0" autoPict="0">
                <anchor moveWithCells="1">
                  <from>
                    <xdr:col>2</xdr:col>
                    <xdr:colOff>172348</xdr:colOff>
                    <xdr:row>17</xdr:row>
                    <xdr:rowOff>181923</xdr:rowOff>
                  </from>
                  <to>
                    <xdr:col>2</xdr:col>
                    <xdr:colOff>780352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4" r:id="rId38" name="Option Button 36">
              <controlPr defaultSize="0" autoFill="0" autoLine="0" autoPict="0">
                <anchor moveWithCells="1">
                  <from>
                    <xdr:col>2</xdr:col>
                    <xdr:colOff>550555</xdr:colOff>
                    <xdr:row>17</xdr:row>
                    <xdr:rowOff>181923</xdr:rowOff>
                  </from>
                  <to>
                    <xdr:col>3</xdr:col>
                    <xdr:colOff>335120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5" r:id="rId39" name="Drop Down 37">
              <controlPr defaultSize="0" autoLine="0" autoPict="0">
                <anchor moveWithCells="1">
                  <from>
                    <xdr:col>4</xdr:col>
                    <xdr:colOff>325546</xdr:colOff>
                    <xdr:row>31</xdr:row>
                    <xdr:rowOff>0</xdr:rowOff>
                  </from>
                  <to>
                    <xdr:col>5</xdr:col>
                    <xdr:colOff>608004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6" r:id="rId40" name="Drop Down 38">
              <controlPr defaultSize="0" autoLine="0" autoPict="0">
                <anchor moveWithCells="1">
                  <from>
                    <xdr:col>4</xdr:col>
                    <xdr:colOff>325546</xdr:colOff>
                    <xdr:row>32</xdr:row>
                    <xdr:rowOff>0</xdr:rowOff>
                  </from>
                  <to>
                    <xdr:col>5</xdr:col>
                    <xdr:colOff>608004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7" r:id="rId41" name="Drop Down 39">
              <controlPr defaultSize="0" autoLine="0" autoPict="0">
                <anchor moveWithCells="1">
                  <from>
                    <xdr:col>4</xdr:col>
                    <xdr:colOff>325546</xdr:colOff>
                    <xdr:row>33</xdr:row>
                    <xdr:rowOff>0</xdr:rowOff>
                  </from>
                  <to>
                    <xdr:col>5</xdr:col>
                    <xdr:colOff>608004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8" r:id="rId42" name="Drop Down 40">
              <controlPr defaultSize="0" autoLine="0" autoPict="0">
                <anchor moveWithCells="1">
                  <from>
                    <xdr:col>4</xdr:col>
                    <xdr:colOff>325546</xdr:colOff>
                    <xdr:row>34</xdr:row>
                    <xdr:rowOff>0</xdr:rowOff>
                  </from>
                  <to>
                    <xdr:col>5</xdr:col>
                    <xdr:colOff>608004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9" r:id="rId43" name="Drop Down 41">
              <controlPr defaultSize="0" autoLine="0" autoPict="0">
                <anchor moveWithCells="1">
                  <from>
                    <xdr:col>4</xdr:col>
                    <xdr:colOff>325546</xdr:colOff>
                    <xdr:row>35</xdr:row>
                    <xdr:rowOff>0</xdr:rowOff>
                  </from>
                  <to>
                    <xdr:col>5</xdr:col>
                    <xdr:colOff>608004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0" r:id="rId44" name="Drop Down 42">
              <controlPr defaultSize="0" autoLine="0" autoPict="0">
                <anchor moveWithCells="1">
                  <from>
                    <xdr:col>4</xdr:col>
                    <xdr:colOff>325546</xdr:colOff>
                    <xdr:row>36</xdr:row>
                    <xdr:rowOff>0</xdr:rowOff>
                  </from>
                  <to>
                    <xdr:col>5</xdr:col>
                    <xdr:colOff>608004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1" r:id="rId45" name="Spinner 43">
              <controlPr defaultSize="0" autoPict="0">
                <anchor moveWithCells="1" sizeWithCells="1">
                  <from>
                    <xdr:col>4</xdr:col>
                    <xdr:colOff>153198</xdr:colOff>
                    <xdr:row>31</xdr:row>
                    <xdr:rowOff>0</xdr:rowOff>
                  </from>
                  <to>
                    <xdr:col>4</xdr:col>
                    <xdr:colOff>277671</xdr:colOff>
                    <xdr:row>31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2" r:id="rId46" name="Spinner 44">
              <controlPr defaultSize="0" autoPict="0">
                <anchor moveWithCells="1" sizeWithCells="1">
                  <from>
                    <xdr:col>4</xdr:col>
                    <xdr:colOff>153198</xdr:colOff>
                    <xdr:row>32</xdr:row>
                    <xdr:rowOff>0</xdr:rowOff>
                  </from>
                  <to>
                    <xdr:col>4</xdr:col>
                    <xdr:colOff>277671</xdr:colOff>
                    <xdr:row>32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3" r:id="rId47" name="Spinner 45">
              <controlPr defaultSize="0" autoPict="0">
                <anchor moveWithCells="1" sizeWithCells="1">
                  <from>
                    <xdr:col>4</xdr:col>
                    <xdr:colOff>153198</xdr:colOff>
                    <xdr:row>33</xdr:row>
                    <xdr:rowOff>0</xdr:rowOff>
                  </from>
                  <to>
                    <xdr:col>4</xdr:col>
                    <xdr:colOff>277671</xdr:colOff>
                    <xdr:row>33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4" r:id="rId48" name="Spinner 46">
              <controlPr defaultSize="0" autoPict="0">
                <anchor moveWithCells="1" sizeWithCells="1">
                  <from>
                    <xdr:col>4</xdr:col>
                    <xdr:colOff>153198</xdr:colOff>
                    <xdr:row>34</xdr:row>
                    <xdr:rowOff>0</xdr:rowOff>
                  </from>
                  <to>
                    <xdr:col>4</xdr:col>
                    <xdr:colOff>277671</xdr:colOff>
                    <xdr:row>34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5" r:id="rId49" name="Spinner 47">
              <controlPr defaultSize="0" autoPict="0">
                <anchor moveWithCells="1" sizeWithCells="1">
                  <from>
                    <xdr:col>4</xdr:col>
                    <xdr:colOff>153198</xdr:colOff>
                    <xdr:row>35</xdr:row>
                    <xdr:rowOff>0</xdr:rowOff>
                  </from>
                  <to>
                    <xdr:col>4</xdr:col>
                    <xdr:colOff>277671</xdr:colOff>
                    <xdr:row>35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6" r:id="rId50" name="Spinner 48">
              <controlPr defaultSize="0" autoPict="0">
                <anchor moveWithCells="1" sizeWithCells="1">
                  <from>
                    <xdr:col>4</xdr:col>
                    <xdr:colOff>153198</xdr:colOff>
                    <xdr:row>36</xdr:row>
                    <xdr:rowOff>0</xdr:rowOff>
                  </from>
                  <to>
                    <xdr:col>4</xdr:col>
                    <xdr:colOff>277671</xdr:colOff>
                    <xdr:row>36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7" r:id="rId51" name="Spinner 49">
              <controlPr defaultSize="0" autoPict="0">
                <anchor moveWithCells="1" sizeWithCells="1">
                  <from>
                    <xdr:col>4</xdr:col>
                    <xdr:colOff>153198</xdr:colOff>
                    <xdr:row>37</xdr:row>
                    <xdr:rowOff>0</xdr:rowOff>
                  </from>
                  <to>
                    <xdr:col>4</xdr:col>
                    <xdr:colOff>277671</xdr:colOff>
                    <xdr:row>37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8" r:id="rId52" name="Spinner 50">
              <controlPr defaultSize="0" autoPict="0">
                <anchor moveWithCells="1" sizeWithCells="1">
                  <from>
                    <xdr:col>3</xdr:col>
                    <xdr:colOff>9575</xdr:colOff>
                    <xdr:row>30</xdr:row>
                    <xdr:rowOff>86174</xdr:rowOff>
                  </from>
                  <to>
                    <xdr:col>3</xdr:col>
                    <xdr:colOff>134048</xdr:colOff>
                    <xdr:row>31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9" r:id="rId53" name="Spinner 51">
              <controlPr defaultSize="0" autoPict="0">
                <anchor moveWithCells="1" sizeWithCells="1">
                  <from>
                    <xdr:col>3</xdr:col>
                    <xdr:colOff>9575</xdr:colOff>
                    <xdr:row>31</xdr:row>
                    <xdr:rowOff>191497</xdr:rowOff>
                  </from>
                  <to>
                    <xdr:col>3</xdr:col>
                    <xdr:colOff>134048</xdr:colOff>
                    <xdr:row>32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0" r:id="rId54" name="Spinner 52">
              <controlPr defaultSize="0" autoPict="0">
                <anchor moveWithCells="1" sizeWithCells="1">
                  <from>
                    <xdr:col>3</xdr:col>
                    <xdr:colOff>9575</xdr:colOff>
                    <xdr:row>32</xdr:row>
                    <xdr:rowOff>191497</xdr:rowOff>
                  </from>
                  <to>
                    <xdr:col>3</xdr:col>
                    <xdr:colOff>134048</xdr:colOff>
                    <xdr:row>33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1" r:id="rId55" name="Spinner 53">
              <controlPr defaultSize="0" autoPict="0">
                <anchor moveWithCells="1" sizeWithCells="1">
                  <from>
                    <xdr:col>3</xdr:col>
                    <xdr:colOff>9575</xdr:colOff>
                    <xdr:row>33</xdr:row>
                    <xdr:rowOff>191497</xdr:rowOff>
                  </from>
                  <to>
                    <xdr:col>3</xdr:col>
                    <xdr:colOff>134048</xdr:colOff>
                    <xdr:row>34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2" r:id="rId56" name="Spinner 54">
              <controlPr defaultSize="0" autoPict="0">
                <anchor moveWithCells="1" sizeWithCells="1">
                  <from>
                    <xdr:col>3</xdr:col>
                    <xdr:colOff>9575</xdr:colOff>
                    <xdr:row>34</xdr:row>
                    <xdr:rowOff>191497</xdr:rowOff>
                  </from>
                  <to>
                    <xdr:col>3</xdr:col>
                    <xdr:colOff>134048</xdr:colOff>
                    <xdr:row>35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3" r:id="rId57" name="Spinner 55">
              <controlPr defaultSize="0" autoPict="0">
                <anchor moveWithCells="1" sizeWithCells="1">
                  <from>
                    <xdr:col>3</xdr:col>
                    <xdr:colOff>9575</xdr:colOff>
                    <xdr:row>35</xdr:row>
                    <xdr:rowOff>191497</xdr:rowOff>
                  </from>
                  <to>
                    <xdr:col>3</xdr:col>
                    <xdr:colOff>134048</xdr:colOff>
                    <xdr:row>36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4" r:id="rId58" name="Spinner 56">
              <controlPr defaultSize="0" autoPict="0">
                <anchor moveWithCells="1" sizeWithCells="1">
                  <from>
                    <xdr:col>3</xdr:col>
                    <xdr:colOff>9575</xdr:colOff>
                    <xdr:row>36</xdr:row>
                    <xdr:rowOff>191497</xdr:rowOff>
                  </from>
                  <to>
                    <xdr:col>3</xdr:col>
                    <xdr:colOff>134048</xdr:colOff>
                    <xdr:row>37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5" r:id="rId59" name="Group Box 57">
              <controlPr defaultSize="0" autoFill="0" autoPict="0">
                <anchor moveWithCells="1">
                  <from>
                    <xdr:col>1</xdr:col>
                    <xdr:colOff>153198</xdr:colOff>
                    <xdr:row>19</xdr:row>
                    <xdr:rowOff>153198</xdr:rowOff>
                  </from>
                  <to>
                    <xdr:col>2</xdr:col>
                    <xdr:colOff>722903</xdr:colOff>
                    <xdr:row>22</xdr:row>
                    <xdr:rowOff>114898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6" r:id="rId60" name="Group Box 58">
              <controlPr defaultSize="0" autoFill="0" autoPict="0">
                <anchor moveWithCells="1">
                  <from>
                    <xdr:col>3</xdr:col>
                    <xdr:colOff>9575</xdr:colOff>
                    <xdr:row>49</xdr:row>
                    <xdr:rowOff>76599</xdr:rowOff>
                  </from>
                  <to>
                    <xdr:col>9</xdr:col>
                    <xdr:colOff>450019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7" r:id="rId61" name="Check Box 59">
              <controlPr defaultSize="0" autoFill="0" autoLine="0" autoPict="0">
                <anchor moveWithCells="1">
                  <from>
                    <xdr:col>9</xdr:col>
                    <xdr:colOff>296821</xdr:colOff>
                    <xdr:row>29</xdr:row>
                    <xdr:rowOff>0</xdr:rowOff>
                  </from>
                  <to>
                    <xdr:col>9</xdr:col>
                    <xdr:colOff>598429</xdr:colOff>
                    <xdr:row>30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8" r:id="rId62" name="Check Box 60">
              <controlPr defaultSize="0" autoFill="0" autoLine="0" autoPict="0">
                <anchor moveWithCells="1">
                  <from>
                    <xdr:col>9</xdr:col>
                    <xdr:colOff>296821</xdr:colOff>
                    <xdr:row>31</xdr:row>
                    <xdr:rowOff>0</xdr:rowOff>
                  </from>
                  <to>
                    <xdr:col>9</xdr:col>
                    <xdr:colOff>598429</xdr:colOff>
                    <xdr:row>32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9" r:id="rId63" name="Check Box 61">
              <controlPr defaultSize="0" autoFill="0" autoLine="0" autoPict="0">
                <anchor moveWithCells="1">
                  <from>
                    <xdr:col>9</xdr:col>
                    <xdr:colOff>296821</xdr:colOff>
                    <xdr:row>32</xdr:row>
                    <xdr:rowOff>0</xdr:rowOff>
                  </from>
                  <to>
                    <xdr:col>9</xdr:col>
                    <xdr:colOff>598429</xdr:colOff>
                    <xdr:row>33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0" r:id="rId64" name="Check Box 62">
              <controlPr defaultSize="0" autoFill="0" autoLine="0" autoPict="0">
                <anchor moveWithCells="1">
                  <from>
                    <xdr:col>9</xdr:col>
                    <xdr:colOff>296821</xdr:colOff>
                    <xdr:row>33</xdr:row>
                    <xdr:rowOff>0</xdr:rowOff>
                  </from>
                  <to>
                    <xdr:col>9</xdr:col>
                    <xdr:colOff>598429</xdr:colOff>
                    <xdr:row>34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1" r:id="rId65" name="Check Box 63">
              <controlPr defaultSize="0" autoFill="0" autoLine="0" autoPict="0">
                <anchor moveWithCells="1">
                  <from>
                    <xdr:col>9</xdr:col>
                    <xdr:colOff>296821</xdr:colOff>
                    <xdr:row>34</xdr:row>
                    <xdr:rowOff>0</xdr:rowOff>
                  </from>
                  <to>
                    <xdr:col>9</xdr:col>
                    <xdr:colOff>598429</xdr:colOff>
                    <xdr:row>35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2" r:id="rId66" name="Check Box 64">
              <controlPr defaultSize="0" autoFill="0" autoLine="0" autoPict="0">
                <anchor moveWithCells="1">
                  <from>
                    <xdr:col>9</xdr:col>
                    <xdr:colOff>296821</xdr:colOff>
                    <xdr:row>35</xdr:row>
                    <xdr:rowOff>0</xdr:rowOff>
                  </from>
                  <to>
                    <xdr:col>9</xdr:col>
                    <xdr:colOff>598429</xdr:colOff>
                    <xdr:row>36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3" r:id="rId67" name="Check Box 65">
              <controlPr defaultSize="0" autoFill="0" autoLine="0" autoPict="0">
                <anchor moveWithCells="1">
                  <from>
                    <xdr:col>9</xdr:col>
                    <xdr:colOff>296821</xdr:colOff>
                    <xdr:row>36</xdr:row>
                    <xdr:rowOff>0</xdr:rowOff>
                  </from>
                  <to>
                    <xdr:col>9</xdr:col>
                    <xdr:colOff>598429</xdr:colOff>
                    <xdr:row>37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4" r:id="rId68" name="Check Box 66">
              <controlPr defaultSize="0" autoFill="0" autoLine="0" autoPict="0">
                <anchor moveWithCells="1">
                  <from>
                    <xdr:col>9</xdr:col>
                    <xdr:colOff>296821</xdr:colOff>
                    <xdr:row>37</xdr:row>
                    <xdr:rowOff>0</xdr:rowOff>
                  </from>
                  <to>
                    <xdr:col>9</xdr:col>
                    <xdr:colOff>598429</xdr:colOff>
                    <xdr:row>38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5" r:id="rId69" name="Drop Down 67">
              <controlPr defaultSize="0" autoLine="0" autoPict="0" macro="[0]!Vervolgkeuzelijst67_BijWijzigen">
                <anchor moveWithCells="1">
                  <from>
                    <xdr:col>1</xdr:col>
                    <xdr:colOff>0</xdr:colOff>
                    <xdr:row>38</xdr:row>
                    <xdr:rowOff>0</xdr:rowOff>
                  </from>
                  <to>
                    <xdr:col>2</xdr:col>
                    <xdr:colOff>191497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6" r:id="rId70" name="Spinner 68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7" r:id="rId71" name="Drop Down 69">
              <controlPr defaultSize="0" autoLine="0" autoPict="0">
                <anchor moveWithCells="1">
                  <from>
                    <xdr:col>4</xdr:col>
                    <xdr:colOff>325546</xdr:colOff>
                    <xdr:row>37</xdr:row>
                    <xdr:rowOff>0</xdr:rowOff>
                  </from>
                  <to>
                    <xdr:col>5</xdr:col>
                    <xdr:colOff>608004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8" r:id="rId72" name="Spinner 70">
              <controlPr defaultSize="0" autoPict="0">
                <anchor moveWithCells="1" sizeWithCells="1">
                  <from>
                    <xdr:col>4</xdr:col>
                    <xdr:colOff>153198</xdr:colOff>
                    <xdr:row>38</xdr:row>
                    <xdr:rowOff>0</xdr:rowOff>
                  </from>
                  <to>
                    <xdr:col>4</xdr:col>
                    <xdr:colOff>277671</xdr:colOff>
                    <xdr:row>38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9" r:id="rId73" name="Spinner 71">
              <controlPr defaultSize="0" autoPict="0">
                <anchor moveWithCells="1" sizeWithCells="1">
                  <from>
                    <xdr:col>3</xdr:col>
                    <xdr:colOff>9575</xdr:colOff>
                    <xdr:row>37</xdr:row>
                    <xdr:rowOff>191497</xdr:rowOff>
                  </from>
                  <to>
                    <xdr:col>3</xdr:col>
                    <xdr:colOff>134048</xdr:colOff>
                    <xdr:row>38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0" r:id="rId74" name="Check Box 72">
              <controlPr defaultSize="0" autoFill="0" autoLine="0" autoPict="0">
                <anchor moveWithCells="1">
                  <from>
                    <xdr:col>9</xdr:col>
                    <xdr:colOff>296821</xdr:colOff>
                    <xdr:row>37</xdr:row>
                    <xdr:rowOff>0</xdr:rowOff>
                  </from>
                  <to>
                    <xdr:col>9</xdr:col>
                    <xdr:colOff>598429</xdr:colOff>
                    <xdr:row>38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1" r:id="rId75" name="Check Box 73">
              <controlPr defaultSize="0" autoFill="0" autoLine="0" autoPict="0">
                <anchor moveWithCells="1">
                  <from>
                    <xdr:col>9</xdr:col>
                    <xdr:colOff>296821</xdr:colOff>
                    <xdr:row>38</xdr:row>
                    <xdr:rowOff>0</xdr:rowOff>
                  </from>
                  <to>
                    <xdr:col>9</xdr:col>
                    <xdr:colOff>598429</xdr:colOff>
                    <xdr:row>39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2" r:id="rId76" name="Spinner 74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3" r:id="rId77" name="Drop Down 75">
              <controlPr defaultSize="0" autoLine="0" autoPict="0">
                <anchor moveWithCells="1">
                  <from>
                    <xdr:col>4</xdr:col>
                    <xdr:colOff>325546</xdr:colOff>
                    <xdr:row>38</xdr:row>
                    <xdr:rowOff>0</xdr:rowOff>
                  </from>
                  <to>
                    <xdr:col>5</xdr:col>
                    <xdr:colOff>608004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4" r:id="rId78" name="Drop Down 76">
              <controlPr defaultSize="0" autoLine="0" autoPict="0">
                <anchor moveWithCells="1">
                  <from>
                    <xdr:col>4</xdr:col>
                    <xdr:colOff>325546</xdr:colOff>
                    <xdr:row>39</xdr:row>
                    <xdr:rowOff>0</xdr:rowOff>
                  </from>
                  <to>
                    <xdr:col>5</xdr:col>
                    <xdr:colOff>608004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5" r:id="rId79" name="Check Box 77">
              <controlPr defaultSize="0" autoFill="0" autoLine="0" autoPict="0">
                <anchor moveWithCells="1">
                  <from>
                    <xdr:col>9</xdr:col>
                    <xdr:colOff>296821</xdr:colOff>
                    <xdr:row>38</xdr:row>
                    <xdr:rowOff>0</xdr:rowOff>
                  </from>
                  <to>
                    <xdr:col>9</xdr:col>
                    <xdr:colOff>598429</xdr:colOff>
                    <xdr:row>39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6" r:id="rId80" name="Check Box 78">
              <controlPr defaultSize="0" autoFill="0" autoLine="0" autoPict="0">
                <anchor moveWithCells="1">
                  <from>
                    <xdr:col>9</xdr:col>
                    <xdr:colOff>296821</xdr:colOff>
                    <xdr:row>39</xdr:row>
                    <xdr:rowOff>0</xdr:rowOff>
                  </from>
                  <to>
                    <xdr:col>9</xdr:col>
                    <xdr:colOff>598429</xdr:colOff>
                    <xdr:row>40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7" r:id="rId81" name="Spinner 79">
              <controlPr defaultSize="0" autoPict="0">
                <anchor moveWithCells="1" sizeWithCells="1">
                  <from>
                    <xdr:col>4</xdr:col>
                    <xdr:colOff>694178</xdr:colOff>
                    <xdr:row>47</xdr:row>
                    <xdr:rowOff>0</xdr:rowOff>
                  </from>
                  <to>
                    <xdr:col>4</xdr:col>
                    <xdr:colOff>818651</xdr:colOff>
                    <xdr:row>47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8" r:id="rId82" name="Drop Down 80">
              <controlPr defaultSize="0" autoLine="0" autoPict="0">
                <anchor moveWithCells="1">
                  <from>
                    <xdr:col>1</xdr:col>
                    <xdr:colOff>19150</xdr:colOff>
                    <xdr:row>59</xdr:row>
                    <xdr:rowOff>38299</xdr:rowOff>
                  </from>
                  <to>
                    <xdr:col>2</xdr:col>
                    <xdr:colOff>191497</xdr:colOff>
                    <xdr:row>59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9" r:id="rId83" name="Spinner 81">
              <controlPr defaultSize="0" autoPict="0">
                <anchor moveWithCells="1" sizeWithCells="1">
                  <from>
                    <xdr:col>7</xdr:col>
                    <xdr:colOff>684603</xdr:colOff>
                    <xdr:row>12</xdr:row>
                    <xdr:rowOff>9575</xdr:rowOff>
                  </from>
                  <to>
                    <xdr:col>7</xdr:col>
                    <xdr:colOff>809076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0" r:id="rId84" name="Spinner 82">
              <controlPr defaultSize="0" autoPict="0">
                <anchor moveWithCells="1" sizeWithCells="1">
                  <from>
                    <xdr:col>9</xdr:col>
                    <xdr:colOff>684603</xdr:colOff>
                    <xdr:row>12</xdr:row>
                    <xdr:rowOff>9575</xdr:rowOff>
                  </from>
                  <to>
                    <xdr:col>9</xdr:col>
                    <xdr:colOff>809076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2" r:id="rId85" name="Drop Down 84">
              <controlPr defaultSize="0" autoLine="0" autoPict="0">
                <anchor moveWithCells="1">
                  <from>
                    <xdr:col>8</xdr:col>
                    <xdr:colOff>47874</xdr:colOff>
                    <xdr:row>23</xdr:row>
                    <xdr:rowOff>181923</xdr:rowOff>
                  </from>
                  <to>
                    <xdr:col>9</xdr:col>
                    <xdr:colOff>588854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3" r:id="rId86" name="Drop Down 85">
              <controlPr defaultSize="0" autoLine="0" autoPict="0">
                <anchor moveWithCells="1">
                  <from>
                    <xdr:col>8</xdr:col>
                    <xdr:colOff>57449</xdr:colOff>
                    <xdr:row>25</xdr:row>
                    <xdr:rowOff>9575</xdr:rowOff>
                  </from>
                  <to>
                    <xdr:col>9</xdr:col>
                    <xdr:colOff>598429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4" r:id="rId87" name="Pos">
              <controlPr defaultSize="0" autoLine="0" autoPict="0">
                <anchor moveWithCells="1">
                  <from>
                    <xdr:col>8</xdr:col>
                    <xdr:colOff>67024</xdr:colOff>
                    <xdr:row>20</xdr:row>
                    <xdr:rowOff>9575</xdr:rowOff>
                  </from>
                  <to>
                    <xdr:col>10</xdr:col>
                    <xdr:colOff>684603</xdr:colOff>
                    <xdr:row>21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9" r:id="rId88" name="Spinner 91">
              <controlPr defaultSize="0" autoPict="0">
                <anchor moveWithCells="1" sizeWithCells="1">
                  <from>
                    <xdr:col>4</xdr:col>
                    <xdr:colOff>684603</xdr:colOff>
                    <xdr:row>21</xdr:row>
                    <xdr:rowOff>9575</xdr:rowOff>
                  </from>
                  <to>
                    <xdr:col>4</xdr:col>
                    <xdr:colOff>809076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0" r:id="rId89" name="Spinner 92">
              <controlPr defaultSize="0" autoPict="0">
                <anchor moveWithCells="1" sizeWithCells="1">
                  <from>
                    <xdr:col>6</xdr:col>
                    <xdr:colOff>684603</xdr:colOff>
                    <xdr:row>21</xdr:row>
                    <xdr:rowOff>9575</xdr:rowOff>
                  </from>
                  <to>
                    <xdr:col>6</xdr:col>
                    <xdr:colOff>809076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1" r:id="rId90" name="Drop Down 93">
              <controlPr defaultSize="0" autoLine="0" autoPict="0">
                <anchor moveWithCells="1">
                  <from>
                    <xdr:col>8</xdr:col>
                    <xdr:colOff>47874</xdr:colOff>
                    <xdr:row>24</xdr:row>
                    <xdr:rowOff>181923</xdr:rowOff>
                  </from>
                  <to>
                    <xdr:col>9</xdr:col>
                    <xdr:colOff>588854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2" r:id="rId91" name="Drop Down 94">
              <controlPr defaultSize="0" autoLine="0" autoPict="0">
                <anchor moveWithCells="1">
                  <from>
                    <xdr:col>8</xdr:col>
                    <xdr:colOff>47874</xdr:colOff>
                    <xdr:row>25</xdr:row>
                    <xdr:rowOff>181923</xdr:rowOff>
                  </from>
                  <to>
                    <xdr:col>9</xdr:col>
                    <xdr:colOff>588854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5" r:id="rId92" name="Drop Down 97">
              <controlPr defaultSize="0" autoLine="0" autoPict="0" macro="[0]!Vervolgkeuzelijst97_BijWijzigen">
                <anchor moveWithCells="1">
                  <from>
                    <xdr:col>1</xdr:col>
                    <xdr:colOff>0</xdr:colOff>
                    <xdr:row>39</xdr:row>
                    <xdr:rowOff>0</xdr:rowOff>
                  </from>
                  <to>
                    <xdr:col>2</xdr:col>
                    <xdr:colOff>191497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6" r:id="rId93" name="Spinner 98">
              <controlPr defaultSize="0" autoPict="0">
                <anchor moveWithCells="1" sizeWithCells="1">
                  <from>
                    <xdr:col>4</xdr:col>
                    <xdr:colOff>153198</xdr:colOff>
                    <xdr:row>39</xdr:row>
                    <xdr:rowOff>0</xdr:rowOff>
                  </from>
                  <to>
                    <xdr:col>4</xdr:col>
                    <xdr:colOff>277671</xdr:colOff>
                    <xdr:row>39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7" r:id="rId94" name="Spinner 99">
              <controlPr defaultSize="0" autoPict="0">
                <anchor moveWithCells="1" sizeWithCells="1">
                  <from>
                    <xdr:col>3</xdr:col>
                    <xdr:colOff>9575</xdr:colOff>
                    <xdr:row>38</xdr:row>
                    <xdr:rowOff>191497</xdr:rowOff>
                  </from>
                  <to>
                    <xdr:col>3</xdr:col>
                    <xdr:colOff>134048</xdr:colOff>
                    <xdr:row>39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8" r:id="rId95" name="Drop Down 100">
              <controlPr defaultSize="0" autoLine="0" autoPict="0">
                <anchor moveWithCells="1">
                  <from>
                    <xdr:col>4</xdr:col>
                    <xdr:colOff>325546</xdr:colOff>
                    <xdr:row>39</xdr:row>
                    <xdr:rowOff>0</xdr:rowOff>
                  </from>
                  <to>
                    <xdr:col>5</xdr:col>
                    <xdr:colOff>608004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9" r:id="rId96" name="Drop Down 101">
              <controlPr defaultSize="0" autoLine="0" autoPict="0" macro="[0]!Vervolgkeuzelijst101_BijWijzigen">
                <anchor moveWithCells="1">
                  <from>
                    <xdr:col>4</xdr:col>
                    <xdr:colOff>325546</xdr:colOff>
                    <xdr:row>41</xdr:row>
                    <xdr:rowOff>0</xdr:rowOff>
                  </from>
                  <to>
                    <xdr:col>5</xdr:col>
                    <xdr:colOff>608004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0" r:id="rId97" name="Spinner 102">
              <controlPr defaultSize="0" autoPict="0">
                <anchor moveWithCells="1" sizeWithCells="1">
                  <from>
                    <xdr:col>7</xdr:col>
                    <xdr:colOff>19150</xdr:colOff>
                    <xdr:row>41</xdr:row>
                    <xdr:rowOff>9575</xdr:rowOff>
                  </from>
                  <to>
                    <xdr:col>7</xdr:col>
                    <xdr:colOff>143623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1" r:id="rId98" name="Check Box 103">
              <controlPr defaultSize="0" autoFill="0" autoLine="0" autoPict="0">
                <anchor moveWithCells="1">
                  <from>
                    <xdr:col>9</xdr:col>
                    <xdr:colOff>296821</xdr:colOff>
                    <xdr:row>41</xdr:row>
                    <xdr:rowOff>0</xdr:rowOff>
                  </from>
                  <to>
                    <xdr:col>9</xdr:col>
                    <xdr:colOff>598429</xdr:colOff>
                    <xdr:row>42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2" r:id="rId99" name="Drop Down 104">
              <controlPr defaultSize="0" autoLine="0" autoPict="0" macro="[0]!Vervolgkeuzelijst104_BijWijzigen">
                <anchor moveWithCells="1">
                  <from>
                    <xdr:col>4</xdr:col>
                    <xdr:colOff>325546</xdr:colOff>
                    <xdr:row>42</xdr:row>
                    <xdr:rowOff>0</xdr:rowOff>
                  </from>
                  <to>
                    <xdr:col>5</xdr:col>
                    <xdr:colOff>608004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3" r:id="rId100" name="Spinner 105">
              <controlPr defaultSize="0" autoPict="0">
                <anchor moveWithCells="1" sizeWithCells="1">
                  <from>
                    <xdr:col>7</xdr:col>
                    <xdr:colOff>19150</xdr:colOff>
                    <xdr:row>42</xdr:row>
                    <xdr:rowOff>9575</xdr:rowOff>
                  </from>
                  <to>
                    <xdr:col>7</xdr:col>
                    <xdr:colOff>143623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4" r:id="rId101" name="Check Box 106">
              <controlPr defaultSize="0" autoFill="0" autoLine="0" autoPict="0">
                <anchor moveWithCells="1">
                  <from>
                    <xdr:col>9</xdr:col>
                    <xdr:colOff>296821</xdr:colOff>
                    <xdr:row>42</xdr:row>
                    <xdr:rowOff>0</xdr:rowOff>
                  </from>
                  <to>
                    <xdr:col>9</xdr:col>
                    <xdr:colOff>598429</xdr:colOff>
                    <xdr:row>43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5" r:id="rId102" name="Check Box 107">
              <controlPr defaultSize="0" autoFill="0" autoLine="0" autoPict="0">
                <anchor moveWithCells="1">
                  <from>
                    <xdr:col>9</xdr:col>
                    <xdr:colOff>296821</xdr:colOff>
                    <xdr:row>42</xdr:row>
                    <xdr:rowOff>0</xdr:rowOff>
                  </from>
                  <to>
                    <xdr:col>9</xdr:col>
                    <xdr:colOff>598429</xdr:colOff>
                    <xdr:row>43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6" r:id="rId103" name="Drop Down 108">
              <controlPr defaultSize="0" autoLine="0" autoPict="0" macro="[0]!Vervolgkeuzelijst108_BijWijzigen">
                <anchor moveWithCells="1">
                  <from>
                    <xdr:col>4</xdr:col>
                    <xdr:colOff>325546</xdr:colOff>
                    <xdr:row>43</xdr:row>
                    <xdr:rowOff>0</xdr:rowOff>
                  </from>
                  <to>
                    <xdr:col>5</xdr:col>
                    <xdr:colOff>608004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7" r:id="rId104" name="Spinner 109">
              <controlPr defaultSize="0" autoPict="0">
                <anchor moveWithCells="1" sizeWithCells="1">
                  <from>
                    <xdr:col>7</xdr:col>
                    <xdr:colOff>19150</xdr:colOff>
                    <xdr:row>43</xdr:row>
                    <xdr:rowOff>9575</xdr:rowOff>
                  </from>
                  <to>
                    <xdr:col>7</xdr:col>
                    <xdr:colOff>143623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8" r:id="rId105" name="Check Box 110">
              <controlPr defaultSize="0" autoFill="0" autoLine="0" autoPict="0">
                <anchor moveWithCells="1">
                  <from>
                    <xdr:col>9</xdr:col>
                    <xdr:colOff>296821</xdr:colOff>
                    <xdr:row>43</xdr:row>
                    <xdr:rowOff>0</xdr:rowOff>
                  </from>
                  <to>
                    <xdr:col>9</xdr:col>
                    <xdr:colOff>598429</xdr:colOff>
                    <xdr:row>44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0" r:id="rId106" name="Drop Down 112">
              <controlPr defaultSize="0" autoLine="0" autoPict="0">
                <anchor moveWithCells="1">
                  <from>
                    <xdr:col>12</xdr:col>
                    <xdr:colOff>47874</xdr:colOff>
                    <xdr:row>23</xdr:row>
                    <xdr:rowOff>181923</xdr:rowOff>
                  </from>
                  <to>
                    <xdr:col>13</xdr:col>
                    <xdr:colOff>895250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1" r:id="rId107" name="Drop Down 113">
              <controlPr defaultSize="0" autoLine="0" autoPict="0">
                <anchor moveWithCells="1">
                  <from>
                    <xdr:col>12</xdr:col>
                    <xdr:colOff>57449</xdr:colOff>
                    <xdr:row>25</xdr:row>
                    <xdr:rowOff>9575</xdr:rowOff>
                  </from>
                  <to>
                    <xdr:col>13</xdr:col>
                    <xdr:colOff>904825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6" r:id="rId108" name="Drop Down 118">
              <controlPr defaultSize="0" autoLine="0" autoPict="0">
                <anchor moveWithCells="1">
                  <from>
                    <xdr:col>12</xdr:col>
                    <xdr:colOff>47874</xdr:colOff>
                    <xdr:row>24</xdr:row>
                    <xdr:rowOff>181923</xdr:rowOff>
                  </from>
                  <to>
                    <xdr:col>13</xdr:col>
                    <xdr:colOff>895250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7" r:id="rId109" name="Drop Down 119">
              <controlPr defaultSize="0" autoLine="0" autoPict="0">
                <anchor moveWithCells="1">
                  <from>
                    <xdr:col>12</xdr:col>
                    <xdr:colOff>47874</xdr:colOff>
                    <xdr:row>25</xdr:row>
                    <xdr:rowOff>181923</xdr:rowOff>
                  </from>
                  <to>
                    <xdr:col>13</xdr:col>
                    <xdr:colOff>895250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0" r:id="rId110" name="Drop Down 122">
              <controlPr defaultSize="0" autoLine="0" autoPict="0" macro="[0]!Voeding_BijWijzigen">
                <anchor moveWithCells="1">
                  <from>
                    <xdr:col>13</xdr:col>
                    <xdr:colOff>1115472</xdr:colOff>
                    <xdr:row>23</xdr:row>
                    <xdr:rowOff>0</xdr:rowOff>
                  </from>
                  <to>
                    <xdr:col>14</xdr:col>
                    <xdr:colOff>531405</xdr:colOff>
                    <xdr:row>23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3" r:id="rId111" name="Drop Down 125">
              <controlPr defaultSize="0" autoLine="0" autoPict="0">
                <anchor moveWithCells="1">
                  <from>
                    <xdr:col>13</xdr:col>
                    <xdr:colOff>1115472</xdr:colOff>
                    <xdr:row>23</xdr:row>
                    <xdr:rowOff>191497</xdr:rowOff>
                  </from>
                  <to>
                    <xdr:col>15</xdr:col>
                    <xdr:colOff>38299</xdr:colOff>
                    <xdr:row>24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4" r:id="rId112" name="Drop Down 126">
              <controlPr defaultSize="0" autoLine="0" autoPict="0">
                <anchor moveWithCells="1">
                  <from>
                    <xdr:col>13</xdr:col>
                    <xdr:colOff>1115472</xdr:colOff>
                    <xdr:row>24</xdr:row>
                    <xdr:rowOff>191497</xdr:rowOff>
                  </from>
                  <to>
                    <xdr:col>15</xdr:col>
                    <xdr:colOff>38299</xdr:colOff>
                    <xdr:row>25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6" r:id="rId113" name="Drop Down 128">
              <controlPr defaultSize="0" autoLine="0" autoPict="0">
                <anchor moveWithCells="1">
                  <from>
                    <xdr:col>13</xdr:col>
                    <xdr:colOff>1115472</xdr:colOff>
                    <xdr:row>25</xdr:row>
                    <xdr:rowOff>191497</xdr:rowOff>
                  </from>
                  <to>
                    <xdr:col>15</xdr:col>
                    <xdr:colOff>38299</xdr:colOff>
                    <xdr:row>26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7" r:id="rId114" name="Drop Down 129">
              <controlPr defaultSize="0" autoLine="0" autoPict="0">
                <anchor moveWithCells="1">
                  <from>
                    <xdr:col>8</xdr:col>
                    <xdr:colOff>47874</xdr:colOff>
                    <xdr:row>22</xdr:row>
                    <xdr:rowOff>181923</xdr:rowOff>
                  </from>
                  <to>
                    <xdr:col>9</xdr:col>
                    <xdr:colOff>588854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9" r:id="rId115" name="Drop Down 131">
              <controlPr defaultSize="0" autoLine="0" autoPict="0">
                <anchor moveWithCells="1">
                  <from>
                    <xdr:col>12</xdr:col>
                    <xdr:colOff>47874</xdr:colOff>
                    <xdr:row>22</xdr:row>
                    <xdr:rowOff>181923</xdr:rowOff>
                  </from>
                  <to>
                    <xdr:col>13</xdr:col>
                    <xdr:colOff>895250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1" r:id="rId116" name="Drop Down 133">
              <controlPr defaultSize="0" autoLine="0" autoPict="0">
                <anchor moveWithCells="1">
                  <from>
                    <xdr:col>13</xdr:col>
                    <xdr:colOff>1115472</xdr:colOff>
                    <xdr:row>22</xdr:row>
                    <xdr:rowOff>191497</xdr:rowOff>
                  </from>
                  <to>
                    <xdr:col>15</xdr:col>
                    <xdr:colOff>38299</xdr:colOff>
                    <xdr:row>23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2" r:id="rId117" name="Drop Down 134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0</xdr:rowOff>
                  </from>
                  <to>
                    <xdr:col>11</xdr:col>
                    <xdr:colOff>67024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3" r:id="rId118" name="Drop Down 135">
              <controlPr defaultSize="0" autoLine="0" autoPict="0">
                <anchor moveWithCells="1">
                  <from>
                    <xdr:col>10</xdr:col>
                    <xdr:colOff>0</xdr:colOff>
                    <xdr:row>23</xdr:row>
                    <xdr:rowOff>181923</xdr:rowOff>
                  </from>
                  <to>
                    <xdr:col>11</xdr:col>
                    <xdr:colOff>67024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4" r:id="rId119" name="Drop Down 136">
              <controlPr defaultSize="0" autoLine="0" autoPict="0">
                <anchor moveWithCells="1">
                  <from>
                    <xdr:col>10</xdr:col>
                    <xdr:colOff>0</xdr:colOff>
                    <xdr:row>24</xdr:row>
                    <xdr:rowOff>181923</xdr:rowOff>
                  </from>
                  <to>
                    <xdr:col>11</xdr:col>
                    <xdr:colOff>67024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5" r:id="rId120" name="Drop Down 137">
              <controlPr defaultSize="0" autoLine="0" autoPict="0">
                <anchor moveWithCells="1">
                  <from>
                    <xdr:col>10</xdr:col>
                    <xdr:colOff>0</xdr:colOff>
                    <xdr:row>25</xdr:row>
                    <xdr:rowOff>181923</xdr:rowOff>
                  </from>
                  <to>
                    <xdr:col>11</xdr:col>
                    <xdr:colOff>67024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6" r:id="rId121" name="Drop Down 138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181923</xdr:rowOff>
                  </from>
                  <to>
                    <xdr:col>11</xdr:col>
                    <xdr:colOff>67024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8" r:id="rId122" name="Check Box 140">
              <controlPr defaultSize="0" autoFill="0" autoLine="0" autoPict="0">
                <anchor moveWithCells="1">
                  <from>
                    <xdr:col>1</xdr:col>
                    <xdr:colOff>162773</xdr:colOff>
                    <xdr:row>25</xdr:row>
                    <xdr:rowOff>143623</xdr:rowOff>
                  </from>
                  <to>
                    <xdr:col>2</xdr:col>
                    <xdr:colOff>799502</xdr:colOff>
                    <xdr:row>26</xdr:row>
                    <xdr:rowOff>162773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9" r:id="rId123" name="Spinner 141">
              <controlPr defaultSize="0" autoPict="0">
                <anchor moveWithCells="1" sizeWithCells="1">
                  <from>
                    <xdr:col>7</xdr:col>
                    <xdr:colOff>19150</xdr:colOff>
                    <xdr:row>32</xdr:row>
                    <xdr:rowOff>9575</xdr:rowOff>
                  </from>
                  <to>
                    <xdr:col>7</xdr:col>
                    <xdr:colOff>143623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0" r:id="rId124" name="Spinner 142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1" r:id="rId125" name="Spinner 143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2" r:id="rId126" name="Spinner 144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3" r:id="rId127" name="Spinner 145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4" r:id="rId128" name="Spinner 146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5" r:id="rId129" name="Spinner 147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6" r:id="rId130" name="Spinner 148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7" r:id="rId131" name="Drop Down 149">
              <controlPr defaultSize="0" autoLine="0" autoPict="0" macro="[0]!Vervolgkeuzelijst97_BijWijzigen">
                <anchor moveWithCells="1">
                  <from>
                    <xdr:col>1</xdr:col>
                    <xdr:colOff>0</xdr:colOff>
                    <xdr:row>47</xdr:row>
                    <xdr:rowOff>0</xdr:rowOff>
                  </from>
                  <to>
                    <xdr:col>3</xdr:col>
                    <xdr:colOff>28725</xdr:colOff>
                    <xdr:row>47</xdr:row>
                    <xdr:rowOff>191497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2DD022E6-CA7F-414B-90BF-E4BC32099D26}">
            <xm:f>IF(Berekeningen!B20&gt;1,IF(AND(H32&lt;&gt;"",H32&gt;=INDEX(Medicamenten,Berekeningen!B20,9)),TRUE,FALSE),FALSE)</xm:f>
            <x14:dxf>
              <fill>
                <patternFill>
                  <bgColor rgb="FFFF0000"/>
                </patternFill>
              </fill>
            </x14:dxf>
          </x14:cfRule>
          <x14:cfRule type="expression" priority="2" id="{12CC08A1-8384-4E86-A641-011803A44F1A}">
            <xm:f>IF(AND(C32&lt;&gt;0,G32&lt;&gt;""),IF(AND(H32&gt;=INDEX(Medicamenten,Berekeningen!$B20,7),H32&lt;=INDEX(Medicamenten,Berekeningen!$B20,8)),TRUE,FALSE),TRUE)=FALSE</xm:f>
            <x14:dxf>
              <fill>
                <patternFill>
                  <bgColor rgb="FFFFC000"/>
                </patternFill>
              </fill>
            </x14:dxf>
          </x14:cfRule>
          <xm:sqref>H32:H40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ekeningen">
    <tabColor rgb="FF92D050"/>
  </sheetPr>
  <dimension ref="A1:Y116"/>
  <sheetViews>
    <sheetView workbookViewId="0">
      <pane xSplit="1" ySplit="1" topLeftCell="B2" activePane="bottomRight" state="frozenSplit"/>
      <selection activeCell="J34" sqref="J34"/>
      <selection pane="topRight" activeCell="J34" sqref="J34"/>
      <selection pane="bottomLeft" activeCell="J34" sqref="J34"/>
      <selection pane="bottomRight" activeCell="I20" sqref="I20"/>
    </sheetView>
  </sheetViews>
  <sheetFormatPr defaultColWidth="9.1328125" defaultRowHeight="12.85" x14ac:dyDescent="0.35"/>
  <cols>
    <col min="1" max="1" width="40.1328125" style="271" customWidth="1"/>
    <col min="2" max="3" width="13.86328125" style="271" customWidth="1"/>
    <col min="4" max="4" width="11.73046875" style="271" customWidth="1"/>
    <col min="5" max="5" width="10.73046875" style="271" customWidth="1"/>
    <col min="6" max="6" width="10" style="271" customWidth="1"/>
    <col min="7" max="7" width="9.1328125" style="271"/>
    <col min="8" max="8" width="10.73046875" style="271" bestFit="1" customWidth="1"/>
    <col min="9" max="9" width="12.3984375" style="271" bestFit="1" customWidth="1"/>
    <col min="10" max="12" width="9.1328125" style="271"/>
    <col min="13" max="13" width="13.265625" style="271" bestFit="1" customWidth="1"/>
    <col min="14" max="16384" width="9.1328125" style="271"/>
  </cols>
  <sheetData>
    <row r="1" spans="1:25" x14ac:dyDescent="0.35">
      <c r="A1" s="576" t="s">
        <v>54</v>
      </c>
      <c r="B1" s="271" t="s">
        <v>606</v>
      </c>
      <c r="C1" s="271" t="s">
        <v>1218</v>
      </c>
      <c r="E1" s="271" t="s">
        <v>397</v>
      </c>
      <c r="K1" s="271" t="s">
        <v>1011</v>
      </c>
      <c r="L1" s="271" t="s">
        <v>631</v>
      </c>
      <c r="M1" s="271" t="s">
        <v>472</v>
      </c>
      <c r="N1" s="271" t="s">
        <v>473</v>
      </c>
      <c r="O1" s="271" t="s">
        <v>474</v>
      </c>
      <c r="P1" s="271" t="s">
        <v>475</v>
      </c>
      <c r="Q1" s="271" t="s">
        <v>1034</v>
      </c>
      <c r="R1" s="271" t="s">
        <v>470</v>
      </c>
      <c r="S1" s="271" t="s">
        <v>1035</v>
      </c>
      <c r="T1" s="271" t="s">
        <v>1036</v>
      </c>
      <c r="U1" s="271" t="s">
        <v>1037</v>
      </c>
      <c r="V1" s="271" t="s">
        <v>1088</v>
      </c>
      <c r="W1" s="271" t="s">
        <v>1046</v>
      </c>
      <c r="X1" s="271" t="s">
        <v>1065</v>
      </c>
      <c r="Y1" s="271" t="s">
        <v>1233</v>
      </c>
    </row>
    <row r="2" spans="1:25" x14ac:dyDescent="0.35">
      <c r="A2" s="271" t="s">
        <v>1001</v>
      </c>
      <c r="B2" s="271">
        <v>0</v>
      </c>
    </row>
    <row r="3" spans="1:25" x14ac:dyDescent="0.35">
      <c r="A3" s="271" t="s">
        <v>1050</v>
      </c>
      <c r="B3" s="497">
        <f>GebDatum</f>
        <v>42370</v>
      </c>
      <c r="C3" s="492">
        <v>0</v>
      </c>
      <c r="E3" s="271" t="s">
        <v>1234</v>
      </c>
    </row>
    <row r="4" spans="1:25" x14ac:dyDescent="0.35">
      <c r="A4" s="271" t="s">
        <v>1021</v>
      </c>
      <c r="B4" s="515">
        <v>10</v>
      </c>
      <c r="C4" s="288" t="s">
        <v>1235</v>
      </c>
      <c r="D4" s="496">
        <v>30</v>
      </c>
    </row>
    <row r="5" spans="1:25" x14ac:dyDescent="0.35">
      <c r="A5" s="271" t="s">
        <v>623</v>
      </c>
      <c r="B5" s="497">
        <f>OpnDatum</f>
        <v>42370</v>
      </c>
      <c r="C5" s="288" t="s">
        <v>1236</v>
      </c>
      <c r="D5" s="496">
        <v>0</v>
      </c>
    </row>
    <row r="6" spans="1:25" x14ac:dyDescent="0.35">
      <c r="A6" s="576" t="s">
        <v>1237</v>
      </c>
      <c r="B6" s="492">
        <f ca="1">TODAY()-B3+1+C3</f>
        <v>353</v>
      </c>
      <c r="C6" s="271">
        <f ca="1">IF(B6&lt;7,B6,6)</f>
        <v>6</v>
      </c>
    </row>
    <row r="7" spans="1:25" x14ac:dyDescent="0.35">
      <c r="A7" s="271" t="s">
        <v>397</v>
      </c>
    </row>
    <row r="8" spans="1:25" x14ac:dyDescent="0.35">
      <c r="A8" s="271" t="s">
        <v>1054</v>
      </c>
    </row>
    <row r="9" spans="1:25" x14ac:dyDescent="0.35">
      <c r="A9" s="271" t="s">
        <v>1238</v>
      </c>
    </row>
    <row r="10" spans="1:25" x14ac:dyDescent="0.35">
      <c r="A10" s="271" t="s">
        <v>602</v>
      </c>
      <c r="D10" s="271">
        <v>0</v>
      </c>
    </row>
    <row r="11" spans="1:25" x14ac:dyDescent="0.35">
      <c r="A11" s="271" t="s">
        <v>1057</v>
      </c>
      <c r="D11" s="271">
        <v>0</v>
      </c>
      <c r="M11" s="271">
        <v>2</v>
      </c>
      <c r="N11" s="271">
        <v>3</v>
      </c>
      <c r="O11" s="271">
        <v>4</v>
      </c>
      <c r="P11" s="271">
        <v>5</v>
      </c>
      <c r="Q11" s="271">
        <v>6</v>
      </c>
      <c r="R11" s="271">
        <v>7</v>
      </c>
      <c r="S11" s="271">
        <v>8</v>
      </c>
      <c r="T11" s="271">
        <v>9</v>
      </c>
      <c r="U11" s="271">
        <v>10</v>
      </c>
      <c r="V11" s="271">
        <v>11</v>
      </c>
      <c r="W11" s="271">
        <v>12</v>
      </c>
    </row>
    <row r="12" spans="1:25" x14ac:dyDescent="0.35">
      <c r="A12" s="271" t="s">
        <v>602</v>
      </c>
      <c r="D12" s="271">
        <v>0</v>
      </c>
    </row>
    <row r="13" spans="1:25" x14ac:dyDescent="0.35">
      <c r="A13" s="271" t="s">
        <v>1057</v>
      </c>
      <c r="D13" s="271">
        <v>0</v>
      </c>
    </row>
    <row r="14" spans="1:25" x14ac:dyDescent="0.35">
      <c r="A14" s="271" t="s">
        <v>582</v>
      </c>
      <c r="D14" s="271">
        <v>1</v>
      </c>
      <c r="K14" s="271">
        <v>1</v>
      </c>
      <c r="L14" s="271">
        <f>IF(AND(_Extra=2,_Voeding&gt;1),(D10*D11+D12*D13)/10,0)</f>
        <v>0</v>
      </c>
      <c r="M14" s="271">
        <f>INDEX(Pos,$D$14,M11)*$L$14</f>
        <v>0</v>
      </c>
      <c r="N14" s="271">
        <f t="shared" ref="N14:W14" si="0">INDEX(Pos,$D$14,N11)*$L$14</f>
        <v>0</v>
      </c>
      <c r="O14" s="271">
        <f t="shared" si="0"/>
        <v>0</v>
      </c>
      <c r="P14" s="271">
        <f t="shared" si="0"/>
        <v>0</v>
      </c>
      <c r="Q14" s="271">
        <f t="shared" si="0"/>
        <v>0</v>
      </c>
      <c r="R14" s="271">
        <f>INDEX(Pos,$D$14,R11)*$L$14</f>
        <v>0</v>
      </c>
      <c r="S14" s="271">
        <f t="shared" si="0"/>
        <v>0</v>
      </c>
      <c r="T14" s="271">
        <f t="shared" si="0"/>
        <v>0</v>
      </c>
      <c r="U14" s="271">
        <f t="shared" si="0"/>
        <v>0</v>
      </c>
      <c r="V14" s="271">
        <f t="shared" si="0"/>
        <v>0</v>
      </c>
      <c r="W14" s="271">
        <f t="shared" si="0"/>
        <v>0</v>
      </c>
    </row>
    <row r="15" spans="1:25" x14ac:dyDescent="0.35">
      <c r="A15" s="271" t="s">
        <v>1056</v>
      </c>
      <c r="B15" s="271">
        <v>2</v>
      </c>
    </row>
    <row r="16" spans="1:25" x14ac:dyDescent="0.35">
      <c r="A16" s="271" t="s">
        <v>1239</v>
      </c>
      <c r="B16" s="271">
        <f ca="1">IF(AND(D4&lt;37,_Gewicht&gt;=1),INDEX(Advies!B4:G4,1,Berekeningen!C6),IF(_Gewicht&lt;1,INDEX(Advies!B5:G5,1,Berekeningen!C6),INDEX(Advies!B6:G6,1,Berekeningen!C6)))+IF(B15=1,20,0)</f>
        <v>150</v>
      </c>
      <c r="C16" s="271">
        <f ca="1">ROUND(B16/5,0)*5+(D16-5000)</f>
        <v>150</v>
      </c>
      <c r="D16" s="271">
        <v>5000</v>
      </c>
    </row>
    <row r="17" spans="1:25" x14ac:dyDescent="0.35">
      <c r="A17" s="271" t="s">
        <v>1240</v>
      </c>
      <c r="B17" s="271" t="b">
        <v>0</v>
      </c>
      <c r="C17" s="271">
        <f ca="1">ROUND(C16*_Gewicht-L14,0)</f>
        <v>1500</v>
      </c>
    </row>
    <row r="18" spans="1:25" x14ac:dyDescent="0.35">
      <c r="A18" s="271" t="s">
        <v>1452</v>
      </c>
      <c r="B18" s="271">
        <v>0</v>
      </c>
      <c r="K18" s="271" t="b">
        <v>0</v>
      </c>
      <c r="L18" s="271">
        <f>IF(K18,0,B18*2.4)</f>
        <v>0</v>
      </c>
      <c r="M18" s="271">
        <f>0.155*L18/2</f>
        <v>0</v>
      </c>
    </row>
    <row r="19" spans="1:25" x14ac:dyDescent="0.35">
      <c r="B19" s="271" t="s">
        <v>1085</v>
      </c>
      <c r="C19" s="271" t="s">
        <v>1241</v>
      </c>
      <c r="D19" s="271" t="s">
        <v>1242</v>
      </c>
      <c r="E19" s="271" t="s">
        <v>329</v>
      </c>
      <c r="F19" s="271" t="s">
        <v>96</v>
      </c>
      <c r="G19" s="271" t="s">
        <v>685</v>
      </c>
      <c r="H19" s="271" t="s">
        <v>1243</v>
      </c>
      <c r="I19" s="271" t="s">
        <v>1244</v>
      </c>
      <c r="J19" s="271" t="s">
        <v>1087</v>
      </c>
    </row>
    <row r="20" spans="1:25" x14ac:dyDescent="0.35">
      <c r="A20" s="271" t="s">
        <v>1245</v>
      </c>
      <c r="B20" s="271">
        <v>1</v>
      </c>
      <c r="C20" s="271">
        <v>0</v>
      </c>
      <c r="D20" s="271">
        <v>0</v>
      </c>
      <c r="E20" s="271">
        <v>1</v>
      </c>
      <c r="F20" s="271">
        <v>0</v>
      </c>
      <c r="G20" s="271">
        <v>1</v>
      </c>
      <c r="H20" s="271">
        <f>IF(INDEX(Medicamenten,Berekeningen!B20,5)=0,1,INDEX(Medicamenten,Berekeningen!B20,5))</f>
        <v>1</v>
      </c>
      <c r="I20" s="271">
        <f t="shared" ref="I20:I28" si="1">IF(D20&gt;0,(F20*IF(Y20*10&gt;=24,2.4,2.4)*((C20/10)/D20))/($B$4)/J20,0)</f>
        <v>0</v>
      </c>
      <c r="J20" s="271">
        <f>IF(Berekeningen!H20&gt;1,INDEX(Lijsten!$K$3:$K$11,Berekeningen!H20),1)</f>
        <v>1</v>
      </c>
      <c r="K20" s="271">
        <v>0</v>
      </c>
      <c r="L20" s="271">
        <f>IF(K20,0,F20*2.4)</f>
        <v>0</v>
      </c>
      <c r="M20" s="271">
        <f>IF($E20&gt;1,INDEX(Opl,$E20,3),0)*$L20</f>
        <v>0</v>
      </c>
      <c r="N20" s="271">
        <f>IF($E20&gt;1,INDEX(Opl,$E20,4),0)*$L20</f>
        <v>0</v>
      </c>
      <c r="O20" s="271">
        <f>IF($E20&gt;1,INDEX(Opl,$E20,6),0)*$L20</f>
        <v>0</v>
      </c>
      <c r="P20" s="271">
        <f>IF($E20&gt;1,INDEX(Opl,$E20,7),0)*$L20</f>
        <v>0</v>
      </c>
      <c r="Q20" s="271">
        <f>IF($E20&gt;1,INDEX(Opl,$E20,8),0)*$L20</f>
        <v>0</v>
      </c>
      <c r="R20" s="271">
        <f>IF($E20&gt;1,INDEX(Opl,$E20,5),0)*$L20</f>
        <v>0</v>
      </c>
      <c r="S20" s="271">
        <f>IF($E20&gt;1,INDEX(Opl,$E20,2),0)*$L20</f>
        <v>0</v>
      </c>
      <c r="X20" s="271">
        <f>ROUND(IF(Y20*10&gt;1,Y20*10,Y20*600),0)</f>
        <v>0</v>
      </c>
      <c r="Y20" s="271">
        <f>IF(F20&gt;0,D20/F20,0)</f>
        <v>0</v>
      </c>
    </row>
    <row r="21" spans="1:25" x14ac:dyDescent="0.35">
      <c r="A21" s="271" t="s">
        <v>1246</v>
      </c>
      <c r="B21" s="271">
        <v>1</v>
      </c>
      <c r="C21" s="271">
        <v>0</v>
      </c>
      <c r="D21" s="271">
        <v>0</v>
      </c>
      <c r="E21" s="271">
        <v>1</v>
      </c>
      <c r="F21" s="271">
        <v>0</v>
      </c>
      <c r="G21" s="271">
        <v>1</v>
      </c>
      <c r="H21" s="271">
        <f>IF(INDEX(Medicamenten,Berekeningen!B21,5)=0,1,INDEX(Medicamenten,Berekeningen!B21,5))</f>
        <v>1</v>
      </c>
      <c r="I21" s="271">
        <f t="shared" si="1"/>
        <v>0</v>
      </c>
      <c r="J21" s="821">
        <f>IF(Berekeningen!H21&gt;1,INDEX(Lijsten!$K$3:$K$11,Berekeningen!H21),1)</f>
        <v>1</v>
      </c>
      <c r="K21" s="271">
        <v>0</v>
      </c>
      <c r="L21" s="271">
        <f t="shared" ref="L21:L28" si="2">IF(K21,0,F21*2.4)</f>
        <v>0</v>
      </c>
      <c r="M21" s="271">
        <f t="shared" ref="M21:M31" si="3">IF($E21&gt;1,INDEX(Opl,$E21,3),0)*$L21</f>
        <v>0</v>
      </c>
      <c r="N21" s="271">
        <f t="shared" ref="N21:N31" si="4">IF($E21&gt;1,INDEX(Opl,$E21,4),0)*$L21</f>
        <v>0</v>
      </c>
      <c r="O21" s="271">
        <f t="shared" ref="O21:O31" si="5">IF($E21&gt;1,INDEX(Opl,$E21,6),0)*$L21</f>
        <v>0</v>
      </c>
      <c r="P21" s="271">
        <f t="shared" ref="P21:P31" si="6">IF($E21&gt;1,INDEX(Opl,$E21,7),0)*$L21</f>
        <v>0</v>
      </c>
      <c r="Q21" s="271">
        <f t="shared" ref="Q21:Q31" si="7">IF($E21&gt;1,INDEX(Opl,$E21,8),0)*$L21</f>
        <v>0</v>
      </c>
      <c r="R21" s="271">
        <f t="shared" ref="R21:R27" si="8">IF($E21&gt;1,INDEX(Opl,$E21,5),0)*$L21</f>
        <v>0</v>
      </c>
      <c r="S21" s="271">
        <f t="shared" ref="S21:S31" si="9">IF($E21&gt;1,INDEX(Opl,$E21,2),0)*$L21</f>
        <v>0</v>
      </c>
      <c r="X21" s="271">
        <f t="shared" ref="X21:X28" si="10">ROUND(IF(Y21*10&gt;1,Y21*10,Y21*600),0)</f>
        <v>0</v>
      </c>
      <c r="Y21" s="271">
        <f t="shared" ref="Y21:Y28" si="11">IF(F21&gt;0,D21/F21,0)</f>
        <v>0</v>
      </c>
    </row>
    <row r="22" spans="1:25" x14ac:dyDescent="0.35">
      <c r="A22" s="271" t="s">
        <v>1247</v>
      </c>
      <c r="B22" s="271">
        <v>1</v>
      </c>
      <c r="C22" s="271">
        <v>0</v>
      </c>
      <c r="D22" s="271">
        <v>0</v>
      </c>
      <c r="E22" s="271">
        <v>1</v>
      </c>
      <c r="F22" s="271">
        <v>0</v>
      </c>
      <c r="G22" s="271">
        <v>1</v>
      </c>
      <c r="H22" s="271">
        <f>IF(INDEX(Medicamenten,Berekeningen!B22,5)=0,1,INDEX(Medicamenten,Berekeningen!B22,5))</f>
        <v>1</v>
      </c>
      <c r="I22" s="271">
        <f t="shared" si="1"/>
        <v>0</v>
      </c>
      <c r="J22" s="821">
        <f>IF(Berekeningen!H22&gt;1,INDEX(Lijsten!$K$3:$K$11,Berekeningen!H22),1)</f>
        <v>1</v>
      </c>
      <c r="K22" s="271">
        <v>0</v>
      </c>
      <c r="L22" s="271">
        <f t="shared" si="2"/>
        <v>0</v>
      </c>
      <c r="M22" s="271">
        <f t="shared" si="3"/>
        <v>0</v>
      </c>
      <c r="N22" s="271">
        <f t="shared" si="4"/>
        <v>0</v>
      </c>
      <c r="O22" s="271">
        <f t="shared" si="5"/>
        <v>0</v>
      </c>
      <c r="P22" s="271">
        <f t="shared" si="6"/>
        <v>0</v>
      </c>
      <c r="Q22" s="271">
        <f t="shared" si="7"/>
        <v>0</v>
      </c>
      <c r="R22" s="271">
        <f t="shared" si="8"/>
        <v>0</v>
      </c>
      <c r="S22" s="271">
        <f t="shared" si="9"/>
        <v>0</v>
      </c>
      <c r="X22" s="271">
        <f t="shared" si="10"/>
        <v>0</v>
      </c>
      <c r="Y22" s="271">
        <f t="shared" si="11"/>
        <v>0</v>
      </c>
    </row>
    <row r="23" spans="1:25" x14ac:dyDescent="0.35">
      <c r="A23" s="271" t="s">
        <v>1248</v>
      </c>
      <c r="B23" s="271">
        <v>1</v>
      </c>
      <c r="C23" s="271">
        <v>0</v>
      </c>
      <c r="D23" s="271">
        <v>0</v>
      </c>
      <c r="E23" s="271">
        <v>1</v>
      </c>
      <c r="F23" s="271">
        <v>0</v>
      </c>
      <c r="G23" s="271">
        <v>1</v>
      </c>
      <c r="H23" s="271">
        <f>IF(INDEX(Medicamenten,Berekeningen!B23,5)=0,1,INDEX(Medicamenten,Berekeningen!B23,5))</f>
        <v>1</v>
      </c>
      <c r="I23" s="271">
        <f t="shared" si="1"/>
        <v>0</v>
      </c>
      <c r="J23" s="821">
        <f>IF(Berekeningen!H23&gt;1,INDEX(Lijsten!$K$3:$K$11,Berekeningen!H23),1)</f>
        <v>1</v>
      </c>
      <c r="K23" s="271">
        <v>0</v>
      </c>
      <c r="L23" s="271">
        <f t="shared" si="2"/>
        <v>0</v>
      </c>
      <c r="M23" s="271">
        <f t="shared" si="3"/>
        <v>0</v>
      </c>
      <c r="N23" s="271">
        <f t="shared" si="4"/>
        <v>0</v>
      </c>
      <c r="O23" s="271">
        <f t="shared" si="5"/>
        <v>0</v>
      </c>
      <c r="P23" s="271">
        <f t="shared" si="6"/>
        <v>0</v>
      </c>
      <c r="Q23" s="271">
        <f t="shared" si="7"/>
        <v>0</v>
      </c>
      <c r="R23" s="271">
        <f t="shared" si="8"/>
        <v>0</v>
      </c>
      <c r="S23" s="271">
        <f t="shared" si="9"/>
        <v>0</v>
      </c>
      <c r="X23" s="271">
        <f t="shared" si="10"/>
        <v>0</v>
      </c>
      <c r="Y23" s="271">
        <f t="shared" si="11"/>
        <v>0</v>
      </c>
    </row>
    <row r="24" spans="1:25" x14ac:dyDescent="0.35">
      <c r="A24" s="271" t="s">
        <v>1249</v>
      </c>
      <c r="B24" s="271">
        <v>1</v>
      </c>
      <c r="C24" s="271">
        <v>0</v>
      </c>
      <c r="D24" s="271">
        <v>0</v>
      </c>
      <c r="E24" s="271">
        <v>1</v>
      </c>
      <c r="F24" s="271">
        <v>0</v>
      </c>
      <c r="G24" s="271">
        <v>1</v>
      </c>
      <c r="H24" s="271">
        <f>IF(INDEX(Medicamenten,Berekeningen!B24,5)=0,1,INDEX(Medicamenten,Berekeningen!B24,5))</f>
        <v>1</v>
      </c>
      <c r="I24" s="271">
        <f t="shared" si="1"/>
        <v>0</v>
      </c>
      <c r="J24" s="821">
        <f>IF(Berekeningen!H24&gt;1,INDEX(Lijsten!$K$3:$K$11,Berekeningen!H24),1)</f>
        <v>1</v>
      </c>
      <c r="K24" s="271">
        <v>0</v>
      </c>
      <c r="L24" s="271">
        <f t="shared" si="2"/>
        <v>0</v>
      </c>
      <c r="M24" s="271">
        <f t="shared" si="3"/>
        <v>0</v>
      </c>
      <c r="N24" s="271">
        <f t="shared" si="4"/>
        <v>0</v>
      </c>
      <c r="O24" s="271">
        <f t="shared" si="5"/>
        <v>0</v>
      </c>
      <c r="P24" s="271">
        <f t="shared" si="6"/>
        <v>0</v>
      </c>
      <c r="Q24" s="271">
        <f t="shared" si="7"/>
        <v>0</v>
      </c>
      <c r="R24" s="271">
        <f t="shared" si="8"/>
        <v>0</v>
      </c>
      <c r="S24" s="271">
        <f t="shared" si="9"/>
        <v>0</v>
      </c>
      <c r="X24" s="271">
        <f t="shared" si="10"/>
        <v>0</v>
      </c>
      <c r="Y24" s="271">
        <f t="shared" si="11"/>
        <v>0</v>
      </c>
    </row>
    <row r="25" spans="1:25" x14ac:dyDescent="0.35">
      <c r="A25" s="271" t="s">
        <v>1250</v>
      </c>
      <c r="B25" s="271">
        <v>1</v>
      </c>
      <c r="C25" s="271">
        <v>0</v>
      </c>
      <c r="D25" s="271">
        <v>0</v>
      </c>
      <c r="E25" s="271">
        <v>1</v>
      </c>
      <c r="F25" s="271">
        <v>0</v>
      </c>
      <c r="G25" s="271">
        <v>1</v>
      </c>
      <c r="H25" s="271">
        <f>IF(INDEX(Medicamenten,Berekeningen!B25,5)=0,1,INDEX(Medicamenten,Berekeningen!B25,5))</f>
        <v>1</v>
      </c>
      <c r="I25" s="271">
        <f t="shared" si="1"/>
        <v>0</v>
      </c>
      <c r="J25" s="821">
        <f>IF(Berekeningen!H25&gt;1,INDEX(Lijsten!$K$3:$K$11,Berekeningen!H25),1)</f>
        <v>1</v>
      </c>
      <c r="K25" s="271">
        <v>0</v>
      </c>
      <c r="L25" s="271">
        <f t="shared" si="2"/>
        <v>0</v>
      </c>
      <c r="M25" s="271">
        <f t="shared" si="3"/>
        <v>0</v>
      </c>
      <c r="N25" s="271">
        <f t="shared" si="4"/>
        <v>0</v>
      </c>
      <c r="O25" s="271">
        <f t="shared" si="5"/>
        <v>0</v>
      </c>
      <c r="P25" s="271">
        <f t="shared" si="6"/>
        <v>0</v>
      </c>
      <c r="Q25" s="271">
        <f t="shared" si="7"/>
        <v>0</v>
      </c>
      <c r="R25" s="271">
        <f t="shared" si="8"/>
        <v>0</v>
      </c>
      <c r="S25" s="271">
        <f t="shared" si="9"/>
        <v>0</v>
      </c>
      <c r="X25" s="271">
        <f t="shared" si="10"/>
        <v>0</v>
      </c>
      <c r="Y25" s="271">
        <f t="shared" si="11"/>
        <v>0</v>
      </c>
    </row>
    <row r="26" spans="1:25" x14ac:dyDescent="0.35">
      <c r="A26" s="271" t="s">
        <v>1251</v>
      </c>
      <c r="B26" s="271">
        <v>1</v>
      </c>
      <c r="C26" s="271">
        <v>0</v>
      </c>
      <c r="D26" s="271">
        <v>0</v>
      </c>
      <c r="E26" s="271">
        <v>1</v>
      </c>
      <c r="F26" s="271">
        <v>0</v>
      </c>
      <c r="G26" s="271">
        <v>1</v>
      </c>
      <c r="H26" s="271">
        <f>IF(INDEX(Medicamenten,Berekeningen!B26,5)=0,1,INDEX(Medicamenten,Berekeningen!B26,5))</f>
        <v>1</v>
      </c>
      <c r="I26" s="271">
        <f t="shared" si="1"/>
        <v>0</v>
      </c>
      <c r="J26" s="821">
        <f>IF(Berekeningen!H26&gt;1,INDEX(Lijsten!$K$3:$K$11,Berekeningen!H26),1)</f>
        <v>1</v>
      </c>
      <c r="K26" s="271">
        <v>0</v>
      </c>
      <c r="L26" s="271">
        <f t="shared" si="2"/>
        <v>0</v>
      </c>
      <c r="M26" s="271">
        <f t="shared" si="3"/>
        <v>0</v>
      </c>
      <c r="N26" s="271">
        <f t="shared" si="4"/>
        <v>0</v>
      </c>
      <c r="O26" s="271">
        <f t="shared" si="5"/>
        <v>0</v>
      </c>
      <c r="P26" s="271">
        <f t="shared" si="6"/>
        <v>0</v>
      </c>
      <c r="Q26" s="271">
        <f t="shared" si="7"/>
        <v>0</v>
      </c>
      <c r="R26" s="271">
        <f t="shared" si="8"/>
        <v>0</v>
      </c>
      <c r="S26" s="271">
        <f t="shared" si="9"/>
        <v>0</v>
      </c>
      <c r="X26" s="271">
        <f t="shared" si="10"/>
        <v>0</v>
      </c>
      <c r="Y26" s="271">
        <f t="shared" si="11"/>
        <v>0</v>
      </c>
    </row>
    <row r="27" spans="1:25" x14ac:dyDescent="0.35">
      <c r="A27" s="271" t="s">
        <v>1252</v>
      </c>
      <c r="B27" s="271">
        <v>1</v>
      </c>
      <c r="C27" s="271">
        <v>0</v>
      </c>
      <c r="D27" s="271">
        <v>0</v>
      </c>
      <c r="E27" s="271">
        <v>1</v>
      </c>
      <c r="F27" s="271">
        <v>0</v>
      </c>
      <c r="G27" s="271">
        <v>1</v>
      </c>
      <c r="H27" s="271">
        <f>IF(INDEX(Medicamenten,Berekeningen!B27,5)=0,1,INDEX(Medicamenten,Berekeningen!B27,5))</f>
        <v>1</v>
      </c>
      <c r="I27" s="271">
        <f t="shared" si="1"/>
        <v>0</v>
      </c>
      <c r="J27" s="821">
        <f>IF(Berekeningen!H27&gt;1,INDEX(Lijsten!$K$3:$K$11,Berekeningen!H27),1)</f>
        <v>1</v>
      </c>
      <c r="K27" s="271">
        <v>0</v>
      </c>
      <c r="L27" s="271">
        <f t="shared" si="2"/>
        <v>0</v>
      </c>
      <c r="M27" s="271">
        <f t="shared" si="3"/>
        <v>0</v>
      </c>
      <c r="N27" s="271">
        <f t="shared" si="4"/>
        <v>0</v>
      </c>
      <c r="O27" s="271">
        <f t="shared" si="5"/>
        <v>0</v>
      </c>
      <c r="P27" s="271">
        <f t="shared" si="6"/>
        <v>0</v>
      </c>
      <c r="Q27" s="271">
        <f t="shared" si="7"/>
        <v>0</v>
      </c>
      <c r="R27" s="271">
        <f t="shared" si="8"/>
        <v>0</v>
      </c>
      <c r="S27" s="271">
        <f t="shared" si="9"/>
        <v>0</v>
      </c>
      <c r="X27" s="271">
        <f t="shared" si="10"/>
        <v>0</v>
      </c>
      <c r="Y27" s="271">
        <f t="shared" si="11"/>
        <v>0</v>
      </c>
    </row>
    <row r="28" spans="1:25" x14ac:dyDescent="0.35">
      <c r="A28" s="271" t="s">
        <v>1253</v>
      </c>
      <c r="B28" s="271">
        <v>1</v>
      </c>
      <c r="C28" s="271">
        <v>0</v>
      </c>
      <c r="D28" s="271">
        <v>0</v>
      </c>
      <c r="E28" s="271">
        <v>1</v>
      </c>
      <c r="F28" s="271">
        <v>0</v>
      </c>
      <c r="G28" s="271">
        <v>1</v>
      </c>
      <c r="H28" s="271">
        <f>IF(INDEX(Medicamenten,Berekeningen!B28,5)=0,1,INDEX(Medicamenten,Berekeningen!B28,5))</f>
        <v>1</v>
      </c>
      <c r="I28" s="271">
        <f t="shared" si="1"/>
        <v>0</v>
      </c>
      <c r="J28" s="821">
        <f>IF(Berekeningen!H28&gt;1,INDEX(Lijsten!$K$3:$K$11,Berekeningen!H28),1)</f>
        <v>1</v>
      </c>
      <c r="K28" s="271">
        <v>0</v>
      </c>
      <c r="L28" s="271">
        <f t="shared" si="2"/>
        <v>0</v>
      </c>
      <c r="M28" s="271">
        <f t="shared" si="3"/>
        <v>0</v>
      </c>
      <c r="N28" s="271">
        <f t="shared" si="4"/>
        <v>0</v>
      </c>
      <c r="O28" s="271">
        <f t="shared" si="5"/>
        <v>0</v>
      </c>
      <c r="P28" s="271">
        <f t="shared" si="6"/>
        <v>0</v>
      </c>
      <c r="Q28" s="271">
        <f t="shared" si="7"/>
        <v>0</v>
      </c>
      <c r="R28" s="271">
        <f>IF($E28&gt;1,INDEX(Opl,$E28,5),0)*$L28</f>
        <v>0</v>
      </c>
      <c r="S28" s="271">
        <f t="shared" si="9"/>
        <v>0</v>
      </c>
      <c r="X28" s="271">
        <f t="shared" si="10"/>
        <v>0</v>
      </c>
      <c r="Y28" s="271">
        <f t="shared" si="11"/>
        <v>0</v>
      </c>
    </row>
    <row r="29" spans="1:25" x14ac:dyDescent="0.35">
      <c r="A29" s="271" t="s">
        <v>1066</v>
      </c>
      <c r="E29" s="271">
        <v>0</v>
      </c>
      <c r="F29" s="271">
        <v>0</v>
      </c>
      <c r="K29" s="271" t="b">
        <v>0</v>
      </c>
      <c r="L29" s="271">
        <f>IF(K29,0,F29*2.4)</f>
        <v>0</v>
      </c>
      <c r="M29" s="271">
        <f t="shared" si="3"/>
        <v>0</v>
      </c>
      <c r="N29" s="271">
        <f t="shared" si="4"/>
        <v>0</v>
      </c>
      <c r="O29" s="271">
        <f t="shared" si="5"/>
        <v>0</v>
      </c>
      <c r="P29" s="271">
        <f t="shared" si="6"/>
        <v>0</v>
      </c>
      <c r="Q29" s="271">
        <f t="shared" si="7"/>
        <v>0</v>
      </c>
      <c r="R29" s="271">
        <f>IF($E29&gt;1,INDEX(Opl,$E29,5),0)*$L29</f>
        <v>0</v>
      </c>
      <c r="S29" s="271">
        <f t="shared" si="9"/>
        <v>0</v>
      </c>
      <c r="X29" s="271">
        <f>ROUND(IF(Y29*10&gt;1,Y29*10,Y29*600),0)</f>
        <v>0</v>
      </c>
      <c r="Y29" s="271">
        <f>IF(F29&gt;0,D29/F29,0)</f>
        <v>0</v>
      </c>
    </row>
    <row r="30" spans="1:25" x14ac:dyDescent="0.35">
      <c r="A30" s="271" t="s">
        <v>1067</v>
      </c>
      <c r="E30" s="271">
        <v>0</v>
      </c>
      <c r="F30" s="271">
        <v>0</v>
      </c>
      <c r="K30" s="271" t="b">
        <v>0</v>
      </c>
      <c r="L30" s="271">
        <f>IF(K30,0,F30*2.4)</f>
        <v>0</v>
      </c>
      <c r="M30" s="271">
        <f t="shared" si="3"/>
        <v>0</v>
      </c>
      <c r="N30" s="271">
        <f t="shared" si="4"/>
        <v>0</v>
      </c>
      <c r="O30" s="271">
        <f t="shared" si="5"/>
        <v>0</v>
      </c>
      <c r="P30" s="271">
        <f t="shared" si="6"/>
        <v>0</v>
      </c>
      <c r="Q30" s="271">
        <f t="shared" si="7"/>
        <v>0</v>
      </c>
      <c r="R30" s="271">
        <f>IF($E30&gt;1,INDEX(Opl,$E30,5),0)*$L30</f>
        <v>0</v>
      </c>
      <c r="S30" s="271">
        <f t="shared" si="9"/>
        <v>0</v>
      </c>
      <c r="X30" s="271">
        <f>ROUND(IF(Y30*10&gt;1,Y30*10,Y30*600),0)</f>
        <v>0</v>
      </c>
      <c r="Y30" s="271">
        <f>IF(F30&gt;0,D30/F30,0)</f>
        <v>0</v>
      </c>
    </row>
    <row r="31" spans="1:25" x14ac:dyDescent="0.35">
      <c r="A31" s="271" t="s">
        <v>1068</v>
      </c>
      <c r="E31" s="271">
        <v>0</v>
      </c>
      <c r="F31" s="271">
        <v>0</v>
      </c>
      <c r="K31" s="271" t="b">
        <v>0</v>
      </c>
      <c r="L31" s="271">
        <f>IF(K31,0,F31*2.4)</f>
        <v>0</v>
      </c>
      <c r="M31" s="271">
        <f t="shared" si="3"/>
        <v>0</v>
      </c>
      <c r="N31" s="271">
        <f t="shared" si="4"/>
        <v>0</v>
      </c>
      <c r="O31" s="271">
        <f t="shared" si="5"/>
        <v>0</v>
      </c>
      <c r="P31" s="271">
        <f t="shared" si="6"/>
        <v>0</v>
      </c>
      <c r="Q31" s="271">
        <f t="shared" si="7"/>
        <v>0</v>
      </c>
      <c r="R31" s="271">
        <f>IF($E31&gt;1,INDEX(Opl,$E31,5),0)*$L31</f>
        <v>0</v>
      </c>
      <c r="S31" s="271">
        <f t="shared" si="9"/>
        <v>0</v>
      </c>
      <c r="X31" s="271">
        <f>ROUND(IF(Y31*10&gt;1,Y31*10,Y31*600),0)</f>
        <v>0</v>
      </c>
      <c r="Y31" s="271">
        <f>IF(F31&gt;0,D31/F31,0)</f>
        <v>0</v>
      </c>
    </row>
    <row r="32" spans="1:25" x14ac:dyDescent="0.35">
      <c r="A32" s="660" t="s">
        <v>2285</v>
      </c>
    </row>
    <row r="33" spans="1:23" x14ac:dyDescent="0.35">
      <c r="A33" s="660" t="s">
        <v>2286</v>
      </c>
    </row>
    <row r="34" spans="1:23" x14ac:dyDescent="0.35">
      <c r="B34" s="271" t="s">
        <v>1254</v>
      </c>
      <c r="C34" s="271" t="s">
        <v>1255</v>
      </c>
      <c r="D34" s="271" t="s">
        <v>1256</v>
      </c>
      <c r="F34" s="271" t="s">
        <v>2423</v>
      </c>
    </row>
    <row r="35" spans="1:23" x14ac:dyDescent="0.35">
      <c r="A35" s="271" t="str">
        <f>INDEX(lijstIntralipidSmof,SelectedIntralipidSmof)</f>
        <v>Intralipid 20% (incl vitintra)</v>
      </c>
      <c r="B35" s="492">
        <f ca="1">ROUND(_Gewicht*INDEX(Advies!$B$9:$G$16,8,Berekeningen!$C$6),0)</f>
        <v>120</v>
      </c>
      <c r="C35" s="271">
        <f ca="1">ROUND(IF(AND(B17,B35+(D35-5000)&gt;0),B35+(D35-5000),0),0)</f>
        <v>0</v>
      </c>
      <c r="D35" s="271">
        <v>5000</v>
      </c>
      <c r="F35" s="271">
        <v>1</v>
      </c>
      <c r="L35" s="271">
        <f ca="1">C35</f>
        <v>0</v>
      </c>
      <c r="T35" s="271">
        <f ca="1">0.2*L35*10/12</f>
        <v>0</v>
      </c>
      <c r="W35" s="271">
        <f ca="1">40*C35*2/12</f>
        <v>0</v>
      </c>
    </row>
    <row r="36" spans="1:23" x14ac:dyDescent="0.35">
      <c r="A36" s="271" t="s">
        <v>1070</v>
      </c>
      <c r="B36" s="492"/>
      <c r="D36" s="271">
        <v>1</v>
      </c>
    </row>
    <row r="37" spans="1:23" x14ac:dyDescent="0.35">
      <c r="A37" s="271" t="s">
        <v>688</v>
      </c>
      <c r="B37" s="492">
        <f ca="1">ROUND(_Gewicht*INDEX(Advies!$B$9:$G$16,2,Berekeningen!$C$6),0)</f>
        <v>0</v>
      </c>
      <c r="C37" s="271">
        <f ca="1">IF(AND($B$17,B37+(D37-5000)/10&gt;0),ROUND(B37+(D37-5000)/10,1),0)</f>
        <v>0</v>
      </c>
      <c r="D37" s="271">
        <v>5000</v>
      </c>
      <c r="L37" s="271">
        <f ca="1">IF(OR($D$36=1,$D$36=3),C37,0)</f>
        <v>0</v>
      </c>
      <c r="M37" s="271">
        <f ca="1">L37*0.5</f>
        <v>0</v>
      </c>
      <c r="V37" s="271">
        <f ca="1">L37*0.5</f>
        <v>0</v>
      </c>
    </row>
    <row r="38" spans="1:23" x14ac:dyDescent="0.35">
      <c r="A38" s="271" t="s">
        <v>1071</v>
      </c>
      <c r="B38" s="492">
        <f ca="1">ROUND(_Gewicht*INDEX(Advies!$B$9:$G$16,3,Berekeningen!$C$6),0)</f>
        <v>0</v>
      </c>
      <c r="C38" s="271">
        <f ca="1">IF(AND($B$17,B38+(D38-5000)/10&gt;0),ROUND(B38+(D38-5000)/10,1),0)</f>
        <v>0</v>
      </c>
      <c r="D38" s="271">
        <v>5000</v>
      </c>
      <c r="L38" s="271">
        <f ca="1">IF(OR($D$36=1,$D$36=3),C38,0)</f>
        <v>0</v>
      </c>
      <c r="N38" s="271">
        <f ca="1">L38</f>
        <v>0</v>
      </c>
    </row>
    <row r="39" spans="1:23" x14ac:dyDescent="0.35">
      <c r="A39" s="271" t="s">
        <v>1072</v>
      </c>
      <c r="B39" s="492">
        <f ca="1">ROUND(_Gewicht*INDEX(Advies!$B$9:$G$16,4,Berekeningen!$C$6),0)</f>
        <v>0</v>
      </c>
      <c r="C39" s="271">
        <f ca="1">IF(AND($B$17,B39+(D39-5000)/10&gt;0),ROUND(B39+(D39-5000)/10,1),0)</f>
        <v>0</v>
      </c>
      <c r="D39" s="271">
        <v>5000</v>
      </c>
      <c r="L39" s="271">
        <f ca="1">IF($D$36=1,C39,0)</f>
        <v>0</v>
      </c>
      <c r="O39" s="271">
        <f ca="1">L39*0.225</f>
        <v>0</v>
      </c>
      <c r="V39" s="271">
        <f ca="1">L39*0.225*2</f>
        <v>0</v>
      </c>
    </row>
    <row r="40" spans="1:23" x14ac:dyDescent="0.35">
      <c r="A40" s="271" t="s">
        <v>1073</v>
      </c>
      <c r="B40" s="492">
        <f ca="1">ROUND(_Gewicht*INDEX(Advies!$B$9:$G$16,5,Berekeningen!$C$6),1)</f>
        <v>0</v>
      </c>
      <c r="C40" s="271">
        <f ca="1">IF(AND($B$17,B40+(D40-5000)/10&gt;0),ROUND(B40+(D40-5000)/10,1),0)</f>
        <v>0</v>
      </c>
      <c r="D40" s="271">
        <v>5000</v>
      </c>
      <c r="L40" s="271">
        <f ca="1">IF($D$36=1,C40,0)</f>
        <v>0</v>
      </c>
      <c r="P40" s="271">
        <f ca="1">L40*0.5</f>
        <v>0</v>
      </c>
      <c r="V40" s="271">
        <f ca="1">L40*0.5*2</f>
        <v>0</v>
      </c>
    </row>
    <row r="41" spans="1:23" x14ac:dyDescent="0.35">
      <c r="A41" s="271" t="s">
        <v>435</v>
      </c>
      <c r="B41" s="492">
        <f ca="1">ROUND(_Gewicht*INDEX(Advies!$B$9:$G$16,6,Berekeningen!$C$6),1)</f>
        <v>0</v>
      </c>
      <c r="C41" s="271">
        <f ca="1">IF(AND($B$17,B41+(D41-5000)/10&gt;0),ROUND(B41+(D41-5000)/10,1),0)</f>
        <v>0</v>
      </c>
      <c r="D41" s="271">
        <v>5000</v>
      </c>
      <c r="L41" s="271">
        <f ca="1">IF($D$36=1,C41,0)</f>
        <v>0</v>
      </c>
      <c r="W41" s="271">
        <f ca="1">40*C41</f>
        <v>0</v>
      </c>
    </row>
    <row r="42" spans="1:23" x14ac:dyDescent="0.35">
      <c r="A42" s="271" t="s">
        <v>1028</v>
      </c>
      <c r="B42" s="492">
        <f ca="1">ROUND(_Gewicht*INDEX(Advies!$B$9:$G$16,7,Berekeningen!$C$6),0)</f>
        <v>0</v>
      </c>
      <c r="C42" s="271">
        <f ca="1">IF(AND($B$17,B42+(D42-5000)&gt;0),ROUND(B42+(D42-5000),0),0)</f>
        <v>0</v>
      </c>
      <c r="D42" s="271">
        <v>5000</v>
      </c>
      <c r="L42" s="271">
        <f ca="1">IF($D$36=1,C42,0)</f>
        <v>0</v>
      </c>
      <c r="R42" s="271">
        <f ca="1">0.1*L42</f>
        <v>0</v>
      </c>
    </row>
    <row r="43" spans="1:23" x14ac:dyDescent="0.35">
      <c r="A43" s="271" t="s">
        <v>1029</v>
      </c>
      <c r="B43" s="492">
        <f ca="1">ROUND(_Gewicht*INDEX(Advies!$B$9:$G$16,1,Berekeningen!$C$6),1)</f>
        <v>350</v>
      </c>
      <c r="C43" s="271">
        <f ca="1">ROUND(IF(AND($B$17,B43+(D43-5000)&gt;0),B43+(D43-5000),0),0)</f>
        <v>0</v>
      </c>
      <c r="D43" s="271">
        <v>5000</v>
      </c>
      <c r="L43" s="271">
        <f>IF(D36=2,C43,0)</f>
        <v>0</v>
      </c>
      <c r="M43" s="271">
        <f>INDEX(TpnNICU,2,M11)*$L$43</f>
        <v>0</v>
      </c>
      <c r="N43" s="271">
        <f t="shared" ref="N43:U43" si="12">INDEX(TpnNICU,2,N11)*$L$43</f>
        <v>0</v>
      </c>
      <c r="O43" s="271">
        <f t="shared" si="12"/>
        <v>0</v>
      </c>
      <c r="P43" s="271">
        <f t="shared" si="12"/>
        <v>0</v>
      </c>
      <c r="Q43" s="271">
        <f t="shared" si="12"/>
        <v>0</v>
      </c>
      <c r="R43" s="271">
        <f t="shared" si="12"/>
        <v>0</v>
      </c>
      <c r="S43" s="271">
        <f t="shared" si="12"/>
        <v>0</v>
      </c>
      <c r="T43" s="271">
        <f t="shared" si="12"/>
        <v>0</v>
      </c>
      <c r="U43" s="271">
        <f t="shared" si="12"/>
        <v>0</v>
      </c>
    </row>
    <row r="44" spans="1:23" x14ac:dyDescent="0.35">
      <c r="A44" s="271" t="s">
        <v>686</v>
      </c>
      <c r="B44" s="492">
        <f ca="1">ROUND(_Gewicht*INDEX(Advies!$B$9:$G$16,1,Berekeningen!$C$6),1)</f>
        <v>350</v>
      </c>
      <c r="C44" s="271">
        <f ca="1">ROUND(IF(AND($B$17,B44+(D44-5000)&gt;0),B44+(D44-5000),0),0)</f>
        <v>0</v>
      </c>
      <c r="D44" s="271">
        <v>5000</v>
      </c>
      <c r="L44" s="271">
        <f>IF(D36=3,C44,0)</f>
        <v>0</v>
      </c>
      <c r="M44" s="271">
        <f>INDEX(TpnNICU,1,M11)*$L$44</f>
        <v>0</v>
      </c>
      <c r="N44" s="271">
        <f t="shared" ref="N44:U44" si="13">INDEX(TpnNICU,1,N11)*$L$44</f>
        <v>0</v>
      </c>
      <c r="O44" s="271">
        <f t="shared" si="13"/>
        <v>0</v>
      </c>
      <c r="P44" s="271">
        <f t="shared" si="13"/>
        <v>0</v>
      </c>
      <c r="Q44" s="271">
        <f t="shared" si="13"/>
        <v>0</v>
      </c>
      <c r="R44" s="271">
        <f t="shared" si="13"/>
        <v>0</v>
      </c>
      <c r="S44" s="271">
        <f t="shared" si="13"/>
        <v>0</v>
      </c>
      <c r="T44" s="271">
        <f t="shared" si="13"/>
        <v>0</v>
      </c>
      <c r="U44" s="271">
        <f t="shared" si="13"/>
        <v>0</v>
      </c>
    </row>
    <row r="45" spans="1:23" x14ac:dyDescent="0.35">
      <c r="A45" s="271" t="s">
        <v>1257</v>
      </c>
      <c r="D45" s="271">
        <v>2</v>
      </c>
      <c r="L45" s="271">
        <f>IF(B17,ROUND(C17-SUM(L18:L44),1),0)</f>
        <v>0</v>
      </c>
      <c r="S45" s="271">
        <f>INDEX(Opl,D45+1,2)*L45</f>
        <v>0</v>
      </c>
    </row>
    <row r="47" spans="1:23" x14ac:dyDescent="0.35">
      <c r="A47" s="271" t="s">
        <v>242</v>
      </c>
      <c r="L47" s="271">
        <f ca="1">L49+L50</f>
        <v>0</v>
      </c>
      <c r="M47" s="271">
        <f t="shared" ref="M47:W47" ca="1" si="14">M49+M50</f>
        <v>0</v>
      </c>
      <c r="N47" s="271">
        <f t="shared" ca="1" si="14"/>
        <v>0</v>
      </c>
      <c r="O47" s="271">
        <f t="shared" ca="1" si="14"/>
        <v>0</v>
      </c>
      <c r="P47" s="271">
        <f t="shared" ca="1" si="14"/>
        <v>0</v>
      </c>
      <c r="Q47" s="271">
        <f t="shared" si="14"/>
        <v>0</v>
      </c>
      <c r="R47" s="271">
        <f t="shared" ca="1" si="14"/>
        <v>0</v>
      </c>
      <c r="S47" s="271">
        <f t="shared" si="14"/>
        <v>0</v>
      </c>
      <c r="T47" s="271">
        <f t="shared" ca="1" si="14"/>
        <v>0</v>
      </c>
      <c r="U47" s="271">
        <f t="shared" ca="1" si="14"/>
        <v>0</v>
      </c>
      <c r="V47" s="271">
        <f t="shared" ca="1" si="14"/>
        <v>0</v>
      </c>
      <c r="W47" s="271">
        <f t="shared" ca="1" si="14"/>
        <v>0</v>
      </c>
    </row>
    <row r="49" spans="1:23" x14ac:dyDescent="0.35">
      <c r="A49" s="271" t="s">
        <v>438</v>
      </c>
      <c r="L49" s="271">
        <f>L14</f>
        <v>0</v>
      </c>
      <c r="M49" s="271">
        <f t="shared" ref="M49:W49" si="15">M14+IF(INDEX(LijstenLijstVoeding,_Voeding,14)="MM",M57,M62)</f>
        <v>0</v>
      </c>
      <c r="N49" s="660">
        <f t="shared" si="15"/>
        <v>0</v>
      </c>
      <c r="O49" s="660">
        <f t="shared" si="15"/>
        <v>0</v>
      </c>
      <c r="P49" s="660">
        <f t="shared" si="15"/>
        <v>0</v>
      </c>
      <c r="Q49" s="660">
        <f t="shared" si="15"/>
        <v>0</v>
      </c>
      <c r="R49" s="660">
        <f t="shared" si="15"/>
        <v>0</v>
      </c>
      <c r="S49" s="660">
        <f t="shared" si="15"/>
        <v>0</v>
      </c>
      <c r="T49" s="660">
        <f t="shared" si="15"/>
        <v>0</v>
      </c>
      <c r="U49" s="660">
        <f t="shared" si="15"/>
        <v>0</v>
      </c>
      <c r="V49" s="660">
        <f t="shared" si="15"/>
        <v>0</v>
      </c>
      <c r="W49" s="660">
        <f t="shared" si="15"/>
        <v>0</v>
      </c>
    </row>
    <row r="50" spans="1:23" x14ac:dyDescent="0.35">
      <c r="A50" s="271" t="s">
        <v>436</v>
      </c>
      <c r="L50" s="271">
        <f ca="1">SUM(L18:L45)</f>
        <v>0</v>
      </c>
      <c r="M50" s="271">
        <f t="shared" ref="M50:W50" ca="1" si="16">SUM(M18:M45)</f>
        <v>0</v>
      </c>
      <c r="N50" s="271">
        <f t="shared" ca="1" si="16"/>
        <v>0</v>
      </c>
      <c r="O50" s="271">
        <f t="shared" ca="1" si="16"/>
        <v>0</v>
      </c>
      <c r="P50" s="271">
        <f t="shared" ca="1" si="16"/>
        <v>0</v>
      </c>
      <c r="Q50" s="271">
        <f t="shared" si="16"/>
        <v>0</v>
      </c>
      <c r="R50" s="271">
        <f t="shared" ca="1" si="16"/>
        <v>0</v>
      </c>
      <c r="S50" s="271">
        <f t="shared" si="16"/>
        <v>0</v>
      </c>
      <c r="T50" s="271">
        <f t="shared" ca="1" si="16"/>
        <v>0</v>
      </c>
      <c r="U50" s="271">
        <f ca="1">T50*9+S50*4+R50*4</f>
        <v>0</v>
      </c>
      <c r="V50" s="271">
        <f t="shared" ca="1" si="16"/>
        <v>0</v>
      </c>
      <c r="W50" s="271">
        <f t="shared" ca="1" si="16"/>
        <v>0</v>
      </c>
    </row>
    <row r="52" spans="1:23" x14ac:dyDescent="0.35">
      <c r="A52" s="271" t="s">
        <v>1676</v>
      </c>
      <c r="B52" s="271">
        <v>2</v>
      </c>
      <c r="K52" s="271">
        <v>1</v>
      </c>
      <c r="L52" s="821">
        <f>INDEX(_VoedingBMFWaarden,Berekeningen!K52)</f>
        <v>0</v>
      </c>
      <c r="M52" s="651">
        <f t="shared" ref="M52:W52" si="17">IF($K52&gt;1,($L52/100)*$L$49*HLOOKUP(M1,_VoedingToevoegingenBMF,$B52,FALSE),0)</f>
        <v>0</v>
      </c>
      <c r="N52" s="651">
        <f t="shared" si="17"/>
        <v>0</v>
      </c>
      <c r="O52" s="651">
        <f t="shared" si="17"/>
        <v>0</v>
      </c>
      <c r="P52" s="651">
        <f t="shared" si="17"/>
        <v>0</v>
      </c>
      <c r="Q52" s="651">
        <f t="shared" si="17"/>
        <v>0</v>
      </c>
      <c r="R52" s="651">
        <f t="shared" si="17"/>
        <v>0</v>
      </c>
      <c r="S52" s="651">
        <f t="shared" si="17"/>
        <v>0</v>
      </c>
      <c r="T52" s="651">
        <f t="shared" si="17"/>
        <v>0</v>
      </c>
      <c r="U52" s="651">
        <f t="shared" si="17"/>
        <v>0</v>
      </c>
      <c r="V52" s="651">
        <f t="shared" si="17"/>
        <v>0</v>
      </c>
      <c r="W52" s="651">
        <f t="shared" si="17"/>
        <v>0</v>
      </c>
    </row>
    <row r="53" spans="1:23" x14ac:dyDescent="0.35">
      <c r="A53" s="271" t="s">
        <v>1667</v>
      </c>
      <c r="B53" s="271">
        <v>1</v>
      </c>
      <c r="C53" s="271">
        <f>_Toevoeging_1+1</f>
        <v>2</v>
      </c>
      <c r="K53" s="271">
        <v>1</v>
      </c>
      <c r="L53" s="821">
        <f>INDEX(_VoedingToevoegingenWaarden,Berekeningen!K53)</f>
        <v>0</v>
      </c>
      <c r="M53" s="651">
        <f>IF($B53&gt;1,($L53)*$L$49*HLOOKUP(Berekeningen!M$1,LijstenOpzoektabelMM,$C53,FALSE)/100,0)</f>
        <v>0</v>
      </c>
      <c r="N53" s="651">
        <f>IF($B53&gt;1,($L53)*$L$49*HLOOKUP(Berekeningen!N$1,LijstenOpzoektabelMM,$C53,FALSE)/100,0)</f>
        <v>0</v>
      </c>
      <c r="O53" s="651">
        <f>IF($B53&gt;1,($L53)*$L$49*HLOOKUP(Berekeningen!O$1,LijstenOpzoektabelMM,$C53,FALSE)/100,0)</f>
        <v>0</v>
      </c>
      <c r="P53" s="651">
        <f>IF($B53&gt;1,($L53)*$L$49*HLOOKUP(Berekeningen!P$1,LijstenOpzoektabelMM,$C53,FALSE)/100,0)</f>
        <v>0</v>
      </c>
      <c r="Q53" s="651">
        <f>IF($B53&gt;1,($L53)*$L$49*HLOOKUP(Berekeningen!Q$1,LijstenOpzoektabelMM,$C53,FALSE)/100,0)</f>
        <v>0</v>
      </c>
      <c r="R53" s="651">
        <f>IF($B53&gt;1,($L53)*$L$49*HLOOKUP(Berekeningen!R$1,LijstenOpzoektabelMM,$C53,FALSE)/100,0)</f>
        <v>0</v>
      </c>
      <c r="S53" s="651">
        <f>IF($B53&gt;1,($L53)*$L$49*HLOOKUP(Berekeningen!S$1,LijstenOpzoektabelMM,$C53,FALSE)/100,0)</f>
        <v>0</v>
      </c>
      <c r="T53" s="651">
        <f>IF($B53&gt;1,($L53)*$L$49*HLOOKUP(Berekeningen!T$1,LijstenOpzoektabelMM,$C53,FALSE)/100,0)</f>
        <v>0</v>
      </c>
      <c r="U53" s="651">
        <f>IF($B53&gt;1,($L53)*$L$49*HLOOKUP(Berekeningen!U$1,LijstenOpzoektabelMM,$C53,FALSE)/100,0)</f>
        <v>0</v>
      </c>
      <c r="V53" s="651">
        <f>IF($B53&gt;1,($L53)*$L$49*HLOOKUP(Berekeningen!V$1,LijstenOpzoektabelMM,$C53,FALSE)/100,0)</f>
        <v>0</v>
      </c>
      <c r="W53" s="651">
        <f>IF($B53&gt;1,($L53)*$L$49*HLOOKUP(Berekeningen!W$1,LijstenOpzoektabelMM,$C53,FALSE)/100,0)</f>
        <v>0</v>
      </c>
    </row>
    <row r="54" spans="1:23" x14ac:dyDescent="0.35">
      <c r="A54" s="271" t="s">
        <v>1668</v>
      </c>
      <c r="B54" s="271">
        <v>1</v>
      </c>
      <c r="C54" s="638">
        <f>_Toevoeging_2+1</f>
        <v>2</v>
      </c>
      <c r="K54" s="271">
        <v>1</v>
      </c>
      <c r="L54" s="821">
        <f>INDEX(_VoedingToevoegingenWaarden,Berekeningen!K54)</f>
        <v>0</v>
      </c>
      <c r="M54" s="651">
        <f>IF($B54&gt;1,($L54)*$L$49*HLOOKUP(Berekeningen!M$1,LijstenOpzoektabelMM,$C54,FALSE)/100,0)</f>
        <v>0</v>
      </c>
      <c r="N54" s="651">
        <f>IF($B54&gt;1,($L54)*$L$49*HLOOKUP(Berekeningen!N$1,LijstenOpzoektabelMM,$C54,FALSE)/100,0)</f>
        <v>0</v>
      </c>
      <c r="O54" s="651">
        <f>IF($B54&gt;1,($L54)*$L$49*HLOOKUP(Berekeningen!O$1,LijstenOpzoektabelMM,$C54,FALSE)/100,0)</f>
        <v>0</v>
      </c>
      <c r="P54" s="651">
        <f>IF($B54&gt;1,($L54)*$L$49*HLOOKUP(Berekeningen!P$1,LijstenOpzoektabelMM,$C54,FALSE)/100,0)</f>
        <v>0</v>
      </c>
      <c r="Q54" s="651">
        <f>IF($B54&gt;1,($L54)*$L$49*HLOOKUP(Berekeningen!Q$1,LijstenOpzoektabelMM,$C54,FALSE)/100,0)</f>
        <v>0</v>
      </c>
      <c r="R54" s="651">
        <f>IF($B54&gt;1,($L54)*$L$49*HLOOKUP(Berekeningen!R$1,LijstenOpzoektabelMM,$C54,FALSE)/100,0)</f>
        <v>0</v>
      </c>
      <c r="S54" s="651">
        <f>IF($B54&gt;1,($L54)*$L$49*HLOOKUP(Berekeningen!S$1,LijstenOpzoektabelMM,$C54,FALSE)/100,0)</f>
        <v>0</v>
      </c>
      <c r="T54" s="651">
        <f>IF($B54&gt;1,($L54)*$L$49*HLOOKUP(Berekeningen!T$1,LijstenOpzoektabelMM,$C54,FALSE)/100,0)</f>
        <v>0</v>
      </c>
      <c r="U54" s="651">
        <f>IF($B54&gt;1,($L54)*$L$49*HLOOKUP(Berekeningen!U$1,LijstenOpzoektabelMM,$C54,FALSE)/100,0)</f>
        <v>0</v>
      </c>
      <c r="V54" s="651">
        <f>IF($B54&gt;1,($L54)*$L$49*HLOOKUP(Berekeningen!V$1,LijstenOpzoektabelMM,$C54,FALSE)/100,0)</f>
        <v>0</v>
      </c>
      <c r="W54" s="651">
        <f>IF($B54&gt;1,($L54)*$L$49*HLOOKUP(Berekeningen!W$1,LijstenOpzoektabelMM,$C54,FALSE)/100,0)</f>
        <v>0</v>
      </c>
    </row>
    <row r="55" spans="1:23" x14ac:dyDescent="0.35">
      <c r="A55" s="271" t="s">
        <v>1669</v>
      </c>
      <c r="B55" s="271">
        <v>1</v>
      </c>
      <c r="C55" s="638">
        <f>_Toevoeging_3+1</f>
        <v>2</v>
      </c>
      <c r="K55" s="271">
        <v>1</v>
      </c>
      <c r="L55" s="821">
        <f>INDEX(_VoedingToevoegingenWaarden,Berekeningen!K55)</f>
        <v>0</v>
      </c>
      <c r="M55" s="651">
        <f>IF($B55&gt;1,($L55)*$L$49*HLOOKUP(Berekeningen!M$1,LijstenOpzoektabelMM,$C55,FALSE)/100,0)</f>
        <v>0</v>
      </c>
      <c r="N55" s="651">
        <f>IF($B55&gt;1,($L55)*$L$49*HLOOKUP(Berekeningen!N$1,LijstenOpzoektabelMM,$C55,FALSE)/100,0)</f>
        <v>0</v>
      </c>
      <c r="O55" s="651">
        <f>IF($B55&gt;1,($L55)*$L$49*HLOOKUP(Berekeningen!O$1,LijstenOpzoektabelMM,$C55,FALSE)/100,0)</f>
        <v>0</v>
      </c>
      <c r="P55" s="651">
        <f>IF($B55&gt;1,($L55)*$L$49*HLOOKUP(Berekeningen!P$1,LijstenOpzoektabelMM,$C55,FALSE)/100,0)</f>
        <v>0</v>
      </c>
      <c r="Q55" s="651">
        <f>IF($B55&gt;1,($L55)*$L$49*HLOOKUP(Berekeningen!Q$1,LijstenOpzoektabelMM,$C55,FALSE)/100,0)</f>
        <v>0</v>
      </c>
      <c r="R55" s="651">
        <f>IF($B55&gt;1,($L55)*$L$49*HLOOKUP(Berekeningen!R$1,LijstenOpzoektabelMM,$C55,FALSE)/100,0)</f>
        <v>0</v>
      </c>
      <c r="S55" s="651">
        <f>IF($B55&gt;1,($L55)*$L$49*HLOOKUP(Berekeningen!S$1,LijstenOpzoektabelMM,$C55,FALSE)/100,0)</f>
        <v>0</v>
      </c>
      <c r="T55" s="651">
        <f>IF($B55&gt;1,($L55)*$L$49*HLOOKUP(Berekeningen!T$1,LijstenOpzoektabelMM,$C55,FALSE)/100,0)</f>
        <v>0</v>
      </c>
      <c r="U55" s="651">
        <f>IF($B55&gt;1,($L55)*$L$49*HLOOKUP(Berekeningen!U$1,LijstenOpzoektabelMM,$C55,FALSE)/100,0)</f>
        <v>0</v>
      </c>
      <c r="V55" s="651">
        <f>IF($B55&gt;1,($L55)*$L$49*HLOOKUP(Berekeningen!V$1,LijstenOpzoektabelMM,$C55,FALSE)/100,0)</f>
        <v>0</v>
      </c>
      <c r="W55" s="651">
        <f>IF($B55&gt;1,($L55)*$L$49*HLOOKUP(Berekeningen!W$1,LijstenOpzoektabelMM,$C55,FALSE)/100,0)</f>
        <v>0</v>
      </c>
    </row>
    <row r="56" spans="1:23" x14ac:dyDescent="0.35">
      <c r="A56" s="271" t="s">
        <v>1670</v>
      </c>
      <c r="B56" s="271">
        <v>1</v>
      </c>
      <c r="C56" s="638">
        <f>_Toevoeging_4+1</f>
        <v>2</v>
      </c>
      <c r="K56" s="271">
        <v>1</v>
      </c>
      <c r="L56" s="821">
        <f>INDEX(_VoedingToevoegingenWaarden,Berekeningen!K56)</f>
        <v>0</v>
      </c>
      <c r="M56" s="651">
        <f>IF($B56&gt;1,($L56)*$L$49*HLOOKUP(Berekeningen!M$1,LijstenOpzoektabelMM,$C56,FALSE)/100,0)</f>
        <v>0</v>
      </c>
      <c r="N56" s="651">
        <f>IF($B56&gt;1,($L56)*$L$49*HLOOKUP(Berekeningen!N$1,LijstenOpzoektabelMM,$C56,FALSE)/100,0)</f>
        <v>0</v>
      </c>
      <c r="O56" s="651">
        <f>IF($B56&gt;1,($L56)*$L$49*HLOOKUP(Berekeningen!O$1,LijstenOpzoektabelMM,$C56,FALSE)/100,0)</f>
        <v>0</v>
      </c>
      <c r="P56" s="651">
        <f>IF($B56&gt;1,($L56)*$L$49*HLOOKUP(Berekeningen!P$1,LijstenOpzoektabelMM,$C56,FALSE)/100,0)</f>
        <v>0</v>
      </c>
      <c r="Q56" s="651">
        <f>IF($B56&gt;1,($L56)*$L$49*HLOOKUP(Berekeningen!Q$1,LijstenOpzoektabelMM,$C56,FALSE)/100,0)</f>
        <v>0</v>
      </c>
      <c r="R56" s="651">
        <f>IF($B56&gt;1,($L56)*$L$49*HLOOKUP(Berekeningen!R$1,LijstenOpzoektabelMM,$C56,FALSE)/100,0)</f>
        <v>0</v>
      </c>
      <c r="S56" s="651">
        <f>IF($B56&gt;1,($L56)*$L$49*HLOOKUP(Berekeningen!S$1,LijstenOpzoektabelMM,$C56,FALSE)/100,0)</f>
        <v>0</v>
      </c>
      <c r="T56" s="651">
        <f>IF($B56&gt;1,($L56)*$L$49*HLOOKUP(Berekeningen!T$1,LijstenOpzoektabelMM,$C56,FALSE)/100,0)</f>
        <v>0</v>
      </c>
      <c r="U56" s="651">
        <f>IF($B56&gt;1,($L56)*$L$49*HLOOKUP(Berekeningen!U$1,LijstenOpzoektabelMM,$C56,FALSE)/100,0)</f>
        <v>0</v>
      </c>
      <c r="V56" s="651">
        <f>IF($B56&gt;1,($L56)*$L$49*HLOOKUP(Berekeningen!V$1,LijstenOpzoektabelMM,$C56,FALSE)/100,0)</f>
        <v>0</v>
      </c>
      <c r="W56" s="651">
        <f>IF($B56&gt;1,($L56)*$L$49*HLOOKUP(Berekeningen!W$1,LijstenOpzoektabelMM,$C56,FALSE)/100,0)</f>
        <v>0</v>
      </c>
    </row>
    <row r="57" spans="1:23" x14ac:dyDescent="0.35">
      <c r="A57" s="271" t="s">
        <v>1770</v>
      </c>
      <c r="C57" s="638"/>
      <c r="L57" s="821"/>
      <c r="M57" s="651">
        <f>SUM(M52:M56)</f>
        <v>0</v>
      </c>
      <c r="N57" s="651">
        <f t="shared" ref="N57:W57" si="18">SUM(N52:N56)</f>
        <v>0</v>
      </c>
      <c r="O57" s="651">
        <f t="shared" si="18"/>
        <v>0</v>
      </c>
      <c r="P57" s="651">
        <f t="shared" si="18"/>
        <v>0</v>
      </c>
      <c r="Q57" s="651">
        <f t="shared" si="18"/>
        <v>0</v>
      </c>
      <c r="R57" s="651">
        <f t="shared" si="18"/>
        <v>0</v>
      </c>
      <c r="S57" s="651">
        <f t="shared" si="18"/>
        <v>0</v>
      </c>
      <c r="T57" s="651">
        <f t="shared" si="18"/>
        <v>0</v>
      </c>
      <c r="U57" s="651">
        <f t="shared" si="18"/>
        <v>0</v>
      </c>
      <c r="V57" s="651">
        <f t="shared" si="18"/>
        <v>0</v>
      </c>
      <c r="W57" s="651">
        <f t="shared" si="18"/>
        <v>0</v>
      </c>
    </row>
    <row r="58" spans="1:23" x14ac:dyDescent="0.35">
      <c r="A58" s="271" t="s">
        <v>1671</v>
      </c>
      <c r="B58" s="271">
        <v>1</v>
      </c>
      <c r="C58" s="638">
        <f>_Toevoeging_5+1</f>
        <v>2</v>
      </c>
      <c r="K58" s="271">
        <v>1</v>
      </c>
      <c r="L58" s="821">
        <f>INDEX(_VoedingToevoegingenWaarden,Berekeningen!K58)</f>
        <v>0</v>
      </c>
      <c r="M58" s="651">
        <f>IF($B58&gt;1,($L58)*$L$49*HLOOKUP(Berekeningen!M$1,LijstenOpzoektabelKV,$C58,FALSE)/100,0)</f>
        <v>0</v>
      </c>
      <c r="N58" s="651">
        <f>IF($B58&gt;1,($L58)*$L$49*HLOOKUP(Berekeningen!N$1,LijstenOpzoektabelKV,$C58,FALSE)/100,0)</f>
        <v>0</v>
      </c>
      <c r="O58" s="651">
        <f>IF($B58&gt;1,($L58)*$L$49*HLOOKUP(Berekeningen!O$1,LijstenOpzoektabelKV,$C58,FALSE)/100,0)</f>
        <v>0</v>
      </c>
      <c r="P58" s="651">
        <f>IF($B58&gt;1,($L58)*$L$49*HLOOKUP(Berekeningen!P$1,LijstenOpzoektabelKV,$C58,FALSE)/100,0)</f>
        <v>0</v>
      </c>
      <c r="Q58" s="651">
        <f>IF($B58&gt;1,($L58)*$L$49*HLOOKUP(Berekeningen!Q$1,LijstenOpzoektabelKV,$C58,FALSE)/100,0)</f>
        <v>0</v>
      </c>
      <c r="R58" s="651">
        <f>IF($B58&gt;1,($L58)*$L$49*HLOOKUP(Berekeningen!R$1,LijstenOpzoektabelKV,$C58,FALSE)/100,0)</f>
        <v>0</v>
      </c>
      <c r="S58" s="651">
        <f>IF($B58&gt;1,($L58)*$L$49*HLOOKUP(Berekeningen!S$1,LijstenOpzoektabelKV,$C58,FALSE)/100,0)</f>
        <v>0</v>
      </c>
      <c r="T58" s="651">
        <f>IF($B58&gt;1,($L58)*$L$49*HLOOKUP(Berekeningen!T$1,LijstenOpzoektabelKV,$C58,FALSE)/100,0)</f>
        <v>0</v>
      </c>
      <c r="U58" s="651">
        <f>IF($B58&gt;1,($L58)*$L$49*HLOOKUP(Berekeningen!U$1,LijstenOpzoektabelKV,$C58,FALSE)/100,0)</f>
        <v>0</v>
      </c>
      <c r="V58" s="651">
        <f>IF($B58&gt;1,($L58)*$L$49*HLOOKUP(Berekeningen!V$1,LijstenOpzoektabelKV,$C58,FALSE)/100,0)</f>
        <v>0</v>
      </c>
      <c r="W58" s="651">
        <f>IF($B58&gt;1,($L58)*$L$49*HLOOKUP(Berekeningen!W$1,LijstenOpzoektabelKV,$C58,FALSE)/100,0)</f>
        <v>0</v>
      </c>
    </row>
    <row r="59" spans="1:23" x14ac:dyDescent="0.35">
      <c r="A59" s="271" t="s">
        <v>1672</v>
      </c>
      <c r="B59" s="271">
        <v>1</v>
      </c>
      <c r="C59" s="638">
        <f>_Toevoeging_6+1</f>
        <v>2</v>
      </c>
      <c r="K59" s="271">
        <v>1</v>
      </c>
      <c r="L59" s="821">
        <f>INDEX(_VoedingToevoegingenWaarden,Berekeningen!K59)</f>
        <v>0</v>
      </c>
      <c r="M59" s="651">
        <f>IF($B59&gt;1,($L59)*$L$49*HLOOKUP(Berekeningen!M$1,LijstenOpzoektabelKV,$C59,FALSE)/100,0)</f>
        <v>0</v>
      </c>
      <c r="N59" s="651">
        <f>IF($B59&gt;1,($L59)*$L$49*HLOOKUP(Berekeningen!N$1,LijstenOpzoektabelKV,$C59,FALSE)/100,0)</f>
        <v>0</v>
      </c>
      <c r="O59" s="651">
        <f>IF($B59&gt;1,($L59)*$L$49*HLOOKUP(Berekeningen!O$1,LijstenOpzoektabelKV,$C59,FALSE)/100,0)</f>
        <v>0</v>
      </c>
      <c r="P59" s="651">
        <f>IF($B59&gt;1,($L59)*$L$49*HLOOKUP(Berekeningen!P$1,LijstenOpzoektabelKV,$C59,FALSE)/100,0)</f>
        <v>0</v>
      </c>
      <c r="Q59" s="651">
        <f>IF($B59&gt;1,($L59)*$L$49*HLOOKUP(Berekeningen!Q$1,LijstenOpzoektabelKV,$C59,FALSE)/100,0)</f>
        <v>0</v>
      </c>
      <c r="R59" s="651">
        <f>IF($B59&gt;1,($L59)*$L$49*HLOOKUP(Berekeningen!R$1,LijstenOpzoektabelKV,$C59,FALSE)/100,0)</f>
        <v>0</v>
      </c>
      <c r="S59" s="651">
        <f>IF($B59&gt;1,($L59)*$L$49*HLOOKUP(Berekeningen!S$1,LijstenOpzoektabelKV,$C59,FALSE)/100,0)</f>
        <v>0</v>
      </c>
      <c r="T59" s="651">
        <f>IF($B59&gt;1,($L59)*$L$49*HLOOKUP(Berekeningen!T$1,LijstenOpzoektabelKV,$C59,FALSE)/100,0)</f>
        <v>0</v>
      </c>
      <c r="U59" s="651">
        <f>IF($B59&gt;1,($L59)*$L$49*HLOOKUP(Berekeningen!U$1,LijstenOpzoektabelKV,$C59,FALSE)/100,0)</f>
        <v>0</v>
      </c>
      <c r="V59" s="651">
        <f>IF($B59&gt;1,($L59)*$L$49*HLOOKUP(Berekeningen!V$1,LijstenOpzoektabelKV,$C59,FALSE)/100,0)</f>
        <v>0</v>
      </c>
      <c r="W59" s="651">
        <f>IF($B59&gt;1,($L59)*$L$49*HLOOKUP(Berekeningen!W$1,LijstenOpzoektabelKV,$C59,FALSE)/100,0)</f>
        <v>0</v>
      </c>
    </row>
    <row r="60" spans="1:23" x14ac:dyDescent="0.35">
      <c r="A60" s="271" t="s">
        <v>1673</v>
      </c>
      <c r="B60" s="271">
        <v>1</v>
      </c>
      <c r="C60" s="638">
        <f>_Toevoeging_7+1</f>
        <v>2</v>
      </c>
      <c r="K60" s="271">
        <v>1</v>
      </c>
      <c r="L60" s="821">
        <f>INDEX(_VoedingToevoegingenWaarden,Berekeningen!K60)</f>
        <v>0</v>
      </c>
      <c r="M60" s="651">
        <f>IF($B60&gt;1,($L60)*$L$49*HLOOKUP(Berekeningen!M$1,LijstenOpzoektabelKV,$C60,FALSE)/100,0)</f>
        <v>0</v>
      </c>
      <c r="N60" s="651">
        <f>IF($B60&gt;1,($L60)*$L$49*HLOOKUP(Berekeningen!N$1,LijstenOpzoektabelKV,$C60,FALSE)/100,0)</f>
        <v>0</v>
      </c>
      <c r="O60" s="651">
        <f>IF($B60&gt;1,($L60)*$L$49*HLOOKUP(Berekeningen!O$1,LijstenOpzoektabelKV,$C60,FALSE)/100,0)</f>
        <v>0</v>
      </c>
      <c r="P60" s="651">
        <f>IF($B60&gt;1,($L60)*$L$49*HLOOKUP(Berekeningen!P$1,LijstenOpzoektabelKV,$C60,FALSE)/100,0)</f>
        <v>0</v>
      </c>
      <c r="Q60" s="651">
        <f>IF($B60&gt;1,($L60)*$L$49*HLOOKUP(Berekeningen!Q$1,LijstenOpzoektabelKV,$C60,FALSE)/100,0)</f>
        <v>0</v>
      </c>
      <c r="R60" s="651">
        <f>IF($B60&gt;1,($L60)*$L$49*HLOOKUP(Berekeningen!R$1,LijstenOpzoektabelKV,$C60,FALSE)/100,0)</f>
        <v>0</v>
      </c>
      <c r="S60" s="651">
        <f>IF($B60&gt;1,($L60)*$L$49*HLOOKUP(Berekeningen!S$1,LijstenOpzoektabelKV,$C60,FALSE)/100,0)</f>
        <v>0</v>
      </c>
      <c r="T60" s="651">
        <f>IF($B60&gt;1,($L60)*$L$49*HLOOKUP(Berekeningen!T$1,LijstenOpzoektabelKV,$C60,FALSE)/100,0)</f>
        <v>0</v>
      </c>
      <c r="U60" s="651">
        <f>IF($B60&gt;1,($L60)*$L$49*HLOOKUP(Berekeningen!U$1,LijstenOpzoektabelKV,$C60,FALSE)/100,0)</f>
        <v>0</v>
      </c>
      <c r="V60" s="651">
        <f>IF($B60&gt;1,($L60)*$L$49*HLOOKUP(Berekeningen!V$1,LijstenOpzoektabelKV,$C60,FALSE)/100,0)</f>
        <v>0</v>
      </c>
      <c r="W60" s="651">
        <f>IF($B60&gt;1,($L60)*$L$49*HLOOKUP(Berekeningen!W$1,LijstenOpzoektabelKV,$C60,FALSE)/100,0)</f>
        <v>0</v>
      </c>
    </row>
    <row r="61" spans="1:23" x14ac:dyDescent="0.35">
      <c r="A61" s="271" t="s">
        <v>1674</v>
      </c>
      <c r="B61" s="271">
        <v>1</v>
      </c>
      <c r="C61" s="638">
        <f>_Toevoeging_8+1</f>
        <v>2</v>
      </c>
      <c r="K61" s="271">
        <v>1</v>
      </c>
      <c r="L61" s="821">
        <f>INDEX(_VoedingToevoegingenWaarden,Berekeningen!K61)</f>
        <v>0</v>
      </c>
      <c r="M61" s="651">
        <f>IF($B61&gt;1,($L61)*$L$49*HLOOKUP(Berekeningen!M$1,LijstenOpzoektabelKV,$C61,FALSE)/100,0)</f>
        <v>0</v>
      </c>
      <c r="N61" s="651">
        <f>IF($B61&gt;1,($L61)*$L$49*HLOOKUP(Berekeningen!N$1,LijstenOpzoektabelKV,$C61,FALSE)/100,0)</f>
        <v>0</v>
      </c>
      <c r="O61" s="651">
        <f>IF($B61&gt;1,($L61)*$L$49*HLOOKUP(Berekeningen!O$1,LijstenOpzoektabelKV,$C61,FALSE)/100,0)</f>
        <v>0</v>
      </c>
      <c r="P61" s="651">
        <f>IF($B61&gt;1,($L61)*$L$49*HLOOKUP(Berekeningen!P$1,LijstenOpzoektabelKV,$C61,FALSE)/100,0)</f>
        <v>0</v>
      </c>
      <c r="Q61" s="651">
        <f>IF($B61&gt;1,($L61)*$L$49*HLOOKUP(Berekeningen!Q$1,LijstenOpzoektabelKV,$C61,FALSE)/100,0)</f>
        <v>0</v>
      </c>
      <c r="R61" s="651">
        <f>IF($B61&gt;1,($L61)*$L$49*HLOOKUP(Berekeningen!R$1,LijstenOpzoektabelKV,$C61,FALSE)/100,0)</f>
        <v>0</v>
      </c>
      <c r="S61" s="651">
        <f>IF($B61&gt;1,($L61)*$L$49*HLOOKUP(Berekeningen!S$1,LijstenOpzoektabelKV,$C61,FALSE)/100,0)</f>
        <v>0</v>
      </c>
      <c r="T61" s="651">
        <f>IF($B61&gt;1,($L61)*$L$49*HLOOKUP(Berekeningen!T$1,LijstenOpzoektabelKV,$C61,FALSE)/100,0)</f>
        <v>0</v>
      </c>
      <c r="U61" s="651">
        <f>IF($B61&gt;1,($L61)*$L$49*HLOOKUP(Berekeningen!U$1,LijstenOpzoektabelKV,$C61,FALSE)/100,0)</f>
        <v>0</v>
      </c>
      <c r="V61" s="651">
        <f>IF($B61&gt;1,($L61)*$L$49*HLOOKUP(Berekeningen!V$1,LijstenOpzoektabelKV,$C61,FALSE)/100,0)</f>
        <v>0</v>
      </c>
      <c r="W61" s="651">
        <f>IF($B61&gt;1,($L61)*$L$49*HLOOKUP(Berekeningen!W$1,LijstenOpzoektabelKV,$C61,FALSE)/100,0)</f>
        <v>0</v>
      </c>
    </row>
    <row r="62" spans="1:23" x14ac:dyDescent="0.35">
      <c r="A62" s="271" t="s">
        <v>1771</v>
      </c>
      <c r="M62" s="651">
        <f>SUM(M58:M61)</f>
        <v>0</v>
      </c>
      <c r="N62" s="651">
        <f t="shared" ref="N62:W62" si="19">SUM(N58:N61)</f>
        <v>0</v>
      </c>
      <c r="O62" s="651">
        <f t="shared" si="19"/>
        <v>0</v>
      </c>
      <c r="P62" s="651">
        <f t="shared" si="19"/>
        <v>0</v>
      </c>
      <c r="Q62" s="651">
        <f t="shared" si="19"/>
        <v>0</v>
      </c>
      <c r="R62" s="651">
        <f t="shared" si="19"/>
        <v>0</v>
      </c>
      <c r="S62" s="651">
        <f t="shared" si="19"/>
        <v>0</v>
      </c>
      <c r="T62" s="651">
        <f t="shared" si="19"/>
        <v>0</v>
      </c>
      <c r="U62" s="651">
        <f t="shared" si="19"/>
        <v>0</v>
      </c>
      <c r="V62" s="651">
        <f t="shared" si="19"/>
        <v>0</v>
      </c>
      <c r="W62" s="651">
        <f t="shared" si="19"/>
        <v>0</v>
      </c>
    </row>
    <row r="63" spans="1:23" x14ac:dyDescent="0.35">
      <c r="A63" s="271" t="s">
        <v>1258</v>
      </c>
      <c r="B63" s="271">
        <v>1</v>
      </c>
    </row>
    <row r="65" spans="1:13" x14ac:dyDescent="0.35">
      <c r="A65" s="271" t="s">
        <v>1067</v>
      </c>
    </row>
    <row r="70" spans="1:13" ht="13.2" x14ac:dyDescent="0.4">
      <c r="B70" s="285"/>
      <c r="C70" s="279"/>
      <c r="D70" s="279"/>
      <c r="E70" s="279"/>
      <c r="F70" s="286"/>
      <c r="G70" s="279"/>
      <c r="H70" s="279"/>
      <c r="I70" s="279"/>
    </row>
    <row r="71" spans="1:13" x14ac:dyDescent="0.35">
      <c r="M71" s="639"/>
    </row>
    <row r="73" spans="1:13" x14ac:dyDescent="0.35">
      <c r="A73" s="271" t="s">
        <v>1642</v>
      </c>
      <c r="B73" s="271" t="str">
        <f ca="1">IF(Afspraken!E18=0,"",CONCATENATE(Afspraken!B18,": ",Afspraken!E18," ",Afspraken!F18," = "&amp;Berekeningen!L47&amp;" ml"))</f>
        <v/>
      </c>
    </row>
    <row r="74" spans="1:13" x14ac:dyDescent="0.35">
      <c r="A74" s="271" t="s">
        <v>1643</v>
      </c>
      <c r="B74" s="271" t="str">
        <f>IF(INDEX(Pos,Berekeningen!D14,1)=0,"",CONCATENATE(Afspraken!H21," ",INDEX(Pos,Berekeningen!D14,1)))</f>
        <v/>
      </c>
    </row>
    <row r="75" spans="1:13" x14ac:dyDescent="0.35">
      <c r="A75" s="271" t="s">
        <v>1644</v>
      </c>
      <c r="B75" s="660" t="str">
        <f>IF(INDEX(Pos,Berekeningen!D14,1)=0,"",CONCATENATE("Hoeveelheid 1:  ",Afspraken!E21," ",Afspraken!F21," ",Afspraken!G21))</f>
        <v/>
      </c>
    </row>
    <row r="76" spans="1:13" x14ac:dyDescent="0.35">
      <c r="A76" s="271" t="s">
        <v>1645</v>
      </c>
      <c r="B76" s="271" t="str">
        <f>IF(INDEX(Pos,Berekeningen!D14,1)=0,"",CONCATENATE("Hoeveelheid 2:  ",Afspraken!E22," ",Afspraken!F22," ",Afspraken!G22))</f>
        <v/>
      </c>
    </row>
    <row r="77" spans="1:13" x14ac:dyDescent="0.35">
      <c r="A77" s="271" t="s">
        <v>1646</v>
      </c>
      <c r="B77" s="660" t="str">
        <f>IF(AND(INDEX(LijstenLijstVoeding,_Voeding,14)="MM",_Percentage_0 &gt; 0), CONCATENATE("Toev MM: BMF ",_Percentage_0," %"),"")</f>
        <v/>
      </c>
    </row>
    <row r="78" spans="1:13" x14ac:dyDescent="0.35">
      <c r="A78" s="271" t="s">
        <v>1647</v>
      </c>
      <c r="B78" s="660" t="str">
        <f>IF(AND(INDEX(LijstenLijstVoeding,_Voeding,14)="MM",_Toevoeging_1 &gt; 1,_Percentage_1 &gt; 0), CONCATENATE("Toev MM: ",INDEX(_VoedingToevoegingenMoedermelk,_Toevoeging_1,1)," ",_Percentage_1," %"),"")</f>
        <v/>
      </c>
    </row>
    <row r="79" spans="1:13" x14ac:dyDescent="0.35">
      <c r="A79" s="271" t="s">
        <v>1648</v>
      </c>
      <c r="B79" s="660" t="str">
        <f>IF(AND(INDEX(LijstenLijstVoeding,_Voeding,14)="MM",_Toevoeging_2 &gt; 1,_Percentage_2 &gt; 0), CONCATENATE("Toev MM: ",INDEX(_VoedingToevoegingenMoedermelk,_Toevoeging_2,1)," ",_Percentage_2," %"),"")</f>
        <v/>
      </c>
    </row>
    <row r="80" spans="1:13" x14ac:dyDescent="0.35">
      <c r="A80" s="271" t="s">
        <v>1649</v>
      </c>
      <c r="B80" s="660" t="str">
        <f>IF(AND(INDEX(LijstenLijstVoeding,_Voeding,14)="MM",_Toevoeging_3 &gt; 1,_Percentage_3 &gt; 0), CONCATENATE("Toev MM: ",INDEX(_VoedingToevoegingenMoedermelk,_Toevoeging_3,1)," ",_Percentage_3," %"),"")</f>
        <v/>
      </c>
    </row>
    <row r="81" spans="1:7" x14ac:dyDescent="0.35">
      <c r="A81" s="271" t="s">
        <v>1650</v>
      </c>
      <c r="B81" s="660" t="str">
        <f>IF(AND(INDEX(LijstenLijstVoeding,_Voeding,14)="MM",_Toevoeging_4 &gt; 1,_Percentage_4 &gt; 0), CONCATENATE("Toev MM: ",INDEX(_VoedingToevoegingenMoedermelk,_Toevoeging_4,1)," ",_Percentage_4," %"),"")</f>
        <v/>
      </c>
    </row>
    <row r="82" spans="1:7" x14ac:dyDescent="0.35">
      <c r="A82" s="271" t="s">
        <v>1651</v>
      </c>
      <c r="B82" s="660" t="str">
        <f>IF(AND(INDEX(LijstenLijstVoeding,_Voeding,14)="KV",_Toevoeging_5 &gt; 1,_Percentage_5 &gt; 0), CONCATENATE("Toev KV: ",INDEX(_VoedingToevoegingenKunstvoeding,_Toevoeging_5,1)," ",_Percentage_5," %"),"")</f>
        <v/>
      </c>
    </row>
    <row r="83" spans="1:7" x14ac:dyDescent="0.35">
      <c r="A83" s="660" t="s">
        <v>1991</v>
      </c>
      <c r="B83" s="660" t="str">
        <f>IF(AND(INDEX(LijstenLijstVoeding,_Voeding,14)="KV",_Toevoeging_6 &gt; 1,_Percentage_6 &gt; 0), CONCATENATE("Toev KV: ",INDEX(_VoedingToevoegingenKunstvoeding,_Toevoeging_6,1)," ",_Percentage_6," %"),"")</f>
        <v/>
      </c>
    </row>
    <row r="84" spans="1:7" x14ac:dyDescent="0.35">
      <c r="A84" s="660" t="s">
        <v>1992</v>
      </c>
      <c r="B84" s="660" t="str">
        <f>IF(AND(INDEX(LijstenLijstVoeding,_Voeding,14)="KV",_Toevoeging_7 &gt; 1,_Percentage_7 &gt; 0), CONCATENATE("Toev KV: ",INDEX(_VoedingToevoegingenKunstvoeding,_Toevoeging_7,1)," ",_Percentage_7," %"),"")</f>
        <v/>
      </c>
    </row>
    <row r="85" spans="1:7" x14ac:dyDescent="0.35">
      <c r="A85" s="660" t="s">
        <v>1993</v>
      </c>
      <c r="B85" s="660" t="str">
        <f>IF(AND(INDEX(LijstenLijstVoeding,_Voeding,14)="KV",_Toevoeging_8 &gt; 1,_Percentage_8 &gt; 0), CONCATENATE("Toev KV: ",INDEX(_VoedingToevoegingenKunstvoeding,_Toevoeging_8,1)," ",_Percentage_8," %"),"")</f>
        <v/>
      </c>
    </row>
    <row r="86" spans="1:7" x14ac:dyDescent="0.35">
      <c r="A86" s="660" t="s">
        <v>1994</v>
      </c>
      <c r="B86" s="271" t="str">
        <f ca="1">IF(Afspraken!E28&gt;0,CONCATENATE(Afspraken!B28," ",Afspraken!E28," ",Afspraken!F28),"")</f>
        <v/>
      </c>
    </row>
    <row r="87" spans="1:7" x14ac:dyDescent="0.35">
      <c r="A87" s="660" t="s">
        <v>1995</v>
      </c>
      <c r="B87" s="271" t="str">
        <f>CONCATENATE(Afspraken!B19,": ",IF(Berekeningen!B15=1,"Ja","Nee"))</f>
        <v>Fototherapie: Nee</v>
      </c>
    </row>
    <row r="90" spans="1:7" x14ac:dyDescent="0.35">
      <c r="A90" s="518" t="s">
        <v>2283</v>
      </c>
      <c r="B90" s="271" t="str">
        <f>IF(Berekeningen!B20&gt;1,INDEX(Medicamenten,Berekeningen!B20, 1)&amp;" "&amp;Afspraken!C32&amp;" "&amp;Afspraken!D32&amp;" "&amp; INDEX(Opl,Berekeningen!E20,1)&amp;" " &amp; Afspraken!G32&amp;" (="&amp;Afspraken!H32&amp;" "&amp;Afspraken!I32&amp;"), inlooptijd: "&amp;Afspraken!N32,"")</f>
        <v/>
      </c>
    </row>
    <row r="91" spans="1:7" x14ac:dyDescent="0.35">
      <c r="A91" s="518" t="s">
        <v>2283</v>
      </c>
      <c r="B91" s="821" t="str">
        <f>IF(Berekeningen!B21&gt;1,INDEX(Medicamenten,Berekeningen!B21, 1)&amp;" "&amp;Afspraken!C33&amp;" "&amp;Afspraken!D33&amp;" "&amp; INDEX(Opl,Berekeningen!E21,1)&amp;" " &amp; Afspraken!G33&amp;" (="&amp;Afspraken!H33&amp;" "&amp;Afspraken!I33&amp;"), inlooptijd: "&amp;Afspraken!N33,"")</f>
        <v/>
      </c>
    </row>
    <row r="92" spans="1:7" x14ac:dyDescent="0.35">
      <c r="A92" s="518" t="s">
        <v>2283</v>
      </c>
      <c r="B92" s="821" t="str">
        <f>IF(Berekeningen!B22&gt;1,INDEX(Medicamenten,Berekeningen!B22, 1)&amp;" "&amp;Afspraken!C34&amp;" "&amp;Afspraken!D34&amp;" "&amp; INDEX(Opl,Berekeningen!E22,1)&amp;" " &amp; Afspraken!G34&amp;" (="&amp;Afspraken!H34&amp;" "&amp;Afspraken!I34&amp;"), inlooptijd: "&amp;Afspraken!N34,"")</f>
        <v/>
      </c>
      <c r="G92" s="821"/>
    </row>
    <row r="93" spans="1:7" x14ac:dyDescent="0.35">
      <c r="A93" s="518" t="s">
        <v>2283</v>
      </c>
      <c r="B93" s="821" t="str">
        <f>IF(Berekeningen!B23&gt;1,INDEX(Medicamenten,Berekeningen!B23, 1)&amp;" "&amp;Afspraken!C35&amp;" "&amp;Afspraken!D35&amp;" "&amp; INDEX(Opl,Berekeningen!E23,1)&amp;" " &amp; Afspraken!G35&amp;" (="&amp;Afspraken!H35&amp;" "&amp;Afspraken!I35&amp;"), inlooptijd: "&amp;Afspraken!N35,"")</f>
        <v/>
      </c>
      <c r="G93" s="821"/>
    </row>
    <row r="94" spans="1:7" x14ac:dyDescent="0.35">
      <c r="A94" s="518" t="s">
        <v>2283</v>
      </c>
      <c r="B94" s="821" t="str">
        <f>IF(Berekeningen!B24&gt;1,INDEX(Medicamenten,Berekeningen!B24, 1)&amp;" "&amp;Afspraken!C36&amp;" "&amp;Afspraken!D36&amp;" "&amp; INDEX(Opl,Berekeningen!E24,1)&amp;" " &amp; Afspraken!G36&amp;" (="&amp;Afspraken!H36&amp;" "&amp;Afspraken!I36&amp;"), inlooptijd: "&amp;Afspraken!N36,"")</f>
        <v/>
      </c>
      <c r="G94" s="821"/>
    </row>
    <row r="95" spans="1:7" x14ac:dyDescent="0.35">
      <c r="A95" s="518" t="s">
        <v>2283</v>
      </c>
      <c r="B95" s="821" t="str">
        <f>IF(Berekeningen!B25&gt;1,INDEX(Medicamenten,Berekeningen!B25, 1)&amp;" "&amp;Afspraken!C37&amp;" "&amp;Afspraken!D37&amp;" "&amp; INDEX(Opl,Berekeningen!E25,1)&amp;" " &amp; Afspraken!G37&amp;" (="&amp;Afspraken!H37&amp;" "&amp;Afspraken!I37&amp;"), inlooptijd: "&amp;Afspraken!N37,"")</f>
        <v/>
      </c>
      <c r="G95" s="821"/>
    </row>
    <row r="96" spans="1:7" x14ac:dyDescent="0.35">
      <c r="A96" s="518" t="s">
        <v>2283</v>
      </c>
      <c r="B96" s="821" t="str">
        <f>IF(Berekeningen!B26&gt;1,INDEX(Medicamenten,Berekeningen!B26, 1)&amp;" "&amp;Afspraken!C38&amp;" "&amp;Afspraken!D38&amp;" "&amp; INDEX(Opl,Berekeningen!E26,1)&amp;" " &amp; Afspraken!G38&amp;" (="&amp;Afspraken!H38&amp;" "&amp;Afspraken!I38&amp;"), inlooptijd: "&amp;Afspraken!N38,"")</f>
        <v/>
      </c>
      <c r="G96" s="821"/>
    </row>
    <row r="97" spans="1:7" x14ac:dyDescent="0.35">
      <c r="A97" s="518" t="s">
        <v>2283</v>
      </c>
      <c r="B97" s="821" t="str">
        <f>IF(Berekeningen!B27&gt;1,INDEX(Medicamenten,Berekeningen!B27, 1)&amp;" "&amp;Afspraken!C39&amp;" "&amp;Afspraken!D39&amp;" "&amp; INDEX(Opl,Berekeningen!E27,1)&amp;" " &amp; Afspraken!G39&amp;" (="&amp;Afspraken!H39&amp;" "&amp;Afspraken!I39&amp;"), inlooptijd: "&amp;Afspraken!N39,"")</f>
        <v/>
      </c>
      <c r="G97" s="821"/>
    </row>
    <row r="98" spans="1:7" x14ac:dyDescent="0.35">
      <c r="A98" s="518" t="s">
        <v>2283</v>
      </c>
      <c r="B98" s="821" t="str">
        <f>IF(Berekeningen!B28&gt;1,INDEX(Medicamenten,Berekeningen!B28, 1)&amp;" "&amp;Afspraken!C40&amp;" "&amp;Afspraken!D40&amp;" "&amp; INDEX(Opl,Berekeningen!E28,1)&amp;" " &amp; Afspraken!G40&amp;" (="&amp;Afspraken!H40&amp;" "&amp;Afspraken!I40&amp;"), inlooptijd: "&amp;Afspraken!N40,"")</f>
        <v/>
      </c>
      <c r="G98" s="821"/>
    </row>
    <row r="99" spans="1:7" x14ac:dyDescent="0.35">
      <c r="A99" s="518" t="s">
        <v>2283</v>
      </c>
      <c r="B99" s="821" t="str">
        <f>IF(Berekeningen!E29&lt;&gt;0, Afspraken!B42&amp;": "&amp; INDEX(Opl,Berekeningen!$E29,1)&amp;" " &amp; Afspraken!G42,"")</f>
        <v/>
      </c>
      <c r="G99" s="821"/>
    </row>
    <row r="100" spans="1:7" x14ac:dyDescent="0.35">
      <c r="A100" s="518" t="s">
        <v>2283</v>
      </c>
      <c r="B100" s="821" t="str">
        <f>IF(Berekeningen!E30&lt;&gt;0, Afspraken!B43&amp;": "&amp; INDEX(Opl,Berekeningen!$E30,1)&amp;" " &amp; Afspraken!G43,"")</f>
        <v/>
      </c>
      <c r="G100" s="821"/>
    </row>
    <row r="101" spans="1:7" x14ac:dyDescent="0.35">
      <c r="A101" s="518" t="s">
        <v>2283</v>
      </c>
      <c r="B101" s="821" t="str">
        <f>IF(Berekeningen!E31&lt;&gt;0, Afspraken!B44&amp;": "&amp; INDEX(Opl,Berekeningen!$E31,1)&amp;" " &amp; Afspraken!G44,"")</f>
        <v/>
      </c>
      <c r="G101" s="821"/>
    </row>
    <row r="102" spans="1:7" x14ac:dyDescent="0.35">
      <c r="A102" s="518" t="s">
        <v>2283</v>
      </c>
      <c r="B102" s="271" t="str">
        <f>IF(Berekeningen!B32="","",Berekeningen!B32)</f>
        <v/>
      </c>
      <c r="G102" s="821"/>
    </row>
    <row r="103" spans="1:7" x14ac:dyDescent="0.35">
      <c r="A103" s="518" t="s">
        <v>2283</v>
      </c>
      <c r="B103" s="821" t="str">
        <f>IF(Berekeningen!B33="","",Berekeningen!B33)</f>
        <v/>
      </c>
      <c r="G103" s="821"/>
    </row>
    <row r="104" spans="1:7" x14ac:dyDescent="0.35">
      <c r="A104" s="518" t="s">
        <v>2283</v>
      </c>
      <c r="B104" s="271" t="str">
        <f ca="1">IF(Berekeningen!C35&lt;&gt;0,CONCATENATE("Intralipid 20% (incl.vitintra) ",ROUNDUP(Berekeningen!C35/24,1)," ml/uur"),"")</f>
        <v/>
      </c>
      <c r="G104" s="821"/>
    </row>
    <row r="105" spans="1:7" x14ac:dyDescent="0.35">
      <c r="A105" s="518" t="s">
        <v>2283</v>
      </c>
      <c r="B105" s="271" t="str">
        <f ca="1">IF(_WerkbriefActueelTPNStand&lt;&gt;"",CONCATENATE("TPN: ",_WerkbriefActueelTPNStand, " ml/uur"),"")</f>
        <v/>
      </c>
      <c r="G105" s="821"/>
    </row>
    <row r="106" spans="1:7" x14ac:dyDescent="0.35">
      <c r="A106" s="518" t="s">
        <v>2283</v>
      </c>
      <c r="B106" s="271" t="str">
        <f ca="1">IF(_WerkbriefActueelTPNStand&lt;&gt;"",CONCATENATE("TPN Totaal: ",_WerkbriefActueelTPNTotaalGeheel,",",  ROUND(_WerkbriefActueelTPNTotaalBreuk,0), " ml"),"")</f>
        <v/>
      </c>
      <c r="G106" s="821"/>
    </row>
    <row r="107" spans="1:7" x14ac:dyDescent="0.35">
      <c r="A107" s="518" t="s">
        <v>2283</v>
      </c>
      <c r="B107" s="271" t="str">
        <f ca="1">IF(OR(_WerkbriefActueelTPNNaClGeheel&lt;&gt;"",_WerkbriefActueelTPNNaClBreuk&lt;&gt;""),CONCATENATE(_WerkbriefActueelTPNNaCLTekst," ",_WerkbriefActueelTPNNaClGeheel,",", _WerkbriefActueelTPNNaClBreuk, " ml"),"")</f>
        <v/>
      </c>
      <c r="G107" s="821"/>
    </row>
    <row r="108" spans="1:7" x14ac:dyDescent="0.35">
      <c r="A108" s="518" t="s">
        <v>2283</v>
      </c>
      <c r="B108" s="271" t="str">
        <f ca="1">IF(OR(_WerkbriefActueelTPNKacetaatGeheel&lt;&gt;"",_WerkbriefActueelTPNKacetaatBreuk&lt;&gt;""),CONCATENATE(_WerkbriefActueelTPNKacetaatTekst," ",_WerkbriefActueelTPNKacetaatGeheel,",", _WerkbriefActueelTPNKacetaatBreuk, " ml"),"")</f>
        <v/>
      </c>
      <c r="G108" s="821"/>
    </row>
    <row r="109" spans="1:7" x14ac:dyDescent="0.35">
      <c r="A109" s="518" t="s">
        <v>2283</v>
      </c>
      <c r="B109" s="271" t="str">
        <f ca="1">IF(OR(_WerkbriefActueelTPNCaClGeheel&lt;&gt;"",_WerkbriefActueelTPNCaClBreuk&lt;&gt;""),CONCATENATE(_WerkbriefActueelTPNCaClTekst," ",_WerkbriefActueelTPNCaClGeheel,",", _WerkbriefActueelTPNCaClBreuk, " ml"),"")</f>
        <v/>
      </c>
      <c r="G109" s="821"/>
    </row>
    <row r="110" spans="1:7" x14ac:dyDescent="0.35">
      <c r="A110" s="518" t="s">
        <v>2283</v>
      </c>
      <c r="B110" s="271" t="str">
        <f ca="1">IF(OR(_WerkbriefActueelTPNMgClGeheel&lt;&gt;"",_WerkbriefActueelTPNMgClBreuk&lt;&gt;""),CONCATENATE(_WerkbriefActueelTPNMgClTekst," ",_WerkbriefActueelTPNMgClGeheel,",", _WerkbriefActueelTPNMgClBreuk, " ml"),"")</f>
        <v/>
      </c>
      <c r="G110" s="821"/>
    </row>
    <row r="111" spans="1:7" x14ac:dyDescent="0.35">
      <c r="A111" s="518" t="s">
        <v>2283</v>
      </c>
      <c r="B111" s="271" t="str">
        <f ca="1">IF(OR(_WerkbriefActueelTPNSoluvitGeheel&lt;&gt;"",_WerkbriefActueelTPNSoluvitBreuk&lt;&gt;""),CONCATENATE(_WerkbriefActueelTPNSoluvitTekst," ",_WerkbriefActueelTPNSoluvitGeheel,",", _WerkbriefActueelTPNSoluvitBreuk, " ml"),"")</f>
        <v/>
      </c>
      <c r="G111" s="821"/>
    </row>
    <row r="112" spans="1:7" x14ac:dyDescent="0.35">
      <c r="A112" s="518" t="s">
        <v>2283</v>
      </c>
      <c r="B112" s="271" t="str">
        <f ca="1">IF(OR(_WerkbriefActueelTPNPrimeneGeheel&lt;&gt;"",_WerkbriefActueelTPNPrimeneBreuk&lt;&gt;""),CONCATENATE(_WerkbriefActueelTPNPrimeneTekst," ",_WerkbriefActueelTPNPrimeneGeheel,",", _WerkbriefActueelTPNPrimeneBreuk, " ml"),"")</f>
        <v/>
      </c>
      <c r="G112" s="821"/>
    </row>
    <row r="113" spans="1:7" x14ac:dyDescent="0.35">
      <c r="A113" s="518" t="s">
        <v>2283</v>
      </c>
      <c r="B113" s="271" t="str">
        <f>IF(OR(_WerkbriefActueelTPNNICUmixGeheel&lt;&gt;"",_WerkbriefActueelTPNNICUmixBreuk&lt;&gt;""),CONCATENATE(_WerkbriefActueelTPNNICUmixTekst," ",_WerkbriefActueelTPNNICUmixGeheel,",", _WerkbriefActueelTPNNICUmixBreuk, " ml"),"")</f>
        <v/>
      </c>
      <c r="G113" s="821"/>
    </row>
    <row r="114" spans="1:7" x14ac:dyDescent="0.35">
      <c r="A114" s="518" t="s">
        <v>2283</v>
      </c>
      <c r="B114" s="271" t="str">
        <f>IF(OR(_WerkbriefActueelTPNSamBGeheel&lt;&gt;"",_WerkbriefActueelTPNSamBBreuk&lt;&gt;""),CONCATENATE(_WerkbriefActueelTPNSamBTekst," ",_WerkbriefActueelTPNSamBGeheel,",", _WerkbriefActueelTPNSamBBreuk, " ml"),"")</f>
        <v/>
      </c>
      <c r="G114" s="821"/>
    </row>
    <row r="115" spans="1:7" x14ac:dyDescent="0.35">
      <c r="A115" s="518" t="s">
        <v>2283</v>
      </c>
      <c r="B115" s="271" t="str">
        <f>IF(OR(_WerkbriefActueelTPNGlucGeheel&lt;&gt;"",_WerkbriefActueelTPNGlucBreuk&lt;&gt;""),CONCATENATE(_WerkbriefActueelTPNGlucTekst," ",_WerkbriefActueelTPNGlucGeheel,",", ROUND(_WerkbriefActueelTPNGlucBreuk,2), " ml"),"")</f>
        <v/>
      </c>
      <c r="G115" s="821"/>
    </row>
    <row r="116" spans="1:7" x14ac:dyDescent="0.35">
      <c r="A116" s="518" t="s">
        <v>2283</v>
      </c>
      <c r="B116" s="271" t="str">
        <f>IF(_WerkbriefIntravasaleToegangStand&lt;&gt;"",CONCATENATE(_WerkbriefIntravasaleToegangTekst," ",_WerkbriefIntravasaleToegangStand, " ml/uur"),"")</f>
        <v/>
      </c>
      <c r="G116" s="821"/>
    </row>
  </sheetData>
  <pageMargins left="0.21" right="0.23" top="0.17" bottom="0.16" header="0.17" footer="0.16"/>
  <pageSetup paperSize="9" orientation="landscape" r:id="rId1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WerkBriefActueel">
    <tabColor rgb="FF92D050"/>
  </sheetPr>
  <dimension ref="A1:R57"/>
  <sheetViews>
    <sheetView workbookViewId="0"/>
  </sheetViews>
  <sheetFormatPr defaultColWidth="5.73046875" defaultRowHeight="12.85" x14ac:dyDescent="0.35"/>
  <cols>
    <col min="1" max="12" width="5.73046875" style="321"/>
    <col min="13" max="14" width="7.86328125" style="321" customWidth="1"/>
    <col min="15" max="16384" width="5.73046875" style="321"/>
  </cols>
  <sheetData>
    <row r="1" spans="1:16" x14ac:dyDescent="0.35">
      <c r="A1" s="596" t="s">
        <v>1017</v>
      </c>
      <c r="L1" s="321" t="s">
        <v>1002</v>
      </c>
      <c r="M1" s="322">
        <f>_Bed</f>
        <v>0</v>
      </c>
    </row>
    <row r="2" spans="1:16" ht="13.2" x14ac:dyDescent="0.4">
      <c r="A2" s="321" t="s">
        <v>1018</v>
      </c>
      <c r="C2" s="323" t="str">
        <f>_VoorNaam&amp;" "&amp;_AchterNaam</f>
        <v>Voornaam Achternaam</v>
      </c>
      <c r="G2" s="321" t="s">
        <v>1019</v>
      </c>
      <c r="I2" s="936">
        <f ca="1">TODAY()</f>
        <v>42722</v>
      </c>
      <c r="J2" s="936"/>
      <c r="K2" s="936"/>
      <c r="L2" s="321" t="s">
        <v>1020</v>
      </c>
      <c r="M2" s="937">
        <f ca="1">NOW()</f>
        <v>42722.539963194446</v>
      </c>
      <c r="N2" s="937"/>
    </row>
    <row r="3" spans="1:16" ht="13.2" x14ac:dyDescent="0.4">
      <c r="A3" s="321" t="s">
        <v>1021</v>
      </c>
      <c r="C3" s="323">
        <f>_Gewicht</f>
        <v>10</v>
      </c>
      <c r="D3" s="321" t="s">
        <v>62</v>
      </c>
      <c r="I3" s="824"/>
      <c r="J3" s="824"/>
      <c r="K3" s="824"/>
      <c r="M3" s="325"/>
      <c r="N3" s="325"/>
    </row>
    <row r="4" spans="1:16" ht="13.2" x14ac:dyDescent="0.4">
      <c r="G4" s="321" t="s">
        <v>1022</v>
      </c>
      <c r="I4" s="323" t="str">
        <f>IF(_Arts&gt;0,_Arts,"")</f>
        <v/>
      </c>
      <c r="L4" s="321" t="s">
        <v>1023</v>
      </c>
      <c r="M4" s="326"/>
      <c r="N4" s="326"/>
      <c r="O4" s="326"/>
      <c r="P4" s="326"/>
    </row>
    <row r="5" spans="1:16" ht="13.2" x14ac:dyDescent="0.4">
      <c r="A5" s="327" t="s">
        <v>388</v>
      </c>
      <c r="B5" s="328"/>
      <c r="C5" s="329" t="s">
        <v>1024</v>
      </c>
      <c r="D5" s="329"/>
      <c r="E5" s="329"/>
      <c r="F5" s="329"/>
      <c r="G5" s="329"/>
      <c r="H5" s="330">
        <f ca="1">Afspraken!E28</f>
        <v>0</v>
      </c>
      <c r="I5" s="329" t="s">
        <v>365</v>
      </c>
      <c r="J5" s="329"/>
      <c r="K5" s="329"/>
      <c r="L5" s="329"/>
      <c r="M5" s="938" t="s">
        <v>1025</v>
      </c>
      <c r="N5" s="939"/>
      <c r="O5" s="331" t="s">
        <v>1026</v>
      </c>
      <c r="P5" s="332"/>
    </row>
    <row r="6" spans="1:16" ht="15.1" x14ac:dyDescent="0.4">
      <c r="A6" s="604" t="str">
        <f>IF(M6&lt;&gt;"",M6/24,"")</f>
        <v/>
      </c>
      <c r="B6" s="328"/>
      <c r="C6" s="327" t="str">
        <f>Afspraken!B30</f>
        <v>Arterielijn: 12 ml NaCl 0,45% + hep. (5EH/ml)</v>
      </c>
      <c r="D6" s="334"/>
      <c r="E6" s="334"/>
      <c r="F6" s="334"/>
      <c r="G6" s="334"/>
      <c r="H6" s="334"/>
      <c r="I6" s="334"/>
      <c r="J6" s="334"/>
      <c r="K6" s="334"/>
      <c r="L6" s="328"/>
      <c r="M6" s="335" t="str">
        <f>IF(24*Berekeningen!B18&gt;0,TRUNC(24*Berekeningen!B18/10),"")</f>
        <v/>
      </c>
      <c r="N6" s="335" t="str">
        <f>IF(Berekeningen!B18&gt;0,(24*Berekeningen!B18/10-M6)*10,"")</f>
        <v/>
      </c>
      <c r="O6" s="331" t="str">
        <f>IF(Berekeningen!K18,"extra","")</f>
        <v/>
      </c>
      <c r="P6" s="332"/>
    </row>
    <row r="7" spans="1:16" ht="15.1" x14ac:dyDescent="0.4">
      <c r="A7" s="333"/>
      <c r="B7" s="334"/>
      <c r="C7" s="334"/>
      <c r="D7" s="334"/>
      <c r="E7" s="334"/>
      <c r="F7" s="334"/>
      <c r="G7" s="334"/>
      <c r="H7" s="334"/>
      <c r="I7" s="334"/>
      <c r="J7" s="334"/>
      <c r="K7" s="334"/>
      <c r="L7" s="334"/>
      <c r="M7" s="336"/>
      <c r="N7" s="336"/>
      <c r="O7" s="331"/>
      <c r="P7" s="332"/>
    </row>
    <row r="8" spans="1:16" ht="15.1" x14ac:dyDescent="0.4">
      <c r="A8" s="337" t="str">
        <f ca="1">IF(M17&lt;&gt;"",IF(ROUND((M17+N17/100)/24,1)&gt;0,ROUND((M17+N17/100)/24,1),""),"")</f>
        <v/>
      </c>
      <c r="B8" s="331"/>
      <c r="C8" s="338"/>
      <c r="D8" s="339"/>
      <c r="E8" s="339"/>
      <c r="F8" s="339"/>
      <c r="G8" s="339"/>
      <c r="H8" s="339" t="s">
        <v>66</v>
      </c>
      <c r="I8" s="339"/>
      <c r="J8" s="339"/>
      <c r="K8" s="339"/>
      <c r="L8" s="340"/>
      <c r="M8" s="341" t="str">
        <f ca="1">IF(Berekeningen!$L$37&gt;0,IF(_DagKeuze&lt;&gt;2,TRUNC(Berekeningen!$C$37),0),"")</f>
        <v/>
      </c>
      <c r="N8" s="342" t="str">
        <f ca="1">IF(Berekeningen!$L$37&gt;0,IF(_DagKeuze1700&lt;&gt;2,(Berekeningen!$C$37-M8)*100,0),"")</f>
        <v/>
      </c>
      <c r="O8" s="331"/>
      <c r="P8" s="332"/>
    </row>
    <row r="9" spans="1:16" ht="14.7" x14ac:dyDescent="0.35">
      <c r="A9" s="343"/>
      <c r="B9" s="331"/>
      <c r="C9" s="327"/>
      <c r="D9" s="334"/>
      <c r="E9" s="334"/>
      <c r="F9" s="334"/>
      <c r="G9" s="334"/>
      <c r="H9" s="334" t="s">
        <v>1027</v>
      </c>
      <c r="I9" s="334"/>
      <c r="J9" s="334"/>
      <c r="K9" s="334"/>
      <c r="L9" s="328"/>
      <c r="M9" s="344" t="str">
        <f ca="1">IF(Berekeningen!$L$38&gt;0,IF(_DagKeuze1700&lt;&gt;2,TRUNC(Berekeningen!$C$38),0),"")</f>
        <v/>
      </c>
      <c r="N9" s="335" t="str">
        <f ca="1">IF(Berekeningen!$L$38&gt;0,IF(_DagKeuze1700&lt;&gt;2,(Berekeningen!$C$38-M9)*100,0),"")</f>
        <v/>
      </c>
      <c r="O9" s="331"/>
      <c r="P9" s="332"/>
    </row>
    <row r="10" spans="1:16" ht="14.7" x14ac:dyDescent="0.35">
      <c r="A10" s="343"/>
      <c r="B10" s="331"/>
      <c r="C10" s="338"/>
      <c r="D10" s="339"/>
      <c r="E10" s="339"/>
      <c r="F10" s="339"/>
      <c r="G10" s="339"/>
      <c r="H10" s="339" t="s">
        <v>898</v>
      </c>
      <c r="I10" s="339"/>
      <c r="J10" s="339"/>
      <c r="K10" s="339"/>
      <c r="L10" s="340"/>
      <c r="M10" s="341" t="str">
        <f ca="1">IF(Berekeningen!$L$39&gt;0,TRUNC(Berekeningen!$C$39),"")</f>
        <v/>
      </c>
      <c r="N10" s="342" t="str">
        <f ca="1">IF(Berekeningen!$L$39&gt;0,IF(_DagKeuze1700=1,Berekeningen!$C$39-M10,0),"")</f>
        <v/>
      </c>
      <c r="O10" s="331"/>
      <c r="P10" s="332"/>
    </row>
    <row r="11" spans="1:16" ht="14.7" x14ac:dyDescent="0.35">
      <c r="A11" s="343"/>
      <c r="B11" s="331"/>
      <c r="C11" s="327"/>
      <c r="D11" s="334"/>
      <c r="E11" s="334"/>
      <c r="F11" s="334"/>
      <c r="G11" s="334"/>
      <c r="H11" s="334" t="s">
        <v>899</v>
      </c>
      <c r="I11" s="334"/>
      <c r="J11" s="334"/>
      <c r="K11" s="334"/>
      <c r="L11" s="328"/>
      <c r="M11" s="344" t="str">
        <f ca="1">IF(Berekeningen!$L$40&gt;0,TRUNC(Berekeningen!$C$40),"")</f>
        <v/>
      </c>
      <c r="N11" s="335" t="str">
        <f ca="1">IF(Berekeningen!$L$40&gt;0,IF(_DagKeuze1700=1,(Berekeningen!$C$40-M11)*100,0),"")</f>
        <v/>
      </c>
      <c r="O11" s="331"/>
      <c r="P11" s="332"/>
    </row>
    <row r="12" spans="1:16" ht="14.7" x14ac:dyDescent="0.35">
      <c r="A12" s="343"/>
      <c r="B12" s="331"/>
      <c r="C12" s="338"/>
      <c r="D12" s="339"/>
      <c r="E12" s="339"/>
      <c r="F12" s="339"/>
      <c r="G12" s="339"/>
      <c r="H12" s="339" t="s">
        <v>435</v>
      </c>
      <c r="I12" s="339"/>
      <c r="J12" s="339"/>
      <c r="K12" s="339"/>
      <c r="L12" s="340"/>
      <c r="M12" s="341" t="str">
        <f ca="1">IF(Berekeningen!$L$41&gt;0,TRUNC(Berekeningen!$C$41),"")</f>
        <v/>
      </c>
      <c r="N12" s="342" t="str">
        <f ca="1">IF(Berekeningen!$L$41&gt;0,IF(_DagKeuze1700=1,(Berekeningen!$C$41-M12)*100,0),"")</f>
        <v/>
      </c>
      <c r="O12" s="331"/>
      <c r="P12" s="332"/>
    </row>
    <row r="13" spans="1:16" ht="14.7" x14ac:dyDescent="0.35">
      <c r="A13" s="343"/>
      <c r="B13" s="331"/>
      <c r="C13" s="327"/>
      <c r="D13" s="334"/>
      <c r="E13" s="334"/>
      <c r="F13" s="334"/>
      <c r="G13" s="334"/>
      <c r="H13" s="334" t="s">
        <v>1028</v>
      </c>
      <c r="I13" s="334"/>
      <c r="J13" s="334"/>
      <c r="K13" s="334"/>
      <c r="L13" s="328"/>
      <c r="M13" s="344" t="str">
        <f ca="1">IF(Berekeningen!$L$42&gt;0,TRUNC(Berekeningen!$C$42),"")</f>
        <v/>
      </c>
      <c r="N13" s="335" t="str">
        <f ca="1">IF(Berekeningen!$L$42&gt;0,IF(_DagKeuze1700&lt;&gt;1,(Berekeningen!$C$42-M13)*100,0),"")</f>
        <v/>
      </c>
      <c r="O13" s="331"/>
      <c r="P13" s="332"/>
    </row>
    <row r="14" spans="1:16" ht="14.7" x14ac:dyDescent="0.35">
      <c r="A14" s="343"/>
      <c r="B14" s="331"/>
      <c r="C14" s="338"/>
      <c r="D14" s="339"/>
      <c r="E14" s="339"/>
      <c r="F14" s="339"/>
      <c r="G14" s="339"/>
      <c r="H14" s="339" t="s">
        <v>1029</v>
      </c>
      <c r="I14" s="339"/>
      <c r="J14" s="339"/>
      <c r="K14" s="339"/>
      <c r="L14" s="340"/>
      <c r="M14" s="341" t="str">
        <f>IF(_DagKeuze=2,TRUNC(Berekeningen!$C$43),"")</f>
        <v/>
      </c>
      <c r="N14" s="342" t="str">
        <f>IF(_DagKeuze=2,(Berekeningen!$C$43-M14)*100,"")</f>
        <v/>
      </c>
      <c r="O14" s="331"/>
      <c r="P14" s="332"/>
    </row>
    <row r="15" spans="1:16" ht="14.7" x14ac:dyDescent="0.35">
      <c r="A15" s="343"/>
      <c r="B15" s="331"/>
      <c r="C15" s="327"/>
      <c r="D15" s="334"/>
      <c r="E15" s="334"/>
      <c r="F15" s="334"/>
      <c r="G15" s="334"/>
      <c r="H15" s="334" t="s">
        <v>686</v>
      </c>
      <c r="I15" s="334"/>
      <c r="J15" s="334"/>
      <c r="K15" s="334"/>
      <c r="L15" s="328"/>
      <c r="M15" s="344" t="str">
        <f>IF(_DagKeuze=3,TRUNC(Berekeningen!$C$44),"")</f>
        <v/>
      </c>
      <c r="N15" s="335" t="str">
        <f>IF(_DagKeuze=3,(Berekeningen!$C$44-M15)*100,"")</f>
        <v/>
      </c>
      <c r="O15" s="331"/>
      <c r="P15" s="332"/>
    </row>
    <row r="16" spans="1:16" ht="14.7" x14ac:dyDescent="0.35">
      <c r="A16" s="338"/>
      <c r="B16" s="340"/>
      <c r="C16" s="338"/>
      <c r="D16" s="339"/>
      <c r="E16" s="339"/>
      <c r="F16" s="339"/>
      <c r="G16" s="339"/>
      <c r="H16" s="339" t="str">
        <f>INDEX(Opl,Berekeningen!D45+1,1)</f>
        <v>glucose 10%</v>
      </c>
      <c r="I16" s="339"/>
      <c r="J16" s="339"/>
      <c r="K16" s="339"/>
      <c r="L16" s="340"/>
      <c r="M16" s="341" t="str">
        <f>IF(Berekeningen!$L$45&gt;0,TRUNC(Berekeningen!$L$45),"")</f>
        <v/>
      </c>
      <c r="N16" s="342" t="str">
        <f>IF(Berekeningen!$L$45&gt;0,(Berekeningen!$L$45-M16)*100,"")</f>
        <v/>
      </c>
      <c r="O16" s="331"/>
      <c r="P16" s="332"/>
    </row>
    <row r="17" spans="1:18" ht="14.25" customHeight="1" x14ac:dyDescent="0.4">
      <c r="A17" s="329"/>
      <c r="B17" s="329"/>
      <c r="C17" s="331"/>
      <c r="D17" s="331"/>
      <c r="E17" s="331"/>
      <c r="F17" s="331"/>
      <c r="G17" s="331"/>
      <c r="H17" s="345" t="s">
        <v>242</v>
      </c>
      <c r="I17" s="345"/>
      <c r="J17" s="345"/>
      <c r="K17" s="334"/>
      <c r="L17" s="334"/>
      <c r="M17" s="344" t="str">
        <f ca="1">IF(SUM(M8:N16)&gt;0,TRUNC(SUM(M8:M16)+SUM(N8:N16)/100),"")</f>
        <v/>
      </c>
      <c r="N17" s="335" t="e">
        <f ca="1">ROUND(IF(SUM(M8:N16)&gt;0,(SUM(M8:M16)+SUM(N8:N16)/100-M17)*100,""),0)</f>
        <v>#VALUE!</v>
      </c>
      <c r="O17" s="331"/>
      <c r="P17" s="332"/>
    </row>
    <row r="18" spans="1:18" ht="14.25" customHeight="1" x14ac:dyDescent="0.4">
      <c r="A18" s="339"/>
      <c r="B18" s="339"/>
      <c r="C18" s="331"/>
      <c r="D18" s="331"/>
      <c r="E18" s="331"/>
      <c r="F18" s="331"/>
      <c r="G18" s="331"/>
      <c r="H18" s="331"/>
      <c r="I18" s="331"/>
      <c r="J18" s="346"/>
      <c r="K18" s="331"/>
      <c r="L18" s="331"/>
      <c r="M18" s="347"/>
      <c r="N18" s="348"/>
      <c r="O18" s="331"/>
      <c r="P18" s="332"/>
    </row>
    <row r="19" spans="1:18" ht="14.25" customHeight="1" x14ac:dyDescent="0.35">
      <c r="A19" s="327" t="s">
        <v>388</v>
      </c>
      <c r="B19" s="334"/>
      <c r="C19" s="328"/>
      <c r="D19" s="331"/>
      <c r="E19" s="331"/>
      <c r="F19" s="331"/>
      <c r="G19" s="331"/>
      <c r="H19" s="331"/>
      <c r="I19" s="331"/>
      <c r="J19" s="331"/>
      <c r="K19" s="331"/>
      <c r="L19" s="331"/>
      <c r="M19" s="349"/>
      <c r="N19" s="350"/>
      <c r="O19" s="331"/>
      <c r="P19" s="332"/>
    </row>
    <row r="20" spans="1:18" ht="14.25" customHeight="1" x14ac:dyDescent="0.4">
      <c r="A20" s="351" t="str">
        <f>IF(F20&lt;&gt;"",_Stand_10/10,"")</f>
        <v/>
      </c>
      <c r="B20" s="352"/>
      <c r="C20" s="353"/>
      <c r="D20" s="327" t="str">
        <f>IF(F20&lt;&gt;"","Zijlijn 1","")</f>
        <v/>
      </c>
      <c r="E20" s="334"/>
      <c r="F20" s="334" t="str">
        <f>IF(Berekeningen!E29&gt;1,INDEX(Opl,Berekeningen!E29,1),"")</f>
        <v/>
      </c>
      <c r="G20" s="334"/>
      <c r="H20" s="334"/>
      <c r="I20" s="334"/>
      <c r="J20" s="334"/>
      <c r="K20" s="334"/>
      <c r="L20" s="328"/>
      <c r="M20" s="344" t="str">
        <f>IF(F20&lt;&gt;"",TRUNC(A20*24),"")</f>
        <v/>
      </c>
      <c r="N20" s="335" t="str">
        <f>IF(F20&lt;&gt;"",((A20*24)-M20)*100,"")</f>
        <v/>
      </c>
      <c r="O20" s="331" t="str">
        <f>IF(_Extra_11,"extra","")</f>
        <v/>
      </c>
      <c r="P20" s="332"/>
    </row>
    <row r="21" spans="1:18" ht="14.25" customHeight="1" x14ac:dyDescent="0.4">
      <c r="A21" s="351" t="str">
        <f>IF(F21&lt;&gt;"",_Stand_11/10,"")</f>
        <v/>
      </c>
      <c r="B21" s="352"/>
      <c r="C21" s="353"/>
      <c r="D21" s="327" t="str">
        <f>IF(F21&lt;&gt;"","Zijlijn 2","")</f>
        <v/>
      </c>
      <c r="E21" s="334"/>
      <c r="F21" s="334" t="str">
        <f>IF(Berekeningen!E30&gt;1,INDEX(Opl,Berekeningen!E30,1),"")</f>
        <v/>
      </c>
      <c r="G21" s="334"/>
      <c r="H21" s="334"/>
      <c r="I21" s="334"/>
      <c r="J21" s="334"/>
      <c r="K21" s="334"/>
      <c r="L21" s="328"/>
      <c r="M21" s="344" t="str">
        <f>IF(F21&lt;&gt;"",TRUNC(A21*24),"")</f>
        <v/>
      </c>
      <c r="N21" s="335" t="str">
        <f>IF(F21&lt;&gt;"",((A21*24)-M21)*100,"")</f>
        <v/>
      </c>
      <c r="O21" s="331" t="str">
        <f>IF(_Extra_12,"extra","")</f>
        <v/>
      </c>
      <c r="P21" s="332"/>
    </row>
    <row r="22" spans="1:18" ht="14.25" customHeight="1" x14ac:dyDescent="0.4">
      <c r="A22" s="351" t="str">
        <f>IF(F22&lt;&gt;"",_Stand_12/10,"")</f>
        <v/>
      </c>
      <c r="B22" s="352"/>
      <c r="C22" s="353"/>
      <c r="D22" s="327" t="str">
        <f>IF(F22&lt;&gt;"","Zijlijn 3","")</f>
        <v/>
      </c>
      <c r="E22" s="334"/>
      <c r="F22" s="334" t="str">
        <f>IF(Berekeningen!E31&gt;1,INDEX(Opl,Berekeningen!E31,1),"")</f>
        <v/>
      </c>
      <c r="G22" s="334"/>
      <c r="H22" s="334"/>
      <c r="I22" s="334"/>
      <c r="J22" s="334"/>
      <c r="K22" s="334"/>
      <c r="L22" s="328"/>
      <c r="M22" s="344" t="str">
        <f>IF(F22&lt;&gt;"",TRUNC(A22*24),"")</f>
        <v/>
      </c>
      <c r="N22" s="335" t="str">
        <f>IF(F22&lt;&gt;"",((A22*24)-M22)*100,"")</f>
        <v/>
      </c>
      <c r="O22" s="331" t="str">
        <f>IF(_Extra_13,"extra","")</f>
        <v/>
      </c>
      <c r="P22" s="332"/>
    </row>
    <row r="23" spans="1:18" ht="14.25" customHeight="1" x14ac:dyDescent="0.4">
      <c r="A23" s="351" t="str">
        <f ca="1">IF(D23&lt;&gt;"",ROUNDUP(Berekeningen!C35/24,1),"")</f>
        <v/>
      </c>
      <c r="B23" s="352"/>
      <c r="C23" s="353"/>
      <c r="D23" s="327" t="str">
        <f ca="1">IF(Berekeningen!C35&lt;&gt;0,INDEX(lijstIntralipidSmof,SelectedIntralipidSmof),"")</f>
        <v/>
      </c>
      <c r="E23" s="334"/>
      <c r="F23" s="334"/>
      <c r="G23" s="334"/>
      <c r="H23" s="334"/>
      <c r="I23" s="334"/>
      <c r="J23" s="334"/>
      <c r="K23" s="334"/>
      <c r="L23" s="328"/>
      <c r="M23" s="344" t="str">
        <f ca="1">IF(D23&lt;&gt;"",TRUNC(Berekeningen!C35),"")</f>
        <v/>
      </c>
      <c r="N23" s="335" t="str">
        <f ca="1">IF(D23&lt;&gt;"",(Berekeningen!C35-M23)*100,"")</f>
        <v/>
      </c>
      <c r="O23" s="331"/>
      <c r="P23" s="332"/>
    </row>
    <row r="24" spans="1:18" ht="14.25" customHeight="1" x14ac:dyDescent="0.35">
      <c r="A24" s="334"/>
      <c r="B24" s="331"/>
      <c r="C24" s="331"/>
      <c r="D24" s="331"/>
      <c r="E24" s="331"/>
      <c r="F24" s="331"/>
      <c r="G24" s="331"/>
      <c r="H24" s="331"/>
      <c r="I24" s="331"/>
      <c r="J24" s="331"/>
      <c r="K24" s="331"/>
      <c r="L24" s="331"/>
      <c r="M24" s="354"/>
      <c r="N24" s="355"/>
      <c r="O24" s="331"/>
      <c r="P24" s="332"/>
    </row>
    <row r="25" spans="1:18" ht="14.25" customHeight="1" x14ac:dyDescent="0.35">
      <c r="A25" s="327" t="s">
        <v>388</v>
      </c>
      <c r="B25" s="328"/>
      <c r="C25" s="331"/>
      <c r="D25" s="331"/>
      <c r="E25" s="331"/>
      <c r="F25" s="331"/>
      <c r="G25" s="331"/>
      <c r="H25" s="331"/>
      <c r="I25" s="331"/>
      <c r="J25" s="331"/>
      <c r="K25" s="331"/>
      <c r="L25" s="331"/>
      <c r="M25" s="349"/>
      <c r="N25" s="350"/>
      <c r="O25" s="331"/>
      <c r="P25" s="332"/>
    </row>
    <row r="26" spans="1:18" ht="14.25" customHeight="1" x14ac:dyDescent="0.4">
      <c r="A26" s="351" t="str">
        <f>IF(Berekeningen!B20&gt;1,Berekeningen!F20/10,"")</f>
        <v/>
      </c>
      <c r="B26" s="351"/>
      <c r="C26" s="356" t="str">
        <f>IF(A26&lt;&gt;"",IF(Berekeningen!B20&gt;1,INDEX(Medicamenten,Berekeningen!B20,1),""),"")</f>
        <v/>
      </c>
      <c r="D26" s="329"/>
      <c r="E26" s="330" t="str">
        <f>IF(A26&lt;&gt;"",IF(Berekeningen!B20&gt;1,Berekeningen!C20/10,""),"")</f>
        <v/>
      </c>
      <c r="F26" s="329" t="str">
        <f>IF(_Medicament_1&lt;&gt;5,"mg","ml")</f>
        <v>mg</v>
      </c>
      <c r="G26" s="357" t="s">
        <v>1030</v>
      </c>
      <c r="H26" s="329" t="str">
        <f>IF(A26&lt;&gt;"",IF(Berekeningen!B20&gt;1,INDEX(Medicamenten,Berekeningen!B20,3),""),"")</f>
        <v/>
      </c>
      <c r="I26" s="329" t="s">
        <v>1031</v>
      </c>
      <c r="J26" s="329" t="str">
        <f>IF(A26&lt;&gt;"",IF(Berekeningen!B20&gt;1,INDEX(Medicamenten,Berekeningen!B20,4),""),"")</f>
        <v/>
      </c>
      <c r="K26" s="329" t="s">
        <v>1032</v>
      </c>
      <c r="L26" s="329"/>
      <c r="M26" s="358" t="str">
        <f>IF(A26&lt;&gt;"",TRUNC((J26/H26)*E26),"")</f>
        <v/>
      </c>
      <c r="N26" s="359" t="str">
        <f>IF(A26&lt;&gt;"",(ROUND((J26/H26)*E26,2)-M26)*100,"")</f>
        <v/>
      </c>
      <c r="O26" s="331" t="str">
        <f>IF(C26&lt;&gt;"",IF(_Extra_1,"extra",""),"")</f>
        <v/>
      </c>
      <c r="P26" s="332"/>
      <c r="R26" s="321">
        <f>Berekeningen!B20</f>
        <v>1</v>
      </c>
    </row>
    <row r="27" spans="1:18" ht="14.25" customHeight="1" x14ac:dyDescent="0.4">
      <c r="A27" s="351"/>
      <c r="B27" s="351"/>
      <c r="C27" s="343"/>
      <c r="D27" s="331"/>
      <c r="E27" s="331"/>
      <c r="F27" s="331"/>
      <c r="G27" s="360"/>
      <c r="H27" s="331"/>
      <c r="I27" s="331" t="s">
        <v>1033</v>
      </c>
      <c r="J27" s="331" t="str">
        <f>IF(A26&lt;&gt;"",IF(A26&gt;0,Print!I33,""),"")</f>
        <v/>
      </c>
      <c r="K27" s="331"/>
      <c r="L27" s="331"/>
      <c r="M27" s="361" t="str">
        <f>IF(A26&lt;&gt;"",TRUNC(M28+N28/100-M26-N26/100),"")</f>
        <v/>
      </c>
      <c r="N27" s="362" t="str">
        <f>IF(A26&lt;&gt;"",(M28+N28/100-M26-N26/100-M27)*100,"")</f>
        <v/>
      </c>
      <c r="O27" s="331"/>
      <c r="P27" s="332"/>
    </row>
    <row r="28" spans="1:18" ht="14.25" customHeight="1" x14ac:dyDescent="0.4">
      <c r="A28" s="351"/>
      <c r="B28" s="351"/>
      <c r="C28" s="338" t="str">
        <f>IF(A26&lt;&gt;"",Print!K33,"")</f>
        <v/>
      </c>
      <c r="D28" s="339"/>
      <c r="E28" s="339" t="str">
        <f>IF(A26&lt;&gt;"",Print!M33&amp;" "&amp;Print!N33,"")</f>
        <v/>
      </c>
      <c r="F28" s="339"/>
      <c r="G28" s="363"/>
      <c r="H28" s="339"/>
      <c r="I28" s="339"/>
      <c r="J28" s="364" t="s">
        <v>242</v>
      </c>
      <c r="K28" s="339"/>
      <c r="L28" s="339"/>
      <c r="M28" s="344" t="str">
        <f>IF(A26&lt;&gt;"",TRUNC(_OplHoev_1),"")</f>
        <v/>
      </c>
      <c r="N28" s="335" t="str">
        <f>IF(A26&lt;&gt;"",(_OplHoev_1-M28)*100,"")</f>
        <v/>
      </c>
      <c r="O28" s="331"/>
      <c r="P28" s="332"/>
    </row>
    <row r="29" spans="1:18" ht="14.25" customHeight="1" x14ac:dyDescent="0.4">
      <c r="A29" s="351" t="str">
        <f>IF(Berekeningen!B21&gt;1,Berekeningen!F21/10,"")</f>
        <v/>
      </c>
      <c r="B29" s="351"/>
      <c r="C29" s="356" t="str">
        <f>IF(A29&lt;&gt;"",IF(Berekeningen!B21&gt;1,INDEX(Medicamenten,Berekeningen!B21,1),""),"")</f>
        <v/>
      </c>
      <c r="D29" s="329"/>
      <c r="E29" s="330" t="str">
        <f>IF(A29&lt;&gt;"",IF(Berekeningen!B21&gt;1,Berekeningen!C21/10,""),"")</f>
        <v/>
      </c>
      <c r="F29" s="329" t="str">
        <f>IF(_Medicament_2&lt;&gt;5,"mg","ml")</f>
        <v>mg</v>
      </c>
      <c r="G29" s="357" t="s">
        <v>1030</v>
      </c>
      <c r="H29" s="329" t="str">
        <f>IF(A29&lt;&gt;"",IF(Berekeningen!B21&gt;1,INDEX(Medicamenten,Berekeningen!B21,3),""),"")</f>
        <v/>
      </c>
      <c r="I29" s="329" t="s">
        <v>1031</v>
      </c>
      <c r="J29" s="329" t="str">
        <f>IF(A29&lt;&gt;"",IF(Berekeningen!B21&gt;1,INDEX(Medicamenten,Berekeningen!B21,4),""),"")</f>
        <v/>
      </c>
      <c r="K29" s="329" t="s">
        <v>1032</v>
      </c>
      <c r="L29" s="329"/>
      <c r="M29" s="361" t="str">
        <f>IF(A29&lt;&gt;"",TRUNC((J29/H29)*E29),"")</f>
        <v/>
      </c>
      <c r="N29" s="362" t="str">
        <f>IF(A29&lt;&gt;"",(IF(A29&gt;0,ROUND((J29/H29)*E29,2),0)-M29)*100,"")</f>
        <v/>
      </c>
      <c r="O29" s="331" t="str">
        <f>IF(C29&lt;&gt;"",IF(_Extra_2,"extra",""),"")</f>
        <v/>
      </c>
      <c r="P29" s="332"/>
    </row>
    <row r="30" spans="1:18" ht="14.25" customHeight="1" x14ac:dyDescent="0.4">
      <c r="A30" s="351"/>
      <c r="B30" s="351"/>
      <c r="C30" s="343"/>
      <c r="D30" s="331"/>
      <c r="E30" s="331"/>
      <c r="F30" s="331"/>
      <c r="G30" s="360"/>
      <c r="H30" s="331"/>
      <c r="I30" s="331" t="s">
        <v>1033</v>
      </c>
      <c r="J30" s="331" t="str">
        <f>IF(A29&lt;&gt;"",IF(A29&gt;0,Print!I34,""),"")</f>
        <v/>
      </c>
      <c r="K30" s="331"/>
      <c r="L30" s="331"/>
      <c r="M30" s="361" t="str">
        <f>IF(A29&lt;&gt;"",TRUNC(IF(A29&gt;0,M31+N31/100-M29-N29/100,0)),"")</f>
        <v/>
      </c>
      <c r="N30" s="362" t="str">
        <f>IF(A29&lt;&gt;"",(IF(A29&gt;0,M31+N31/100-M29-N29/100,0)-M30)*100,"")</f>
        <v/>
      </c>
      <c r="O30" s="331"/>
      <c r="P30" s="332"/>
    </row>
    <row r="31" spans="1:18" ht="14.25" customHeight="1" x14ac:dyDescent="0.4">
      <c r="A31" s="351"/>
      <c r="B31" s="351"/>
      <c r="C31" s="338" t="str">
        <f>IF(A29&lt;&gt;"",Print!K34,"")</f>
        <v/>
      </c>
      <c r="D31" s="339"/>
      <c r="E31" s="339" t="str">
        <f>IF(A29&lt;&gt;"",Print!M34&amp;" "&amp;Print!N34,"")</f>
        <v/>
      </c>
      <c r="F31" s="339"/>
      <c r="G31" s="363"/>
      <c r="H31" s="339"/>
      <c r="I31" s="339"/>
      <c r="J31" s="364" t="s">
        <v>242</v>
      </c>
      <c r="K31" s="339"/>
      <c r="L31" s="339"/>
      <c r="M31" s="344" t="str">
        <f>IF(A29&lt;&gt;"",TRUNC(_OplHoev_2),"")</f>
        <v/>
      </c>
      <c r="N31" s="335" t="str">
        <f>IF(A29&lt;&gt;"",(_OplHoev_2-M31)*100,"")</f>
        <v/>
      </c>
      <c r="O31" s="331"/>
      <c r="P31" s="332"/>
    </row>
    <row r="32" spans="1:18" ht="14.25" customHeight="1" x14ac:dyDescent="0.4">
      <c r="A32" s="351" t="str">
        <f>IF(Berekeningen!B22&gt;1,Berekeningen!F22/10,"")</f>
        <v/>
      </c>
      <c r="B32" s="351"/>
      <c r="C32" s="356" t="str">
        <f>IF(A32&lt;&gt;"",IF(Berekeningen!B22&gt;1,INDEX(Medicamenten,Berekeningen!B22,1),""),"")</f>
        <v/>
      </c>
      <c r="D32" s="329"/>
      <c r="E32" s="330" t="str">
        <f>IF(A32&lt;&gt;"",IF(Berekeningen!B22&gt;1,Berekeningen!C22/10,""),"")</f>
        <v/>
      </c>
      <c r="F32" s="329" t="str">
        <f>IF(_Medicament_3&lt;&gt;5,"mg","ml")</f>
        <v>mg</v>
      </c>
      <c r="G32" s="357" t="s">
        <v>1030</v>
      </c>
      <c r="H32" s="329" t="str">
        <f>IF(A32&lt;&gt;"",IF(Berekeningen!B22&gt;1,INDEX(Medicamenten,Berekeningen!B22,3),""),"")</f>
        <v/>
      </c>
      <c r="I32" s="329" t="s">
        <v>1031</v>
      </c>
      <c r="J32" s="329" t="str">
        <f>IF(A32&lt;&gt;"",IF(Berekeningen!B22&gt;1,INDEX(Medicamenten,Berekeningen!B22,4),""),"")</f>
        <v/>
      </c>
      <c r="K32" s="329" t="s">
        <v>1032</v>
      </c>
      <c r="L32" s="329"/>
      <c r="M32" s="358" t="str">
        <f>IF(A32&lt;&gt;"",TRUNC((J32/H32)*E32),"")</f>
        <v/>
      </c>
      <c r="N32" s="359" t="str">
        <f>IF(A32&lt;&gt;"",(IF(A32&gt;0,ROUND((J32/H32)*E32,2),0)-M32)*100,"")</f>
        <v/>
      </c>
      <c r="O32" s="331" t="str">
        <f>IF(C32&lt;&gt;"",IF(_Extra_3,"extra",""),"")</f>
        <v/>
      </c>
      <c r="P32" s="332"/>
    </row>
    <row r="33" spans="1:16" ht="15.1" x14ac:dyDescent="0.4">
      <c r="A33" s="351"/>
      <c r="B33" s="351"/>
      <c r="C33" s="343"/>
      <c r="D33" s="331"/>
      <c r="E33" s="331"/>
      <c r="F33" s="331"/>
      <c r="G33" s="360"/>
      <c r="H33" s="331"/>
      <c r="I33" s="331" t="s">
        <v>1033</v>
      </c>
      <c r="J33" s="331" t="str">
        <f>IF(A32&lt;&gt;"",IF(A32&gt;0,Print!I35,""),"")</f>
        <v/>
      </c>
      <c r="K33" s="331"/>
      <c r="L33" s="331"/>
      <c r="M33" s="361" t="str">
        <f>IF(A32&lt;&gt;"",TRUNC(IF(A32&gt;0,M34+N34/100-M32-N32/100,0)),"")</f>
        <v/>
      </c>
      <c r="N33" s="362" t="str">
        <f>IF(A32&lt;&gt;"",(IF(A32&gt;0,M34+N34/100-M32-N32/100,0)-M33)*100,"")</f>
        <v/>
      </c>
      <c r="O33" s="331"/>
      <c r="P33" s="332"/>
    </row>
    <row r="34" spans="1:16" ht="15.1" x14ac:dyDescent="0.4">
      <c r="A34" s="351"/>
      <c r="B34" s="351"/>
      <c r="C34" s="338" t="str">
        <f>IF(A32&lt;&gt;"",Print!K35,"")</f>
        <v/>
      </c>
      <c r="D34" s="339"/>
      <c r="E34" s="339" t="str">
        <f>IF(A32&lt;&gt;"",Print!M35&amp;" "&amp;Print!N35,"")</f>
        <v/>
      </c>
      <c r="F34" s="339"/>
      <c r="G34" s="363"/>
      <c r="H34" s="339"/>
      <c r="I34" s="339"/>
      <c r="J34" s="364" t="s">
        <v>242</v>
      </c>
      <c r="K34" s="339"/>
      <c r="L34" s="339"/>
      <c r="M34" s="344" t="str">
        <f>IF(A32&lt;&gt;"",TRUNC(_OplHoev_3),"")</f>
        <v/>
      </c>
      <c r="N34" s="335" t="str">
        <f>IF(A32&lt;&gt;"",(_OplHoev_3-M34)*100,"")</f>
        <v/>
      </c>
      <c r="O34" s="331"/>
      <c r="P34" s="332"/>
    </row>
    <row r="35" spans="1:16" ht="15.1" x14ac:dyDescent="0.4">
      <c r="A35" s="351" t="str">
        <f>IF(Berekeningen!B23&gt;1,Berekeningen!F23/10,"")</f>
        <v/>
      </c>
      <c r="B35" s="351"/>
      <c r="C35" s="356" t="str">
        <f>IF(A35&lt;&gt;"",IF(Berekeningen!B23&gt;1,INDEX(Medicamenten,Berekeningen!B23,1),""),"")</f>
        <v/>
      </c>
      <c r="D35" s="329"/>
      <c r="E35" s="330" t="str">
        <f>IF(A35&lt;&gt;"",IF(Berekeningen!B23&gt;1,Berekeningen!C23/10,""),"")</f>
        <v/>
      </c>
      <c r="F35" s="329" t="str">
        <f>IF(_Medicament_4&lt;&gt;5,"mg","ml")</f>
        <v>mg</v>
      </c>
      <c r="G35" s="357" t="s">
        <v>1030</v>
      </c>
      <c r="H35" s="329" t="str">
        <f>IF(A35&lt;&gt;"",IF(Berekeningen!B23&gt;1,INDEX(Medicamenten,Berekeningen!B23,3),""),"")</f>
        <v/>
      </c>
      <c r="I35" s="329" t="s">
        <v>1031</v>
      </c>
      <c r="J35" s="329" t="str">
        <f>IF(A35&lt;&gt;"",IF(Berekeningen!B23&gt;1,INDEX(Medicamenten,Berekeningen!B23,4),""),"")</f>
        <v/>
      </c>
      <c r="K35" s="329" t="s">
        <v>1032</v>
      </c>
      <c r="L35" s="329"/>
      <c r="M35" s="361" t="str">
        <f>IF(A35&lt;&gt;"",TRUNC((J35/H35)*E35),"")</f>
        <v/>
      </c>
      <c r="N35" s="362" t="str">
        <f>IF(A35&lt;&gt;"",(IF(A35&gt;0,ROUND((J35/H35)*E35,2),0)-M35)*100,"")</f>
        <v/>
      </c>
      <c r="O35" s="331" t="str">
        <f>IF(C35&lt;&gt;"",IF(_Extra_4,"extra",""),"")</f>
        <v/>
      </c>
      <c r="P35" s="332"/>
    </row>
    <row r="36" spans="1:16" ht="15.1" x14ac:dyDescent="0.4">
      <c r="A36" s="351"/>
      <c r="B36" s="351"/>
      <c r="C36" s="343"/>
      <c r="D36" s="331"/>
      <c r="E36" s="331"/>
      <c r="F36" s="331"/>
      <c r="G36" s="360"/>
      <c r="H36" s="331"/>
      <c r="I36" s="331" t="s">
        <v>1033</v>
      </c>
      <c r="J36" s="331" t="str">
        <f>IF(A35&lt;&gt;"",IF(A35&gt;0,Print!I36,""),"")</f>
        <v/>
      </c>
      <c r="K36" s="331"/>
      <c r="L36" s="331"/>
      <c r="M36" s="361" t="str">
        <f>IF(A35&lt;&gt;"",TRUNC(IF(A35&gt;0,M37+N37/100-M35-N35/100,0)),"")</f>
        <v/>
      </c>
      <c r="N36" s="362" t="str">
        <f>IF(A35&lt;&gt;"",(IF(A35&gt;0,M37+N37/100-M35-N35/100,0)-M36)*100,"")</f>
        <v/>
      </c>
      <c r="O36" s="331"/>
      <c r="P36" s="332"/>
    </row>
    <row r="37" spans="1:16" ht="15.1" x14ac:dyDescent="0.4">
      <c r="A37" s="351"/>
      <c r="B37" s="351"/>
      <c r="C37" s="338" t="str">
        <f>IF(A35&lt;&gt;"",Print!K36,"")</f>
        <v/>
      </c>
      <c r="D37" s="339"/>
      <c r="E37" s="339" t="str">
        <f>IF(A35&lt;&gt;"",Print!M36&amp;" "&amp;Print!N36,"")</f>
        <v/>
      </c>
      <c r="F37" s="339"/>
      <c r="G37" s="363"/>
      <c r="H37" s="339"/>
      <c r="I37" s="339"/>
      <c r="J37" s="364" t="s">
        <v>242</v>
      </c>
      <c r="K37" s="339"/>
      <c r="L37" s="339"/>
      <c r="M37" s="344" t="str">
        <f>IF(A35&lt;&gt;"",TRUNC(_OplHoev_4),"")</f>
        <v/>
      </c>
      <c r="N37" s="335" t="str">
        <f>IF(A35&lt;&gt;"",(_OplHoev_4-M37)*100,"")</f>
        <v/>
      </c>
      <c r="O37" s="331"/>
      <c r="P37" s="332"/>
    </row>
    <row r="38" spans="1:16" ht="15.1" x14ac:dyDescent="0.4">
      <c r="A38" s="351" t="str">
        <f>IF(Berekeningen!B24&gt;1,Berekeningen!F24/10,"")</f>
        <v/>
      </c>
      <c r="B38" s="351"/>
      <c r="C38" s="356" t="str">
        <f>IF(A38&lt;&gt;"",IF(Berekeningen!B24&gt;1,INDEX(Medicamenten,Berekeningen!B24,1),""),"")</f>
        <v/>
      </c>
      <c r="D38" s="329"/>
      <c r="E38" s="330" t="str">
        <f>IF(A38&lt;&gt;"",IF(Berekeningen!B24&gt;1,Berekeningen!C24/10,""),"")</f>
        <v/>
      </c>
      <c r="F38" s="329" t="str">
        <f>IF(_Medicament_5&lt;&gt;5,"mg","ml")</f>
        <v>mg</v>
      </c>
      <c r="G38" s="357" t="s">
        <v>1030</v>
      </c>
      <c r="H38" s="329" t="str">
        <f>IF(A38&lt;&gt;"",IF(Berekeningen!B24&gt;1,INDEX(Medicamenten,Berekeningen!B24,3),""),"")</f>
        <v/>
      </c>
      <c r="I38" s="329" t="s">
        <v>1031</v>
      </c>
      <c r="J38" s="329" t="str">
        <f>IF(A38&lt;&gt;"",IF(Berekeningen!B24&gt;1,INDEX(Medicamenten,Berekeningen!B24,4),""),"")</f>
        <v/>
      </c>
      <c r="K38" s="329" t="s">
        <v>1032</v>
      </c>
      <c r="L38" s="329"/>
      <c r="M38" s="358" t="str">
        <f>IF(A38&lt;&gt;"",TRUNC((J38/H38)*E38),"")</f>
        <v/>
      </c>
      <c r="N38" s="359" t="str">
        <f>IF(A38&lt;&gt;"",(IF(A38&gt;0,ROUND((J38/H38)*E38,2),0)-M38)*100,"")</f>
        <v/>
      </c>
      <c r="O38" s="331" t="str">
        <f>IF(C38&lt;&gt;"",IF(_Extra_5,"extra",""),"")</f>
        <v/>
      </c>
      <c r="P38" s="332"/>
    </row>
    <row r="39" spans="1:16" ht="15.1" x14ac:dyDescent="0.4">
      <c r="A39" s="351"/>
      <c r="B39" s="351"/>
      <c r="C39" s="343"/>
      <c r="D39" s="331"/>
      <c r="E39" s="331"/>
      <c r="F39" s="331"/>
      <c r="G39" s="360"/>
      <c r="H39" s="331"/>
      <c r="I39" s="331" t="s">
        <v>1033</v>
      </c>
      <c r="J39" s="331" t="str">
        <f>IF(A38&lt;&gt;"",IF(A38&gt;0,Print!I37,""),"")</f>
        <v/>
      </c>
      <c r="K39" s="331"/>
      <c r="L39" s="331"/>
      <c r="M39" s="361" t="str">
        <f>IF(A38&lt;&gt;"",TRUNC(IF(A38&gt;0,M40+N40/100-M38-N38/100,0)),"")</f>
        <v/>
      </c>
      <c r="N39" s="362" t="str">
        <f>IF(A38&lt;&gt;"",(IF(A38&gt;0,M40+N40/100-M38-N38/100,0)-M39)*100,"")</f>
        <v/>
      </c>
      <c r="O39" s="331"/>
      <c r="P39" s="332"/>
    </row>
    <row r="40" spans="1:16" ht="15.1" x14ac:dyDescent="0.4">
      <c r="A40" s="351"/>
      <c r="B40" s="351"/>
      <c r="C40" s="338" t="str">
        <f>IF(A38&lt;&gt;"",Print!K37,"")</f>
        <v/>
      </c>
      <c r="D40" s="339"/>
      <c r="E40" s="339" t="str">
        <f>IF(A38&lt;&gt;"",Print!M37&amp;" "&amp;Print!N37,"")</f>
        <v/>
      </c>
      <c r="F40" s="339"/>
      <c r="G40" s="363"/>
      <c r="H40" s="339"/>
      <c r="I40" s="339"/>
      <c r="J40" s="364" t="s">
        <v>242</v>
      </c>
      <c r="K40" s="339"/>
      <c r="L40" s="339"/>
      <c r="M40" s="344" t="str">
        <f>IF(A38&lt;&gt;"",TRUNC(_OplHoev_5),"")</f>
        <v/>
      </c>
      <c r="N40" s="335" t="str">
        <f>IF(A38&lt;&gt;"",(_OplHoev_5-M40)*100,"")</f>
        <v/>
      </c>
      <c r="O40" s="331"/>
      <c r="P40" s="332"/>
    </row>
    <row r="41" spans="1:16" ht="15.1" x14ac:dyDescent="0.4">
      <c r="A41" s="351" t="str">
        <f>IF(Berekeningen!B25&gt;1,Berekeningen!F25/10,"")</f>
        <v/>
      </c>
      <c r="B41" s="351"/>
      <c r="C41" s="356" t="str">
        <f>IF(A41&lt;&gt;"",IF(Berekeningen!B25&gt;1,INDEX(Medicamenten,Berekeningen!B25,1),""),"")</f>
        <v/>
      </c>
      <c r="D41" s="329"/>
      <c r="E41" s="330" t="str">
        <f>IF(A41&lt;&gt;"",IF(Berekeningen!B25&gt;1,Berekeningen!C25/10,""),"")</f>
        <v/>
      </c>
      <c r="F41" s="329" t="str">
        <f>IF(_Medicament_6&lt;&gt;5,"mg","ml")</f>
        <v>mg</v>
      </c>
      <c r="G41" s="357" t="s">
        <v>1030</v>
      </c>
      <c r="H41" s="329" t="str">
        <f>IF(A41&lt;&gt;"",IF(Berekeningen!B25&gt;1,INDEX(Medicamenten,Berekeningen!B25,3),""),"")</f>
        <v/>
      </c>
      <c r="I41" s="329" t="s">
        <v>1031</v>
      </c>
      <c r="J41" s="329" t="str">
        <f>IF(A41&lt;&gt;"",IF(Berekeningen!B25&gt;1,INDEX(Medicamenten,Berekeningen!B25,4),""),"")</f>
        <v/>
      </c>
      <c r="K41" s="329" t="s">
        <v>1032</v>
      </c>
      <c r="L41" s="329"/>
      <c r="M41" s="361" t="str">
        <f>IF(A41&lt;&gt;"",TRUNC((J41/H41)*E41),"")</f>
        <v/>
      </c>
      <c r="N41" s="362" t="str">
        <f>IF(A41&lt;&gt;"",(IF(A41&gt;0,ROUND((J41/H41)*E41,2),0)-M41)*100,"")</f>
        <v/>
      </c>
      <c r="O41" s="331" t="str">
        <f>IF(C41&lt;&gt;"",IF(_Extra_6,"extra",""),"")</f>
        <v/>
      </c>
      <c r="P41" s="332"/>
    </row>
    <row r="42" spans="1:16" ht="15.1" x14ac:dyDescent="0.4">
      <c r="A42" s="351"/>
      <c r="B42" s="351"/>
      <c r="C42" s="343"/>
      <c r="D42" s="331"/>
      <c r="E42" s="331"/>
      <c r="F42" s="331"/>
      <c r="G42" s="360"/>
      <c r="H42" s="331"/>
      <c r="I42" s="331" t="s">
        <v>1033</v>
      </c>
      <c r="J42" s="331" t="str">
        <f>IF(A41&lt;&gt;"",IF(A41&gt;0,Print!I38,""),"")</f>
        <v/>
      </c>
      <c r="K42" s="331"/>
      <c r="L42" s="331"/>
      <c r="M42" s="361" t="str">
        <f>IF(A41&lt;&gt;"",TRUNC(IF(A41&gt;0,M43+N43/100-M41-N41/100,0)),"")</f>
        <v/>
      </c>
      <c r="N42" s="362" t="str">
        <f>IF(A41&lt;&gt;"",(IF(A41&gt;0,M43+N43/100-M41-N41/100,0)-M42)*100,"")</f>
        <v/>
      </c>
      <c r="O42" s="331"/>
      <c r="P42" s="332"/>
    </row>
    <row r="43" spans="1:16" ht="15.1" x14ac:dyDescent="0.4">
      <c r="A43" s="351"/>
      <c r="B43" s="351"/>
      <c r="C43" s="338" t="str">
        <f>IF(A41&lt;&gt;"",Print!K38,"")</f>
        <v/>
      </c>
      <c r="D43" s="339"/>
      <c r="E43" s="339" t="str">
        <f>IF(A41&lt;&gt;"",Print!M38&amp;" "&amp;Print!N38,"")</f>
        <v/>
      </c>
      <c r="F43" s="339"/>
      <c r="G43" s="363"/>
      <c r="H43" s="339"/>
      <c r="I43" s="339"/>
      <c r="J43" s="364" t="s">
        <v>242</v>
      </c>
      <c r="K43" s="339"/>
      <c r="L43" s="339"/>
      <c r="M43" s="344" t="str">
        <f>IF(A41&lt;&gt;"",TRUNC(_OplHoev_6),"")</f>
        <v/>
      </c>
      <c r="N43" s="335" t="str">
        <f>IF(A41&lt;&gt;"",(_OplHoev_6-M43)*100,"")</f>
        <v/>
      </c>
      <c r="O43" s="331"/>
      <c r="P43" s="332"/>
    </row>
    <row r="44" spans="1:16" ht="15.1" x14ac:dyDescent="0.4">
      <c r="A44" s="351" t="str">
        <f>IF(Berekeningen!B26&gt;1,Berekeningen!F26/10,"")</f>
        <v/>
      </c>
      <c r="B44" s="351"/>
      <c r="C44" s="356" t="str">
        <f>IF(A44&lt;&gt;"",IF(Berekeningen!B26&gt;1,INDEX(Medicamenten,Berekeningen!B26,1),""),"")</f>
        <v/>
      </c>
      <c r="D44" s="329"/>
      <c r="E44" s="330" t="str">
        <f>IF(A44&lt;&gt;"",IF(Berekeningen!B26&gt;1,Berekeningen!C26/10,""),"")</f>
        <v/>
      </c>
      <c r="F44" s="329" t="str">
        <f>IF(_Medicament_7&lt;&gt;5,"mg","ml")</f>
        <v>mg</v>
      </c>
      <c r="G44" s="357" t="s">
        <v>1030</v>
      </c>
      <c r="H44" s="329" t="str">
        <f>IF(A44&lt;&gt;"",IF(Berekeningen!B26&gt;1,INDEX(Medicamenten,Berekeningen!B26,3),""),"")</f>
        <v/>
      </c>
      <c r="I44" s="329" t="s">
        <v>1031</v>
      </c>
      <c r="J44" s="329" t="str">
        <f>IF(A44&lt;&gt;"",IF(Berekeningen!B26&gt;1,INDEX(Medicamenten,Berekeningen!B26,4),""),"")</f>
        <v/>
      </c>
      <c r="K44" s="329" t="s">
        <v>1032</v>
      </c>
      <c r="L44" s="329"/>
      <c r="M44" s="358" t="str">
        <f>IF(A44&lt;&gt;"",TRUNC((J44/H44)*E44),"")</f>
        <v/>
      </c>
      <c r="N44" s="359" t="str">
        <f>IF(A44&lt;&gt;"",(IF(A44&gt;0,ROUND((J44/H44)*E44,2),0)-M44)*100,"")</f>
        <v/>
      </c>
      <c r="O44" s="331" t="str">
        <f>IF(C44&lt;&gt;"",IF(_Extra_7,"extra",""),"")</f>
        <v/>
      </c>
      <c r="P44" s="332"/>
    </row>
    <row r="45" spans="1:16" ht="15.1" x14ac:dyDescent="0.4">
      <c r="A45" s="351"/>
      <c r="B45" s="351"/>
      <c r="C45" s="343"/>
      <c r="D45" s="331"/>
      <c r="E45" s="331"/>
      <c r="F45" s="331"/>
      <c r="G45" s="360"/>
      <c r="H45" s="331"/>
      <c r="I45" s="331" t="s">
        <v>1033</v>
      </c>
      <c r="J45" s="331" t="str">
        <f>IF(A44&lt;&gt;"",IF(A44&gt;0,Print!I39,""),"")</f>
        <v/>
      </c>
      <c r="K45" s="331"/>
      <c r="L45" s="331"/>
      <c r="M45" s="361" t="str">
        <f>IF(A44&lt;&gt;"",TRUNC(IF(A44&gt;0,M46+N46/100-M44-N44/100,0)),"")</f>
        <v/>
      </c>
      <c r="N45" s="362" t="str">
        <f>IF(A44&lt;&gt;"",(IF(A44&gt;0,M46+N46/100-M44-N44/100,0)-M45)*100,"")</f>
        <v/>
      </c>
      <c r="O45" s="331"/>
      <c r="P45" s="332"/>
    </row>
    <row r="46" spans="1:16" ht="15.1" x14ac:dyDescent="0.4">
      <c r="A46" s="351"/>
      <c r="B46" s="351"/>
      <c r="C46" s="338" t="str">
        <f>IF(A44&lt;&gt;"",Print!K39,"")</f>
        <v/>
      </c>
      <c r="D46" s="339"/>
      <c r="E46" s="339" t="str">
        <f>IF(A44&lt;&gt;"",Print!M39&amp;" "&amp;Print!N39,"")</f>
        <v/>
      </c>
      <c r="F46" s="339"/>
      <c r="G46" s="363"/>
      <c r="H46" s="339"/>
      <c r="I46" s="339"/>
      <c r="J46" s="364" t="s">
        <v>242</v>
      </c>
      <c r="K46" s="339"/>
      <c r="L46" s="339"/>
      <c r="M46" s="344" t="str">
        <f>IF(A44&lt;&gt;"",TRUNC(_OplHoev_7),"")</f>
        <v/>
      </c>
      <c r="N46" s="335" t="str">
        <f>IF(A44&lt;&gt;"",(_OplHoev_7-M46)*100,"")</f>
        <v/>
      </c>
      <c r="O46" s="331"/>
      <c r="P46" s="332"/>
    </row>
    <row r="47" spans="1:16" ht="15.1" x14ac:dyDescent="0.4">
      <c r="A47" s="351" t="str">
        <f>IF(Berekeningen!B27&gt;1,Berekeningen!F27/10,"")</f>
        <v/>
      </c>
      <c r="B47" s="351"/>
      <c r="C47" s="356" t="str">
        <f>IF(A47&lt;&gt;"",IF(Berekeningen!B27&gt;1,INDEX(Medicamenten,Berekeningen!B27,1),""),"")</f>
        <v/>
      </c>
      <c r="D47" s="329"/>
      <c r="E47" s="330" t="str">
        <f>IF(A47&lt;&gt;"",IF(Berekeningen!B27&gt;1,Berekeningen!C27/10,""),"")</f>
        <v/>
      </c>
      <c r="F47" s="329" t="str">
        <f>IF(_Medicament_8&lt;&gt;5,"mg","ml")</f>
        <v>mg</v>
      </c>
      <c r="G47" s="357" t="s">
        <v>1030</v>
      </c>
      <c r="H47" s="329" t="str">
        <f>IF(A47&lt;&gt;"",IF(Berekeningen!B27&gt;1,INDEX(Medicamenten,Berekeningen!B27,3),""),"")</f>
        <v/>
      </c>
      <c r="I47" s="329" t="s">
        <v>1031</v>
      </c>
      <c r="J47" s="329" t="str">
        <f>IF(A47&lt;&gt;"",IF(Berekeningen!B27&gt;1,INDEX(Medicamenten,Berekeningen!B27,4),""),"")</f>
        <v/>
      </c>
      <c r="K47" s="329" t="s">
        <v>1032</v>
      </c>
      <c r="L47" s="329"/>
      <c r="M47" s="361" t="str">
        <f>IF(A47&lt;&gt;"",TRUNC((J47/H47)*E47),"")</f>
        <v/>
      </c>
      <c r="N47" s="362" t="str">
        <f>IF(A47&lt;&gt;"",(IF(A47&gt;0,ROUND((J47/H47)*E47,2),0)-M47)*100,"")</f>
        <v/>
      </c>
      <c r="O47" s="331" t="str">
        <f>IF(C47&lt;&gt;"",IF(_Extra_1=8,"extra",""),"")</f>
        <v/>
      </c>
      <c r="P47" s="332"/>
    </row>
    <row r="48" spans="1:16" ht="15.1" x14ac:dyDescent="0.4">
      <c r="A48" s="351"/>
      <c r="B48" s="351"/>
      <c r="C48" s="343"/>
      <c r="D48" s="331"/>
      <c r="E48" s="331"/>
      <c r="F48" s="331"/>
      <c r="G48" s="360"/>
      <c r="H48" s="331"/>
      <c r="I48" s="331" t="s">
        <v>1033</v>
      </c>
      <c r="J48" s="331" t="str">
        <f>IF(A47&lt;&gt;"",IF(A47&gt;0,Print!I40,""),"")</f>
        <v/>
      </c>
      <c r="K48" s="331"/>
      <c r="L48" s="331"/>
      <c r="M48" s="361" t="str">
        <f>IF(A47&lt;&gt;"",TRUNC(IF(A47&gt;0,M49+N49/100-M47-N47/100,0)),"")</f>
        <v/>
      </c>
      <c r="N48" s="362" t="str">
        <f>IF(A47&lt;&gt;"",(IF(A47&gt;0,M49+N49/100-M47-N47/100,0)-M48)*100,"")</f>
        <v/>
      </c>
      <c r="O48" s="331"/>
      <c r="P48" s="332"/>
    </row>
    <row r="49" spans="1:16" ht="15.1" x14ac:dyDescent="0.4">
      <c r="A49" s="351"/>
      <c r="B49" s="351"/>
      <c r="C49" s="338" t="str">
        <f>IF(A47&lt;&gt;"",Print!K40,"")</f>
        <v/>
      </c>
      <c r="D49" s="339"/>
      <c r="E49" s="339" t="str">
        <f>IF(A47&lt;&gt;"",Print!M40&amp;" "&amp;Print!N40,"")</f>
        <v/>
      </c>
      <c r="F49" s="339"/>
      <c r="G49" s="363"/>
      <c r="H49" s="339"/>
      <c r="I49" s="339"/>
      <c r="J49" s="364" t="s">
        <v>242</v>
      </c>
      <c r="K49" s="339"/>
      <c r="L49" s="339"/>
      <c r="M49" s="344" t="str">
        <f>IF(A47&lt;&gt;"",TRUNC(_OplHoev_8),"")</f>
        <v/>
      </c>
      <c r="N49" s="335" t="str">
        <f>IF(A47&lt;&gt;"",(_OplHoev_8-M49)*100,"")</f>
        <v/>
      </c>
      <c r="O49" s="331"/>
      <c r="P49" s="332"/>
    </row>
    <row r="50" spans="1:16" ht="15.1" x14ac:dyDescent="0.4">
      <c r="A50" s="351" t="str">
        <f>IF(Berekeningen!B28&gt;1,Berekeningen!F28/10,"")</f>
        <v/>
      </c>
      <c r="B50" s="351"/>
      <c r="C50" s="356" t="str">
        <f>IF(A50&lt;&gt;"",IF(Berekeningen!B28&gt;1,INDEX(Medicamenten,Berekeningen!B28,1),""),"")</f>
        <v/>
      </c>
      <c r="D50" s="329"/>
      <c r="E50" s="330" t="str">
        <f>IF(A50&lt;&gt;"",IF(Berekeningen!B28&gt;1,Berekeningen!C28/10,""),"")</f>
        <v/>
      </c>
      <c r="F50" s="329" t="str">
        <f>IF(_Medicament_9&lt;&gt;5,"mg","ml")</f>
        <v>mg</v>
      </c>
      <c r="G50" s="357" t="s">
        <v>1030</v>
      </c>
      <c r="H50" s="329" t="str">
        <f>IF(A50&lt;&gt;"",IF(Berekeningen!B28&gt;1,INDEX(Medicamenten,Berekeningen!B28,3),""),"")</f>
        <v/>
      </c>
      <c r="I50" s="329" t="s">
        <v>1031</v>
      </c>
      <c r="J50" s="329" t="str">
        <f>IF(A50&lt;&gt;"",IF(Berekeningen!B28&gt;1,INDEX(Medicamenten,Berekeningen!B28,4),""),"")</f>
        <v/>
      </c>
      <c r="K50" s="329" t="s">
        <v>1032</v>
      </c>
      <c r="L50" s="329"/>
      <c r="M50" s="358" t="str">
        <f>IF(A50&lt;&gt;"",TRUNC((J50/H50)*E50),"")</f>
        <v/>
      </c>
      <c r="N50" s="359" t="str">
        <f>IF(A50&lt;&gt;"",(IF(A50&gt;0,ROUND((J50/H50)*E50,2),0)-M50)*100,"")</f>
        <v/>
      </c>
      <c r="O50" s="331" t="str">
        <f>IF(C50&lt;&gt;"",IF(_Extra_9,"extra",""),"")</f>
        <v/>
      </c>
      <c r="P50" s="332"/>
    </row>
    <row r="51" spans="1:16" ht="15.1" x14ac:dyDescent="0.4">
      <c r="A51" s="351"/>
      <c r="B51" s="351"/>
      <c r="C51" s="343"/>
      <c r="D51" s="331"/>
      <c r="E51" s="331"/>
      <c r="F51" s="331"/>
      <c r="G51" s="360"/>
      <c r="H51" s="331"/>
      <c r="I51" s="331" t="s">
        <v>1033</v>
      </c>
      <c r="J51" s="331" t="str">
        <f>IF(A50&lt;&gt;"",IF(A50&gt;0,Print!I41,""),"")</f>
        <v/>
      </c>
      <c r="K51" s="331"/>
      <c r="L51" s="331"/>
      <c r="M51" s="361" t="str">
        <f>IF(A50&lt;&gt;"",TRUNC(IF(A50&gt;0,M52+N52/100-M50-N50/100,0)),"")</f>
        <v/>
      </c>
      <c r="N51" s="362" t="str">
        <f>IF(A50&lt;&gt;"",(IF(A50&gt;0,M52+N52/100-M50-N50/100,0)-M51)*100,"")</f>
        <v/>
      </c>
      <c r="O51" s="331"/>
      <c r="P51" s="332"/>
    </row>
    <row r="52" spans="1:16" ht="15.1" x14ac:dyDescent="0.4">
      <c r="A52" s="351"/>
      <c r="B52" s="351"/>
      <c r="C52" s="338" t="str">
        <f>IF(A50&lt;&gt;"",Print!K41,"")</f>
        <v/>
      </c>
      <c r="D52" s="339"/>
      <c r="E52" s="339" t="str">
        <f>IF(A50&lt;&gt;"",Print!M41&amp;" "&amp;Print!N41,"")</f>
        <v/>
      </c>
      <c r="F52" s="339"/>
      <c r="G52" s="363"/>
      <c r="H52" s="339"/>
      <c r="I52" s="339"/>
      <c r="J52" s="364" t="s">
        <v>242</v>
      </c>
      <c r="K52" s="339"/>
      <c r="L52" s="339"/>
      <c r="M52" s="344" t="str">
        <f>IF(A50&lt;&gt;"",TRUNC(_OplHoev_9),"")</f>
        <v/>
      </c>
      <c r="N52" s="335" t="str">
        <f>IF(A50&lt;&gt;"",(_OplHoev_9-M52)*100,"")</f>
        <v/>
      </c>
      <c r="O52" s="331"/>
      <c r="P52" s="332"/>
    </row>
    <row r="53" spans="1:16" x14ac:dyDescent="0.35">
      <c r="C53" s="331"/>
      <c r="D53" s="331"/>
      <c r="E53" s="331"/>
      <c r="F53" s="331"/>
      <c r="G53" s="331"/>
      <c r="H53" s="331"/>
      <c r="I53" s="331"/>
      <c r="J53" s="331"/>
      <c r="K53" s="331"/>
      <c r="L53" s="331"/>
      <c r="M53" s="365"/>
      <c r="N53" s="366"/>
      <c r="O53" s="331"/>
      <c r="P53" s="332"/>
    </row>
    <row r="54" spans="1:16" x14ac:dyDescent="0.35">
      <c r="A54" s="327"/>
      <c r="B54" s="328"/>
      <c r="C54" s="367" t="str">
        <f>IF(Print!B45&lt;&gt;0,Print!B45,"")</f>
        <v/>
      </c>
      <c r="D54" s="334"/>
      <c r="E54" s="334"/>
      <c r="F54" s="334"/>
      <c r="G54" s="368"/>
      <c r="H54" s="334"/>
      <c r="I54" s="334"/>
      <c r="J54" s="334"/>
      <c r="K54" s="334"/>
      <c r="L54" s="328"/>
      <c r="M54" s="369"/>
      <c r="N54" s="369"/>
      <c r="O54" s="331"/>
      <c r="P54" s="332"/>
    </row>
    <row r="55" spans="1:16" x14ac:dyDescent="0.35">
      <c r="A55" s="327"/>
      <c r="B55" s="328"/>
      <c r="C55" s="367" t="str">
        <f>IF(Print!B46&lt;&gt;0,Print!B46,"")</f>
        <v/>
      </c>
      <c r="D55" s="334"/>
      <c r="E55" s="334"/>
      <c r="F55" s="334"/>
      <c r="G55" s="368"/>
      <c r="H55" s="334"/>
      <c r="I55" s="334"/>
      <c r="J55" s="334"/>
      <c r="K55" s="334"/>
      <c r="L55" s="328"/>
      <c r="M55" s="369"/>
      <c r="N55" s="369"/>
      <c r="O55" s="331"/>
      <c r="P55" s="332"/>
    </row>
    <row r="56" spans="1:16" x14ac:dyDescent="0.35">
      <c r="A56" s="327"/>
      <c r="B56" s="328"/>
      <c r="C56" s="367"/>
      <c r="D56" s="334"/>
      <c r="E56" s="334"/>
      <c r="F56" s="334"/>
      <c r="G56" s="368"/>
      <c r="H56" s="334"/>
      <c r="I56" s="334"/>
      <c r="J56" s="334"/>
      <c r="K56" s="334"/>
      <c r="L56" s="328"/>
      <c r="M56" s="369"/>
      <c r="N56" s="369"/>
      <c r="O56" s="331"/>
      <c r="P56" s="332"/>
    </row>
    <row r="57" spans="1:16" x14ac:dyDescent="0.35">
      <c r="D57" s="370"/>
    </row>
  </sheetData>
  <mergeCells count="3">
    <mergeCell ref="I2:K2"/>
    <mergeCell ref="M2:N2"/>
    <mergeCell ref="M5:N5"/>
  </mergeCells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Afspraken1700">
    <tabColor rgb="FF7030A0"/>
    <pageSetUpPr autoPageBreaks="0"/>
  </sheetPr>
  <dimension ref="A1:O60"/>
  <sheetViews>
    <sheetView workbookViewId="0">
      <pane ySplit="8" topLeftCell="A9" activePane="bottomLeft" state="frozenSplit"/>
      <selection activeCell="A9" sqref="A9"/>
      <selection pane="bottomLeft" activeCell="A9" sqref="A9"/>
    </sheetView>
  </sheetViews>
  <sheetFormatPr defaultColWidth="9.1328125" defaultRowHeight="15.95" customHeight="1" x14ac:dyDescent="0.35"/>
  <cols>
    <col min="1" max="1" width="3.73046875" style="756" customWidth="1"/>
    <col min="2" max="5" width="12.3984375" style="756" customWidth="1"/>
    <col min="6" max="6" width="10.73046875" style="756" customWidth="1"/>
    <col min="7" max="11" width="12.3984375" style="756" customWidth="1"/>
    <col min="12" max="12" width="5.265625" style="756" customWidth="1"/>
    <col min="13" max="13" width="7.86328125" style="756" customWidth="1"/>
    <col min="14" max="14" width="17.1328125" style="756" customWidth="1"/>
    <col min="15" max="19" width="12.3984375" style="756" customWidth="1"/>
    <col min="20" max="16384" width="9.1328125" style="756"/>
  </cols>
  <sheetData>
    <row r="1" spans="1:15" ht="9.75" customHeight="1" x14ac:dyDescent="0.35">
      <c r="A1" s="754"/>
      <c r="B1" s="755" t="str">
        <f>IF(E60&lt;0,"Te weinig volume voor TPN!","")</f>
        <v/>
      </c>
    </row>
    <row r="2" spans="1:15" ht="15.95" customHeight="1" x14ac:dyDescent="0.35">
      <c r="B2" s="757" t="s">
        <v>728</v>
      </c>
      <c r="C2" s="757" t="s">
        <v>1042</v>
      </c>
      <c r="D2" s="757" t="s">
        <v>1043</v>
      </c>
      <c r="E2" s="757" t="s">
        <v>242</v>
      </c>
      <c r="G2" s="757"/>
      <c r="H2" s="757" t="s">
        <v>1042</v>
      </c>
      <c r="I2" s="757" t="s">
        <v>1043</v>
      </c>
      <c r="J2" s="757" t="s">
        <v>242</v>
      </c>
      <c r="K2" s="940" t="s">
        <v>2287</v>
      </c>
      <c r="L2" s="940"/>
      <c r="M2" s="940"/>
      <c r="N2" s="940"/>
    </row>
    <row r="3" spans="1:15" ht="15.95" customHeight="1" x14ac:dyDescent="0.4">
      <c r="B3" s="758" t="s">
        <v>631</v>
      </c>
      <c r="C3" s="759" t="str">
        <f ca="1">ROUND(Berekeningen1700!L50/_Gewicht,0)&amp;" ml/kg"</f>
        <v>0 ml/kg</v>
      </c>
      <c r="D3" s="759" t="str">
        <f>ROUND(Berekeningen1700!L49/_Gewicht,0)&amp;" ml/kg"</f>
        <v>0 ml/kg</v>
      </c>
      <c r="E3" s="759" t="str">
        <f ca="1">ROUND(Berekeningen1700!L47/_Gewicht,0)&amp;" ml/kg  "&amp;"= "&amp;ROUND(Berekeningen1700!L47,0)&amp;" ml"</f>
        <v>0 ml/kg  = 0 ml</v>
      </c>
      <c r="G3" s="758" t="s">
        <v>377</v>
      </c>
      <c r="H3" s="759" t="str">
        <f ca="1">ROUND(Berekeningen1700!M50/_Gewicht,1)&amp;" mmol/kg"</f>
        <v>0 mmol/kg</v>
      </c>
      <c r="I3" s="759" t="str">
        <f>ROUND(Berekeningen1700!M49/_Gewicht,1)&amp;" mmol/kg"</f>
        <v>0 mmol/kg</v>
      </c>
      <c r="J3" s="759" t="str">
        <f ca="1">ROUND(Berekeningen1700!M47/_Gewicht,1)&amp;" mmol/kg"</f>
        <v>0 mmol/kg</v>
      </c>
      <c r="K3" s="940"/>
      <c r="L3" s="940"/>
      <c r="M3" s="940"/>
      <c r="N3" s="940"/>
    </row>
    <row r="4" spans="1:15" ht="15.95" customHeight="1" x14ac:dyDescent="0.4">
      <c r="B4" s="758" t="s">
        <v>465</v>
      </c>
      <c r="C4" s="759" t="str">
        <f ca="1">ROUND(Berekeningen1700!R50/_Gewicht,1)&amp;" g/kg"</f>
        <v>0 g/kg</v>
      </c>
      <c r="D4" s="759" t="str">
        <f>ROUND(Berekeningen1700!R49/_Gewicht,1)&amp;" g/kg"</f>
        <v>0 g/kg</v>
      </c>
      <c r="E4" s="759" t="str">
        <f ca="1">ROUND(Berekeningen1700!R47/_Gewicht,1)&amp;" g/kg"</f>
        <v>0 g/kg</v>
      </c>
      <c r="G4" s="758" t="s">
        <v>577</v>
      </c>
      <c r="H4" s="759" t="str">
        <f ca="1">ROUND(Berekeningen1700!N50/_Gewicht,1)&amp;" mmol/kg"</f>
        <v>0 mmol/kg</v>
      </c>
      <c r="I4" s="759" t="str">
        <f>ROUND(Berekeningen1700!N49/_Gewicht,1)&amp;" mmol/kg"</f>
        <v>0 mmol/kg</v>
      </c>
      <c r="J4" s="759" t="str">
        <f ca="1">ROUND(Berekeningen1700!N47/_Gewicht,1)&amp;" mmol/kg"</f>
        <v>0 mmol/kg</v>
      </c>
      <c r="K4" s="940"/>
      <c r="L4" s="940"/>
      <c r="M4" s="940"/>
      <c r="N4" s="940"/>
    </row>
    <row r="5" spans="1:15" ht="15.95" customHeight="1" x14ac:dyDescent="0.4">
      <c r="B5" s="758" t="s">
        <v>466</v>
      </c>
      <c r="C5" s="759" t="str">
        <f ca="1">ROUND(Berekeningen1700!T50/_Gewicht,1)&amp;" g/kg"</f>
        <v>0 g/kg</v>
      </c>
      <c r="D5" s="759" t="str">
        <f>ROUND(Berekeningen1700!T49/_Gewicht,1)&amp;" g/kg"</f>
        <v>0 g/kg</v>
      </c>
      <c r="E5" s="759" t="str">
        <f ca="1">ROUND(Berekeningen1700!T47/_Gewicht,1)&amp;" g/kg"</f>
        <v>0 g/kg</v>
      </c>
      <c r="G5" s="758" t="s">
        <v>467</v>
      </c>
      <c r="H5" s="759" t="str">
        <f ca="1">ROUND(Berekeningen1700!O50/_Gewicht,1)&amp;" mmol/kg"</f>
        <v>0 mmol/kg</v>
      </c>
      <c r="I5" s="759" t="str">
        <f>ROUND(Berekeningen1700!O49/_Gewicht,1)&amp;" mmol/kg"</f>
        <v>0 mmol/kg</v>
      </c>
      <c r="J5" s="759" t="str">
        <f ca="1">ROUND(Berekeningen1700!O47/_Gewicht,1)&amp;" mmol/kg"</f>
        <v>0 mmol/kg</v>
      </c>
      <c r="K5" s="940"/>
      <c r="L5" s="940"/>
      <c r="M5" s="940"/>
      <c r="N5" s="940"/>
    </row>
    <row r="6" spans="1:15" ht="15.95" customHeight="1" x14ac:dyDescent="0.4">
      <c r="A6" s="754"/>
      <c r="B6" s="758" t="s">
        <v>1044</v>
      </c>
      <c r="C6" s="759" t="str">
        <f>ROUND(1000*Berekeningen1700!S50/_Gewicht/1440,1)&amp;" mg/kg/min"</f>
        <v>0 mg/kg/min</v>
      </c>
      <c r="D6" s="759" t="str">
        <f>ROUND(1000*Berekeningen1700!S49/_Gewicht/1440,1)&amp;" mg/kg/min"</f>
        <v>0 mg/kg/min</v>
      </c>
      <c r="E6" s="759" t="str">
        <f>ROUND(1000*Berekeningen1700!S47/_Gewicht/1440,1)&amp;" mg/kg/min"</f>
        <v>0 mg/kg/min</v>
      </c>
      <c r="G6" s="758" t="s">
        <v>643</v>
      </c>
      <c r="H6" s="759" t="str">
        <f ca="1">ROUND(Berekeningen1700!P50/_Gewicht,1)&amp;" mmol/kg"</f>
        <v>0 mmol/kg</v>
      </c>
      <c r="I6" s="759" t="str">
        <f>ROUND(Berekeningen1700!P49/_Gewicht,1)&amp;" mmol/kg"</f>
        <v>0 mmol/kg</v>
      </c>
      <c r="J6" s="759" t="str">
        <f ca="1">ROUND(Berekeningen1700!P47/_Gewicht,1)&amp;" mmol/kg"</f>
        <v>0 mmol/kg</v>
      </c>
    </row>
    <row r="7" spans="1:15" ht="15.95" customHeight="1" x14ac:dyDescent="0.4">
      <c r="B7" s="758" t="s">
        <v>1037</v>
      </c>
      <c r="C7" s="759" t="str">
        <f ca="1">ROUND(Berekeningen1700!U50/_Gewicht,1)&amp; " kcal/kg"</f>
        <v>0 kcal/kg</v>
      </c>
      <c r="D7" s="759" t="str">
        <f>ROUND(Berekeningen1700!U49/_Gewicht,1)&amp; " kcal/kg"</f>
        <v>0 kcal/kg</v>
      </c>
      <c r="E7" s="759" t="str">
        <f ca="1">ROUND(Berekeningen1700!U47/_Gewicht,1)&amp; " kcal/kg"</f>
        <v>0 kcal/kg</v>
      </c>
      <c r="G7" s="758" t="s">
        <v>1045</v>
      </c>
      <c r="H7" s="759" t="str">
        <f ca="1">ROUND(Berekeningen1700!V50/_Gewicht,1)&amp;" mmol/kg"</f>
        <v>0 mmol/kg</v>
      </c>
      <c r="I7" s="759" t="str">
        <f>ROUND(Berekeningen1700!V49/_Gewicht,1)&amp;" mmol/kg"</f>
        <v>0 mmol/kg</v>
      </c>
      <c r="J7" s="759" t="str">
        <f ca="1">ROUND(Berekeningen1700!V47/_Gewicht,1)&amp;" mmol/kg"</f>
        <v>0 mmol/kg</v>
      </c>
    </row>
    <row r="8" spans="1:15" ht="15.95" customHeight="1" thickBot="1" x14ac:dyDescent="0.45">
      <c r="A8" s="760"/>
      <c r="B8" s="761" t="s">
        <v>1046</v>
      </c>
      <c r="C8" s="762" t="str">
        <f ca="1">ROUND(Berekeningen1700!W50,0)&amp; " IE/ml"</f>
        <v>0 IE/ml</v>
      </c>
      <c r="D8" s="762" t="str">
        <f>ROUND(Berekeningen1700!W49,0)&amp; " IE/ml"</f>
        <v>0 IE/ml</v>
      </c>
      <c r="E8" s="762" t="str">
        <f ca="1">ROUND(Berekeningen1700!W47,0)&amp; " IE/ml"</f>
        <v>0 IE/ml</v>
      </c>
      <c r="F8" s="760"/>
      <c r="G8" s="761" t="s">
        <v>468</v>
      </c>
      <c r="H8" s="762" t="str">
        <f>ROUND(Berekeningen1700!Q50/_Gewicht,1)&amp;" mmol/kg"</f>
        <v>0 mmol/kg</v>
      </c>
      <c r="I8" s="762" t="str">
        <f>ROUND(Berekeningen1700!Q49/_Gewicht,1)&amp;" mmol/kg"</f>
        <v>0 mmol/kg</v>
      </c>
      <c r="J8" s="762" t="str">
        <f>ROUND(Berekeningen1700!Q47/_Gewicht,1)&amp;" mmol/kg"</f>
        <v>0 mmol/kg</v>
      </c>
      <c r="K8" s="760"/>
      <c r="L8" s="760"/>
      <c r="M8" s="760"/>
      <c r="N8" s="760"/>
      <c r="O8" s="760"/>
    </row>
    <row r="9" spans="1:15" ht="8.3000000000000007" customHeight="1" thickTop="1" x14ac:dyDescent="0.4">
      <c r="A9" s="763"/>
      <c r="B9" s="764"/>
      <c r="C9" s="765"/>
      <c r="D9" s="765"/>
      <c r="E9" s="765"/>
      <c r="F9" s="766"/>
      <c r="G9" s="764"/>
      <c r="H9" s="765"/>
      <c r="I9" s="765"/>
      <c r="J9" s="765"/>
      <c r="K9" s="766"/>
      <c r="L9" s="766"/>
      <c r="M9" s="766"/>
      <c r="N9" s="766"/>
    </row>
    <row r="10" spans="1:15" ht="15.95" customHeight="1" x14ac:dyDescent="0.4">
      <c r="B10" s="498" t="s">
        <v>1047</v>
      </c>
      <c r="C10" s="499"/>
      <c r="D10" s="499"/>
      <c r="E10" s="499"/>
      <c r="F10" s="499"/>
      <c r="G10" s="500" t="s">
        <v>707</v>
      </c>
      <c r="H10" s="499"/>
      <c r="I10" s="499">
        <f>PatNummer</f>
        <v>0</v>
      </c>
      <c r="J10" s="499"/>
      <c r="K10" s="499"/>
      <c r="L10" s="499"/>
      <c r="M10" s="499"/>
    </row>
    <row r="11" spans="1:15" ht="15.95" customHeight="1" x14ac:dyDescent="0.4">
      <c r="B11" s="498" t="s">
        <v>1048</v>
      </c>
      <c r="C11" s="499"/>
      <c r="D11" s="499"/>
      <c r="E11" s="499"/>
      <c r="F11" s="499"/>
      <c r="G11" s="500" t="s">
        <v>54</v>
      </c>
      <c r="H11" s="499"/>
      <c r="I11" s="501" t="str">
        <f>_AchterNaam &amp;",  "&amp;_VoorNaam</f>
        <v>Achternaam,  Voornaam</v>
      </c>
      <c r="J11" s="502"/>
      <c r="K11" s="499"/>
      <c r="L11" s="499"/>
      <c r="M11" s="499"/>
    </row>
    <row r="12" spans="1:15" ht="15.95" customHeight="1" x14ac:dyDescent="0.4">
      <c r="B12" s="498" t="s">
        <v>1049</v>
      </c>
      <c r="C12" s="499"/>
      <c r="D12" s="499"/>
      <c r="E12" s="499"/>
      <c r="F12" s="499"/>
      <c r="G12" s="500" t="s">
        <v>1050</v>
      </c>
      <c r="H12" s="499"/>
      <c r="I12" s="503">
        <f>Berekeningen1700!B3-Berekeningen1700!C3</f>
        <v>42370</v>
      </c>
      <c r="J12" s="504" t="str">
        <f ca="1">"=dag "&amp;Berekeningen1700!B6</f>
        <v>=dag 353</v>
      </c>
      <c r="K12" s="499"/>
      <c r="L12" s="499"/>
      <c r="M12" s="499"/>
    </row>
    <row r="13" spans="1:15" ht="15.95" customHeight="1" x14ac:dyDescent="0.4">
      <c r="B13" s="499"/>
      <c r="C13" s="499"/>
      <c r="D13" s="499"/>
      <c r="E13" s="499"/>
      <c r="F13" s="499"/>
      <c r="G13" s="500" t="s">
        <v>1007</v>
      </c>
      <c r="H13" s="505">
        <f>Berekeningen!D4</f>
        <v>30</v>
      </c>
      <c r="I13" s="506" t="s">
        <v>1051</v>
      </c>
      <c r="J13" s="505">
        <f>Berekeningen!D5</f>
        <v>0</v>
      </c>
      <c r="K13" s="506" t="s">
        <v>1052</v>
      </c>
      <c r="L13" s="506"/>
      <c r="M13" s="499"/>
    </row>
    <row r="14" spans="1:15" ht="15.95" customHeight="1" x14ac:dyDescent="0.4">
      <c r="B14" s="500" t="s">
        <v>623</v>
      </c>
      <c r="C14" s="503">
        <f>Berekeningen1700!B5</f>
        <v>42370</v>
      </c>
      <c r="D14" s="499"/>
      <c r="E14" s="499"/>
      <c r="F14" s="499"/>
      <c r="G14" s="499"/>
      <c r="H14" s="499"/>
      <c r="I14" s="499"/>
      <c r="J14" s="499"/>
      <c r="K14" s="499"/>
      <c r="L14" s="499"/>
      <c r="M14" s="499"/>
    </row>
    <row r="15" spans="1:15" ht="15.95" customHeight="1" x14ac:dyDescent="0.4">
      <c r="B15" s="507" t="s">
        <v>1002</v>
      </c>
      <c r="C15" s="508">
        <f>BedNummer</f>
        <v>0</v>
      </c>
      <c r="D15" s="509"/>
      <c r="E15" s="499"/>
      <c r="F15" s="499"/>
      <c r="G15" s="500" t="s">
        <v>573</v>
      </c>
      <c r="H15" s="510" t="str">
        <f ca="1">TRUNC((H13*7+J13+Berekeningen1700!B6-1)/7)&amp;" weken en "&amp; H13*7+J13+Berekeningen1700!B6-1-TRUNC((H13*7+J13+Berekeningen1700!B6-1)/7)*7&amp;" dag(-en)"</f>
        <v>80 weken en 2 dag(-en)</v>
      </c>
      <c r="I15" s="499"/>
      <c r="J15" s="499"/>
      <c r="K15" s="499"/>
      <c r="L15" s="499"/>
      <c r="M15" s="499"/>
    </row>
    <row r="16" spans="1:15" ht="15.95" customHeight="1" x14ac:dyDescent="0.4">
      <c r="B16" s="511"/>
      <c r="C16" s="512"/>
      <c r="D16" s="512"/>
      <c r="E16" s="512"/>
      <c r="F16" s="512"/>
      <c r="G16" s="511" t="s">
        <v>1021</v>
      </c>
      <c r="H16" s="512" t="str">
        <f>Berekeningen!B4&amp;" kg"</f>
        <v>10 kg</v>
      </c>
      <c r="I16" s="512"/>
      <c r="J16" s="512"/>
      <c r="K16" s="512"/>
      <c r="L16" s="512"/>
      <c r="M16" s="512"/>
    </row>
    <row r="17" spans="1:15" ht="15.95" customHeight="1" x14ac:dyDescent="0.4">
      <c r="B17" s="758"/>
      <c r="K17" s="772" t="s">
        <v>1053</v>
      </c>
      <c r="L17" s="772"/>
    </row>
    <row r="18" spans="1:15" ht="15.95" customHeight="1" x14ac:dyDescent="0.4">
      <c r="B18" s="758" t="s">
        <v>1054</v>
      </c>
      <c r="E18" s="773">
        <f ca="1">IF(Berekeningen1700!B17,Berekeningen1700!C16,ROUND(Berekeningen1700!L47/_Gewicht,1))</f>
        <v>0</v>
      </c>
      <c r="F18" s="774" t="s">
        <v>1055</v>
      </c>
      <c r="K18" s="775" t="str">
        <f ca="1">ROUND(Berekeningen1700!B16,0)&amp;" ml/ kg/ 24 uur"</f>
        <v>150 ml/ kg/ 24 uur</v>
      </c>
      <c r="L18" s="775"/>
      <c r="M18" s="776"/>
    </row>
    <row r="19" spans="1:15" ht="15.95" customHeight="1" x14ac:dyDescent="0.4">
      <c r="B19" s="758" t="s">
        <v>1056</v>
      </c>
      <c r="F19" s="774"/>
      <c r="K19" s="777"/>
      <c r="L19" s="777"/>
      <c r="M19" s="766"/>
    </row>
    <row r="21" spans="1:15" ht="15.95" customHeight="1" x14ac:dyDescent="0.4">
      <c r="D21" s="778" t="s">
        <v>1057</v>
      </c>
      <c r="E21" s="768" t="str">
        <f>IF(_Voeding1700&gt;1,Berekeningen1700!D10,"")</f>
        <v/>
      </c>
      <c r="F21" s="768" t="s">
        <v>1058</v>
      </c>
      <c r="G21" s="769" t="str">
        <f>IF(_Voeding1700&gt;1,Berekeningen1700!D11/10&amp;" ml","")</f>
        <v/>
      </c>
      <c r="H21" s="779" t="s">
        <v>1059</v>
      </c>
    </row>
    <row r="22" spans="1:15" ht="15.95" customHeight="1" x14ac:dyDescent="0.4">
      <c r="D22" s="778" t="s">
        <v>1060</v>
      </c>
      <c r="E22" s="768" t="str">
        <f>IF(_Voeding1700&gt;1,Berekeningen1700!D12,"")</f>
        <v/>
      </c>
      <c r="F22" s="768" t="s">
        <v>1058</v>
      </c>
      <c r="G22" s="769" t="str">
        <f>IF(_Voeding1700&gt;1,Berekeningen1700!D13/10&amp;" ml","")</f>
        <v/>
      </c>
      <c r="I22" s="778" t="s">
        <v>1657</v>
      </c>
      <c r="M22" s="778" t="s">
        <v>1658</v>
      </c>
    </row>
    <row r="23" spans="1:15" ht="15.95" customHeight="1" x14ac:dyDescent="0.4">
      <c r="H23" s="778"/>
      <c r="I23" s="780" t="s">
        <v>1675</v>
      </c>
      <c r="K23" s="776" t="e">
        <f>INDEX(_VoedingBMFWaarden,Berekeningen1700!L52)&amp;" %"</f>
        <v>#VALUE!</v>
      </c>
    </row>
    <row r="24" spans="1:15" ht="15.95" customHeight="1" x14ac:dyDescent="0.4">
      <c r="H24" s="778"/>
      <c r="K24" s="776" t="e">
        <f>INDEX(_VoedingToevoegingenWaarden,Berekeningen1700!L53)&amp;" %"</f>
        <v>#VALUE!</v>
      </c>
      <c r="O24" s="776" t="e">
        <f>INDEX(_VoedingToevoegingenWaarden,Berekeningen1700!L58)&amp;" %"</f>
        <v>#VALUE!</v>
      </c>
    </row>
    <row r="25" spans="1:15" ht="15.95" customHeight="1" x14ac:dyDescent="0.4">
      <c r="H25" s="778"/>
      <c r="K25" s="776" t="e">
        <f>INDEX(_VoedingToevoegingenWaarden,Berekeningen1700!L54)&amp;" %"</f>
        <v>#VALUE!</v>
      </c>
      <c r="O25" s="776" t="e">
        <f>INDEX(_VoedingToevoegingenWaarden,Berekeningen1700!L59)&amp;" %"</f>
        <v>#VALUE!</v>
      </c>
    </row>
    <row r="26" spans="1:15" ht="15.95" customHeight="1" x14ac:dyDescent="0.4">
      <c r="H26" s="778"/>
      <c r="K26" s="776" t="e">
        <f>INDEX(_VoedingToevoegingenWaarden,Berekeningen1700!L55)&amp;" %"</f>
        <v>#VALUE!</v>
      </c>
      <c r="O26" s="776" t="e">
        <f>INDEX(_VoedingToevoegingenWaarden,Berekeningen1700!L60)&amp;" %"</f>
        <v>#VALUE!</v>
      </c>
    </row>
    <row r="27" spans="1:15" ht="15.95" customHeight="1" x14ac:dyDescent="0.4">
      <c r="B27" s="781"/>
      <c r="C27" s="781"/>
      <c r="D27" s="781"/>
      <c r="E27" s="782"/>
      <c r="F27" s="781"/>
      <c r="G27" s="781"/>
      <c r="H27" s="782"/>
      <c r="I27" s="781"/>
      <c r="J27" s="781"/>
      <c r="K27" s="776" t="e">
        <f>INDEX(_VoedingToevoegingenWaarden,Berekeningen1700!L56)&amp;" %"</f>
        <v>#VALUE!</v>
      </c>
      <c r="L27" s="781"/>
      <c r="M27" s="781"/>
      <c r="N27" s="781"/>
      <c r="O27" s="776" t="e">
        <f>INDEX(_VoedingToevoegingenWaarden,Berekeningen1700!L61)&amp;" %"</f>
        <v>#VALUE!</v>
      </c>
    </row>
    <row r="28" spans="1:15" ht="15.95" customHeight="1" x14ac:dyDescent="0.4">
      <c r="B28" s="758" t="s">
        <v>1061</v>
      </c>
      <c r="E28" s="773">
        <f ca="1">IF(Berekeningen1700!B17,Berekeningen1700!C17,Berekeningen1700!L50)</f>
        <v>0</v>
      </c>
      <c r="F28" s="774" t="s">
        <v>1062</v>
      </c>
    </row>
    <row r="29" spans="1:15" ht="15.95" customHeight="1" x14ac:dyDescent="0.35">
      <c r="H29" s="772" t="s">
        <v>1063</v>
      </c>
      <c r="I29" s="772"/>
      <c r="J29" s="783" t="s">
        <v>1011</v>
      </c>
      <c r="K29" s="772" t="s">
        <v>1064</v>
      </c>
      <c r="L29" s="772"/>
      <c r="N29" s="772" t="s">
        <v>1065</v>
      </c>
    </row>
    <row r="30" spans="1:15" ht="15.95" customHeight="1" x14ac:dyDescent="0.4">
      <c r="A30" s="784"/>
      <c r="B30" s="764" t="s">
        <v>1452</v>
      </c>
      <c r="C30" s="766"/>
      <c r="D30" s="766"/>
      <c r="E30" s="766"/>
      <c r="F30" s="766"/>
      <c r="G30" s="785" t="str">
        <f>Berekeningen1700!B18/10&amp;" ml/uur"</f>
        <v>0 ml/uur</v>
      </c>
      <c r="H30" s="766"/>
      <c r="I30" s="766"/>
      <c r="J30" s="766"/>
      <c r="K30" s="766"/>
      <c r="L30" s="766"/>
      <c r="M30" s="786"/>
      <c r="N30" s="766"/>
    </row>
    <row r="31" spans="1:15" ht="7.55" customHeight="1" x14ac:dyDescent="0.4">
      <c r="A31" s="784"/>
      <c r="B31" s="764"/>
      <c r="C31" s="766"/>
      <c r="D31" s="766"/>
      <c r="E31" s="766"/>
      <c r="F31" s="766"/>
      <c r="G31" s="785"/>
      <c r="H31" s="766"/>
      <c r="I31" s="766"/>
      <c r="J31" s="766"/>
      <c r="K31" s="766"/>
      <c r="L31" s="766"/>
      <c r="M31" s="786"/>
      <c r="N31" s="766"/>
    </row>
    <row r="32" spans="1:15" ht="15.95" customHeight="1" x14ac:dyDescent="0.4">
      <c r="A32" s="784">
        <v>1</v>
      </c>
      <c r="B32" s="787"/>
      <c r="C32" s="788" t="str">
        <f>IF(Berekeningen1700!C20&gt;0,IF(Berekeningen1700!B20&lt;&gt;5,Berekeningen1700!C20/10&amp;" mg",Berekeningen1700!C20/10&amp;" ml"),"")</f>
        <v/>
      </c>
      <c r="D32" s="788" t="str">
        <f>IF(Berekeningen1700!D20&gt;0,"in "&amp;Berekeningen1700!D20&amp;" ml","")</f>
        <v/>
      </c>
      <c r="E32" s="787"/>
      <c r="F32" s="787"/>
      <c r="G32" s="789" t="str">
        <f>IF(Berekeningen1700!F20/10&gt;0,Berekeningen1700!F20/10&amp;" ml/uur","")</f>
        <v/>
      </c>
      <c r="H32" s="788" t="str">
        <f>IF(AND(Berekeningen1700!I20&gt;0),ROUND(Berekeningen1700!I20,2),"")</f>
        <v/>
      </c>
      <c r="I32" s="788" t="str">
        <f>IF(_Medicament1700_1&gt;1,INDEX(Medicamenten,Berekeningen1700!B20,6),"")</f>
        <v/>
      </c>
      <c r="J32" s="776"/>
      <c r="K32" s="775">
        <f>INDEX(Medicamenten,Berekeningen1700!B20,2)</f>
        <v>0</v>
      </c>
      <c r="L32" s="775"/>
      <c r="M32" s="790"/>
      <c r="N32" s="791" t="str">
        <f>IF(Berekeningen1700!I20&gt;0,IF(Berekeningen1700!Y20*10&gt;1,Berekeningen1700!X20&amp;" uren",Berekeningen1700!X20&amp;" minuten"),"")</f>
        <v/>
      </c>
    </row>
    <row r="33" spans="1:14" ht="15.95" customHeight="1" x14ac:dyDescent="0.4">
      <c r="A33" s="784">
        <v>2</v>
      </c>
      <c r="B33" s="792"/>
      <c r="C33" s="793" t="str">
        <f>IF(Berekeningen1700!C21&gt;0,Berekeningen1700!C21/10&amp;" mg","")</f>
        <v/>
      </c>
      <c r="D33" s="793" t="str">
        <f>IF(Berekeningen1700!D21&gt;0,"in "&amp;Berekeningen1700!D21&amp;" ml","")</f>
        <v/>
      </c>
      <c r="E33" s="792"/>
      <c r="F33" s="792"/>
      <c r="G33" s="794" t="str">
        <f>IF(Berekeningen1700!F21/10&gt;0,Berekeningen1700!F21/10&amp;" ml/uur","")</f>
        <v/>
      </c>
      <c r="H33" s="788" t="str">
        <f>IF(AND(Berekeningen1700!I21&gt;0),ROUND(Berekeningen1700!I21,2),"")</f>
        <v/>
      </c>
      <c r="I33" s="788" t="str">
        <f>IF(_Medicament1700_2&gt;1,INDEX(Medicamenten,Berekeningen1700!B21,6),"")</f>
        <v/>
      </c>
      <c r="J33" s="795"/>
      <c r="K33" s="796">
        <f>INDEX(Medicamenten,Berekeningen1700!B21,2)</f>
        <v>0</v>
      </c>
      <c r="L33" s="796"/>
      <c r="M33" s="797"/>
      <c r="N33" s="798" t="str">
        <f>IF(Berekeningen1700!I21&gt;0,IF(Berekeningen1700!Y21*10&gt;1,Berekeningen1700!X21&amp;" uren",Berekeningen1700!X21&amp;" minuten"),"")</f>
        <v/>
      </c>
    </row>
    <row r="34" spans="1:14" ht="15.95" customHeight="1" x14ac:dyDescent="0.4">
      <c r="A34" s="784">
        <v>3</v>
      </c>
      <c r="B34" s="792"/>
      <c r="C34" s="793" t="str">
        <f>IF(Berekeningen1700!C22&gt;0,Berekeningen1700!C22/10&amp;" mg","")</f>
        <v/>
      </c>
      <c r="D34" s="793" t="str">
        <f>IF(Berekeningen1700!D22&gt;0,"in "&amp;Berekeningen1700!D22&amp;" ml","")</f>
        <v/>
      </c>
      <c r="E34" s="792"/>
      <c r="F34" s="792"/>
      <c r="G34" s="794" t="str">
        <f>IF(Berekeningen1700!F22/10&gt;0,Berekeningen1700!F22/10&amp;" ml/uur","")</f>
        <v/>
      </c>
      <c r="H34" s="788" t="str">
        <f>IF(AND(Berekeningen1700!I22&gt;0),ROUND(Berekeningen1700!I22,2),"")</f>
        <v/>
      </c>
      <c r="I34" s="788" t="str">
        <f>IF(_Medicament1700_3&gt;1,INDEX(Medicamenten,Berekeningen1700!B22,6),"")</f>
        <v/>
      </c>
      <c r="J34" s="795"/>
      <c r="K34" s="796">
        <f>INDEX(Medicamenten,Berekeningen1700!B22,2)</f>
        <v>0</v>
      </c>
      <c r="L34" s="796"/>
      <c r="M34" s="797"/>
      <c r="N34" s="798" t="str">
        <f>IF(Berekeningen1700!I22&gt;0,IF(Berekeningen1700!Y22*10&gt;1,Berekeningen1700!X22&amp;" uren",Berekeningen1700!X22&amp;" minuten"),"")</f>
        <v/>
      </c>
    </row>
    <row r="35" spans="1:14" ht="15.95" customHeight="1" x14ac:dyDescent="0.4">
      <c r="A35" s="784">
        <v>4</v>
      </c>
      <c r="B35" s="792"/>
      <c r="C35" s="793" t="str">
        <f>IF(Berekeningen1700!C23&gt;0,Berekeningen1700!C23/10&amp;" mg","")</f>
        <v/>
      </c>
      <c r="D35" s="793" t="str">
        <f>IF(Berekeningen1700!D23&gt;0,"in "&amp;Berekeningen1700!D23&amp;" ml","")</f>
        <v/>
      </c>
      <c r="E35" s="792"/>
      <c r="F35" s="792"/>
      <c r="G35" s="794" t="str">
        <f>IF(Berekeningen1700!F23/10&gt;0,Berekeningen1700!F23/10&amp;" ml/uur","")</f>
        <v/>
      </c>
      <c r="H35" s="788" t="str">
        <f>IF(AND(Berekeningen1700!I23&gt;0),ROUND(Berekeningen1700!I23,2),"")</f>
        <v/>
      </c>
      <c r="I35" s="788" t="str">
        <f>IF(_Medicament1700_4&gt;1,INDEX(Medicamenten,Berekeningen1700!B23,6),"")</f>
        <v/>
      </c>
      <c r="J35" s="795"/>
      <c r="K35" s="796">
        <f>INDEX(Medicamenten,Berekeningen1700!B23,2)</f>
        <v>0</v>
      </c>
      <c r="L35" s="796"/>
      <c r="M35" s="797"/>
      <c r="N35" s="798" t="str">
        <f>IF(Berekeningen1700!I23&gt;0,IF(Berekeningen1700!Y23*10&gt;1,Berekeningen1700!X23&amp;" uren",Berekeningen1700!X23&amp;" minuten"),"")</f>
        <v/>
      </c>
    </row>
    <row r="36" spans="1:14" ht="15.95" customHeight="1" x14ac:dyDescent="0.4">
      <c r="A36" s="784">
        <v>5</v>
      </c>
      <c r="B36" s="792"/>
      <c r="C36" s="793" t="str">
        <f>IF(Berekeningen1700!C24&gt;0,Berekeningen1700!C24/10&amp;" mg","")</f>
        <v/>
      </c>
      <c r="D36" s="793" t="str">
        <f>IF(Berekeningen1700!D24&gt;0,"in "&amp;Berekeningen1700!D24&amp;" ml","")</f>
        <v/>
      </c>
      <c r="E36" s="792"/>
      <c r="F36" s="792"/>
      <c r="G36" s="794" t="str">
        <f>IF(Berekeningen1700!F24/10&gt;0,Berekeningen1700!F24/10&amp;" ml/uur","")</f>
        <v/>
      </c>
      <c r="H36" s="788" t="str">
        <f>IF(AND(Berekeningen1700!I24&gt;0),ROUND(Berekeningen1700!I24,2),"")</f>
        <v/>
      </c>
      <c r="I36" s="788" t="str">
        <f>IF(_Medicament1700_5&gt;1,INDEX(Medicamenten,Berekeningen1700!B24,6),"")</f>
        <v/>
      </c>
      <c r="J36" s="795"/>
      <c r="K36" s="796">
        <f>INDEX(Medicamenten,Berekeningen1700!B24,2)</f>
        <v>0</v>
      </c>
      <c r="L36" s="796"/>
      <c r="M36" s="797"/>
      <c r="N36" s="798" t="str">
        <f>IF(Berekeningen1700!I24&gt;0,IF(Berekeningen1700!Y24*10&gt;1,Berekeningen1700!X24&amp;" uren",Berekeningen1700!X24&amp;" minuten"),"")</f>
        <v/>
      </c>
    </row>
    <row r="37" spans="1:14" ht="15.95" customHeight="1" x14ac:dyDescent="0.4">
      <c r="A37" s="784">
        <v>6</v>
      </c>
      <c r="B37" s="792"/>
      <c r="C37" s="793" t="str">
        <f>IF(Berekeningen1700!C25&gt;0,Berekeningen1700!C25/10&amp;" mg","")</f>
        <v/>
      </c>
      <c r="D37" s="793" t="str">
        <f>IF(Berekeningen1700!D25&gt;0,"in "&amp;Berekeningen1700!D25&amp;" ml","")</f>
        <v/>
      </c>
      <c r="E37" s="792"/>
      <c r="F37" s="792"/>
      <c r="G37" s="794" t="str">
        <f>IF(Berekeningen1700!F25/10&gt;0,Berekeningen1700!F25/10&amp;" ml/uur","")</f>
        <v/>
      </c>
      <c r="H37" s="788" t="str">
        <f>IF(AND(Berekeningen1700!I25&gt;0),ROUND(Berekeningen1700!I25,2),"")</f>
        <v/>
      </c>
      <c r="I37" s="788" t="str">
        <f>IF(_Medicament1700_6&gt;1,INDEX(Medicamenten,Berekeningen1700!B25,6),"")</f>
        <v/>
      </c>
      <c r="J37" s="795"/>
      <c r="K37" s="796">
        <f>INDEX(Medicamenten,Berekeningen1700!B25,2)</f>
        <v>0</v>
      </c>
      <c r="L37" s="796"/>
      <c r="M37" s="797"/>
      <c r="N37" s="798" t="str">
        <f>IF(Berekeningen1700!I25&gt;0,IF(Berekeningen1700!Y25*10&gt;1,Berekeningen1700!X25&amp;" uren",Berekeningen1700!X25&amp;" minuten"),"")</f>
        <v/>
      </c>
    </row>
    <row r="38" spans="1:14" ht="15.95" customHeight="1" x14ac:dyDescent="0.4">
      <c r="A38" s="784">
        <v>7</v>
      </c>
      <c r="B38" s="792"/>
      <c r="C38" s="793" t="str">
        <f>IF(Berekeningen1700!C26&gt;0,Berekeningen1700!C26/10&amp;" mg","")</f>
        <v/>
      </c>
      <c r="D38" s="793" t="str">
        <f>IF(Berekeningen1700!D26&gt;0,"in "&amp;Berekeningen1700!D26&amp;" ml","")</f>
        <v/>
      </c>
      <c r="E38" s="792"/>
      <c r="F38" s="792"/>
      <c r="G38" s="794" t="str">
        <f>IF(Berekeningen1700!F26/10&gt;0,Berekeningen1700!F26/10&amp;" ml/uur","")</f>
        <v/>
      </c>
      <c r="H38" s="788" t="str">
        <f>IF(AND(Berekeningen1700!I26&gt;0),ROUND(Berekeningen1700!I26,2),"")</f>
        <v/>
      </c>
      <c r="I38" s="788" t="str">
        <f>IF(_Medicament1700_7&gt;1,INDEX(Medicamenten,Berekeningen1700!B26,6),"")</f>
        <v/>
      </c>
      <c r="J38" s="795"/>
      <c r="K38" s="796">
        <f>INDEX(Medicamenten,Berekeningen1700!B26,2)</f>
        <v>0</v>
      </c>
      <c r="L38" s="796"/>
      <c r="M38" s="797"/>
      <c r="N38" s="798" t="str">
        <f>IF(Berekeningen1700!I26&gt;0,IF(Berekeningen1700!Y26*10&gt;1,Berekeningen1700!X26&amp;" uren",Berekeningen1700!X26&amp;" minuten"),"")</f>
        <v/>
      </c>
    </row>
    <row r="39" spans="1:14" ht="15.95" customHeight="1" x14ac:dyDescent="0.4">
      <c r="A39" s="784">
        <v>8</v>
      </c>
      <c r="B39" s="792"/>
      <c r="C39" s="793" t="str">
        <f>IF(Berekeningen1700!C27&gt;0,Berekeningen1700!C27/10&amp;" mg","")</f>
        <v/>
      </c>
      <c r="D39" s="793" t="str">
        <f>IF(Berekeningen1700!D27&gt;0,"in "&amp;Berekeningen1700!D27&amp;" ml","")</f>
        <v/>
      </c>
      <c r="E39" s="792"/>
      <c r="F39" s="792"/>
      <c r="G39" s="794" t="str">
        <f>IF(Berekeningen1700!F27/10&gt;0,Berekeningen1700!F27/10&amp;" ml/uur","")</f>
        <v/>
      </c>
      <c r="H39" s="788" t="str">
        <f>IF(AND(Berekeningen1700!I27&gt;0),ROUND(Berekeningen1700!I27,2),"")</f>
        <v/>
      </c>
      <c r="I39" s="788" t="str">
        <f>IF(_Medicament1700_8&gt;1,INDEX(Medicamenten,Berekeningen1700!B27,6),"")</f>
        <v/>
      </c>
      <c r="J39" s="795"/>
      <c r="K39" s="796">
        <f>INDEX(Medicamenten,Berekeningen1700!B27,2)</f>
        <v>0</v>
      </c>
      <c r="L39" s="796"/>
      <c r="M39" s="797"/>
      <c r="N39" s="798" t="str">
        <f>IF(Berekeningen1700!I27&gt;0,IF(Berekeningen1700!Y27*10&gt;1,Berekeningen1700!X27&amp;" uren",Berekeningen1700!X27&amp;" minuten"),"")</f>
        <v/>
      </c>
    </row>
    <row r="40" spans="1:14" ht="15.95" customHeight="1" x14ac:dyDescent="0.4">
      <c r="A40" s="784">
        <v>9</v>
      </c>
      <c r="B40" s="792"/>
      <c r="C40" s="793" t="str">
        <f>IF(Berekeningen1700!C28&gt;0,Berekeningen1700!C28/10&amp;" mg","")</f>
        <v/>
      </c>
      <c r="D40" s="793" t="str">
        <f>IF(Berekeningen1700!D28&gt;0,"in "&amp;Berekeningen1700!D28&amp;" ml","")</f>
        <v/>
      </c>
      <c r="E40" s="792"/>
      <c r="F40" s="787"/>
      <c r="G40" s="789" t="str">
        <f>IF(Berekeningen1700!F28/10&gt;0,Berekeningen1700!F28/10&amp;" ml/uur","")</f>
        <v/>
      </c>
      <c r="H40" s="788" t="str">
        <f>IF(AND(Berekeningen1700!I28&gt;0),ROUND(Berekeningen1700!I28,2),"")</f>
        <v/>
      </c>
      <c r="I40" s="788" t="str">
        <f>IF(_Medicament1700_9&gt;1,INDEX(Medicamenten,Berekeningen1700!B28,6),"")</f>
        <v/>
      </c>
      <c r="J40" s="776"/>
      <c r="K40" s="796">
        <f>INDEX(Medicamenten,Berekeningen1700!B28,2)</f>
        <v>0</v>
      </c>
      <c r="L40" s="796"/>
      <c r="M40" s="797"/>
      <c r="N40" s="798" t="str">
        <f>IF(Berekeningen1700!I28&gt;0,IF(Berekeningen1700!Y28*10&gt;1,Berekeningen1700!X28&amp;" uren",Berekeningen1700!X28&amp;" minuten"),"")</f>
        <v/>
      </c>
    </row>
    <row r="41" spans="1:14" ht="9.75" customHeight="1" x14ac:dyDescent="0.4">
      <c r="A41" s="784"/>
      <c r="B41" s="799"/>
      <c r="C41" s="800"/>
      <c r="D41" s="800"/>
      <c r="E41" s="799"/>
      <c r="F41" s="766"/>
      <c r="G41" s="785"/>
      <c r="H41" s="800"/>
      <c r="I41" s="766"/>
      <c r="J41" s="766"/>
      <c r="K41" s="801"/>
      <c r="L41" s="801"/>
      <c r="M41" s="802"/>
      <c r="N41" s="803"/>
    </row>
    <row r="42" spans="1:14" ht="15.95" customHeight="1" x14ac:dyDescent="0.4">
      <c r="A42" s="784">
        <v>10</v>
      </c>
      <c r="B42" s="804" t="s">
        <v>1066</v>
      </c>
      <c r="C42" s="788"/>
      <c r="D42" s="788"/>
      <c r="E42" s="788"/>
      <c r="F42" s="788"/>
      <c r="G42" s="789" t="str">
        <f>IF(Berekeningen1700!F29/10&gt;0,Berekeningen1700!F29/10&amp;" ml/uur","")</f>
        <v/>
      </c>
      <c r="H42" s="805" t="str">
        <f>IF(Berekeningen1700!I32&gt;0,"= "&amp;ROUND(Berekeningen1700!I32,2),"")</f>
        <v/>
      </c>
      <c r="I42" s="805"/>
      <c r="J42" s="766"/>
      <c r="K42" s="777"/>
      <c r="L42" s="777"/>
      <c r="M42" s="806"/>
      <c r="N42" s="785"/>
    </row>
    <row r="43" spans="1:14" ht="15.95" customHeight="1" x14ac:dyDescent="0.4">
      <c r="A43" s="784">
        <v>11</v>
      </c>
      <c r="B43" s="804" t="s">
        <v>1067</v>
      </c>
      <c r="C43" s="788"/>
      <c r="D43" s="788"/>
      <c r="E43" s="788"/>
      <c r="F43" s="788"/>
      <c r="G43" s="789" t="str">
        <f>IF(Berekeningen1700!F30/10&gt;0,Berekeningen1700!F30/10&amp;" ml/uur","")</f>
        <v/>
      </c>
      <c r="H43" s="805" t="str">
        <f>IF(Berekeningen1700!I33&gt;0,"= "&amp;ROUND(Berekeningen1700!I33,2),"")</f>
        <v/>
      </c>
      <c r="I43" s="805"/>
      <c r="J43" s="766"/>
      <c r="K43" s="777"/>
      <c r="L43" s="777"/>
      <c r="M43" s="806"/>
      <c r="N43" s="785"/>
    </row>
    <row r="44" spans="1:14" ht="15.95" customHeight="1" x14ac:dyDescent="0.4">
      <c r="A44" s="784">
        <v>12</v>
      </c>
      <c r="B44" s="804" t="s">
        <v>1068</v>
      </c>
      <c r="C44" s="788"/>
      <c r="D44" s="788"/>
      <c r="E44" s="788"/>
      <c r="F44" s="788"/>
      <c r="G44" s="789" t="str">
        <f>IF(Berekeningen1700!F31/10&gt;0,Berekeningen1700!F31/10&amp;" ml/uur","")</f>
        <v/>
      </c>
      <c r="H44" s="805" t="str">
        <f>IF(Berekeningen1700!I34&gt;0,"= "&amp;ROUND(Berekeningen1700!I34,2),"")</f>
        <v/>
      </c>
      <c r="I44" s="805"/>
      <c r="J44" s="766"/>
      <c r="K44" s="777"/>
      <c r="L44" s="777"/>
      <c r="M44" s="806"/>
      <c r="N44" s="785"/>
    </row>
    <row r="45" spans="1:14" ht="15.95" customHeight="1" x14ac:dyDescent="0.4">
      <c r="A45" s="784">
        <v>13</v>
      </c>
      <c r="B45" s="794" t="str">
        <f>IF(_MedTekst1700_1="","",_MedTekst1700_1)</f>
        <v/>
      </c>
      <c r="C45" s="793"/>
      <c r="D45" s="793"/>
      <c r="E45" s="793"/>
      <c r="F45" s="793"/>
      <c r="G45" s="793"/>
      <c r="H45" s="788"/>
      <c r="I45" s="788"/>
      <c r="J45" s="766"/>
      <c r="K45" s="777"/>
      <c r="L45" s="777"/>
      <c r="M45" s="806"/>
      <c r="N45" s="785"/>
    </row>
    <row r="46" spans="1:14" ht="15.95" customHeight="1" x14ac:dyDescent="0.4">
      <c r="A46" s="784">
        <v>14</v>
      </c>
      <c r="B46" s="785" t="str">
        <f>IF(_MedTekst1700_2="","",_MedTekst1700_2)</f>
        <v/>
      </c>
      <c r="C46" s="805"/>
      <c r="D46" s="805"/>
      <c r="E46" s="805"/>
      <c r="F46" s="805"/>
      <c r="G46" s="805"/>
      <c r="H46" s="805"/>
      <c r="I46" s="805"/>
      <c r="J46" s="766"/>
      <c r="K46" s="777"/>
      <c r="L46" s="777"/>
      <c r="M46" s="806"/>
      <c r="N46" s="785"/>
    </row>
    <row r="47" spans="1:14" ht="15.95" customHeight="1" x14ac:dyDescent="0.35">
      <c r="D47" s="767"/>
      <c r="K47" s="807" t="s">
        <v>1053</v>
      </c>
      <c r="L47" s="807"/>
    </row>
    <row r="48" spans="1:14" ht="15.95" customHeight="1" x14ac:dyDescent="0.4">
      <c r="B48" s="770"/>
      <c r="C48" s="771"/>
      <c r="D48" s="808"/>
      <c r="E48" s="809" t="str">
        <f ca="1">IF(Berekeningen1700!C35&gt;0,Berekeningen1700!C35&amp;" ml","")</f>
        <v/>
      </c>
      <c r="F48" s="767" t="str">
        <f ca="1">IF(E48&lt;&gt;"",ROUND(Berekeningen1700!C35/_Gewicht,0)&amp;" ml/ kg","")</f>
        <v/>
      </c>
      <c r="K48" s="775" t="str">
        <f ca="1">IF(Berekeningen1700!B35&gt;0,Berekeningen1700!B35&amp;" ml","")</f>
        <v>120 ml</v>
      </c>
      <c r="L48" s="775"/>
      <c r="M48" s="776"/>
    </row>
    <row r="49" spans="2:13" ht="12" customHeight="1" x14ac:dyDescent="0.4">
      <c r="B49" s="764"/>
      <c r="C49" s="766"/>
      <c r="D49" s="805"/>
      <c r="E49" s="785"/>
    </row>
    <row r="50" spans="2:13" ht="15.75" customHeight="1" x14ac:dyDescent="0.35">
      <c r="B50" s="810"/>
    </row>
    <row r="51" spans="2:13" ht="15.95" customHeight="1" x14ac:dyDescent="0.4">
      <c r="B51" s="758" t="s">
        <v>1070</v>
      </c>
    </row>
    <row r="52" spans="2:13" ht="15.75" customHeight="1" x14ac:dyDescent="0.4">
      <c r="B52" s="811" t="s">
        <v>688</v>
      </c>
      <c r="C52" s="776"/>
      <c r="D52" s="776"/>
      <c r="E52" s="791" t="str">
        <f ca="1">IF(Berekeningen1700!$D$36=1,Berekeningen1700!C37&amp;" ml","")</f>
        <v>0 ml</v>
      </c>
      <c r="F52" s="776"/>
      <c r="G52" s="776"/>
      <c r="H52" s="776"/>
      <c r="I52" s="791" t="str">
        <f>IF(Berekeningen1700!$D$36=3,Berekeningen1700!C37&amp;" ml","")</f>
        <v/>
      </c>
      <c r="J52" s="776"/>
      <c r="K52" s="775" t="str">
        <f ca="1">IF(Berekeningen1700!B37&gt;0,Berekeningen1700!B37&amp;" ml","")</f>
        <v/>
      </c>
      <c r="L52" s="775"/>
      <c r="M52" s="776"/>
    </row>
    <row r="53" spans="2:13" ht="15.95" customHeight="1" x14ac:dyDescent="0.4">
      <c r="B53" s="812" t="s">
        <v>1071</v>
      </c>
      <c r="C53" s="795"/>
      <c r="D53" s="795"/>
      <c r="E53" s="798" t="str">
        <f ca="1">IF(Berekeningen1700!$D$36=1,Berekeningen1700!C38&amp;" ml","")</f>
        <v>0 ml</v>
      </c>
      <c r="F53" s="795"/>
      <c r="G53" s="795"/>
      <c r="H53" s="795"/>
      <c r="I53" s="798" t="str">
        <f>IF(Berekeningen1700!$D$36=3,Berekeningen1700!C38&amp;" ml","")</f>
        <v/>
      </c>
      <c r="J53" s="795"/>
      <c r="K53" s="796" t="str">
        <f ca="1">IF(Berekeningen1700!B38&gt;0,Berekeningen1700!B38&amp;" ml","")</f>
        <v/>
      </c>
      <c r="L53" s="796"/>
      <c r="M53" s="796"/>
    </row>
    <row r="54" spans="2:13" ht="15.95" customHeight="1" x14ac:dyDescent="0.4">
      <c r="B54" s="812" t="s">
        <v>1072</v>
      </c>
      <c r="C54" s="795"/>
      <c r="D54" s="795"/>
      <c r="E54" s="798" t="str">
        <f ca="1">IF(Berekeningen1700!$D$36=1,Berekeningen1700!C39&amp;" ml","")</f>
        <v>0 ml</v>
      </c>
      <c r="F54" s="795"/>
      <c r="G54" s="795"/>
      <c r="H54" s="795"/>
      <c r="I54" s="795"/>
      <c r="J54" s="795"/>
      <c r="K54" s="796" t="str">
        <f ca="1">IF(Berekeningen1700!B39&gt;0,Berekeningen1700!B39&amp;" ml","")</f>
        <v/>
      </c>
      <c r="L54" s="796"/>
      <c r="M54" s="796"/>
    </row>
    <row r="55" spans="2:13" ht="15.95" customHeight="1" x14ac:dyDescent="0.4">
      <c r="B55" s="812" t="s">
        <v>1073</v>
      </c>
      <c r="C55" s="795"/>
      <c r="D55" s="795"/>
      <c r="E55" s="798" t="str">
        <f ca="1">IF(Berekeningen1700!$D$36=1,Berekeningen1700!C40&amp;" ml","")</f>
        <v>0 ml</v>
      </c>
      <c r="F55" s="795"/>
      <c r="G55" s="795"/>
      <c r="H55" s="795"/>
      <c r="I55" s="795"/>
      <c r="J55" s="795"/>
      <c r="K55" s="796" t="str">
        <f ca="1">IF(Berekeningen1700!B40&gt;0,Berekeningen1700!B40&amp;" ml","")</f>
        <v/>
      </c>
      <c r="L55" s="796"/>
      <c r="M55" s="796"/>
    </row>
    <row r="56" spans="2:13" ht="15.95" customHeight="1" x14ac:dyDescent="0.4">
      <c r="B56" s="812" t="s">
        <v>435</v>
      </c>
      <c r="C56" s="795"/>
      <c r="D56" s="795"/>
      <c r="E56" s="798" t="str">
        <f ca="1">IF(Berekeningen1700!$D$36=1,Berekeningen1700!C41&amp;" ml","")</f>
        <v>0 ml</v>
      </c>
      <c r="F56" s="795"/>
      <c r="G56" s="795"/>
      <c r="H56" s="795"/>
      <c r="I56" s="795"/>
      <c r="J56" s="795"/>
      <c r="K56" s="796" t="str">
        <f ca="1">IF(Berekeningen1700!B41&gt;0,Berekeningen1700!B41&amp;" ml","")</f>
        <v/>
      </c>
      <c r="L56" s="796"/>
      <c r="M56" s="796"/>
    </row>
    <row r="57" spans="2:13" ht="15.95" customHeight="1" x14ac:dyDescent="0.4">
      <c r="B57" s="812" t="s">
        <v>1028</v>
      </c>
      <c r="C57" s="795"/>
      <c r="D57" s="795"/>
      <c r="E57" s="798" t="str">
        <f ca="1">IF(Berekeningen1700!$D$36=1,Berekeningen1700!C42&amp;" ml","")</f>
        <v>0 ml</v>
      </c>
      <c r="F57" s="795"/>
      <c r="G57" s="795"/>
      <c r="H57" s="795"/>
      <c r="I57" s="795"/>
      <c r="J57" s="795"/>
      <c r="K57" s="796" t="str">
        <f ca="1">IF(Berekeningen1700!B42&gt;0,Berekeningen1700!B42&amp;" ml","")</f>
        <v/>
      </c>
      <c r="L57" s="796"/>
      <c r="M57" s="796"/>
    </row>
    <row r="58" spans="2:13" ht="15.95" customHeight="1" x14ac:dyDescent="0.4">
      <c r="B58" s="812" t="s">
        <v>1029</v>
      </c>
      <c r="C58" s="795"/>
      <c r="D58" s="795"/>
      <c r="E58" s="795"/>
      <c r="F58" s="795"/>
      <c r="G58" s="798" t="str">
        <f>IF(Berekeningen1700!D36=2,Berekeningen1700!C43&amp;" ml","")</f>
        <v/>
      </c>
      <c r="H58" s="813" t="str">
        <f>IF(G58&lt;&gt;"","("&amp;ROUND(Berekeningen1700!C43/_Gewicht,0)&amp;" ml/kg)","")</f>
        <v/>
      </c>
      <c r="I58" s="795"/>
      <c r="J58" s="795"/>
      <c r="K58" s="796" t="str">
        <f ca="1">IF(Berekeningen1700!B43&gt;0,Berekeningen1700!B43&amp;" ml","")</f>
        <v>350 ml</v>
      </c>
      <c r="L58" s="796"/>
      <c r="M58" s="796"/>
    </row>
    <row r="59" spans="2:13" ht="15.95" customHeight="1" x14ac:dyDescent="0.4">
      <c r="B59" s="812" t="s">
        <v>686</v>
      </c>
      <c r="C59" s="795"/>
      <c r="D59" s="795"/>
      <c r="E59" s="795"/>
      <c r="F59" s="795"/>
      <c r="G59" s="795"/>
      <c r="H59" s="795"/>
      <c r="I59" s="798" t="str">
        <f>IF(Berekeningen1700!$D$36=3,Berekeningen1700!C44&amp;" ml","")</f>
        <v/>
      </c>
      <c r="J59" s="813" t="str">
        <f>IF(I59&lt;&gt;"","("&amp;ROUND(1000*Berekeningen1700!C44/_Gewicht,0)&amp;" ml/kg)","")</f>
        <v/>
      </c>
      <c r="K59" s="796" t="str">
        <f ca="1">IF(Berekeningen1700!B44&gt;0,Berekeningen1700!B44&amp;" ml","")</f>
        <v>350 ml</v>
      </c>
      <c r="L59" s="796"/>
      <c r="M59" s="796"/>
    </row>
    <row r="60" spans="2:13" ht="20.100000000000001" customHeight="1" x14ac:dyDescent="0.4">
      <c r="B60" s="795"/>
      <c r="C60" s="795"/>
      <c r="D60" s="795"/>
      <c r="E60" s="814">
        <f>IF(Berekeningen1700!D36=1,Berekeningen1700!L45,"")</f>
        <v>0</v>
      </c>
      <c r="F60" s="795" t="str">
        <f>IF(E60&lt;&gt;"","ml","")</f>
        <v>ml</v>
      </c>
      <c r="G60" s="814" t="str">
        <f>IF(Berekeningen1700!D36=2,Berekeningen1700!L45,"")</f>
        <v/>
      </c>
      <c r="H60" s="795" t="str">
        <f>IF(G60&lt;&gt;"","ml","")</f>
        <v/>
      </c>
      <c r="I60" s="814" t="str">
        <f>IF(Berekeningen1700!D36=3,Berekeningen1700!L45,"")</f>
        <v/>
      </c>
      <c r="J60" s="795" t="str">
        <f>IF(I60&lt;&gt;"","ml","")</f>
        <v/>
      </c>
      <c r="K60" s="796"/>
      <c r="L60" s="796"/>
      <c r="M60" s="796"/>
    </row>
  </sheetData>
  <sheetProtection algorithmName="SHA-512" hashValue="6hRkvZOe81ghA7HHe+C9aVqFuyV6aW/f6iYqrNsXiaerWFD+nOVPJ7UJtZDnXoFmcLdsr0G9eBDUgREQ/KKFkw==" saltValue="EltAIJrMjblBEtwBatLJKQ==" spinCount="100000" sheet="1" objects="1" scenarios="1" selectLockedCells="1" selectUnlockedCells="1"/>
  <mergeCells count="1">
    <mergeCell ref="K2:N5"/>
  </mergeCells>
  <conditionalFormatting sqref="E60:J60 E28">
    <cfRule type="cellIs" dxfId="3" priority="3" stopIfTrue="1" operator="lessThan">
      <formula>0</formula>
    </cfRule>
  </conditionalFormatting>
  <pageMargins left="0.17" right="0.17" top="0.56000000000000005" bottom="0.86" header="0.32" footer="0.67"/>
  <pageSetup paperSize="9" orientation="portrait" horizontalDpi="3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849" r:id="rId4" name="Drop Down 1">
              <controlPr defaultSize="0" autoLine="0" autoPict="0" macro="[0]!VerwijderContInfuus1700_1">
                <anchor moveWithCells="1">
                  <from>
                    <xdr:col>1</xdr:col>
                    <xdr:colOff>0</xdr:colOff>
                    <xdr:row>31</xdr:row>
                    <xdr:rowOff>0</xdr:rowOff>
                  </from>
                  <to>
                    <xdr:col>2</xdr:col>
                    <xdr:colOff>191497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0" r:id="rId5" name="Drop Down 2">
              <controlPr defaultSize="0" autoLine="0" autoPict="0" macro="[0]!VerwijderContInfuus1700_2">
                <anchor moveWithCells="1">
                  <from>
                    <xdr:col>1</xdr:col>
                    <xdr:colOff>0</xdr:colOff>
                    <xdr:row>32</xdr:row>
                    <xdr:rowOff>0</xdr:rowOff>
                  </from>
                  <to>
                    <xdr:col>2</xdr:col>
                    <xdr:colOff>191497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1" r:id="rId6" name="Drop Down 3">
              <controlPr defaultSize="0" autoLine="0" autoPict="0" macro="[0]!VerwijderContInfuus1700_3">
                <anchor moveWithCells="1">
                  <from>
                    <xdr:col>1</xdr:col>
                    <xdr:colOff>0</xdr:colOff>
                    <xdr:row>33</xdr:row>
                    <xdr:rowOff>0</xdr:rowOff>
                  </from>
                  <to>
                    <xdr:col>2</xdr:col>
                    <xdr:colOff>191497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2" r:id="rId7" name="Drop Down 4">
              <controlPr defaultSize="0" autoLine="0" autoPict="0" macro="[0]!VerwijderContInfuus1700_4">
                <anchor moveWithCells="1">
                  <from>
                    <xdr:col>1</xdr:col>
                    <xdr:colOff>0</xdr:colOff>
                    <xdr:row>34</xdr:row>
                    <xdr:rowOff>0</xdr:rowOff>
                  </from>
                  <to>
                    <xdr:col>2</xdr:col>
                    <xdr:colOff>191497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3" r:id="rId8" name="Drop Down 5">
              <controlPr defaultSize="0" autoLine="0" autoPict="0" macro="[0]!VerwijderContInfuus1700_5">
                <anchor moveWithCells="1">
                  <from>
                    <xdr:col>1</xdr:col>
                    <xdr:colOff>0</xdr:colOff>
                    <xdr:row>35</xdr:row>
                    <xdr:rowOff>0</xdr:rowOff>
                  </from>
                  <to>
                    <xdr:col>2</xdr:col>
                    <xdr:colOff>191497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4" r:id="rId9" name="Drop Down 6">
              <controlPr defaultSize="0" autoLine="0" autoPict="0" macro="[0]!VerwijderContInfuus1700_6">
                <anchor moveWithCells="1">
                  <from>
                    <xdr:col>1</xdr:col>
                    <xdr:colOff>0</xdr:colOff>
                    <xdr:row>36</xdr:row>
                    <xdr:rowOff>0</xdr:rowOff>
                  </from>
                  <to>
                    <xdr:col>2</xdr:col>
                    <xdr:colOff>191497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5" r:id="rId10" name="Drop Down 7">
              <controlPr defaultSize="0" autoLine="0" autoPict="0" macro="[0]!VerwijderContInfuus1700_7">
                <anchor moveWithCells="1">
                  <from>
                    <xdr:col>1</xdr:col>
                    <xdr:colOff>0</xdr:colOff>
                    <xdr:row>37</xdr:row>
                    <xdr:rowOff>0</xdr:rowOff>
                  </from>
                  <to>
                    <xdr:col>2</xdr:col>
                    <xdr:colOff>191497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6" r:id="rId11" name="Spinner 8">
              <controlPr defaultSize="0" autoPict="0">
                <anchor moveWithCells="1" sizeWithCells="1">
                  <from>
                    <xdr:col>7</xdr:col>
                    <xdr:colOff>19150</xdr:colOff>
                    <xdr:row>29</xdr:row>
                    <xdr:rowOff>9575</xdr:rowOff>
                  </from>
                  <to>
                    <xdr:col>7</xdr:col>
                    <xdr:colOff>143623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7" r:id="rId12" name="Spinner 9">
              <controlPr defaultSize="0" autoPict="0">
                <anchor moveWithCells="1" sizeWithCells="1">
                  <from>
                    <xdr:col>7</xdr:col>
                    <xdr:colOff>19150</xdr:colOff>
                    <xdr:row>31</xdr:row>
                    <xdr:rowOff>9575</xdr:rowOff>
                  </from>
                  <to>
                    <xdr:col>7</xdr:col>
                    <xdr:colOff>143623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8" r:id="rId13" name="Spinner 10">
              <controlPr defaultSize="0" autoPict="0">
                <anchor moveWithCells="1" sizeWithCells="1">
                  <from>
                    <xdr:col>7</xdr:col>
                    <xdr:colOff>19150</xdr:colOff>
                    <xdr:row>32</xdr:row>
                    <xdr:rowOff>9575</xdr:rowOff>
                  </from>
                  <to>
                    <xdr:col>7</xdr:col>
                    <xdr:colOff>143623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9" r:id="rId14" name="Spinner 11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0" r:id="rId15" name="Spinner 12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1" r:id="rId16" name="Spinner 13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2" r:id="rId17" name="Spinner 14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3" r:id="rId18" name="Spinner 15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4" r:id="rId19" name="Option Button 16">
              <controlPr defaultSize="0" autoFill="0" autoLine="0" autoPict="0">
                <anchor moveWithCells="1">
                  <from>
                    <xdr:col>1</xdr:col>
                    <xdr:colOff>210647</xdr:colOff>
                    <xdr:row>20</xdr:row>
                    <xdr:rowOff>28725</xdr:rowOff>
                  </from>
                  <to>
                    <xdr:col>2</xdr:col>
                    <xdr:colOff>392570</xdr:colOff>
                    <xdr:row>21</xdr:row>
                    <xdr:rowOff>47874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5" r:id="rId20" name="Option Button 17">
              <controlPr defaultSize="0" autoFill="0" autoLine="0" autoPict="0">
                <anchor moveWithCells="1">
                  <from>
                    <xdr:col>1</xdr:col>
                    <xdr:colOff>210647</xdr:colOff>
                    <xdr:row>21</xdr:row>
                    <xdr:rowOff>38299</xdr:rowOff>
                  </from>
                  <to>
                    <xdr:col>2</xdr:col>
                    <xdr:colOff>392570</xdr:colOff>
                    <xdr:row>22</xdr:row>
                    <xdr:rowOff>57449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6" r:id="rId21" name="Spinner 18">
              <controlPr defaultSize="0" autoPict="0">
                <anchor moveWithCells="1" sizeWithCells="1">
                  <from>
                    <xdr:col>4</xdr:col>
                    <xdr:colOff>684603</xdr:colOff>
                    <xdr:row>20</xdr:row>
                    <xdr:rowOff>9575</xdr:rowOff>
                  </from>
                  <to>
                    <xdr:col>4</xdr:col>
                    <xdr:colOff>809076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7" r:id="rId22" name="Spinner 19">
              <controlPr defaultSize="0" autoPict="0">
                <anchor moveWithCells="1" sizeWithCells="1">
                  <from>
                    <xdr:col>6</xdr:col>
                    <xdr:colOff>684603</xdr:colOff>
                    <xdr:row>20</xdr:row>
                    <xdr:rowOff>9575</xdr:rowOff>
                  </from>
                  <to>
                    <xdr:col>6</xdr:col>
                    <xdr:colOff>809076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8" r:id="rId23" name="Spinner 20">
              <controlPr defaultSize="0" autoPict="0">
                <anchor moveWithCells="1" sizeWithCells="1">
                  <from>
                    <xdr:col>4</xdr:col>
                    <xdr:colOff>713328</xdr:colOff>
                    <xdr:row>17</xdr:row>
                    <xdr:rowOff>9575</xdr:rowOff>
                  </from>
                  <to>
                    <xdr:col>5</xdr:col>
                    <xdr:colOff>9575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9" r:id="rId24" name="Option Button 21">
              <controlPr defaultSize="0" autoFill="0" autoLine="0" autoPict="0">
                <anchor moveWithCells="1">
                  <from>
                    <xdr:col>3</xdr:col>
                    <xdr:colOff>655879</xdr:colOff>
                    <xdr:row>49</xdr:row>
                    <xdr:rowOff>181923</xdr:rowOff>
                  </from>
                  <to>
                    <xdr:col>4</xdr:col>
                    <xdr:colOff>646304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0" r:id="rId25" name="Option Button 22">
              <controlPr defaultSize="0" autoFill="0" autoLine="0" autoPict="0">
                <anchor moveWithCells="1">
                  <from>
                    <xdr:col>6</xdr:col>
                    <xdr:colOff>0</xdr:colOff>
                    <xdr:row>49</xdr:row>
                    <xdr:rowOff>172348</xdr:rowOff>
                  </from>
                  <to>
                    <xdr:col>7</xdr:col>
                    <xdr:colOff>210647</xdr:colOff>
                    <xdr:row>50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1" r:id="rId26" name="Option Button 23">
              <controlPr defaultSize="0" autoFill="0" autoLine="0" autoPict="0">
                <anchor moveWithCells="1">
                  <from>
                    <xdr:col>8</xdr:col>
                    <xdr:colOff>9575</xdr:colOff>
                    <xdr:row>49</xdr:row>
                    <xdr:rowOff>181923</xdr:rowOff>
                  </from>
                  <to>
                    <xdr:col>9</xdr:col>
                    <xdr:colOff>315971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2" r:id="rId27" name="Spinner 24">
              <controlPr defaultSize="0" autoPict="0">
                <anchor moveWithCells="1" sizeWithCells="1">
                  <from>
                    <xdr:col>4</xdr:col>
                    <xdr:colOff>684603</xdr:colOff>
                    <xdr:row>51</xdr:row>
                    <xdr:rowOff>0</xdr:rowOff>
                  </from>
                  <to>
                    <xdr:col>4</xdr:col>
                    <xdr:colOff>809076</xdr:colOff>
                    <xdr:row>51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3" r:id="rId28" name="Spinner 25">
              <controlPr defaultSize="0" autoPict="0">
                <anchor moveWithCells="1" sizeWithCells="1">
                  <from>
                    <xdr:col>4</xdr:col>
                    <xdr:colOff>684603</xdr:colOff>
                    <xdr:row>52</xdr:row>
                    <xdr:rowOff>0</xdr:rowOff>
                  </from>
                  <to>
                    <xdr:col>4</xdr:col>
                    <xdr:colOff>809076</xdr:colOff>
                    <xdr:row>52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4" r:id="rId29" name="Spinner 26">
              <controlPr defaultSize="0" autoPict="0">
                <anchor moveWithCells="1" sizeWithCells="1">
                  <from>
                    <xdr:col>4</xdr:col>
                    <xdr:colOff>684603</xdr:colOff>
                    <xdr:row>53</xdr:row>
                    <xdr:rowOff>0</xdr:rowOff>
                  </from>
                  <to>
                    <xdr:col>4</xdr:col>
                    <xdr:colOff>809076</xdr:colOff>
                    <xdr:row>53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5" r:id="rId30" name="Spinner 27">
              <controlPr defaultSize="0" autoPict="0">
                <anchor moveWithCells="1" sizeWithCells="1">
                  <from>
                    <xdr:col>4</xdr:col>
                    <xdr:colOff>684603</xdr:colOff>
                    <xdr:row>54</xdr:row>
                    <xdr:rowOff>0</xdr:rowOff>
                  </from>
                  <to>
                    <xdr:col>4</xdr:col>
                    <xdr:colOff>809076</xdr:colOff>
                    <xdr:row>54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6" r:id="rId31" name="Spinner 28">
              <controlPr defaultSize="0" autoPict="0">
                <anchor moveWithCells="1" sizeWithCells="1">
                  <from>
                    <xdr:col>4</xdr:col>
                    <xdr:colOff>684603</xdr:colOff>
                    <xdr:row>55</xdr:row>
                    <xdr:rowOff>0</xdr:rowOff>
                  </from>
                  <to>
                    <xdr:col>4</xdr:col>
                    <xdr:colOff>809076</xdr:colOff>
                    <xdr:row>55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7" r:id="rId32" name="Spinner 29">
              <controlPr defaultSize="0" autoPict="0">
                <anchor moveWithCells="1" sizeWithCells="1">
                  <from>
                    <xdr:col>4</xdr:col>
                    <xdr:colOff>684603</xdr:colOff>
                    <xdr:row>56</xdr:row>
                    <xdr:rowOff>0</xdr:rowOff>
                  </from>
                  <to>
                    <xdr:col>4</xdr:col>
                    <xdr:colOff>809076</xdr:colOff>
                    <xdr:row>56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8" r:id="rId33" name="Spinner 30">
              <controlPr defaultSize="0" autoPict="0">
                <anchor moveWithCells="1" sizeWithCells="1">
                  <from>
                    <xdr:col>6</xdr:col>
                    <xdr:colOff>703753</xdr:colOff>
                    <xdr:row>57</xdr:row>
                    <xdr:rowOff>0</xdr:rowOff>
                  </from>
                  <to>
                    <xdr:col>7</xdr:col>
                    <xdr:colOff>0</xdr:colOff>
                    <xdr:row>57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9" r:id="rId34" name="Spinner 31">
              <controlPr defaultSize="0" autoPict="0">
                <anchor moveWithCells="1" sizeWithCells="1">
                  <from>
                    <xdr:col>8</xdr:col>
                    <xdr:colOff>694178</xdr:colOff>
                    <xdr:row>51</xdr:row>
                    <xdr:rowOff>0</xdr:rowOff>
                  </from>
                  <to>
                    <xdr:col>8</xdr:col>
                    <xdr:colOff>818651</xdr:colOff>
                    <xdr:row>51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0" r:id="rId35" name="Spinner 32">
              <controlPr defaultSize="0" autoPict="0">
                <anchor moveWithCells="1" sizeWithCells="1">
                  <from>
                    <xdr:col>8</xdr:col>
                    <xdr:colOff>694178</xdr:colOff>
                    <xdr:row>52</xdr:row>
                    <xdr:rowOff>0</xdr:rowOff>
                  </from>
                  <to>
                    <xdr:col>8</xdr:col>
                    <xdr:colOff>818651</xdr:colOff>
                    <xdr:row>52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1" r:id="rId36" name="Spinner 33">
              <controlPr defaultSize="0" autoPict="0">
                <anchor moveWithCells="1" sizeWithCells="1">
                  <from>
                    <xdr:col>8</xdr:col>
                    <xdr:colOff>694178</xdr:colOff>
                    <xdr:row>58</xdr:row>
                    <xdr:rowOff>0</xdr:rowOff>
                  </from>
                  <to>
                    <xdr:col>8</xdr:col>
                    <xdr:colOff>818651</xdr:colOff>
                    <xdr:row>58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2" r:id="rId37" name="Option Button 34">
              <controlPr defaultSize="0" autoFill="0" autoLine="0" autoPict="0">
                <anchor moveWithCells="1">
                  <from>
                    <xdr:col>2</xdr:col>
                    <xdr:colOff>172348</xdr:colOff>
                    <xdr:row>17</xdr:row>
                    <xdr:rowOff>181923</xdr:rowOff>
                  </from>
                  <to>
                    <xdr:col>2</xdr:col>
                    <xdr:colOff>780352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3" r:id="rId38" name="Option Button 35">
              <controlPr defaultSize="0" autoFill="0" autoLine="0" autoPict="0">
                <anchor moveWithCells="1">
                  <from>
                    <xdr:col>2</xdr:col>
                    <xdr:colOff>550555</xdr:colOff>
                    <xdr:row>17</xdr:row>
                    <xdr:rowOff>181923</xdr:rowOff>
                  </from>
                  <to>
                    <xdr:col>3</xdr:col>
                    <xdr:colOff>335120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4" r:id="rId39" name="Drop Down 36">
              <controlPr defaultSize="0" autoLine="0" autoPict="0">
                <anchor moveWithCells="1">
                  <from>
                    <xdr:col>4</xdr:col>
                    <xdr:colOff>325546</xdr:colOff>
                    <xdr:row>31</xdr:row>
                    <xdr:rowOff>0</xdr:rowOff>
                  </from>
                  <to>
                    <xdr:col>5</xdr:col>
                    <xdr:colOff>608004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5" r:id="rId40" name="Drop Down 37">
              <controlPr defaultSize="0" autoLine="0" autoPict="0">
                <anchor moveWithCells="1">
                  <from>
                    <xdr:col>4</xdr:col>
                    <xdr:colOff>325546</xdr:colOff>
                    <xdr:row>32</xdr:row>
                    <xdr:rowOff>0</xdr:rowOff>
                  </from>
                  <to>
                    <xdr:col>5</xdr:col>
                    <xdr:colOff>608004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6" r:id="rId41" name="Drop Down 38">
              <controlPr defaultSize="0" autoLine="0" autoPict="0">
                <anchor moveWithCells="1">
                  <from>
                    <xdr:col>4</xdr:col>
                    <xdr:colOff>325546</xdr:colOff>
                    <xdr:row>33</xdr:row>
                    <xdr:rowOff>0</xdr:rowOff>
                  </from>
                  <to>
                    <xdr:col>5</xdr:col>
                    <xdr:colOff>608004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7" r:id="rId42" name="Drop Down 39">
              <controlPr defaultSize="0" autoLine="0" autoPict="0">
                <anchor moveWithCells="1">
                  <from>
                    <xdr:col>4</xdr:col>
                    <xdr:colOff>325546</xdr:colOff>
                    <xdr:row>34</xdr:row>
                    <xdr:rowOff>0</xdr:rowOff>
                  </from>
                  <to>
                    <xdr:col>5</xdr:col>
                    <xdr:colOff>608004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8" r:id="rId43" name="Drop Down 40">
              <controlPr defaultSize="0" autoLine="0" autoPict="0">
                <anchor moveWithCells="1">
                  <from>
                    <xdr:col>4</xdr:col>
                    <xdr:colOff>325546</xdr:colOff>
                    <xdr:row>35</xdr:row>
                    <xdr:rowOff>0</xdr:rowOff>
                  </from>
                  <to>
                    <xdr:col>5</xdr:col>
                    <xdr:colOff>608004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9" r:id="rId44" name="Drop Down 41">
              <controlPr defaultSize="0" autoLine="0" autoPict="0">
                <anchor moveWithCells="1">
                  <from>
                    <xdr:col>4</xdr:col>
                    <xdr:colOff>325546</xdr:colOff>
                    <xdr:row>36</xdr:row>
                    <xdr:rowOff>0</xdr:rowOff>
                  </from>
                  <to>
                    <xdr:col>5</xdr:col>
                    <xdr:colOff>608004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0" r:id="rId45" name="Spinner 42">
              <controlPr defaultSize="0" autoPict="0">
                <anchor moveWithCells="1" sizeWithCells="1">
                  <from>
                    <xdr:col>4</xdr:col>
                    <xdr:colOff>153198</xdr:colOff>
                    <xdr:row>31</xdr:row>
                    <xdr:rowOff>0</xdr:rowOff>
                  </from>
                  <to>
                    <xdr:col>4</xdr:col>
                    <xdr:colOff>277671</xdr:colOff>
                    <xdr:row>31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1" r:id="rId46" name="Spinner 43">
              <controlPr defaultSize="0" autoPict="0">
                <anchor moveWithCells="1" sizeWithCells="1">
                  <from>
                    <xdr:col>4</xdr:col>
                    <xdr:colOff>153198</xdr:colOff>
                    <xdr:row>32</xdr:row>
                    <xdr:rowOff>0</xdr:rowOff>
                  </from>
                  <to>
                    <xdr:col>4</xdr:col>
                    <xdr:colOff>277671</xdr:colOff>
                    <xdr:row>32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2" r:id="rId47" name="Spinner 44">
              <controlPr defaultSize="0" autoPict="0">
                <anchor moveWithCells="1" sizeWithCells="1">
                  <from>
                    <xdr:col>4</xdr:col>
                    <xdr:colOff>153198</xdr:colOff>
                    <xdr:row>33</xdr:row>
                    <xdr:rowOff>0</xdr:rowOff>
                  </from>
                  <to>
                    <xdr:col>4</xdr:col>
                    <xdr:colOff>277671</xdr:colOff>
                    <xdr:row>33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3" r:id="rId48" name="Spinner 45">
              <controlPr defaultSize="0" autoPict="0">
                <anchor moveWithCells="1" sizeWithCells="1">
                  <from>
                    <xdr:col>4</xdr:col>
                    <xdr:colOff>153198</xdr:colOff>
                    <xdr:row>34</xdr:row>
                    <xdr:rowOff>0</xdr:rowOff>
                  </from>
                  <to>
                    <xdr:col>4</xdr:col>
                    <xdr:colOff>277671</xdr:colOff>
                    <xdr:row>34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4" r:id="rId49" name="Spinner 46">
              <controlPr defaultSize="0" autoPict="0">
                <anchor moveWithCells="1" sizeWithCells="1">
                  <from>
                    <xdr:col>4</xdr:col>
                    <xdr:colOff>153198</xdr:colOff>
                    <xdr:row>35</xdr:row>
                    <xdr:rowOff>0</xdr:rowOff>
                  </from>
                  <to>
                    <xdr:col>4</xdr:col>
                    <xdr:colOff>277671</xdr:colOff>
                    <xdr:row>35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5" r:id="rId50" name="Spinner 47">
              <controlPr defaultSize="0" autoPict="0">
                <anchor moveWithCells="1" sizeWithCells="1">
                  <from>
                    <xdr:col>4</xdr:col>
                    <xdr:colOff>153198</xdr:colOff>
                    <xdr:row>36</xdr:row>
                    <xdr:rowOff>0</xdr:rowOff>
                  </from>
                  <to>
                    <xdr:col>4</xdr:col>
                    <xdr:colOff>277671</xdr:colOff>
                    <xdr:row>36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6" r:id="rId51" name="Spinner 48">
              <controlPr defaultSize="0" autoPict="0">
                <anchor moveWithCells="1" sizeWithCells="1">
                  <from>
                    <xdr:col>4</xdr:col>
                    <xdr:colOff>153198</xdr:colOff>
                    <xdr:row>37</xdr:row>
                    <xdr:rowOff>0</xdr:rowOff>
                  </from>
                  <to>
                    <xdr:col>4</xdr:col>
                    <xdr:colOff>277671</xdr:colOff>
                    <xdr:row>37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7" r:id="rId52" name="Spinner 49">
              <controlPr defaultSize="0" autoPict="0">
                <anchor moveWithCells="1" sizeWithCells="1">
                  <from>
                    <xdr:col>3</xdr:col>
                    <xdr:colOff>9575</xdr:colOff>
                    <xdr:row>30</xdr:row>
                    <xdr:rowOff>86174</xdr:rowOff>
                  </from>
                  <to>
                    <xdr:col>3</xdr:col>
                    <xdr:colOff>134048</xdr:colOff>
                    <xdr:row>31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8" r:id="rId53" name="Spinner 50">
              <controlPr defaultSize="0" autoPict="0">
                <anchor moveWithCells="1" sizeWithCells="1">
                  <from>
                    <xdr:col>3</xdr:col>
                    <xdr:colOff>9575</xdr:colOff>
                    <xdr:row>31</xdr:row>
                    <xdr:rowOff>191497</xdr:rowOff>
                  </from>
                  <to>
                    <xdr:col>3</xdr:col>
                    <xdr:colOff>134048</xdr:colOff>
                    <xdr:row>32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9" r:id="rId54" name="Spinner 51">
              <controlPr defaultSize="0" autoPict="0">
                <anchor moveWithCells="1" sizeWithCells="1">
                  <from>
                    <xdr:col>3</xdr:col>
                    <xdr:colOff>9575</xdr:colOff>
                    <xdr:row>32</xdr:row>
                    <xdr:rowOff>191497</xdr:rowOff>
                  </from>
                  <to>
                    <xdr:col>3</xdr:col>
                    <xdr:colOff>134048</xdr:colOff>
                    <xdr:row>33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0" r:id="rId55" name="Spinner 52">
              <controlPr defaultSize="0" autoPict="0">
                <anchor moveWithCells="1" sizeWithCells="1">
                  <from>
                    <xdr:col>3</xdr:col>
                    <xdr:colOff>9575</xdr:colOff>
                    <xdr:row>33</xdr:row>
                    <xdr:rowOff>191497</xdr:rowOff>
                  </from>
                  <to>
                    <xdr:col>3</xdr:col>
                    <xdr:colOff>134048</xdr:colOff>
                    <xdr:row>34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1" r:id="rId56" name="Spinner 53">
              <controlPr defaultSize="0" autoPict="0">
                <anchor moveWithCells="1" sizeWithCells="1">
                  <from>
                    <xdr:col>3</xdr:col>
                    <xdr:colOff>9575</xdr:colOff>
                    <xdr:row>34</xdr:row>
                    <xdr:rowOff>191497</xdr:rowOff>
                  </from>
                  <to>
                    <xdr:col>3</xdr:col>
                    <xdr:colOff>134048</xdr:colOff>
                    <xdr:row>35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2" r:id="rId57" name="Spinner 54">
              <controlPr defaultSize="0" autoPict="0">
                <anchor moveWithCells="1" sizeWithCells="1">
                  <from>
                    <xdr:col>3</xdr:col>
                    <xdr:colOff>9575</xdr:colOff>
                    <xdr:row>35</xdr:row>
                    <xdr:rowOff>191497</xdr:rowOff>
                  </from>
                  <to>
                    <xdr:col>3</xdr:col>
                    <xdr:colOff>134048</xdr:colOff>
                    <xdr:row>36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3" r:id="rId58" name="Spinner 55">
              <controlPr defaultSize="0" autoPict="0">
                <anchor moveWithCells="1" sizeWithCells="1">
                  <from>
                    <xdr:col>3</xdr:col>
                    <xdr:colOff>9575</xdr:colOff>
                    <xdr:row>36</xdr:row>
                    <xdr:rowOff>191497</xdr:rowOff>
                  </from>
                  <to>
                    <xdr:col>3</xdr:col>
                    <xdr:colOff>134048</xdr:colOff>
                    <xdr:row>37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4" r:id="rId59" name="Group Box 56">
              <controlPr defaultSize="0" autoFill="0" autoPict="0">
                <anchor moveWithCells="1">
                  <from>
                    <xdr:col>1</xdr:col>
                    <xdr:colOff>153198</xdr:colOff>
                    <xdr:row>19</xdr:row>
                    <xdr:rowOff>153198</xdr:rowOff>
                  </from>
                  <to>
                    <xdr:col>2</xdr:col>
                    <xdr:colOff>722903</xdr:colOff>
                    <xdr:row>22</xdr:row>
                    <xdr:rowOff>114898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5" r:id="rId60" name="Group Box 57">
              <controlPr defaultSize="0" autoFill="0" autoPict="0">
                <anchor moveWithCells="1">
                  <from>
                    <xdr:col>3</xdr:col>
                    <xdr:colOff>9575</xdr:colOff>
                    <xdr:row>49</xdr:row>
                    <xdr:rowOff>76599</xdr:rowOff>
                  </from>
                  <to>
                    <xdr:col>9</xdr:col>
                    <xdr:colOff>450019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6" r:id="rId61" name="Check Box 58">
              <controlPr defaultSize="0" autoFill="0" autoLine="0" autoPict="0">
                <anchor moveWithCells="1">
                  <from>
                    <xdr:col>9</xdr:col>
                    <xdr:colOff>296821</xdr:colOff>
                    <xdr:row>29</xdr:row>
                    <xdr:rowOff>0</xdr:rowOff>
                  </from>
                  <to>
                    <xdr:col>9</xdr:col>
                    <xdr:colOff>598429</xdr:colOff>
                    <xdr:row>30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7" r:id="rId62" name="Check Box 59">
              <controlPr defaultSize="0" autoFill="0" autoLine="0" autoPict="0">
                <anchor moveWithCells="1">
                  <from>
                    <xdr:col>9</xdr:col>
                    <xdr:colOff>296821</xdr:colOff>
                    <xdr:row>31</xdr:row>
                    <xdr:rowOff>0</xdr:rowOff>
                  </from>
                  <to>
                    <xdr:col>9</xdr:col>
                    <xdr:colOff>598429</xdr:colOff>
                    <xdr:row>32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8" r:id="rId63" name="Check Box 60">
              <controlPr defaultSize="0" autoFill="0" autoLine="0" autoPict="0">
                <anchor moveWithCells="1">
                  <from>
                    <xdr:col>9</xdr:col>
                    <xdr:colOff>296821</xdr:colOff>
                    <xdr:row>32</xdr:row>
                    <xdr:rowOff>0</xdr:rowOff>
                  </from>
                  <to>
                    <xdr:col>9</xdr:col>
                    <xdr:colOff>598429</xdr:colOff>
                    <xdr:row>33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9" r:id="rId64" name="Check Box 61">
              <controlPr defaultSize="0" autoFill="0" autoLine="0" autoPict="0">
                <anchor moveWithCells="1">
                  <from>
                    <xdr:col>9</xdr:col>
                    <xdr:colOff>296821</xdr:colOff>
                    <xdr:row>33</xdr:row>
                    <xdr:rowOff>0</xdr:rowOff>
                  </from>
                  <to>
                    <xdr:col>9</xdr:col>
                    <xdr:colOff>598429</xdr:colOff>
                    <xdr:row>34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0" r:id="rId65" name="Check Box 62">
              <controlPr defaultSize="0" autoFill="0" autoLine="0" autoPict="0">
                <anchor moveWithCells="1">
                  <from>
                    <xdr:col>9</xdr:col>
                    <xdr:colOff>296821</xdr:colOff>
                    <xdr:row>34</xdr:row>
                    <xdr:rowOff>0</xdr:rowOff>
                  </from>
                  <to>
                    <xdr:col>9</xdr:col>
                    <xdr:colOff>598429</xdr:colOff>
                    <xdr:row>35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1" r:id="rId66" name="Check Box 63">
              <controlPr defaultSize="0" autoFill="0" autoLine="0" autoPict="0">
                <anchor moveWithCells="1">
                  <from>
                    <xdr:col>9</xdr:col>
                    <xdr:colOff>296821</xdr:colOff>
                    <xdr:row>35</xdr:row>
                    <xdr:rowOff>0</xdr:rowOff>
                  </from>
                  <to>
                    <xdr:col>9</xdr:col>
                    <xdr:colOff>598429</xdr:colOff>
                    <xdr:row>36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2" r:id="rId67" name="Check Box 64">
              <controlPr defaultSize="0" autoFill="0" autoLine="0" autoPict="0">
                <anchor moveWithCells="1">
                  <from>
                    <xdr:col>9</xdr:col>
                    <xdr:colOff>296821</xdr:colOff>
                    <xdr:row>36</xdr:row>
                    <xdr:rowOff>0</xdr:rowOff>
                  </from>
                  <to>
                    <xdr:col>9</xdr:col>
                    <xdr:colOff>598429</xdr:colOff>
                    <xdr:row>37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3" r:id="rId68" name="Check Box 65">
              <controlPr defaultSize="0" autoFill="0" autoLine="0" autoPict="0">
                <anchor moveWithCells="1">
                  <from>
                    <xdr:col>9</xdr:col>
                    <xdr:colOff>296821</xdr:colOff>
                    <xdr:row>37</xdr:row>
                    <xdr:rowOff>0</xdr:rowOff>
                  </from>
                  <to>
                    <xdr:col>9</xdr:col>
                    <xdr:colOff>598429</xdr:colOff>
                    <xdr:row>38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4" r:id="rId69" name="Drop Down 66">
              <controlPr defaultSize="0" autoLine="0" autoPict="0" macro="[0]!VerwijderContInfuus1700_8">
                <anchor moveWithCells="1">
                  <from>
                    <xdr:col>1</xdr:col>
                    <xdr:colOff>0</xdr:colOff>
                    <xdr:row>38</xdr:row>
                    <xdr:rowOff>0</xdr:rowOff>
                  </from>
                  <to>
                    <xdr:col>2</xdr:col>
                    <xdr:colOff>191497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5" r:id="rId70" name="Spinner 67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6" r:id="rId71" name="Drop Down 68">
              <controlPr defaultSize="0" autoLine="0" autoPict="0">
                <anchor moveWithCells="1">
                  <from>
                    <xdr:col>4</xdr:col>
                    <xdr:colOff>325546</xdr:colOff>
                    <xdr:row>37</xdr:row>
                    <xdr:rowOff>0</xdr:rowOff>
                  </from>
                  <to>
                    <xdr:col>5</xdr:col>
                    <xdr:colOff>608004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7" r:id="rId72" name="Spinner 69">
              <controlPr defaultSize="0" autoPict="0">
                <anchor moveWithCells="1" sizeWithCells="1">
                  <from>
                    <xdr:col>4</xdr:col>
                    <xdr:colOff>153198</xdr:colOff>
                    <xdr:row>38</xdr:row>
                    <xdr:rowOff>0</xdr:rowOff>
                  </from>
                  <to>
                    <xdr:col>4</xdr:col>
                    <xdr:colOff>277671</xdr:colOff>
                    <xdr:row>38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8" r:id="rId73" name="Spinner 70">
              <controlPr defaultSize="0" autoPict="0">
                <anchor moveWithCells="1" sizeWithCells="1">
                  <from>
                    <xdr:col>3</xdr:col>
                    <xdr:colOff>9575</xdr:colOff>
                    <xdr:row>37</xdr:row>
                    <xdr:rowOff>191497</xdr:rowOff>
                  </from>
                  <to>
                    <xdr:col>3</xdr:col>
                    <xdr:colOff>134048</xdr:colOff>
                    <xdr:row>38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9" r:id="rId74" name="Check Box 71">
              <controlPr defaultSize="0" autoFill="0" autoLine="0" autoPict="0">
                <anchor moveWithCells="1">
                  <from>
                    <xdr:col>9</xdr:col>
                    <xdr:colOff>296821</xdr:colOff>
                    <xdr:row>37</xdr:row>
                    <xdr:rowOff>0</xdr:rowOff>
                  </from>
                  <to>
                    <xdr:col>9</xdr:col>
                    <xdr:colOff>598429</xdr:colOff>
                    <xdr:row>38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0" r:id="rId75" name="Check Box 72">
              <controlPr defaultSize="0" autoFill="0" autoLine="0" autoPict="0">
                <anchor moveWithCells="1">
                  <from>
                    <xdr:col>9</xdr:col>
                    <xdr:colOff>296821</xdr:colOff>
                    <xdr:row>38</xdr:row>
                    <xdr:rowOff>0</xdr:rowOff>
                  </from>
                  <to>
                    <xdr:col>9</xdr:col>
                    <xdr:colOff>598429</xdr:colOff>
                    <xdr:row>39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1" r:id="rId76" name="Spinner 73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2" r:id="rId77" name="Drop Down 74">
              <controlPr defaultSize="0" autoLine="0" autoPict="0">
                <anchor moveWithCells="1">
                  <from>
                    <xdr:col>4</xdr:col>
                    <xdr:colOff>325546</xdr:colOff>
                    <xdr:row>38</xdr:row>
                    <xdr:rowOff>0</xdr:rowOff>
                  </from>
                  <to>
                    <xdr:col>5</xdr:col>
                    <xdr:colOff>608004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3" r:id="rId78" name="Drop Down 75">
              <controlPr defaultSize="0" autoLine="0" autoPict="0">
                <anchor moveWithCells="1">
                  <from>
                    <xdr:col>4</xdr:col>
                    <xdr:colOff>325546</xdr:colOff>
                    <xdr:row>39</xdr:row>
                    <xdr:rowOff>0</xdr:rowOff>
                  </from>
                  <to>
                    <xdr:col>5</xdr:col>
                    <xdr:colOff>608004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4" r:id="rId79" name="Check Box 76">
              <controlPr defaultSize="0" autoFill="0" autoLine="0" autoPict="0">
                <anchor moveWithCells="1">
                  <from>
                    <xdr:col>9</xdr:col>
                    <xdr:colOff>296821</xdr:colOff>
                    <xdr:row>38</xdr:row>
                    <xdr:rowOff>0</xdr:rowOff>
                  </from>
                  <to>
                    <xdr:col>9</xdr:col>
                    <xdr:colOff>598429</xdr:colOff>
                    <xdr:row>39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5" r:id="rId80" name="Check Box 77">
              <controlPr defaultSize="0" autoFill="0" autoLine="0" autoPict="0">
                <anchor moveWithCells="1">
                  <from>
                    <xdr:col>9</xdr:col>
                    <xdr:colOff>296821</xdr:colOff>
                    <xdr:row>39</xdr:row>
                    <xdr:rowOff>0</xdr:rowOff>
                  </from>
                  <to>
                    <xdr:col>9</xdr:col>
                    <xdr:colOff>598429</xdr:colOff>
                    <xdr:row>40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6" r:id="rId81" name="Spinner 78">
              <controlPr defaultSize="0" autoPict="0">
                <anchor moveWithCells="1" sizeWithCells="1">
                  <from>
                    <xdr:col>4</xdr:col>
                    <xdr:colOff>694178</xdr:colOff>
                    <xdr:row>47</xdr:row>
                    <xdr:rowOff>0</xdr:rowOff>
                  </from>
                  <to>
                    <xdr:col>4</xdr:col>
                    <xdr:colOff>818651</xdr:colOff>
                    <xdr:row>47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7" r:id="rId82" name="Drop Down 79">
              <controlPr defaultSize="0" autoLine="0" autoPict="0">
                <anchor moveWithCells="1">
                  <from>
                    <xdr:col>1</xdr:col>
                    <xdr:colOff>19150</xdr:colOff>
                    <xdr:row>59</xdr:row>
                    <xdr:rowOff>38299</xdr:rowOff>
                  </from>
                  <to>
                    <xdr:col>2</xdr:col>
                    <xdr:colOff>191497</xdr:colOff>
                    <xdr:row>59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8" r:id="rId83" name="Spinner 80">
              <controlPr defaultSize="0" autoPict="0">
                <anchor moveWithCells="1" sizeWithCells="1">
                  <from>
                    <xdr:col>7</xdr:col>
                    <xdr:colOff>684603</xdr:colOff>
                    <xdr:row>12</xdr:row>
                    <xdr:rowOff>9575</xdr:rowOff>
                  </from>
                  <to>
                    <xdr:col>7</xdr:col>
                    <xdr:colOff>809076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9" r:id="rId84" name="Spinner 81">
              <controlPr defaultSize="0" autoPict="0">
                <anchor moveWithCells="1" sizeWithCells="1">
                  <from>
                    <xdr:col>9</xdr:col>
                    <xdr:colOff>684603</xdr:colOff>
                    <xdr:row>12</xdr:row>
                    <xdr:rowOff>9575</xdr:rowOff>
                  </from>
                  <to>
                    <xdr:col>9</xdr:col>
                    <xdr:colOff>809076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0" r:id="rId85" name="Drop Down 82">
              <controlPr defaultSize="0" autoLine="0" autoPict="0">
                <anchor moveWithCells="1">
                  <from>
                    <xdr:col>8</xdr:col>
                    <xdr:colOff>47874</xdr:colOff>
                    <xdr:row>23</xdr:row>
                    <xdr:rowOff>181923</xdr:rowOff>
                  </from>
                  <to>
                    <xdr:col>9</xdr:col>
                    <xdr:colOff>588854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1" r:id="rId86" name="Drop Down 83">
              <controlPr defaultSize="0" autoLine="0" autoPict="0">
                <anchor moveWithCells="1">
                  <from>
                    <xdr:col>8</xdr:col>
                    <xdr:colOff>57449</xdr:colOff>
                    <xdr:row>25</xdr:row>
                    <xdr:rowOff>9575</xdr:rowOff>
                  </from>
                  <to>
                    <xdr:col>9</xdr:col>
                    <xdr:colOff>598429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2" r:id="rId87" name="Pos">
              <controlPr defaultSize="0" autoLine="0" autoPict="0">
                <anchor moveWithCells="1">
                  <from>
                    <xdr:col>8</xdr:col>
                    <xdr:colOff>67024</xdr:colOff>
                    <xdr:row>20</xdr:row>
                    <xdr:rowOff>9575</xdr:rowOff>
                  </from>
                  <to>
                    <xdr:col>10</xdr:col>
                    <xdr:colOff>684603</xdr:colOff>
                    <xdr:row>21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3" r:id="rId88" name="Spinner 85">
              <controlPr defaultSize="0" autoPict="0">
                <anchor moveWithCells="1" sizeWithCells="1">
                  <from>
                    <xdr:col>4</xdr:col>
                    <xdr:colOff>684603</xdr:colOff>
                    <xdr:row>21</xdr:row>
                    <xdr:rowOff>9575</xdr:rowOff>
                  </from>
                  <to>
                    <xdr:col>4</xdr:col>
                    <xdr:colOff>809076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4" r:id="rId89" name="Spinner 86">
              <controlPr defaultSize="0" autoPict="0">
                <anchor moveWithCells="1" sizeWithCells="1">
                  <from>
                    <xdr:col>6</xdr:col>
                    <xdr:colOff>684603</xdr:colOff>
                    <xdr:row>21</xdr:row>
                    <xdr:rowOff>9575</xdr:rowOff>
                  </from>
                  <to>
                    <xdr:col>6</xdr:col>
                    <xdr:colOff>809076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5" r:id="rId90" name="Drop Down 87">
              <controlPr defaultSize="0" autoLine="0" autoPict="0">
                <anchor moveWithCells="1">
                  <from>
                    <xdr:col>8</xdr:col>
                    <xdr:colOff>47874</xdr:colOff>
                    <xdr:row>24</xdr:row>
                    <xdr:rowOff>181923</xdr:rowOff>
                  </from>
                  <to>
                    <xdr:col>9</xdr:col>
                    <xdr:colOff>588854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6" r:id="rId91" name="Drop Down 88">
              <controlPr defaultSize="0" autoLine="0" autoPict="0">
                <anchor moveWithCells="1">
                  <from>
                    <xdr:col>8</xdr:col>
                    <xdr:colOff>47874</xdr:colOff>
                    <xdr:row>25</xdr:row>
                    <xdr:rowOff>181923</xdr:rowOff>
                  </from>
                  <to>
                    <xdr:col>9</xdr:col>
                    <xdr:colOff>588854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7" r:id="rId92" name="Drop Down 89">
              <controlPr defaultSize="0" autoLine="0" autoPict="0" macro="[0]!VerwijderContInfuus1700_9">
                <anchor moveWithCells="1">
                  <from>
                    <xdr:col>1</xdr:col>
                    <xdr:colOff>0</xdr:colOff>
                    <xdr:row>39</xdr:row>
                    <xdr:rowOff>0</xdr:rowOff>
                  </from>
                  <to>
                    <xdr:col>2</xdr:col>
                    <xdr:colOff>191497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8" r:id="rId93" name="Spinner 90">
              <controlPr defaultSize="0" autoPict="0">
                <anchor moveWithCells="1" sizeWithCells="1">
                  <from>
                    <xdr:col>4</xdr:col>
                    <xdr:colOff>153198</xdr:colOff>
                    <xdr:row>39</xdr:row>
                    <xdr:rowOff>0</xdr:rowOff>
                  </from>
                  <to>
                    <xdr:col>4</xdr:col>
                    <xdr:colOff>277671</xdr:colOff>
                    <xdr:row>39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9" r:id="rId94" name="Spinner 91">
              <controlPr defaultSize="0" autoPict="0">
                <anchor moveWithCells="1" sizeWithCells="1">
                  <from>
                    <xdr:col>3</xdr:col>
                    <xdr:colOff>9575</xdr:colOff>
                    <xdr:row>38</xdr:row>
                    <xdr:rowOff>191497</xdr:rowOff>
                  </from>
                  <to>
                    <xdr:col>3</xdr:col>
                    <xdr:colOff>134048</xdr:colOff>
                    <xdr:row>39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0" r:id="rId95" name="Drop Down 92">
              <controlPr defaultSize="0" autoLine="0" autoPict="0">
                <anchor moveWithCells="1">
                  <from>
                    <xdr:col>4</xdr:col>
                    <xdr:colOff>325546</xdr:colOff>
                    <xdr:row>39</xdr:row>
                    <xdr:rowOff>0</xdr:rowOff>
                  </from>
                  <to>
                    <xdr:col>5</xdr:col>
                    <xdr:colOff>608004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1" r:id="rId96" name="Drop Down 93">
              <controlPr defaultSize="0" autoLine="0" autoPict="0" macro="[0]!Vervolgkeuzelijst101_BijWijzigen">
                <anchor moveWithCells="1">
                  <from>
                    <xdr:col>4</xdr:col>
                    <xdr:colOff>325546</xdr:colOff>
                    <xdr:row>41</xdr:row>
                    <xdr:rowOff>0</xdr:rowOff>
                  </from>
                  <to>
                    <xdr:col>5</xdr:col>
                    <xdr:colOff>608004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2" r:id="rId97" name="Spinner 94">
              <controlPr defaultSize="0" autoPict="0">
                <anchor moveWithCells="1" sizeWithCells="1">
                  <from>
                    <xdr:col>7</xdr:col>
                    <xdr:colOff>19150</xdr:colOff>
                    <xdr:row>41</xdr:row>
                    <xdr:rowOff>9575</xdr:rowOff>
                  </from>
                  <to>
                    <xdr:col>7</xdr:col>
                    <xdr:colOff>143623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3" r:id="rId98" name="Check Box 95">
              <controlPr defaultSize="0" autoFill="0" autoLine="0" autoPict="0">
                <anchor moveWithCells="1">
                  <from>
                    <xdr:col>9</xdr:col>
                    <xdr:colOff>296821</xdr:colOff>
                    <xdr:row>41</xdr:row>
                    <xdr:rowOff>0</xdr:rowOff>
                  </from>
                  <to>
                    <xdr:col>9</xdr:col>
                    <xdr:colOff>598429</xdr:colOff>
                    <xdr:row>42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4" r:id="rId99" name="Drop Down 96">
              <controlPr defaultSize="0" autoLine="0" autoPict="0" macro="[0]!Vervolgkeuzelijst104_BijWijzigen">
                <anchor moveWithCells="1">
                  <from>
                    <xdr:col>4</xdr:col>
                    <xdr:colOff>325546</xdr:colOff>
                    <xdr:row>42</xdr:row>
                    <xdr:rowOff>0</xdr:rowOff>
                  </from>
                  <to>
                    <xdr:col>5</xdr:col>
                    <xdr:colOff>608004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5" r:id="rId100" name="Spinner 97">
              <controlPr defaultSize="0" autoPict="0">
                <anchor moveWithCells="1" sizeWithCells="1">
                  <from>
                    <xdr:col>7</xdr:col>
                    <xdr:colOff>19150</xdr:colOff>
                    <xdr:row>42</xdr:row>
                    <xdr:rowOff>9575</xdr:rowOff>
                  </from>
                  <to>
                    <xdr:col>7</xdr:col>
                    <xdr:colOff>143623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6" r:id="rId101" name="Check Box 98">
              <controlPr defaultSize="0" autoFill="0" autoLine="0" autoPict="0">
                <anchor moveWithCells="1">
                  <from>
                    <xdr:col>9</xdr:col>
                    <xdr:colOff>296821</xdr:colOff>
                    <xdr:row>42</xdr:row>
                    <xdr:rowOff>0</xdr:rowOff>
                  </from>
                  <to>
                    <xdr:col>9</xdr:col>
                    <xdr:colOff>598429</xdr:colOff>
                    <xdr:row>43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7" r:id="rId102" name="Check Box 99">
              <controlPr defaultSize="0" autoFill="0" autoLine="0" autoPict="0">
                <anchor moveWithCells="1">
                  <from>
                    <xdr:col>9</xdr:col>
                    <xdr:colOff>296821</xdr:colOff>
                    <xdr:row>42</xdr:row>
                    <xdr:rowOff>0</xdr:rowOff>
                  </from>
                  <to>
                    <xdr:col>9</xdr:col>
                    <xdr:colOff>598429</xdr:colOff>
                    <xdr:row>43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8" r:id="rId103" name="Drop Down 100">
              <controlPr defaultSize="0" autoLine="0" autoPict="0" macro="[0]!Vervolgkeuzelijst108_BijWijzigen">
                <anchor moveWithCells="1">
                  <from>
                    <xdr:col>4</xdr:col>
                    <xdr:colOff>325546</xdr:colOff>
                    <xdr:row>43</xdr:row>
                    <xdr:rowOff>0</xdr:rowOff>
                  </from>
                  <to>
                    <xdr:col>5</xdr:col>
                    <xdr:colOff>608004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9" r:id="rId104" name="Spinner 101">
              <controlPr defaultSize="0" autoPict="0">
                <anchor moveWithCells="1" sizeWithCells="1">
                  <from>
                    <xdr:col>7</xdr:col>
                    <xdr:colOff>19150</xdr:colOff>
                    <xdr:row>43</xdr:row>
                    <xdr:rowOff>9575</xdr:rowOff>
                  </from>
                  <to>
                    <xdr:col>7</xdr:col>
                    <xdr:colOff>143623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0" r:id="rId105" name="Check Box 102">
              <controlPr defaultSize="0" autoFill="0" autoLine="0" autoPict="0">
                <anchor moveWithCells="1">
                  <from>
                    <xdr:col>9</xdr:col>
                    <xdr:colOff>296821</xdr:colOff>
                    <xdr:row>43</xdr:row>
                    <xdr:rowOff>0</xdr:rowOff>
                  </from>
                  <to>
                    <xdr:col>9</xdr:col>
                    <xdr:colOff>598429</xdr:colOff>
                    <xdr:row>44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1" r:id="rId106" name="Drop Down 103">
              <controlPr defaultSize="0" autoLine="0" autoPict="0">
                <anchor moveWithCells="1">
                  <from>
                    <xdr:col>12</xdr:col>
                    <xdr:colOff>47874</xdr:colOff>
                    <xdr:row>23</xdr:row>
                    <xdr:rowOff>181923</xdr:rowOff>
                  </from>
                  <to>
                    <xdr:col>13</xdr:col>
                    <xdr:colOff>895250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2" r:id="rId107" name="Drop Down 104">
              <controlPr defaultSize="0" autoLine="0" autoPict="0">
                <anchor moveWithCells="1">
                  <from>
                    <xdr:col>12</xdr:col>
                    <xdr:colOff>57449</xdr:colOff>
                    <xdr:row>25</xdr:row>
                    <xdr:rowOff>9575</xdr:rowOff>
                  </from>
                  <to>
                    <xdr:col>13</xdr:col>
                    <xdr:colOff>904825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3" r:id="rId108" name="Drop Down 105">
              <controlPr defaultSize="0" autoLine="0" autoPict="0">
                <anchor moveWithCells="1">
                  <from>
                    <xdr:col>12</xdr:col>
                    <xdr:colOff>47874</xdr:colOff>
                    <xdr:row>24</xdr:row>
                    <xdr:rowOff>181923</xdr:rowOff>
                  </from>
                  <to>
                    <xdr:col>13</xdr:col>
                    <xdr:colOff>895250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4" r:id="rId109" name="Drop Down 106">
              <controlPr defaultSize="0" autoLine="0" autoPict="0">
                <anchor moveWithCells="1">
                  <from>
                    <xdr:col>12</xdr:col>
                    <xdr:colOff>47874</xdr:colOff>
                    <xdr:row>25</xdr:row>
                    <xdr:rowOff>181923</xdr:rowOff>
                  </from>
                  <to>
                    <xdr:col>13</xdr:col>
                    <xdr:colOff>895250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5" r:id="rId110" name="Drop Down 107">
              <controlPr defaultSize="0" autoLine="0" autoPict="0" macro="[0]!Voeding_BijWijzigen">
                <anchor moveWithCells="1">
                  <from>
                    <xdr:col>13</xdr:col>
                    <xdr:colOff>1115472</xdr:colOff>
                    <xdr:row>23</xdr:row>
                    <xdr:rowOff>0</xdr:rowOff>
                  </from>
                  <to>
                    <xdr:col>14</xdr:col>
                    <xdr:colOff>531405</xdr:colOff>
                    <xdr:row>23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6" r:id="rId111" name="Drop Down 108">
              <controlPr defaultSize="0" autoLine="0" autoPict="0">
                <anchor moveWithCells="1">
                  <from>
                    <xdr:col>13</xdr:col>
                    <xdr:colOff>1115472</xdr:colOff>
                    <xdr:row>23</xdr:row>
                    <xdr:rowOff>191497</xdr:rowOff>
                  </from>
                  <to>
                    <xdr:col>15</xdr:col>
                    <xdr:colOff>38299</xdr:colOff>
                    <xdr:row>24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7" r:id="rId112" name="Drop Down 109">
              <controlPr defaultSize="0" autoLine="0" autoPict="0">
                <anchor moveWithCells="1">
                  <from>
                    <xdr:col>13</xdr:col>
                    <xdr:colOff>1115472</xdr:colOff>
                    <xdr:row>24</xdr:row>
                    <xdr:rowOff>191497</xdr:rowOff>
                  </from>
                  <to>
                    <xdr:col>15</xdr:col>
                    <xdr:colOff>38299</xdr:colOff>
                    <xdr:row>25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8" r:id="rId113" name="Drop Down 110">
              <controlPr defaultSize="0" autoLine="0" autoPict="0">
                <anchor moveWithCells="1">
                  <from>
                    <xdr:col>13</xdr:col>
                    <xdr:colOff>1115472</xdr:colOff>
                    <xdr:row>25</xdr:row>
                    <xdr:rowOff>191497</xdr:rowOff>
                  </from>
                  <to>
                    <xdr:col>15</xdr:col>
                    <xdr:colOff>38299</xdr:colOff>
                    <xdr:row>26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9" r:id="rId114" name="Drop Down 111">
              <controlPr defaultSize="0" autoLine="0" autoPict="0">
                <anchor moveWithCells="1">
                  <from>
                    <xdr:col>8</xdr:col>
                    <xdr:colOff>47874</xdr:colOff>
                    <xdr:row>22</xdr:row>
                    <xdr:rowOff>181923</xdr:rowOff>
                  </from>
                  <to>
                    <xdr:col>9</xdr:col>
                    <xdr:colOff>588854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0" r:id="rId115" name="Drop Down 112">
              <controlPr defaultSize="0" autoLine="0" autoPict="0">
                <anchor moveWithCells="1">
                  <from>
                    <xdr:col>12</xdr:col>
                    <xdr:colOff>47874</xdr:colOff>
                    <xdr:row>22</xdr:row>
                    <xdr:rowOff>181923</xdr:rowOff>
                  </from>
                  <to>
                    <xdr:col>13</xdr:col>
                    <xdr:colOff>895250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1" r:id="rId116" name="Drop Down 113">
              <controlPr defaultSize="0" autoLine="0" autoPict="0">
                <anchor moveWithCells="1">
                  <from>
                    <xdr:col>13</xdr:col>
                    <xdr:colOff>1115472</xdr:colOff>
                    <xdr:row>22</xdr:row>
                    <xdr:rowOff>191497</xdr:rowOff>
                  </from>
                  <to>
                    <xdr:col>15</xdr:col>
                    <xdr:colOff>38299</xdr:colOff>
                    <xdr:row>23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2" r:id="rId117" name="Drop Down 114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0</xdr:rowOff>
                  </from>
                  <to>
                    <xdr:col>11</xdr:col>
                    <xdr:colOff>67024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3" r:id="rId118" name="Drop Down 115">
              <controlPr defaultSize="0" autoLine="0" autoPict="0">
                <anchor moveWithCells="1">
                  <from>
                    <xdr:col>10</xdr:col>
                    <xdr:colOff>0</xdr:colOff>
                    <xdr:row>23</xdr:row>
                    <xdr:rowOff>181923</xdr:rowOff>
                  </from>
                  <to>
                    <xdr:col>11</xdr:col>
                    <xdr:colOff>67024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4" r:id="rId119" name="Drop Down 116">
              <controlPr defaultSize="0" autoLine="0" autoPict="0">
                <anchor moveWithCells="1">
                  <from>
                    <xdr:col>10</xdr:col>
                    <xdr:colOff>0</xdr:colOff>
                    <xdr:row>24</xdr:row>
                    <xdr:rowOff>181923</xdr:rowOff>
                  </from>
                  <to>
                    <xdr:col>11</xdr:col>
                    <xdr:colOff>67024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5" r:id="rId120" name="Drop Down 117">
              <controlPr defaultSize="0" autoLine="0" autoPict="0">
                <anchor moveWithCells="1">
                  <from>
                    <xdr:col>10</xdr:col>
                    <xdr:colOff>0</xdr:colOff>
                    <xdr:row>25</xdr:row>
                    <xdr:rowOff>181923</xdr:rowOff>
                  </from>
                  <to>
                    <xdr:col>11</xdr:col>
                    <xdr:colOff>67024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6" r:id="rId121" name="Drop Down 118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181923</xdr:rowOff>
                  </from>
                  <to>
                    <xdr:col>11</xdr:col>
                    <xdr:colOff>67024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7" r:id="rId122" name="Check Box 119">
              <controlPr defaultSize="0" autoFill="0" autoLine="0" autoPict="0">
                <anchor moveWithCells="1">
                  <from>
                    <xdr:col>1</xdr:col>
                    <xdr:colOff>162773</xdr:colOff>
                    <xdr:row>25</xdr:row>
                    <xdr:rowOff>143623</xdr:rowOff>
                  </from>
                  <to>
                    <xdr:col>2</xdr:col>
                    <xdr:colOff>799502</xdr:colOff>
                    <xdr:row>26</xdr:row>
                    <xdr:rowOff>162773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9" r:id="rId123" name="Spinner 121">
              <controlPr defaultSize="0" autoPict="0">
                <anchor moveWithCells="1" sizeWithCells="1">
                  <from>
                    <xdr:col>7</xdr:col>
                    <xdr:colOff>19150</xdr:colOff>
                    <xdr:row>32</xdr:row>
                    <xdr:rowOff>9575</xdr:rowOff>
                  </from>
                  <to>
                    <xdr:col>7</xdr:col>
                    <xdr:colOff>143623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0" r:id="rId124" name="Spinner 122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1" r:id="rId125" name="Spinner 123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2" r:id="rId126" name="Spinner 124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3" r:id="rId127" name="Spinner 125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4" r:id="rId128" name="Spinner 126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5" r:id="rId129" name="Spinner 127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6" r:id="rId130" name="Spinner 128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7" r:id="rId131" name="Spinner 129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8" r:id="rId132" name="Spinner 130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9" r:id="rId133" name="Spinner 131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0" r:id="rId134" name="Spinner 132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1" r:id="rId135" name="Spinner 133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2" r:id="rId136" name="Spinner 134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3" r:id="rId137" name="Spinner 135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4" r:id="rId138" name="Spinner 136">
              <controlPr defaultSize="0" autoPict="0">
                <anchor moveWithCells="1" sizeWithCells="1">
                  <from>
                    <xdr:col>7</xdr:col>
                    <xdr:colOff>19150</xdr:colOff>
                    <xdr:row>32</xdr:row>
                    <xdr:rowOff>9575</xdr:rowOff>
                  </from>
                  <to>
                    <xdr:col>7</xdr:col>
                    <xdr:colOff>143623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5" r:id="rId139" name="Spinner 137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6" r:id="rId140" name="Spinner 138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7" r:id="rId141" name="Spinner 139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8" r:id="rId142" name="Spinner 140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9" r:id="rId143" name="Spinner 141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90" r:id="rId144" name="Spinner 142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91" r:id="rId145" name="Spinner 143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92" r:id="rId146" name="Drop Down 144">
              <controlPr defaultSize="0" autoLine="0" autoPict="0" macro="[0]!Vervolgkeuzelijst97_BijWijzigen">
                <anchor moveWithCells="1">
                  <from>
                    <xdr:col>1</xdr:col>
                    <xdr:colOff>0</xdr:colOff>
                    <xdr:row>47</xdr:row>
                    <xdr:rowOff>0</xdr:rowOff>
                  </from>
                  <to>
                    <xdr:col>3</xdr:col>
                    <xdr:colOff>28725</xdr:colOff>
                    <xdr:row>47</xdr:row>
                    <xdr:rowOff>191497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A509254-AFA0-4600-BD2A-21CC4DA6AB73}">
            <xm:f>IF(Berekeningen1700!B20&gt;1,IF(AND(H32&lt;&gt;"""",H32&gt;=INDEX(Medicamenten,Berekeningen1700!B20,9)),TRUE,FALSE),FALSE)</xm:f>
            <x14:dxf>
              <fill>
                <patternFill>
                  <bgColor rgb="FFFF0000"/>
                </patternFill>
              </fill>
            </x14:dxf>
          </x14:cfRule>
          <x14:cfRule type="expression" priority="2" id="{E427B4DE-4C87-4D5B-B931-21CB871B65A0}">
            <xm:f>IF(AND(C32&lt;&gt;0,G32&lt;&gt;""),IF(AND(H32&gt;=INDEX(Medicamenten,Berekeningen1700!$B20,7),H32&lt;=INDEX(Medicamenten,Berekeningen1700!$B20,8)),TRUE,FALSE),TRUE)=FALSE</xm:f>
            <x14:dxf>
              <fill>
                <patternFill>
                  <bgColor rgb="FFFFC000"/>
                </patternFill>
              </fill>
            </x14:dxf>
          </x14:cfRule>
          <xm:sqref>H32:H40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ekeningen1700">
    <tabColor rgb="FF92D050"/>
  </sheetPr>
  <dimension ref="A1:Y116"/>
  <sheetViews>
    <sheetView workbookViewId="0">
      <pane xSplit="1" ySplit="1" topLeftCell="B23" activePane="bottomRight" state="frozen"/>
      <selection activeCell="J26" sqref="J26"/>
      <selection pane="topRight" activeCell="J26" sqref="J26"/>
      <selection pane="bottomLeft" activeCell="J26" sqref="J26"/>
      <selection pane="bottomRight" activeCell="B53" sqref="B53"/>
    </sheetView>
  </sheetViews>
  <sheetFormatPr defaultColWidth="9.1328125" defaultRowHeight="12.85" x14ac:dyDescent="0.35"/>
  <cols>
    <col min="1" max="1" width="40.1328125" style="660" customWidth="1"/>
    <col min="2" max="3" width="13.86328125" style="660" customWidth="1"/>
    <col min="4" max="4" width="11.73046875" style="660" customWidth="1"/>
    <col min="5" max="5" width="10.73046875" style="660" customWidth="1"/>
    <col min="6" max="6" width="10" style="660" customWidth="1"/>
    <col min="7" max="7" width="9.1328125" style="660"/>
    <col min="8" max="8" width="10.73046875" style="660" bestFit="1" customWidth="1"/>
    <col min="9" max="9" width="12.3984375" style="660" bestFit="1" customWidth="1"/>
    <col min="10" max="12" width="9.1328125" style="660"/>
    <col min="13" max="13" width="13.265625" style="660" bestFit="1" customWidth="1"/>
    <col min="14" max="16384" width="9.1328125" style="660"/>
  </cols>
  <sheetData>
    <row r="1" spans="1:25" x14ac:dyDescent="0.35">
      <c r="A1" s="576" t="s">
        <v>54</v>
      </c>
      <c r="E1" s="660" t="s">
        <v>397</v>
      </c>
      <c r="K1" s="660" t="s">
        <v>1011</v>
      </c>
      <c r="L1" s="660" t="s">
        <v>631</v>
      </c>
      <c r="M1" s="660" t="s">
        <v>472</v>
      </c>
      <c r="N1" s="660" t="s">
        <v>473</v>
      </c>
      <c r="O1" s="660" t="s">
        <v>474</v>
      </c>
      <c r="P1" s="660" t="s">
        <v>475</v>
      </c>
      <c r="Q1" s="660" t="s">
        <v>1034</v>
      </c>
      <c r="R1" s="660" t="s">
        <v>470</v>
      </c>
      <c r="S1" s="660" t="s">
        <v>1035</v>
      </c>
      <c r="T1" s="660" t="s">
        <v>1036</v>
      </c>
      <c r="U1" s="660" t="s">
        <v>1037</v>
      </c>
      <c r="V1" s="660" t="s">
        <v>1088</v>
      </c>
      <c r="W1" s="660" t="s">
        <v>1046</v>
      </c>
      <c r="X1" s="660" t="s">
        <v>1065</v>
      </c>
      <c r="Y1" s="660" t="s">
        <v>1233</v>
      </c>
    </row>
    <row r="2" spans="1:25" x14ac:dyDescent="0.35">
      <c r="A2" s="660" t="s">
        <v>1001</v>
      </c>
      <c r="B2" s="660">
        <v>0</v>
      </c>
    </row>
    <row r="3" spans="1:25" x14ac:dyDescent="0.35">
      <c r="A3" s="660" t="s">
        <v>1050</v>
      </c>
      <c r="B3" s="497">
        <f>GebDatum</f>
        <v>42370</v>
      </c>
      <c r="C3" s="492">
        <v>0</v>
      </c>
      <c r="E3" s="660" t="s">
        <v>1234</v>
      </c>
    </row>
    <row r="4" spans="1:25" x14ac:dyDescent="0.35">
      <c r="A4" s="660" t="s">
        <v>1021</v>
      </c>
      <c r="B4" s="515">
        <f>_Gewicht</f>
        <v>10</v>
      </c>
      <c r="C4" s="288" t="s">
        <v>1235</v>
      </c>
      <c r="D4" s="496">
        <v>30</v>
      </c>
    </row>
    <row r="5" spans="1:25" x14ac:dyDescent="0.35">
      <c r="A5" s="660" t="s">
        <v>623</v>
      </c>
      <c r="B5" s="497">
        <f>OpnDatum</f>
        <v>42370</v>
      </c>
      <c r="C5" s="288" t="s">
        <v>1236</v>
      </c>
      <c r="D5" s="496">
        <v>0</v>
      </c>
    </row>
    <row r="6" spans="1:25" x14ac:dyDescent="0.35">
      <c r="A6" s="576" t="s">
        <v>1237</v>
      </c>
      <c r="B6" s="492">
        <f ca="1">TODAY()-B3+1+C3</f>
        <v>353</v>
      </c>
      <c r="C6" s="660">
        <f ca="1">IF(B6&lt;7,B6,6)</f>
        <v>6</v>
      </c>
    </row>
    <row r="7" spans="1:25" x14ac:dyDescent="0.35">
      <c r="A7" s="660" t="s">
        <v>397</v>
      </c>
    </row>
    <row r="8" spans="1:25" x14ac:dyDescent="0.35">
      <c r="A8" s="660" t="s">
        <v>1054</v>
      </c>
    </row>
    <row r="9" spans="1:25" x14ac:dyDescent="0.35">
      <c r="A9" s="660" t="s">
        <v>1238</v>
      </c>
    </row>
    <row r="10" spans="1:25" x14ac:dyDescent="0.35">
      <c r="A10" s="660" t="s">
        <v>602</v>
      </c>
      <c r="D10" s="660">
        <v>0</v>
      </c>
    </row>
    <row r="11" spans="1:25" x14ac:dyDescent="0.35">
      <c r="A11" s="660" t="s">
        <v>1057</v>
      </c>
      <c r="D11" s="660">
        <v>0</v>
      </c>
      <c r="M11" s="660">
        <v>2</v>
      </c>
      <c r="N11" s="660">
        <v>3</v>
      </c>
      <c r="O11" s="660">
        <v>4</v>
      </c>
      <c r="P11" s="660">
        <v>5</v>
      </c>
      <c r="Q11" s="660">
        <v>6</v>
      </c>
      <c r="R11" s="660">
        <v>7</v>
      </c>
      <c r="S11" s="660">
        <v>8</v>
      </c>
      <c r="T11" s="660">
        <v>9</v>
      </c>
      <c r="U11" s="660">
        <v>10</v>
      </c>
      <c r="V11" s="660">
        <v>11</v>
      </c>
      <c r="W11" s="660">
        <v>12</v>
      </c>
    </row>
    <row r="12" spans="1:25" x14ac:dyDescent="0.35">
      <c r="A12" s="660" t="s">
        <v>602</v>
      </c>
      <c r="D12" s="660">
        <v>0</v>
      </c>
    </row>
    <row r="13" spans="1:25" x14ac:dyDescent="0.35">
      <c r="A13" s="660" t="s">
        <v>1057</v>
      </c>
      <c r="D13" s="660">
        <v>0</v>
      </c>
    </row>
    <row r="14" spans="1:25" x14ac:dyDescent="0.35">
      <c r="A14" s="660" t="s">
        <v>582</v>
      </c>
      <c r="D14" s="660">
        <v>1</v>
      </c>
      <c r="K14" s="660">
        <v>1</v>
      </c>
      <c r="L14" s="660">
        <f>IF(AND(_Extra=2,_Voeding&gt;1),(D10*D11+D12*D13)/10,0)</f>
        <v>0</v>
      </c>
      <c r="M14" s="660">
        <f>INDEX(Pos,$D$14,M11)*$L$14</f>
        <v>0</v>
      </c>
      <c r="N14" s="660">
        <f t="shared" ref="N14:W14" si="0">INDEX(Pos,$D$14,N11)*$L$14</f>
        <v>0</v>
      </c>
      <c r="O14" s="660">
        <f t="shared" si="0"/>
        <v>0</v>
      </c>
      <c r="P14" s="660">
        <f t="shared" si="0"/>
        <v>0</v>
      </c>
      <c r="Q14" s="660">
        <f t="shared" si="0"/>
        <v>0</v>
      </c>
      <c r="R14" s="660">
        <f>INDEX(Pos,$D$14,R11)*$L$14</f>
        <v>0</v>
      </c>
      <c r="S14" s="660">
        <f t="shared" si="0"/>
        <v>0</v>
      </c>
      <c r="T14" s="660">
        <f t="shared" si="0"/>
        <v>0</v>
      </c>
      <c r="U14" s="660">
        <f t="shared" si="0"/>
        <v>0</v>
      </c>
      <c r="V14" s="660">
        <f t="shared" si="0"/>
        <v>0</v>
      </c>
      <c r="W14" s="660">
        <f t="shared" si="0"/>
        <v>0</v>
      </c>
    </row>
    <row r="15" spans="1:25" x14ac:dyDescent="0.35">
      <c r="A15" s="660" t="s">
        <v>1056</v>
      </c>
      <c r="B15" s="660">
        <v>2</v>
      </c>
    </row>
    <row r="16" spans="1:25" x14ac:dyDescent="0.35">
      <c r="A16" s="660" t="s">
        <v>1239</v>
      </c>
      <c r="B16" s="660">
        <f ca="1">IF(AND(D4&lt;37,_Gewicht&gt;=1),INDEX(Advies!B4:G4,1,Berekeningen1700!C6),IF(_Gewicht&lt;1,INDEX(Advies!B5:G5,1,Berekeningen1700!C6),INDEX(Advies!B6:G6,1,Berekeningen1700!C6)))+IF(B15=1,20,0)</f>
        <v>150</v>
      </c>
      <c r="C16" s="660">
        <f ca="1">ROUND(B16/5,0)*5+(D16-5000)</f>
        <v>150</v>
      </c>
      <c r="D16" s="660">
        <v>5000</v>
      </c>
    </row>
    <row r="17" spans="1:25" x14ac:dyDescent="0.35">
      <c r="A17" s="660" t="s">
        <v>1240</v>
      </c>
      <c r="B17" s="660" t="b">
        <v>0</v>
      </c>
      <c r="C17" s="660">
        <f ca="1">ROUND(C16*_Gewicht-L14,0)</f>
        <v>1500</v>
      </c>
    </row>
    <row r="18" spans="1:25" x14ac:dyDescent="0.35">
      <c r="A18" s="660" t="s">
        <v>1452</v>
      </c>
      <c r="B18" s="660">
        <v>0</v>
      </c>
      <c r="K18" s="660" t="b">
        <v>0</v>
      </c>
      <c r="L18" s="660">
        <f>IF(K18,0,B18*2.4)</f>
        <v>0</v>
      </c>
      <c r="M18" s="660">
        <f>0.155*L18/2</f>
        <v>0</v>
      </c>
    </row>
    <row r="19" spans="1:25" x14ac:dyDescent="0.35">
      <c r="B19" s="660" t="s">
        <v>1085</v>
      </c>
      <c r="C19" s="660" t="s">
        <v>1241</v>
      </c>
      <c r="D19" s="660" t="s">
        <v>1242</v>
      </c>
      <c r="E19" s="660" t="s">
        <v>329</v>
      </c>
      <c r="F19" s="660" t="s">
        <v>96</v>
      </c>
      <c r="G19" s="660" t="s">
        <v>685</v>
      </c>
      <c r="H19" s="660" t="s">
        <v>1243</v>
      </c>
      <c r="I19" s="660" t="s">
        <v>1244</v>
      </c>
      <c r="J19" s="660" t="s">
        <v>1087</v>
      </c>
    </row>
    <row r="20" spans="1:25" x14ac:dyDescent="0.35">
      <c r="A20" s="660" t="s">
        <v>1245</v>
      </c>
      <c r="B20" s="660">
        <v>1</v>
      </c>
      <c r="C20" s="660">
        <v>0</v>
      </c>
      <c r="D20" s="660">
        <v>0</v>
      </c>
      <c r="E20" s="660">
        <v>1</v>
      </c>
      <c r="F20" s="660">
        <v>0</v>
      </c>
      <c r="G20" s="660">
        <v>1</v>
      </c>
      <c r="H20" s="660">
        <f>IF(INDEX(Medicamenten,Berekeningen1700!B20,5)=0,1,INDEX(Medicamenten,Berekeningen1700!B20,5))</f>
        <v>1</v>
      </c>
      <c r="I20" s="660">
        <f>IF(D20&gt;0,(F20*IF(Y20*10&gt;=24,2.4,2.4)*((C20/10)/D20))/($B$4)/J20,0)</f>
        <v>0</v>
      </c>
      <c r="J20" s="660">
        <f>IF(Berekeningen1700!H20&gt;1,INDEX(FaktorLijst,Berekeningen1700!H20),1)</f>
        <v>1</v>
      </c>
      <c r="K20" s="660">
        <v>0</v>
      </c>
      <c r="L20" s="660">
        <f>IF(K20,0,F20*2.4)</f>
        <v>0</v>
      </c>
      <c r="M20" s="660">
        <f>IF($E20&gt;1,INDEX(Opl,$E20,3),0)*$L20</f>
        <v>0</v>
      </c>
      <c r="N20" s="660">
        <f>IF($E20&gt;1,INDEX(Opl,$E20,4),0)*$L20</f>
        <v>0</v>
      </c>
      <c r="O20" s="660">
        <f>IF($E20&gt;1,INDEX(Opl,$E20,6),0)*$L20</f>
        <v>0</v>
      </c>
      <c r="P20" s="660">
        <f>IF($E20&gt;1,INDEX(Opl,$E20,7),0)*$L20</f>
        <v>0</v>
      </c>
      <c r="Q20" s="660">
        <f>IF($E20&gt;1,INDEX(Opl,$E20,8),0)*$L20</f>
        <v>0</v>
      </c>
      <c r="R20" s="660">
        <f>IF($E20&gt;1,INDEX(Opl,$E20,5),0)*$L20</f>
        <v>0</v>
      </c>
      <c r="S20" s="660">
        <f>IF($E20&gt;1,INDEX(Opl,$E20,2),0)*$L20</f>
        <v>0</v>
      </c>
      <c r="X20" s="660">
        <f>ROUND(IF(Y20*10&gt;1,Y20*10,Y20*600),0)</f>
        <v>0</v>
      </c>
      <c r="Y20" s="660">
        <f>IF(F20&gt;0,D20/F20,0)</f>
        <v>0</v>
      </c>
    </row>
    <row r="21" spans="1:25" x14ac:dyDescent="0.35">
      <c r="A21" s="660" t="s">
        <v>1246</v>
      </c>
      <c r="B21" s="660">
        <v>1</v>
      </c>
      <c r="C21" s="660">
        <v>0</v>
      </c>
      <c r="D21" s="660">
        <v>0</v>
      </c>
      <c r="E21" s="660">
        <v>1</v>
      </c>
      <c r="F21" s="660">
        <v>0</v>
      </c>
      <c r="G21" s="660">
        <v>1</v>
      </c>
      <c r="H21" s="821">
        <f>IF(INDEX(Medicamenten,Berekeningen1700!B21,5)=0,1,INDEX(Medicamenten,Berekeningen1700!B21,5))</f>
        <v>1</v>
      </c>
      <c r="I21" s="821">
        <f t="shared" ref="I21:I28" si="1">IF(D21&gt;0,(F21*IF(Y21*10&gt;=24,2.4,2.4)*((C21/10)/D21))/($B$4)/J21,0)</f>
        <v>0</v>
      </c>
      <c r="J21" s="821">
        <f>IF(Berekeningen1700!H21&gt;1,INDEX(FaktorLijst,Berekeningen1700!H21),1)</f>
        <v>1</v>
      </c>
      <c r="K21" s="660">
        <v>0</v>
      </c>
      <c r="L21" s="660">
        <f t="shared" ref="L21:L28" si="2">IF(K21,0,F21*2.4)</f>
        <v>0</v>
      </c>
      <c r="M21" s="660">
        <f t="shared" ref="M21:M31" si="3">IF($E21&gt;1,INDEX(Opl,$E21,3),0)*$L21</f>
        <v>0</v>
      </c>
      <c r="N21" s="660">
        <f t="shared" ref="N21:N31" si="4">IF($E21&gt;1,INDEX(Opl,$E21,4),0)*$L21</f>
        <v>0</v>
      </c>
      <c r="O21" s="660">
        <f t="shared" ref="O21:O31" si="5">IF($E21&gt;1,INDEX(Opl,$E21,6),0)*$L21</f>
        <v>0</v>
      </c>
      <c r="P21" s="660">
        <f t="shared" ref="P21:P31" si="6">IF($E21&gt;1,INDEX(Opl,$E21,7),0)*$L21</f>
        <v>0</v>
      </c>
      <c r="Q21" s="660">
        <f t="shared" ref="Q21:Q31" si="7">IF($E21&gt;1,INDEX(Opl,$E21,8),0)*$L21</f>
        <v>0</v>
      </c>
      <c r="R21" s="660">
        <f t="shared" ref="R21:R27" si="8">IF($E21&gt;1,INDEX(Opl,$E21,5),0)*$L21</f>
        <v>0</v>
      </c>
      <c r="S21" s="660">
        <f t="shared" ref="S21:S31" si="9">IF($E21&gt;1,INDEX(Opl,$E21,2),0)*$L21</f>
        <v>0</v>
      </c>
      <c r="X21" s="660">
        <f t="shared" ref="X21:X28" si="10">ROUND(IF(Y21*10&gt;1,Y21*10,Y21*600),0)</f>
        <v>0</v>
      </c>
      <c r="Y21" s="660">
        <f t="shared" ref="Y21:Y28" si="11">IF(F21&gt;0,D21/F21,0)</f>
        <v>0</v>
      </c>
    </row>
    <row r="22" spans="1:25" x14ac:dyDescent="0.35">
      <c r="A22" s="660" t="s">
        <v>1247</v>
      </c>
      <c r="B22" s="660">
        <v>1</v>
      </c>
      <c r="C22" s="660">
        <v>0</v>
      </c>
      <c r="D22" s="660">
        <v>0</v>
      </c>
      <c r="E22" s="660">
        <v>1</v>
      </c>
      <c r="F22" s="660">
        <v>0</v>
      </c>
      <c r="G22" s="660">
        <v>1</v>
      </c>
      <c r="H22" s="821">
        <f>IF(INDEX(Medicamenten,Berekeningen1700!B22,5)=0,1,INDEX(Medicamenten,Berekeningen1700!B22,5))</f>
        <v>1</v>
      </c>
      <c r="I22" s="821">
        <f t="shared" si="1"/>
        <v>0</v>
      </c>
      <c r="J22" s="821">
        <f>IF(Berekeningen1700!H22&gt;1,INDEX(FaktorLijst,Berekeningen1700!H22),1)</f>
        <v>1</v>
      </c>
      <c r="K22" s="660">
        <v>0</v>
      </c>
      <c r="L22" s="660">
        <f t="shared" si="2"/>
        <v>0</v>
      </c>
      <c r="M22" s="660">
        <f t="shared" si="3"/>
        <v>0</v>
      </c>
      <c r="N22" s="660">
        <f t="shared" si="4"/>
        <v>0</v>
      </c>
      <c r="O22" s="660">
        <f t="shared" si="5"/>
        <v>0</v>
      </c>
      <c r="P22" s="660">
        <f t="shared" si="6"/>
        <v>0</v>
      </c>
      <c r="Q22" s="660">
        <f t="shared" si="7"/>
        <v>0</v>
      </c>
      <c r="R22" s="660">
        <f t="shared" si="8"/>
        <v>0</v>
      </c>
      <c r="S22" s="660">
        <f t="shared" si="9"/>
        <v>0</v>
      </c>
      <c r="X22" s="660">
        <f t="shared" si="10"/>
        <v>0</v>
      </c>
      <c r="Y22" s="660">
        <f t="shared" si="11"/>
        <v>0</v>
      </c>
    </row>
    <row r="23" spans="1:25" x14ac:dyDescent="0.35">
      <c r="A23" s="660" t="s">
        <v>1248</v>
      </c>
      <c r="B23" s="660">
        <v>1</v>
      </c>
      <c r="C23" s="660">
        <v>0</v>
      </c>
      <c r="D23" s="660">
        <v>0</v>
      </c>
      <c r="E23" s="660">
        <v>1</v>
      </c>
      <c r="F23" s="660">
        <v>0</v>
      </c>
      <c r="G23" s="660">
        <v>1</v>
      </c>
      <c r="H23" s="821">
        <f>IF(INDEX(Medicamenten,Berekeningen1700!B23,5)=0,1,INDEX(Medicamenten,Berekeningen1700!B23,5))</f>
        <v>1</v>
      </c>
      <c r="I23" s="821">
        <f t="shared" si="1"/>
        <v>0</v>
      </c>
      <c r="J23" s="821">
        <f>IF(Berekeningen1700!H23&gt;1,INDEX(FaktorLijst,Berekeningen1700!H23),1)</f>
        <v>1</v>
      </c>
      <c r="K23" s="660">
        <v>0</v>
      </c>
      <c r="L23" s="660">
        <f t="shared" si="2"/>
        <v>0</v>
      </c>
      <c r="M23" s="660">
        <f t="shared" si="3"/>
        <v>0</v>
      </c>
      <c r="N23" s="660">
        <f t="shared" si="4"/>
        <v>0</v>
      </c>
      <c r="O23" s="660">
        <f t="shared" si="5"/>
        <v>0</v>
      </c>
      <c r="P23" s="660">
        <f t="shared" si="6"/>
        <v>0</v>
      </c>
      <c r="Q23" s="660">
        <f t="shared" si="7"/>
        <v>0</v>
      </c>
      <c r="R23" s="660">
        <f t="shared" si="8"/>
        <v>0</v>
      </c>
      <c r="S23" s="660">
        <f t="shared" si="9"/>
        <v>0</v>
      </c>
      <c r="X23" s="660">
        <f t="shared" si="10"/>
        <v>0</v>
      </c>
      <c r="Y23" s="660">
        <f t="shared" si="11"/>
        <v>0</v>
      </c>
    </row>
    <row r="24" spans="1:25" x14ac:dyDescent="0.35">
      <c r="A24" s="660" t="s">
        <v>1249</v>
      </c>
      <c r="B24" s="660">
        <v>1</v>
      </c>
      <c r="C24" s="660">
        <v>0</v>
      </c>
      <c r="D24" s="660">
        <v>0</v>
      </c>
      <c r="E24" s="660">
        <v>1</v>
      </c>
      <c r="F24" s="660">
        <v>0</v>
      </c>
      <c r="G24" s="660">
        <v>1</v>
      </c>
      <c r="H24" s="821">
        <f>IF(INDEX(Medicamenten,Berekeningen1700!B24,5)=0,1,INDEX(Medicamenten,Berekeningen1700!B24,5))</f>
        <v>1</v>
      </c>
      <c r="I24" s="821">
        <f t="shared" si="1"/>
        <v>0</v>
      </c>
      <c r="J24" s="821">
        <f>IF(Berekeningen1700!H24&gt;1,INDEX(FaktorLijst,Berekeningen1700!H24),1)</f>
        <v>1</v>
      </c>
      <c r="K24" s="660">
        <v>0</v>
      </c>
      <c r="L24" s="660">
        <f t="shared" si="2"/>
        <v>0</v>
      </c>
      <c r="M24" s="660">
        <f t="shared" si="3"/>
        <v>0</v>
      </c>
      <c r="N24" s="660">
        <f t="shared" si="4"/>
        <v>0</v>
      </c>
      <c r="O24" s="660">
        <f t="shared" si="5"/>
        <v>0</v>
      </c>
      <c r="P24" s="660">
        <f t="shared" si="6"/>
        <v>0</v>
      </c>
      <c r="Q24" s="660">
        <f t="shared" si="7"/>
        <v>0</v>
      </c>
      <c r="R24" s="660">
        <f t="shared" si="8"/>
        <v>0</v>
      </c>
      <c r="S24" s="660">
        <f t="shared" si="9"/>
        <v>0</v>
      </c>
      <c r="X24" s="660">
        <f t="shared" si="10"/>
        <v>0</v>
      </c>
      <c r="Y24" s="660">
        <f t="shared" si="11"/>
        <v>0</v>
      </c>
    </row>
    <row r="25" spans="1:25" x14ac:dyDescent="0.35">
      <c r="A25" s="660" t="s">
        <v>1250</v>
      </c>
      <c r="B25" s="660">
        <v>1</v>
      </c>
      <c r="C25" s="660">
        <v>0</v>
      </c>
      <c r="D25" s="660">
        <v>0</v>
      </c>
      <c r="E25" s="660">
        <v>1</v>
      </c>
      <c r="F25" s="660">
        <v>0</v>
      </c>
      <c r="G25" s="660">
        <v>1</v>
      </c>
      <c r="H25" s="821">
        <f>IF(INDEX(Medicamenten,Berekeningen1700!B25,5)=0,1,INDEX(Medicamenten,Berekeningen1700!B25,5))</f>
        <v>1</v>
      </c>
      <c r="I25" s="821">
        <f t="shared" si="1"/>
        <v>0</v>
      </c>
      <c r="J25" s="821">
        <f>IF(Berekeningen1700!H25&gt;1,INDEX(FaktorLijst,Berekeningen1700!H25),1)</f>
        <v>1</v>
      </c>
      <c r="K25" s="660">
        <v>0</v>
      </c>
      <c r="L25" s="660">
        <f t="shared" si="2"/>
        <v>0</v>
      </c>
      <c r="M25" s="660">
        <f t="shared" si="3"/>
        <v>0</v>
      </c>
      <c r="N25" s="660">
        <f t="shared" si="4"/>
        <v>0</v>
      </c>
      <c r="O25" s="660">
        <f t="shared" si="5"/>
        <v>0</v>
      </c>
      <c r="P25" s="660">
        <f t="shared" si="6"/>
        <v>0</v>
      </c>
      <c r="Q25" s="660">
        <f t="shared" si="7"/>
        <v>0</v>
      </c>
      <c r="R25" s="660">
        <f t="shared" si="8"/>
        <v>0</v>
      </c>
      <c r="S25" s="660">
        <f t="shared" si="9"/>
        <v>0</v>
      </c>
      <c r="X25" s="660">
        <f t="shared" si="10"/>
        <v>0</v>
      </c>
      <c r="Y25" s="660">
        <f t="shared" si="11"/>
        <v>0</v>
      </c>
    </row>
    <row r="26" spans="1:25" x14ac:dyDescent="0.35">
      <c r="A26" s="660" t="s">
        <v>1251</v>
      </c>
      <c r="B26" s="660">
        <v>1</v>
      </c>
      <c r="C26" s="660">
        <v>0</v>
      </c>
      <c r="D26" s="660">
        <v>0</v>
      </c>
      <c r="E26" s="660">
        <v>1</v>
      </c>
      <c r="F26" s="660">
        <v>0</v>
      </c>
      <c r="G26" s="660">
        <v>1</v>
      </c>
      <c r="H26" s="821">
        <f>IF(INDEX(Medicamenten,Berekeningen1700!B26,5)=0,1,INDEX(Medicamenten,Berekeningen1700!B26,5))</f>
        <v>1</v>
      </c>
      <c r="I26" s="821">
        <f t="shared" si="1"/>
        <v>0</v>
      </c>
      <c r="J26" s="821">
        <f>IF(Berekeningen1700!H26&gt;1,INDEX(FaktorLijst,Berekeningen1700!H26),1)</f>
        <v>1</v>
      </c>
      <c r="K26" s="660">
        <v>0</v>
      </c>
      <c r="L26" s="660">
        <f t="shared" si="2"/>
        <v>0</v>
      </c>
      <c r="M26" s="660">
        <f t="shared" si="3"/>
        <v>0</v>
      </c>
      <c r="N26" s="660">
        <f t="shared" si="4"/>
        <v>0</v>
      </c>
      <c r="O26" s="660">
        <f t="shared" si="5"/>
        <v>0</v>
      </c>
      <c r="P26" s="660">
        <f t="shared" si="6"/>
        <v>0</v>
      </c>
      <c r="Q26" s="660">
        <f t="shared" si="7"/>
        <v>0</v>
      </c>
      <c r="R26" s="660">
        <f t="shared" si="8"/>
        <v>0</v>
      </c>
      <c r="S26" s="660">
        <f t="shared" si="9"/>
        <v>0</v>
      </c>
      <c r="X26" s="660">
        <f t="shared" si="10"/>
        <v>0</v>
      </c>
      <c r="Y26" s="660">
        <f t="shared" si="11"/>
        <v>0</v>
      </c>
    </row>
    <row r="27" spans="1:25" x14ac:dyDescent="0.35">
      <c r="A27" s="660" t="s">
        <v>1252</v>
      </c>
      <c r="B27" s="660">
        <v>1</v>
      </c>
      <c r="C27" s="660">
        <v>0</v>
      </c>
      <c r="D27" s="660">
        <v>0</v>
      </c>
      <c r="E27" s="660">
        <v>1</v>
      </c>
      <c r="F27" s="660">
        <v>0</v>
      </c>
      <c r="G27" s="660">
        <v>1</v>
      </c>
      <c r="H27" s="821">
        <f>IF(INDEX(Medicamenten,Berekeningen1700!B27,5)=0,1,INDEX(Medicamenten,Berekeningen1700!B27,5))</f>
        <v>1</v>
      </c>
      <c r="I27" s="821">
        <f t="shared" si="1"/>
        <v>0</v>
      </c>
      <c r="J27" s="821">
        <f>IF(Berekeningen1700!H27&gt;1,INDEX(FaktorLijst,Berekeningen1700!H27),1)</f>
        <v>1</v>
      </c>
      <c r="K27" s="660">
        <v>0</v>
      </c>
      <c r="L27" s="660">
        <f t="shared" si="2"/>
        <v>0</v>
      </c>
      <c r="M27" s="660">
        <f t="shared" si="3"/>
        <v>0</v>
      </c>
      <c r="N27" s="660">
        <f t="shared" si="4"/>
        <v>0</v>
      </c>
      <c r="O27" s="660">
        <f t="shared" si="5"/>
        <v>0</v>
      </c>
      <c r="P27" s="660">
        <f t="shared" si="6"/>
        <v>0</v>
      </c>
      <c r="Q27" s="660">
        <f t="shared" si="7"/>
        <v>0</v>
      </c>
      <c r="R27" s="660">
        <f t="shared" si="8"/>
        <v>0</v>
      </c>
      <c r="S27" s="660">
        <f t="shared" si="9"/>
        <v>0</v>
      </c>
      <c r="X27" s="660">
        <f t="shared" si="10"/>
        <v>0</v>
      </c>
      <c r="Y27" s="660">
        <f t="shared" si="11"/>
        <v>0</v>
      </c>
    </row>
    <row r="28" spans="1:25" x14ac:dyDescent="0.35">
      <c r="A28" s="660" t="s">
        <v>1253</v>
      </c>
      <c r="B28" s="660">
        <v>1</v>
      </c>
      <c r="C28" s="660">
        <v>0</v>
      </c>
      <c r="D28" s="660">
        <v>0</v>
      </c>
      <c r="E28" s="660">
        <v>1</v>
      </c>
      <c r="F28" s="660">
        <v>0</v>
      </c>
      <c r="G28" s="660">
        <v>1</v>
      </c>
      <c r="H28" s="821">
        <f>IF(INDEX(Medicamenten,Berekeningen1700!B28,5)=0,1,INDEX(Medicamenten,Berekeningen1700!B28,5))</f>
        <v>1</v>
      </c>
      <c r="I28" s="821">
        <f t="shared" si="1"/>
        <v>0</v>
      </c>
      <c r="J28" s="821">
        <f>IF(Berekeningen1700!H28&gt;1,INDEX(FaktorLijst,Berekeningen1700!H28),1)</f>
        <v>1</v>
      </c>
      <c r="K28" s="660">
        <v>0</v>
      </c>
      <c r="L28" s="660">
        <f t="shared" si="2"/>
        <v>0</v>
      </c>
      <c r="M28" s="660">
        <f t="shared" si="3"/>
        <v>0</v>
      </c>
      <c r="N28" s="660">
        <f t="shared" si="4"/>
        <v>0</v>
      </c>
      <c r="O28" s="660">
        <f t="shared" si="5"/>
        <v>0</v>
      </c>
      <c r="P28" s="660">
        <f t="shared" si="6"/>
        <v>0</v>
      </c>
      <c r="Q28" s="660">
        <f t="shared" si="7"/>
        <v>0</v>
      </c>
      <c r="R28" s="660">
        <f>IF($E28&gt;1,INDEX(Opl,$E28,5),0)*$L28</f>
        <v>0</v>
      </c>
      <c r="S28" s="660">
        <f t="shared" si="9"/>
        <v>0</v>
      </c>
      <c r="X28" s="660">
        <f t="shared" si="10"/>
        <v>0</v>
      </c>
      <c r="Y28" s="660">
        <f t="shared" si="11"/>
        <v>0</v>
      </c>
    </row>
    <row r="29" spans="1:25" x14ac:dyDescent="0.35">
      <c r="A29" s="660" t="s">
        <v>1066</v>
      </c>
      <c r="E29" s="660">
        <v>1</v>
      </c>
      <c r="F29" s="660">
        <v>0</v>
      </c>
      <c r="K29" s="660" t="b">
        <v>0</v>
      </c>
      <c r="L29" s="660">
        <f>IF(K29,0,F29*2.4)</f>
        <v>0</v>
      </c>
      <c r="M29" s="660">
        <f t="shared" si="3"/>
        <v>0</v>
      </c>
      <c r="N29" s="660">
        <f t="shared" si="4"/>
        <v>0</v>
      </c>
      <c r="O29" s="660">
        <f t="shared" si="5"/>
        <v>0</v>
      </c>
      <c r="P29" s="660">
        <f t="shared" si="6"/>
        <v>0</v>
      </c>
      <c r="Q29" s="660">
        <f t="shared" si="7"/>
        <v>0</v>
      </c>
      <c r="R29" s="660">
        <f>IF($E29&gt;1,INDEX(Opl,$E29,5),0)*$L29</f>
        <v>0</v>
      </c>
      <c r="S29" s="660">
        <f t="shared" si="9"/>
        <v>0</v>
      </c>
      <c r="X29" s="660">
        <f>ROUND(IF(Y29*10&gt;1,Y29*10,Y29*600),0)</f>
        <v>0</v>
      </c>
      <c r="Y29" s="660">
        <f>IF(F29&gt;0,D29/F29,0)</f>
        <v>0</v>
      </c>
    </row>
    <row r="30" spans="1:25" x14ac:dyDescent="0.35">
      <c r="A30" s="660" t="s">
        <v>1067</v>
      </c>
      <c r="E30" s="660">
        <v>1</v>
      </c>
      <c r="F30" s="660">
        <v>0</v>
      </c>
      <c r="K30" s="660" t="b">
        <v>0</v>
      </c>
      <c r="L30" s="660">
        <f>IF(K30,0,F30*2.4)</f>
        <v>0</v>
      </c>
      <c r="M30" s="660">
        <f t="shared" si="3"/>
        <v>0</v>
      </c>
      <c r="N30" s="660">
        <f t="shared" si="4"/>
        <v>0</v>
      </c>
      <c r="O30" s="660">
        <f t="shared" si="5"/>
        <v>0</v>
      </c>
      <c r="P30" s="660">
        <f t="shared" si="6"/>
        <v>0</v>
      </c>
      <c r="Q30" s="660">
        <f t="shared" si="7"/>
        <v>0</v>
      </c>
      <c r="R30" s="660">
        <f>IF($E30&gt;1,INDEX(Opl,$E30,5),0)*$L30</f>
        <v>0</v>
      </c>
      <c r="S30" s="660">
        <f t="shared" si="9"/>
        <v>0</v>
      </c>
      <c r="X30" s="660">
        <f>ROUND(IF(Y30*10&gt;1,Y30*10,Y30*600),0)</f>
        <v>0</v>
      </c>
      <c r="Y30" s="660">
        <f>IF(F30&gt;0,D30/F30,0)</f>
        <v>0</v>
      </c>
    </row>
    <row r="31" spans="1:25" x14ac:dyDescent="0.35">
      <c r="A31" s="660" t="s">
        <v>1068</v>
      </c>
      <c r="E31" s="660">
        <v>1</v>
      </c>
      <c r="F31" s="660">
        <v>0</v>
      </c>
      <c r="K31" s="660" t="b">
        <v>0</v>
      </c>
      <c r="L31" s="660">
        <f>IF(K31,0,F31*2.4)</f>
        <v>0</v>
      </c>
      <c r="M31" s="660">
        <f t="shared" si="3"/>
        <v>0</v>
      </c>
      <c r="N31" s="660">
        <f t="shared" si="4"/>
        <v>0</v>
      </c>
      <c r="O31" s="660">
        <f t="shared" si="5"/>
        <v>0</v>
      </c>
      <c r="P31" s="660">
        <f t="shared" si="6"/>
        <v>0</v>
      </c>
      <c r="Q31" s="660">
        <f t="shared" si="7"/>
        <v>0</v>
      </c>
      <c r="R31" s="660">
        <f>IF($E31&gt;1,INDEX(Opl,$E31,5),0)*$L31</f>
        <v>0</v>
      </c>
      <c r="S31" s="660">
        <f t="shared" si="9"/>
        <v>0</v>
      </c>
      <c r="X31" s="660">
        <f>ROUND(IF(Y31*10&gt;1,Y31*10,Y31*600),0)</f>
        <v>0</v>
      </c>
      <c r="Y31" s="660">
        <f>IF(F31&gt;0,D31/F31,0)</f>
        <v>0</v>
      </c>
    </row>
    <row r="32" spans="1:25" x14ac:dyDescent="0.35">
      <c r="A32" s="660" t="s">
        <v>2285</v>
      </c>
    </row>
    <row r="33" spans="1:23" x14ac:dyDescent="0.35">
      <c r="A33" s="660" t="s">
        <v>2286</v>
      </c>
    </row>
    <row r="34" spans="1:23" x14ac:dyDescent="0.35">
      <c r="B34" s="660" t="s">
        <v>1254</v>
      </c>
      <c r="C34" s="660" t="s">
        <v>1255</v>
      </c>
      <c r="D34" s="660" t="s">
        <v>1256</v>
      </c>
      <c r="F34" s="821" t="s">
        <v>2423</v>
      </c>
    </row>
    <row r="35" spans="1:23" x14ac:dyDescent="0.35">
      <c r="A35" s="821" t="str">
        <f>INDEX(lijstIntralipidSmof,SelectedIntralipidSmof1700)</f>
        <v>Intralipid 20% (incl vitintra)</v>
      </c>
      <c r="B35" s="492">
        <f ca="1">ROUND(_Gewicht*INDEX(Advies!$B$9:$G$16,8,Berekeningen1700!$C$6),0)</f>
        <v>120</v>
      </c>
      <c r="C35" s="660">
        <f ca="1">ROUND(IF(AND(B17,B35+(D35-5000)&gt;0),B35+(D35-5000),0),0)</f>
        <v>0</v>
      </c>
      <c r="D35" s="660">
        <v>5000</v>
      </c>
      <c r="F35" s="821">
        <v>1</v>
      </c>
      <c r="L35" s="660">
        <f ca="1">C35</f>
        <v>0</v>
      </c>
      <c r="T35" s="660">
        <f ca="1">0.2*L35*10/12</f>
        <v>0</v>
      </c>
      <c r="W35" s="660">
        <f ca="1">40*C35*2/12</f>
        <v>0</v>
      </c>
    </row>
    <row r="36" spans="1:23" x14ac:dyDescent="0.35">
      <c r="A36" s="660" t="s">
        <v>1070</v>
      </c>
      <c r="B36" s="492"/>
      <c r="D36" s="660">
        <v>1</v>
      </c>
    </row>
    <row r="37" spans="1:23" x14ac:dyDescent="0.35">
      <c r="A37" s="660" t="s">
        <v>688</v>
      </c>
      <c r="B37" s="492">
        <f ca="1">ROUND(_Gewicht*INDEX(Advies!$B$9:$G$16,2,Berekeningen1700!$C$6),0)</f>
        <v>0</v>
      </c>
      <c r="C37" s="660">
        <f ca="1">IF(AND($B$17,B37+(D37-5000)/10&gt;0),ROUND(B37+(D37-5000)/10,1),0)</f>
        <v>0</v>
      </c>
      <c r="D37" s="660">
        <v>5000</v>
      </c>
      <c r="L37" s="660">
        <f ca="1">IF(OR($D$36=1,$D$36=3),C37,0)</f>
        <v>0</v>
      </c>
      <c r="M37" s="660">
        <f ca="1">L37*0.5</f>
        <v>0</v>
      </c>
      <c r="V37" s="660">
        <f ca="1">L37*0.5</f>
        <v>0</v>
      </c>
    </row>
    <row r="38" spans="1:23" x14ac:dyDescent="0.35">
      <c r="A38" s="660" t="s">
        <v>1071</v>
      </c>
      <c r="B38" s="492">
        <f ca="1">ROUND(_Gewicht*INDEX(Advies!$B$9:$G$16,3,Berekeningen1700!$C$6),0)</f>
        <v>0</v>
      </c>
      <c r="C38" s="660">
        <f ca="1">IF(AND($B$17,B38+(D38-5000)/10&gt;0),ROUND(B38+(D38-5000)/10,1),0)</f>
        <v>0</v>
      </c>
      <c r="D38" s="660">
        <v>5000</v>
      </c>
      <c r="L38" s="660">
        <f ca="1">IF(OR($D$36=1,$D$36=3),C38,0)</f>
        <v>0</v>
      </c>
      <c r="N38" s="660">
        <f ca="1">L38</f>
        <v>0</v>
      </c>
    </row>
    <row r="39" spans="1:23" x14ac:dyDescent="0.35">
      <c r="A39" s="660" t="s">
        <v>1072</v>
      </c>
      <c r="B39" s="492">
        <f ca="1">ROUND(_Gewicht*INDEX(Advies!$B$9:$G$16,4,Berekeningen1700!$C$6),0)</f>
        <v>0</v>
      </c>
      <c r="C39" s="660">
        <f ca="1">IF(AND($B$17,B39+(D39-5000)/10&gt;0),ROUND(B39+(D39-5000)/10,1),0)</f>
        <v>0</v>
      </c>
      <c r="D39" s="660">
        <v>5000</v>
      </c>
      <c r="L39" s="660">
        <f ca="1">IF($D$36=1,C39,0)</f>
        <v>0</v>
      </c>
      <c r="O39" s="660">
        <f ca="1">L39*0.225</f>
        <v>0</v>
      </c>
      <c r="V39" s="660">
        <f ca="1">L39*0.225*2</f>
        <v>0</v>
      </c>
    </row>
    <row r="40" spans="1:23" x14ac:dyDescent="0.35">
      <c r="A40" s="660" t="s">
        <v>1073</v>
      </c>
      <c r="B40" s="492">
        <f ca="1">ROUND(_Gewicht*INDEX(Advies!$B$9:$G$16,5,Berekeningen1700!$C$6),1)</f>
        <v>0</v>
      </c>
      <c r="C40" s="660">
        <f ca="1">IF(AND($B$17,B40+(D40-5000)/10&gt;0),ROUND(B40+(D40-5000)/10,1),0)</f>
        <v>0</v>
      </c>
      <c r="D40" s="660">
        <v>5000</v>
      </c>
      <c r="L40" s="660">
        <f ca="1">IF($D$36=1,C40,0)</f>
        <v>0</v>
      </c>
      <c r="P40" s="660">
        <f ca="1">L40*0.5</f>
        <v>0</v>
      </c>
      <c r="V40" s="660">
        <f ca="1">L40*0.5*2</f>
        <v>0</v>
      </c>
    </row>
    <row r="41" spans="1:23" x14ac:dyDescent="0.35">
      <c r="A41" s="660" t="s">
        <v>435</v>
      </c>
      <c r="B41" s="492">
        <f ca="1">ROUND(_Gewicht*INDEX(Advies!$B$9:$G$16,6,Berekeningen1700!$C$6),1)</f>
        <v>0</v>
      </c>
      <c r="C41" s="660">
        <f ca="1">IF(AND($B$17,B41+(D41-5000)/10&gt;0),ROUND(B41+(D41-5000)/10,1),0)</f>
        <v>0</v>
      </c>
      <c r="D41" s="660">
        <v>5000</v>
      </c>
      <c r="L41" s="660">
        <f ca="1">IF($D$36=1,C41,0)</f>
        <v>0</v>
      </c>
      <c r="W41" s="660">
        <f ca="1">40*C41</f>
        <v>0</v>
      </c>
    </row>
    <row r="42" spans="1:23" x14ac:dyDescent="0.35">
      <c r="A42" s="660" t="s">
        <v>1028</v>
      </c>
      <c r="B42" s="492">
        <f ca="1">ROUND(_Gewicht*INDEX(Advies!$B$9:$G$16,7,Berekeningen1700!$C$6),0)</f>
        <v>0</v>
      </c>
      <c r="C42" s="660">
        <f ca="1">IF(AND($B$17,B42+(D42-5000)&gt;0),ROUND(B42+(D42-5000),0),0)</f>
        <v>0</v>
      </c>
      <c r="D42" s="660">
        <v>5000</v>
      </c>
      <c r="L42" s="660">
        <f ca="1">IF($D$36=1,C42,0)</f>
        <v>0</v>
      </c>
      <c r="R42" s="660">
        <f ca="1">0.1*L42</f>
        <v>0</v>
      </c>
    </row>
    <row r="43" spans="1:23" x14ac:dyDescent="0.35">
      <c r="A43" s="660" t="s">
        <v>1029</v>
      </c>
      <c r="B43" s="492">
        <f ca="1">ROUND(_Gewicht*INDEX(Advies!$B$9:$G$16,1,Berekeningen1700!$C$6),1)</f>
        <v>350</v>
      </c>
      <c r="C43" s="660">
        <f ca="1">ROUND(IF(AND($B$17,B43+(D43-5000)&gt;0),B43+(D43-5000),0),0)</f>
        <v>0</v>
      </c>
      <c r="D43" s="660">
        <v>5000</v>
      </c>
      <c r="L43" s="660">
        <f>IF(D36=2,C43,0)</f>
        <v>0</v>
      </c>
      <c r="M43" s="660">
        <f>INDEX(TpnNICU,2,M11)*$L$43</f>
        <v>0</v>
      </c>
      <c r="N43" s="660">
        <f t="shared" ref="N43:U43" si="12">INDEX(TpnNICU,2,N11)*$L$43</f>
        <v>0</v>
      </c>
      <c r="O43" s="660">
        <f t="shared" si="12"/>
        <v>0</v>
      </c>
      <c r="P43" s="660">
        <f t="shared" si="12"/>
        <v>0</v>
      </c>
      <c r="Q43" s="660">
        <f t="shared" si="12"/>
        <v>0</v>
      </c>
      <c r="R43" s="660">
        <f t="shared" si="12"/>
        <v>0</v>
      </c>
      <c r="S43" s="660">
        <f t="shared" si="12"/>
        <v>0</v>
      </c>
      <c r="T43" s="660">
        <f t="shared" si="12"/>
        <v>0</v>
      </c>
      <c r="U43" s="660">
        <f t="shared" si="12"/>
        <v>0</v>
      </c>
    </row>
    <row r="44" spans="1:23" x14ac:dyDescent="0.35">
      <c r="A44" s="660" t="s">
        <v>686</v>
      </c>
      <c r="B44" s="492">
        <f ca="1">ROUND(_Gewicht*INDEX(Advies!$B$9:$G$16,1,Berekeningen1700!$C$6),1)</f>
        <v>350</v>
      </c>
      <c r="C44" s="660">
        <f ca="1">ROUND(IF(AND($B$17,B44+(D44-5000)&gt;0),B44+(D44-5000),0),0)</f>
        <v>0</v>
      </c>
      <c r="D44" s="660">
        <v>5000</v>
      </c>
      <c r="L44" s="660">
        <f>IF(D36=3,C44,0)</f>
        <v>0</v>
      </c>
      <c r="M44" s="660">
        <f>INDEX(TpnNICU,1,M11)*$L$44</f>
        <v>0</v>
      </c>
      <c r="N44" s="660">
        <f t="shared" ref="N44:U44" si="13">INDEX(TpnNICU,1,N11)*$L$44</f>
        <v>0</v>
      </c>
      <c r="O44" s="660">
        <f t="shared" si="13"/>
        <v>0</v>
      </c>
      <c r="P44" s="660">
        <f t="shared" si="13"/>
        <v>0</v>
      </c>
      <c r="Q44" s="660">
        <f t="shared" si="13"/>
        <v>0</v>
      </c>
      <c r="R44" s="660">
        <f t="shared" si="13"/>
        <v>0</v>
      </c>
      <c r="S44" s="660">
        <f t="shared" si="13"/>
        <v>0</v>
      </c>
      <c r="T44" s="660">
        <f t="shared" si="13"/>
        <v>0</v>
      </c>
      <c r="U44" s="660">
        <f t="shared" si="13"/>
        <v>0</v>
      </c>
    </row>
    <row r="45" spans="1:23" x14ac:dyDescent="0.35">
      <c r="A45" s="660" t="s">
        <v>1257</v>
      </c>
      <c r="D45" s="660">
        <v>2</v>
      </c>
      <c r="L45" s="660">
        <f>IF(B17,ROUND(C17-SUM(L18:L44),1),0)</f>
        <v>0</v>
      </c>
      <c r="S45" s="660">
        <f>INDEX(Opl,D45+1,2)*L45</f>
        <v>0</v>
      </c>
    </row>
    <row r="47" spans="1:23" x14ac:dyDescent="0.35">
      <c r="A47" s="660" t="s">
        <v>242</v>
      </c>
      <c r="L47" s="660">
        <f ca="1">L49+L50</f>
        <v>0</v>
      </c>
      <c r="M47" s="660">
        <f t="shared" ref="M47:W47" ca="1" si="14">M49+M50</f>
        <v>0</v>
      </c>
      <c r="N47" s="660">
        <f t="shared" ca="1" si="14"/>
        <v>0</v>
      </c>
      <c r="O47" s="660">
        <f t="shared" ca="1" si="14"/>
        <v>0</v>
      </c>
      <c r="P47" s="660">
        <f t="shared" ca="1" si="14"/>
        <v>0</v>
      </c>
      <c r="Q47" s="660">
        <f t="shared" si="14"/>
        <v>0</v>
      </c>
      <c r="R47" s="660">
        <f t="shared" ca="1" si="14"/>
        <v>0</v>
      </c>
      <c r="S47" s="660">
        <f t="shared" si="14"/>
        <v>0</v>
      </c>
      <c r="T47" s="660">
        <f t="shared" ca="1" si="14"/>
        <v>0</v>
      </c>
      <c r="U47" s="660">
        <f t="shared" ca="1" si="14"/>
        <v>0</v>
      </c>
      <c r="V47" s="660">
        <f t="shared" ca="1" si="14"/>
        <v>0</v>
      </c>
      <c r="W47" s="660">
        <f t="shared" ca="1" si="14"/>
        <v>0</v>
      </c>
    </row>
    <row r="49" spans="1:23" x14ac:dyDescent="0.35">
      <c r="A49" s="660" t="s">
        <v>438</v>
      </c>
      <c r="L49" s="660">
        <f>L14</f>
        <v>0</v>
      </c>
      <c r="M49" s="660">
        <f t="shared" ref="M49:W49" si="15">M14+IF(INDEX(LijstenLijstVoeding,_Voeding,14)="MM",M57,M62)</f>
        <v>0</v>
      </c>
      <c r="N49" s="660">
        <f t="shared" si="15"/>
        <v>0</v>
      </c>
      <c r="O49" s="660">
        <f t="shared" si="15"/>
        <v>0</v>
      </c>
      <c r="P49" s="660">
        <f t="shared" si="15"/>
        <v>0</v>
      </c>
      <c r="Q49" s="660">
        <f t="shared" si="15"/>
        <v>0</v>
      </c>
      <c r="R49" s="660">
        <f t="shared" si="15"/>
        <v>0</v>
      </c>
      <c r="S49" s="660">
        <f t="shared" si="15"/>
        <v>0</v>
      </c>
      <c r="T49" s="660">
        <f t="shared" si="15"/>
        <v>0</v>
      </c>
      <c r="U49" s="660">
        <f t="shared" si="15"/>
        <v>0</v>
      </c>
      <c r="V49" s="660">
        <f t="shared" si="15"/>
        <v>0</v>
      </c>
      <c r="W49" s="660">
        <f t="shared" si="15"/>
        <v>0</v>
      </c>
    </row>
    <row r="50" spans="1:23" x14ac:dyDescent="0.35">
      <c r="A50" s="660" t="s">
        <v>436</v>
      </c>
      <c r="L50" s="660">
        <f ca="1">SUM(L18:L45)</f>
        <v>0</v>
      </c>
      <c r="M50" s="660">
        <f t="shared" ref="M50:W50" ca="1" si="16">SUM(M18:M45)</f>
        <v>0</v>
      </c>
      <c r="N50" s="660">
        <f t="shared" ca="1" si="16"/>
        <v>0</v>
      </c>
      <c r="O50" s="660">
        <f t="shared" ca="1" si="16"/>
        <v>0</v>
      </c>
      <c r="P50" s="660">
        <f t="shared" ca="1" si="16"/>
        <v>0</v>
      </c>
      <c r="Q50" s="660">
        <f t="shared" si="16"/>
        <v>0</v>
      </c>
      <c r="R50" s="660">
        <f t="shared" ca="1" si="16"/>
        <v>0</v>
      </c>
      <c r="S50" s="660">
        <f t="shared" si="16"/>
        <v>0</v>
      </c>
      <c r="T50" s="660">
        <f t="shared" ca="1" si="16"/>
        <v>0</v>
      </c>
      <c r="U50" s="660">
        <f ca="1">T50*9+S50*4+R50*4</f>
        <v>0</v>
      </c>
      <c r="V50" s="660">
        <f t="shared" ca="1" si="16"/>
        <v>0</v>
      </c>
      <c r="W50" s="660">
        <f t="shared" ca="1" si="16"/>
        <v>0</v>
      </c>
    </row>
    <row r="52" spans="1:23" x14ac:dyDescent="0.35">
      <c r="A52" s="660" t="s">
        <v>1676</v>
      </c>
      <c r="B52" s="660">
        <v>2</v>
      </c>
      <c r="K52" s="660">
        <v>1</v>
      </c>
      <c r="L52" s="821">
        <f>INDEX(_VoedingBMFWaarden,Berekeningen1700!K52)</f>
        <v>0</v>
      </c>
      <c r="M52" s="651">
        <f t="shared" ref="M52:W52" si="17">IF($K52&gt;1,($L52/100)*$L$49*HLOOKUP(M1,_VoedingToevoegingenBMF,$B52,FALSE),0)</f>
        <v>0</v>
      </c>
      <c r="N52" s="651">
        <f t="shared" si="17"/>
        <v>0</v>
      </c>
      <c r="O52" s="651">
        <f t="shared" si="17"/>
        <v>0</v>
      </c>
      <c r="P52" s="651">
        <f t="shared" si="17"/>
        <v>0</v>
      </c>
      <c r="Q52" s="651">
        <f t="shared" si="17"/>
        <v>0</v>
      </c>
      <c r="R52" s="651">
        <f t="shared" si="17"/>
        <v>0</v>
      </c>
      <c r="S52" s="651">
        <f t="shared" si="17"/>
        <v>0</v>
      </c>
      <c r="T52" s="651">
        <f t="shared" si="17"/>
        <v>0</v>
      </c>
      <c r="U52" s="651">
        <f t="shared" si="17"/>
        <v>0</v>
      </c>
      <c r="V52" s="651">
        <f t="shared" si="17"/>
        <v>0</v>
      </c>
      <c r="W52" s="651">
        <f t="shared" si="17"/>
        <v>0</v>
      </c>
    </row>
    <row r="53" spans="1:23" x14ac:dyDescent="0.35">
      <c r="A53" s="660" t="s">
        <v>1667</v>
      </c>
      <c r="B53" s="660">
        <v>1</v>
      </c>
      <c r="C53" s="660">
        <f>_Toevoeging_1+1</f>
        <v>2</v>
      </c>
      <c r="K53" s="660">
        <v>1</v>
      </c>
      <c r="L53" s="821">
        <f>INDEX(_VoedingToevoegingenWaarden,Berekeningen1700!K53)</f>
        <v>0</v>
      </c>
      <c r="M53" s="651">
        <f>IF($B53&gt;1,($L53)*$L$49*HLOOKUP(Berekeningen1700!M$1,LijstenOpzoektabelMM,$C53,FALSE),0)</f>
        <v>0</v>
      </c>
      <c r="N53" s="651">
        <f>IF($B53&gt;1,($L53)*$L$49*HLOOKUP(Berekeningen1700!N$1,LijstenOpzoektabelMM,$C53,FALSE),0)</f>
        <v>0</v>
      </c>
      <c r="O53" s="651">
        <f>IF($B53&gt;1,($L53)*$L$49*HLOOKUP(Berekeningen1700!O$1,LijstenOpzoektabelMM,$C53,FALSE),0)</f>
        <v>0</v>
      </c>
      <c r="P53" s="651">
        <f>IF($B53&gt;1,($L53)*$L$49*HLOOKUP(Berekeningen1700!P$1,LijstenOpzoektabelMM,$C53,FALSE),0)</f>
        <v>0</v>
      </c>
      <c r="Q53" s="651">
        <f>IF($B53&gt;1,($L53)*$L$49*HLOOKUP(Berekeningen1700!Q$1,LijstenOpzoektabelMM,$C53,FALSE),0)</f>
        <v>0</v>
      </c>
      <c r="R53" s="651">
        <f>IF($B53&gt;1,($L53)*$L$49*HLOOKUP(Berekeningen1700!R$1,LijstenOpzoektabelMM,$C53,FALSE),0)</f>
        <v>0</v>
      </c>
      <c r="S53" s="651">
        <f>IF($B53&gt;1,($L53)*$L$49*HLOOKUP(Berekeningen1700!S$1,LijstenOpzoektabelMM,$C53,FALSE),0)</f>
        <v>0</v>
      </c>
      <c r="T53" s="651">
        <f>IF($B53&gt;1,($L53)*$L$49*HLOOKUP(Berekeningen1700!T$1,LijstenOpzoektabelMM,$C53,FALSE),0)</f>
        <v>0</v>
      </c>
      <c r="U53" s="651">
        <f>IF($B53&gt;1,($L53)*$L$49*HLOOKUP(Berekeningen1700!U$1,LijstenOpzoektabelMM,$C53,FALSE),0)</f>
        <v>0</v>
      </c>
      <c r="V53" s="651">
        <f>IF($B53&gt;1,($L53)*$L$49*HLOOKUP(Berekeningen1700!V$1,LijstenOpzoektabelMM,$C53,FALSE),0)</f>
        <v>0</v>
      </c>
      <c r="W53" s="651">
        <f>IF($B53&gt;1,($L53)*$L$49*HLOOKUP(Berekeningen1700!W$1,LijstenOpzoektabelMM,$C53,FALSE),0)</f>
        <v>0</v>
      </c>
    </row>
    <row r="54" spans="1:23" x14ac:dyDescent="0.35">
      <c r="A54" s="660" t="s">
        <v>1668</v>
      </c>
      <c r="B54" s="660">
        <v>1</v>
      </c>
      <c r="C54" s="660">
        <f>_Toevoeging_2+1</f>
        <v>2</v>
      </c>
      <c r="K54" s="660">
        <v>1</v>
      </c>
      <c r="L54" s="821">
        <f>INDEX(_VoedingToevoegingenWaarden,Berekeningen1700!K54)</f>
        <v>0</v>
      </c>
      <c r="M54" s="651">
        <f>IF($B54&gt;1,($L54)*$L$49*HLOOKUP(Berekeningen1700!M$1,LijstenOpzoektabelMM,$C54,FALSE),0)</f>
        <v>0</v>
      </c>
      <c r="N54" s="651">
        <f>IF($B54&gt;1,($L54)*$L$49*HLOOKUP(Berekeningen1700!N$1,LijstenOpzoektabelMM,$C54,FALSE),0)</f>
        <v>0</v>
      </c>
      <c r="O54" s="651">
        <f>IF($B54&gt;1,($L54)*$L$49*HLOOKUP(Berekeningen1700!O$1,LijstenOpzoektabelMM,$C54,FALSE),0)</f>
        <v>0</v>
      </c>
      <c r="P54" s="651">
        <f>IF($B54&gt;1,($L54)*$L$49*HLOOKUP(Berekeningen1700!P$1,LijstenOpzoektabelMM,$C54,FALSE),0)</f>
        <v>0</v>
      </c>
      <c r="Q54" s="651">
        <f>IF($B54&gt;1,($L54)*$L$49*HLOOKUP(Berekeningen1700!Q$1,LijstenOpzoektabelMM,$C54,FALSE),0)</f>
        <v>0</v>
      </c>
      <c r="R54" s="651">
        <f>IF($B54&gt;1,($L54)*$L$49*HLOOKUP(Berekeningen1700!R$1,LijstenOpzoektabelMM,$C54,FALSE),0)</f>
        <v>0</v>
      </c>
      <c r="S54" s="651">
        <f>IF($B54&gt;1,($L54)*$L$49*HLOOKUP(Berekeningen1700!S$1,LijstenOpzoektabelMM,$C54,FALSE),0)</f>
        <v>0</v>
      </c>
      <c r="T54" s="651">
        <f>IF($B54&gt;1,($L54)*$L$49*HLOOKUP(Berekeningen1700!T$1,LijstenOpzoektabelMM,$C54,FALSE),0)</f>
        <v>0</v>
      </c>
      <c r="U54" s="651">
        <f>IF($B54&gt;1,($L54)*$L$49*HLOOKUP(Berekeningen1700!U$1,LijstenOpzoektabelMM,$C54,FALSE),0)</f>
        <v>0</v>
      </c>
      <c r="V54" s="651">
        <f>IF($B54&gt;1,($L54)*$L$49*HLOOKUP(Berekeningen1700!V$1,LijstenOpzoektabelMM,$C54,FALSE),0)</f>
        <v>0</v>
      </c>
      <c r="W54" s="651">
        <f>IF($B54&gt;1,($L54)*$L$49*HLOOKUP(Berekeningen1700!W$1,LijstenOpzoektabelMM,$C54,FALSE),0)</f>
        <v>0</v>
      </c>
    </row>
    <row r="55" spans="1:23" x14ac:dyDescent="0.35">
      <c r="A55" s="660" t="s">
        <v>1669</v>
      </c>
      <c r="B55" s="660">
        <v>1</v>
      </c>
      <c r="C55" s="660">
        <f>_Toevoeging_3+1</f>
        <v>2</v>
      </c>
      <c r="K55" s="660">
        <v>1</v>
      </c>
      <c r="L55" s="821">
        <f>INDEX(_VoedingToevoegingenWaarden,Berekeningen1700!K55)</f>
        <v>0</v>
      </c>
      <c r="M55" s="651">
        <f>IF($B55&gt;1,($L55)*$L$49*HLOOKUP(Berekeningen1700!M$1,LijstenOpzoektabelMM,$C55,FALSE),0)</f>
        <v>0</v>
      </c>
      <c r="N55" s="651">
        <f>IF($B55&gt;1,($L55)*$L$49*HLOOKUP(Berekeningen1700!N$1,LijstenOpzoektabelMM,$C55,FALSE),0)</f>
        <v>0</v>
      </c>
      <c r="O55" s="651">
        <f>IF($B55&gt;1,($L55)*$L$49*HLOOKUP(Berekeningen1700!O$1,LijstenOpzoektabelMM,$C55,FALSE),0)</f>
        <v>0</v>
      </c>
      <c r="P55" s="651">
        <f>IF($B55&gt;1,($L55)*$L$49*HLOOKUP(Berekeningen1700!P$1,LijstenOpzoektabelMM,$C55,FALSE),0)</f>
        <v>0</v>
      </c>
      <c r="Q55" s="651">
        <f>IF($B55&gt;1,($L55)*$L$49*HLOOKUP(Berekeningen1700!Q$1,LijstenOpzoektabelMM,$C55,FALSE),0)</f>
        <v>0</v>
      </c>
      <c r="R55" s="651">
        <f>IF($B55&gt;1,($L55)*$L$49*HLOOKUP(Berekeningen1700!R$1,LijstenOpzoektabelMM,$C55,FALSE),0)</f>
        <v>0</v>
      </c>
      <c r="S55" s="651">
        <f>IF($B55&gt;1,($L55)*$L$49*HLOOKUP(Berekeningen1700!S$1,LijstenOpzoektabelMM,$C55,FALSE),0)</f>
        <v>0</v>
      </c>
      <c r="T55" s="651">
        <f>IF($B55&gt;1,($L55)*$L$49*HLOOKUP(Berekeningen1700!T$1,LijstenOpzoektabelMM,$C55,FALSE),0)</f>
        <v>0</v>
      </c>
      <c r="U55" s="651">
        <f>IF($B55&gt;1,($L55)*$L$49*HLOOKUP(Berekeningen1700!U$1,LijstenOpzoektabelMM,$C55,FALSE),0)</f>
        <v>0</v>
      </c>
      <c r="V55" s="651">
        <f>IF($B55&gt;1,($L55)*$L$49*HLOOKUP(Berekeningen1700!V$1,LijstenOpzoektabelMM,$C55,FALSE),0)</f>
        <v>0</v>
      </c>
      <c r="W55" s="651">
        <f>IF($B55&gt;1,($L55)*$L$49*HLOOKUP(Berekeningen1700!W$1,LijstenOpzoektabelMM,$C55,FALSE),0)</f>
        <v>0</v>
      </c>
    </row>
    <row r="56" spans="1:23" x14ac:dyDescent="0.35">
      <c r="A56" s="660" t="s">
        <v>1670</v>
      </c>
      <c r="B56" s="660">
        <v>1</v>
      </c>
      <c r="C56" s="660">
        <f>_Toevoeging_4+1</f>
        <v>2</v>
      </c>
      <c r="K56" s="660">
        <v>1</v>
      </c>
      <c r="L56" s="821">
        <f>INDEX(_VoedingToevoegingenWaarden,Berekeningen1700!K56)</f>
        <v>0</v>
      </c>
      <c r="M56" s="651">
        <f>IF($B56&gt;1,($L56)*$L$49*HLOOKUP(Berekeningen1700!M$1,LijstenOpzoektabelMM,$C56,FALSE),0)</f>
        <v>0</v>
      </c>
      <c r="N56" s="651">
        <f>IF($B56&gt;1,($L56)*$L$49*HLOOKUP(Berekeningen1700!N$1,LijstenOpzoektabelMM,$C56,FALSE),0)</f>
        <v>0</v>
      </c>
      <c r="O56" s="651">
        <f>IF($B56&gt;1,($L56)*$L$49*HLOOKUP(Berekeningen1700!O$1,LijstenOpzoektabelMM,$C56,FALSE),0)</f>
        <v>0</v>
      </c>
      <c r="P56" s="651">
        <f>IF($B56&gt;1,($L56)*$L$49*HLOOKUP(Berekeningen1700!P$1,LijstenOpzoektabelMM,$C56,FALSE),0)</f>
        <v>0</v>
      </c>
      <c r="Q56" s="651">
        <f>IF($B56&gt;1,($L56)*$L$49*HLOOKUP(Berekeningen1700!Q$1,LijstenOpzoektabelMM,$C56,FALSE),0)</f>
        <v>0</v>
      </c>
      <c r="R56" s="651">
        <f>IF($B56&gt;1,($L56)*$L$49*HLOOKUP(Berekeningen1700!R$1,LijstenOpzoektabelMM,$C56,FALSE),0)</f>
        <v>0</v>
      </c>
      <c r="S56" s="651">
        <f>IF($B56&gt;1,($L56)*$L$49*HLOOKUP(Berekeningen1700!S$1,LijstenOpzoektabelMM,$C56,FALSE),0)</f>
        <v>0</v>
      </c>
      <c r="T56" s="651">
        <f>IF($B56&gt;1,($L56)*$L$49*HLOOKUP(Berekeningen1700!T$1,LijstenOpzoektabelMM,$C56,FALSE),0)</f>
        <v>0</v>
      </c>
      <c r="U56" s="651">
        <f>IF($B56&gt;1,($L56)*$L$49*HLOOKUP(Berekeningen1700!U$1,LijstenOpzoektabelMM,$C56,FALSE),0)</f>
        <v>0</v>
      </c>
      <c r="V56" s="651">
        <f>IF($B56&gt;1,($L56)*$L$49*HLOOKUP(Berekeningen1700!V$1,LijstenOpzoektabelMM,$C56,FALSE),0)</f>
        <v>0</v>
      </c>
      <c r="W56" s="651">
        <f>IF($B56&gt;1,($L56)*$L$49*HLOOKUP(Berekeningen1700!W$1,LijstenOpzoektabelMM,$C56,FALSE),0)</f>
        <v>0</v>
      </c>
    </row>
    <row r="57" spans="1:23" x14ac:dyDescent="0.35">
      <c r="A57" s="660" t="s">
        <v>1770</v>
      </c>
      <c r="L57" s="821"/>
      <c r="M57" s="651">
        <f>SUM(M52:M56)</f>
        <v>0</v>
      </c>
      <c r="N57" s="651">
        <f t="shared" ref="N57:W57" si="18">SUM(N52:N56)</f>
        <v>0</v>
      </c>
      <c r="O57" s="651">
        <f t="shared" si="18"/>
        <v>0</v>
      </c>
      <c r="P57" s="651">
        <f t="shared" si="18"/>
        <v>0</v>
      </c>
      <c r="Q57" s="651">
        <f t="shared" si="18"/>
        <v>0</v>
      </c>
      <c r="R57" s="651">
        <f t="shared" si="18"/>
        <v>0</v>
      </c>
      <c r="S57" s="651">
        <f t="shared" si="18"/>
        <v>0</v>
      </c>
      <c r="T57" s="651">
        <f t="shared" si="18"/>
        <v>0</v>
      </c>
      <c r="U57" s="651">
        <f t="shared" si="18"/>
        <v>0</v>
      </c>
      <c r="V57" s="651">
        <f t="shared" si="18"/>
        <v>0</v>
      </c>
      <c r="W57" s="651">
        <f t="shared" si="18"/>
        <v>0</v>
      </c>
    </row>
    <row r="58" spans="1:23" x14ac:dyDescent="0.35">
      <c r="A58" s="660" t="s">
        <v>1671</v>
      </c>
      <c r="B58" s="660">
        <v>1</v>
      </c>
      <c r="C58" s="660">
        <f>_Toevoeging_5+1</f>
        <v>2</v>
      </c>
      <c r="K58" s="660">
        <v>1</v>
      </c>
      <c r="L58" s="821">
        <f>INDEX(_VoedingToevoegingenWaarden,Berekeningen1700!K58)</f>
        <v>0</v>
      </c>
      <c r="M58" s="651">
        <f>IF($B58&gt;1,($L58)*$L$49*HLOOKUP(Berekeningen1700!M$1,LijstenOpzoektabelKV,$C58,FALSE),0)</f>
        <v>0</v>
      </c>
      <c r="N58" s="651">
        <f>IF($B58&gt;1,($L58)*$L$49*HLOOKUP(Berekeningen1700!N$1,LijstenOpzoektabelKV,$C58,FALSE),0)</f>
        <v>0</v>
      </c>
      <c r="O58" s="651">
        <f>IF($B58&gt;1,($L58)*$L$49*HLOOKUP(Berekeningen1700!O$1,LijstenOpzoektabelKV,$C58,FALSE),0)</f>
        <v>0</v>
      </c>
      <c r="P58" s="651">
        <f>IF($B58&gt;1,($L58)*$L$49*HLOOKUP(Berekeningen1700!P$1,LijstenOpzoektabelKV,$C58,FALSE),0)</f>
        <v>0</v>
      </c>
      <c r="Q58" s="651">
        <f>IF($B58&gt;1,($L58)*$L$49*HLOOKUP(Berekeningen1700!Q$1,LijstenOpzoektabelKV,$C58,FALSE),0)</f>
        <v>0</v>
      </c>
      <c r="R58" s="651">
        <f>IF($B58&gt;1,($L58)*$L$49*HLOOKUP(Berekeningen1700!R$1,LijstenOpzoektabelKV,$C58,FALSE),0)</f>
        <v>0</v>
      </c>
      <c r="S58" s="651">
        <f>IF($B58&gt;1,($L58)*$L$49*HLOOKUP(Berekeningen1700!S$1,LijstenOpzoektabelKV,$C58,FALSE),0)</f>
        <v>0</v>
      </c>
      <c r="T58" s="651">
        <f>IF($B58&gt;1,($L58)*$L$49*HLOOKUP(Berekeningen1700!T$1,LijstenOpzoektabelKV,$C58,FALSE),0)</f>
        <v>0</v>
      </c>
      <c r="U58" s="651">
        <f>IF($B58&gt;1,($L58)*$L$49*HLOOKUP(Berekeningen1700!U$1,LijstenOpzoektabelKV,$C58,FALSE),0)</f>
        <v>0</v>
      </c>
      <c r="V58" s="651">
        <f>IF($B58&gt;1,($L58)*$L$49*HLOOKUP(Berekeningen1700!V$1,LijstenOpzoektabelKV,$C58,FALSE),0)</f>
        <v>0</v>
      </c>
      <c r="W58" s="651">
        <f>IF($B58&gt;1,($L58)*$L$49*HLOOKUP(Berekeningen1700!W$1,LijstenOpzoektabelKV,$C58,FALSE),0)</f>
        <v>0</v>
      </c>
    </row>
    <row r="59" spans="1:23" x14ac:dyDescent="0.35">
      <c r="A59" s="660" t="s">
        <v>1672</v>
      </c>
      <c r="B59" s="660">
        <v>1</v>
      </c>
      <c r="C59" s="660">
        <f>_Toevoeging_6+1</f>
        <v>2</v>
      </c>
      <c r="K59" s="660">
        <v>1</v>
      </c>
      <c r="L59" s="821">
        <f>INDEX(_VoedingToevoegingenWaarden,Berekeningen1700!K59)</f>
        <v>0</v>
      </c>
      <c r="M59" s="651">
        <f>IF($B59&gt;1,($L59)*$L$49*HLOOKUP(Berekeningen1700!M$1,LijstenOpzoektabelKV,$C59,FALSE),0)</f>
        <v>0</v>
      </c>
      <c r="N59" s="651">
        <f>IF($B59&gt;1,($L59)*$L$49*HLOOKUP(Berekeningen1700!N$1,LijstenOpzoektabelKV,$C59,FALSE),0)</f>
        <v>0</v>
      </c>
      <c r="O59" s="651">
        <f>IF($B59&gt;1,($L59)*$L$49*HLOOKUP(Berekeningen1700!O$1,LijstenOpzoektabelKV,$C59,FALSE),0)</f>
        <v>0</v>
      </c>
      <c r="P59" s="651">
        <f>IF($B59&gt;1,($L59)*$L$49*HLOOKUP(Berekeningen1700!P$1,LijstenOpzoektabelKV,$C59,FALSE),0)</f>
        <v>0</v>
      </c>
      <c r="Q59" s="651">
        <f>IF($B59&gt;1,($L59)*$L$49*HLOOKUP(Berekeningen1700!Q$1,LijstenOpzoektabelKV,$C59,FALSE),0)</f>
        <v>0</v>
      </c>
      <c r="R59" s="651">
        <f>IF($B59&gt;1,($L59)*$L$49*HLOOKUP(Berekeningen1700!R$1,LijstenOpzoektabelKV,$C59,FALSE),0)</f>
        <v>0</v>
      </c>
      <c r="S59" s="651">
        <f>IF($B59&gt;1,($L59)*$L$49*HLOOKUP(Berekeningen1700!S$1,LijstenOpzoektabelKV,$C59,FALSE),0)</f>
        <v>0</v>
      </c>
      <c r="T59" s="651">
        <f>IF($B59&gt;1,($L59)*$L$49*HLOOKUP(Berekeningen1700!T$1,LijstenOpzoektabelKV,$C59,FALSE),0)</f>
        <v>0</v>
      </c>
      <c r="U59" s="651">
        <f>IF($B59&gt;1,($L59)*$L$49*HLOOKUP(Berekeningen1700!U$1,LijstenOpzoektabelKV,$C59,FALSE),0)</f>
        <v>0</v>
      </c>
      <c r="V59" s="651">
        <f>IF($B59&gt;1,($L59)*$L$49*HLOOKUP(Berekeningen1700!V$1,LijstenOpzoektabelKV,$C59,FALSE),0)</f>
        <v>0</v>
      </c>
      <c r="W59" s="651">
        <f>IF($B59&gt;1,($L59)*$L$49*HLOOKUP(Berekeningen1700!W$1,LijstenOpzoektabelKV,$C59,FALSE),0)</f>
        <v>0</v>
      </c>
    </row>
    <row r="60" spans="1:23" x14ac:dyDescent="0.35">
      <c r="A60" s="660" t="s">
        <v>1673</v>
      </c>
      <c r="B60" s="660">
        <v>1</v>
      </c>
      <c r="C60" s="660">
        <f>_Toevoeging_7+1</f>
        <v>2</v>
      </c>
      <c r="K60" s="660">
        <v>1</v>
      </c>
      <c r="L60" s="821">
        <f>INDEX(_VoedingToevoegingenWaarden,Berekeningen1700!K60)</f>
        <v>0</v>
      </c>
      <c r="M60" s="651">
        <f>IF($B60&gt;1,($L60)*$L$49*HLOOKUP(Berekeningen1700!M$1,LijstenOpzoektabelKV,$C60,FALSE),0)</f>
        <v>0</v>
      </c>
      <c r="N60" s="651">
        <f>IF($B60&gt;1,($L60)*$L$49*HLOOKUP(Berekeningen1700!N$1,LijstenOpzoektabelKV,$C60,FALSE),0)</f>
        <v>0</v>
      </c>
      <c r="O60" s="651">
        <f>IF($B60&gt;1,($L60)*$L$49*HLOOKUP(Berekeningen1700!O$1,LijstenOpzoektabelKV,$C60,FALSE),0)</f>
        <v>0</v>
      </c>
      <c r="P60" s="651">
        <f>IF($B60&gt;1,($L60)*$L$49*HLOOKUP(Berekeningen1700!P$1,LijstenOpzoektabelKV,$C60,FALSE),0)</f>
        <v>0</v>
      </c>
      <c r="Q60" s="651">
        <f>IF($B60&gt;1,($L60)*$L$49*HLOOKUP(Berekeningen1700!Q$1,LijstenOpzoektabelKV,$C60,FALSE),0)</f>
        <v>0</v>
      </c>
      <c r="R60" s="651">
        <f>IF($B60&gt;1,($L60)*$L$49*HLOOKUP(Berekeningen1700!R$1,LijstenOpzoektabelKV,$C60,FALSE),0)</f>
        <v>0</v>
      </c>
      <c r="S60" s="651">
        <f>IF($B60&gt;1,($L60)*$L$49*HLOOKUP(Berekeningen1700!S$1,LijstenOpzoektabelKV,$C60,FALSE),0)</f>
        <v>0</v>
      </c>
      <c r="T60" s="651">
        <f>IF($B60&gt;1,($L60)*$L$49*HLOOKUP(Berekeningen1700!T$1,LijstenOpzoektabelKV,$C60,FALSE),0)</f>
        <v>0</v>
      </c>
      <c r="U60" s="651">
        <f>IF($B60&gt;1,($L60)*$L$49*HLOOKUP(Berekeningen1700!U$1,LijstenOpzoektabelKV,$C60,FALSE),0)</f>
        <v>0</v>
      </c>
      <c r="V60" s="651">
        <f>IF($B60&gt;1,($L60)*$L$49*HLOOKUP(Berekeningen1700!V$1,LijstenOpzoektabelKV,$C60,FALSE),0)</f>
        <v>0</v>
      </c>
      <c r="W60" s="651">
        <f>IF($B60&gt;1,($L60)*$L$49*HLOOKUP(Berekeningen1700!W$1,LijstenOpzoektabelKV,$C60,FALSE),0)</f>
        <v>0</v>
      </c>
    </row>
    <row r="61" spans="1:23" x14ac:dyDescent="0.35">
      <c r="A61" s="660" t="s">
        <v>1674</v>
      </c>
      <c r="B61" s="660">
        <v>1</v>
      </c>
      <c r="C61" s="660">
        <f>_Toevoeging_8+1</f>
        <v>2</v>
      </c>
      <c r="K61" s="660">
        <v>1</v>
      </c>
      <c r="L61" s="821">
        <f>INDEX(_VoedingToevoegingenWaarden,Berekeningen1700!K61)</f>
        <v>0</v>
      </c>
      <c r="M61" s="651">
        <f>IF($B61&gt;1,($L61)*$L$49*HLOOKUP(Berekeningen1700!M$1,LijstenOpzoektabelKV,$C61,FALSE),0)</f>
        <v>0</v>
      </c>
      <c r="N61" s="651">
        <f>IF($B61&gt;1,($L61)*$L$49*HLOOKUP(Berekeningen1700!N$1,LijstenOpzoektabelKV,$C61,FALSE),0)</f>
        <v>0</v>
      </c>
      <c r="O61" s="651">
        <f>IF($B61&gt;1,($L61)*$L$49*HLOOKUP(Berekeningen1700!O$1,LijstenOpzoektabelKV,$C61,FALSE),0)</f>
        <v>0</v>
      </c>
      <c r="P61" s="651">
        <f>IF($B61&gt;1,($L61)*$L$49*HLOOKUP(Berekeningen1700!P$1,LijstenOpzoektabelKV,$C61,FALSE),0)</f>
        <v>0</v>
      </c>
      <c r="Q61" s="651">
        <f>IF($B61&gt;1,($L61)*$L$49*HLOOKUP(Berekeningen1700!Q$1,LijstenOpzoektabelKV,$C61,FALSE),0)</f>
        <v>0</v>
      </c>
      <c r="R61" s="651">
        <f>IF($B61&gt;1,($L61)*$L$49*HLOOKUP(Berekeningen1700!R$1,LijstenOpzoektabelKV,$C61,FALSE),0)</f>
        <v>0</v>
      </c>
      <c r="S61" s="651">
        <f>IF($B61&gt;1,($L61)*$L$49*HLOOKUP(Berekeningen1700!S$1,LijstenOpzoektabelKV,$C61,FALSE),0)</f>
        <v>0</v>
      </c>
      <c r="T61" s="651">
        <f>IF($B61&gt;1,($L61)*$L$49*HLOOKUP(Berekeningen1700!T$1,LijstenOpzoektabelKV,$C61,FALSE),0)</f>
        <v>0</v>
      </c>
      <c r="U61" s="651">
        <f>IF($B61&gt;1,($L61)*$L$49*HLOOKUP(Berekeningen1700!U$1,LijstenOpzoektabelKV,$C61,FALSE),0)</f>
        <v>0</v>
      </c>
      <c r="V61" s="651">
        <f>IF($B61&gt;1,($L61)*$L$49*HLOOKUP(Berekeningen1700!V$1,LijstenOpzoektabelKV,$C61,FALSE),0)</f>
        <v>0</v>
      </c>
      <c r="W61" s="651">
        <f>IF($B61&gt;1,($L61)*$L$49*HLOOKUP(Berekeningen1700!W$1,LijstenOpzoektabelKV,$C61,FALSE),0)</f>
        <v>0</v>
      </c>
    </row>
    <row r="62" spans="1:23" x14ac:dyDescent="0.35">
      <c r="A62" s="660" t="s">
        <v>1771</v>
      </c>
      <c r="M62" s="651">
        <f>SUM(M58:M61)</f>
        <v>0</v>
      </c>
      <c r="N62" s="651">
        <f t="shared" ref="N62:W62" si="19">SUM(N58:N61)</f>
        <v>0</v>
      </c>
      <c r="O62" s="651">
        <f t="shared" si="19"/>
        <v>0</v>
      </c>
      <c r="P62" s="651">
        <f t="shared" si="19"/>
        <v>0</v>
      </c>
      <c r="Q62" s="651">
        <f t="shared" si="19"/>
        <v>0</v>
      </c>
      <c r="R62" s="651">
        <f t="shared" si="19"/>
        <v>0</v>
      </c>
      <c r="S62" s="651">
        <f t="shared" si="19"/>
        <v>0</v>
      </c>
      <c r="T62" s="651">
        <f t="shared" si="19"/>
        <v>0</v>
      </c>
      <c r="U62" s="651">
        <f t="shared" si="19"/>
        <v>0</v>
      </c>
      <c r="V62" s="651">
        <f t="shared" si="19"/>
        <v>0</v>
      </c>
      <c r="W62" s="651">
        <f t="shared" si="19"/>
        <v>0</v>
      </c>
    </row>
    <row r="65" spans="1:13" x14ac:dyDescent="0.35">
      <c r="A65" s="660" t="s">
        <v>1067</v>
      </c>
    </row>
    <row r="70" spans="1:13" ht="13.2" x14ac:dyDescent="0.4">
      <c r="B70" s="285"/>
      <c r="C70" s="279"/>
      <c r="D70" s="279"/>
      <c r="E70" s="279"/>
      <c r="F70" s="286"/>
      <c r="G70" s="279"/>
      <c r="H70" s="279"/>
      <c r="I70" s="279"/>
    </row>
    <row r="71" spans="1:13" x14ac:dyDescent="0.35">
      <c r="M71" s="639"/>
    </row>
    <row r="73" spans="1:13" x14ac:dyDescent="0.35">
      <c r="A73" s="660" t="s">
        <v>1642</v>
      </c>
      <c r="B73" s="818" t="str">
        <f ca="1">IF(Afspraken1700!E18=0,"",CONCATENATE(Afspraken1700!B18,": ",Afspraken1700!E18," ",Afspraken1700!F18," = "&amp;Berekeningen1700!L47&amp;" ml"))</f>
        <v/>
      </c>
    </row>
    <row r="74" spans="1:13" x14ac:dyDescent="0.35">
      <c r="A74" s="660" t="s">
        <v>1643</v>
      </c>
      <c r="B74" s="818" t="str">
        <f>IF(INDEX(Pos,Berekeningen1700!D14,1)=0,"",CONCATENATE(Afspraken1700!H21," ",INDEX(Pos,Berekeningen1700!D14,1)))</f>
        <v/>
      </c>
    </row>
    <row r="75" spans="1:13" x14ac:dyDescent="0.35">
      <c r="A75" s="660" t="s">
        <v>1644</v>
      </c>
      <c r="B75" s="818" t="str">
        <f>IF(INDEX(Pos,Berekeningen1700!D14,1)=0,"",CONCATENATE("Hoeveelheid 1:  ",Afspraken1700!E21," ",Afspraken1700!F21," ",Afspraken1700!G21))</f>
        <v/>
      </c>
    </row>
    <row r="76" spans="1:13" x14ac:dyDescent="0.35">
      <c r="A76" s="660" t="s">
        <v>1645</v>
      </c>
      <c r="B76" s="818" t="str">
        <f>IF(INDEX(Pos,Berekeningen1700!D14,1)=0,"",CONCATENATE("Hoeveelheid 2:  ",Afspraken1700!E22," ",Afspraken1700!F22," ",Afspraken1700!G22))</f>
        <v/>
      </c>
    </row>
    <row r="77" spans="1:13" x14ac:dyDescent="0.35">
      <c r="A77" s="660" t="s">
        <v>1646</v>
      </c>
      <c r="B77" s="818" t="str">
        <f>IF(AND(INDEX(LijstenLijstVoeding,_Voeding1700,14)="MM",_Percentage1700_0 &gt; 0), CONCATENATE("Toev MM: BMF ",_Percentage1700_0," %"),"")</f>
        <v/>
      </c>
    </row>
    <row r="78" spans="1:13" x14ac:dyDescent="0.35">
      <c r="A78" s="660" t="s">
        <v>1647</v>
      </c>
      <c r="B78" s="818" t="str">
        <f>IF(AND(INDEX(LijstenLijstVoeding,_Voeding1700,14)="MM",_Toevoeging1700_1 &gt; 1,_Percentage1700_1 &gt; 0), CONCATENATE("Toev MM: ",INDEX(_VoedingToevoegingenMoedermelk,_Toevoeging1700_1,1)," ",_Percentage1700_1," %"),"")</f>
        <v/>
      </c>
    </row>
    <row r="79" spans="1:13" x14ac:dyDescent="0.35">
      <c r="A79" s="660" t="s">
        <v>1648</v>
      </c>
      <c r="B79" s="818" t="str">
        <f>IF(AND(INDEX(LijstenLijstVoeding,_Voeding1700,14)="MM",_Toevoeging1700_2 &gt; 1,_Percentage1700_2 &gt; 0), CONCATENATE("Toev MM: ",INDEX(_VoedingToevoegingenMoedermelk,_Toevoeging1700_2,1)," ",_Percentage1700_2," %"),"")</f>
        <v/>
      </c>
    </row>
    <row r="80" spans="1:13" x14ac:dyDescent="0.35">
      <c r="A80" s="660" t="s">
        <v>1649</v>
      </c>
      <c r="B80" s="818" t="str">
        <f>IF(AND(INDEX(LijstenLijstVoeding,_Voeding1700,14)="MM",_Toevoeging1700_3 &gt; 1,_Percentage1700_3 &gt; 0), CONCATENATE("Toev MM: ",INDEX(_VoedingToevoegingenMoedermelk,_Toevoeging1700_3,1)," ",_Percentage1700_3," %"),"")</f>
        <v/>
      </c>
    </row>
    <row r="81" spans="1:2" x14ac:dyDescent="0.35">
      <c r="A81" s="660" t="s">
        <v>1650</v>
      </c>
      <c r="B81" s="818" t="str">
        <f>IF(AND(INDEX(LijstenLijstVoeding,_Voeding1700,14)="MM",_Toevoeging1700_4 &gt; 1,_Percentage1700_4 &gt; 0), CONCATENATE("Toev MM: ",INDEX(_VoedingToevoegingenMoedermelk,_Toevoeging1700_4,1)," ",_Percentage1700_4," %"),"")</f>
        <v/>
      </c>
    </row>
    <row r="82" spans="1:2" x14ac:dyDescent="0.35">
      <c r="A82" s="660" t="s">
        <v>1651</v>
      </c>
      <c r="B82" s="818" t="str">
        <f>IF(AND(INDEX(LijstenLijstVoeding,_Voeding1700,14)="KV",_Toevoeging1700_5 &gt; 1,_Percentage1700_5 &gt; 0), CONCATENATE("Toev KV: ",INDEX(_VoedingToevoegingenKunstvoeding,_Toevoeging1700_5,1)," ",_Percentage1700_5," %"),"")</f>
        <v/>
      </c>
    </row>
    <row r="83" spans="1:2" x14ac:dyDescent="0.35">
      <c r="A83" s="660" t="s">
        <v>1991</v>
      </c>
      <c r="B83" s="818" t="str">
        <f>IF(AND(INDEX(LijstenLijstVoeding,_Voeding1700,14)="KV",_Toevoeging1700_6 &gt; 1,_Percentage1700_6 &gt; 0), CONCATENATE("Toev KV: ",INDEX(_VoedingToevoegingenKunstvoeding,_Toevoeging1700_6,1)," ",_Percentage1700_6," %"),"")</f>
        <v/>
      </c>
    </row>
    <row r="84" spans="1:2" x14ac:dyDescent="0.35">
      <c r="A84" s="660" t="s">
        <v>1992</v>
      </c>
      <c r="B84" s="818" t="str">
        <f>IF(AND(INDEX(LijstenLijstVoeding,_Voeding1700,14)="KV",_Toevoeging1700_7 &gt; 1,_Percentage1700_7 &gt; 0), CONCATENATE("Toev KV: ",INDEX(_VoedingToevoegingenKunstvoeding,_Toevoeging1700_7,1)," ",_Percentage1700_7," %"),"")</f>
        <v/>
      </c>
    </row>
    <row r="85" spans="1:2" x14ac:dyDescent="0.35">
      <c r="A85" s="660" t="s">
        <v>1993</v>
      </c>
      <c r="B85" s="818" t="str">
        <f>IF(AND(INDEX(LijstenLijstVoeding,_Voeding1700,14)="KV",_Toevoeging1700_8 &gt; 1,_Percentage1700_8 &gt; 0), CONCATENATE("Toev KV: ",INDEX(_VoedingToevoegingenKunstvoeding,_Toevoeging1700_8,1)," ",_Percentage1700_8," %"),"")</f>
        <v/>
      </c>
    </row>
    <row r="86" spans="1:2" x14ac:dyDescent="0.35">
      <c r="A86" s="660" t="s">
        <v>1994</v>
      </c>
      <c r="B86" s="818" t="str">
        <f ca="1">IF(Afspraken1700!E28&gt;0,CONCATENATE(Afspraken1700!B28," ",Afspraken1700!E28," ",Afspraken1700!F28),"")</f>
        <v/>
      </c>
    </row>
    <row r="87" spans="1:2" x14ac:dyDescent="0.35">
      <c r="A87" s="660" t="s">
        <v>1995</v>
      </c>
      <c r="B87" s="818" t="str">
        <f>CONCATENATE(Afspraken1700!B19,": ",IF(Berekeningen1700!B15=1,"Ja","Nee"))</f>
        <v>Fototherapie: Nee</v>
      </c>
    </row>
    <row r="90" spans="1:2" x14ac:dyDescent="0.35">
      <c r="A90" s="518" t="s">
        <v>2283</v>
      </c>
      <c r="B90" s="821" t="str">
        <f>IF(Berekeningen1700!B20&gt;1,INDEX(Medicamenten,Berekeningen1700!B20, 1)&amp;" "&amp;Afspraken1700!C32&amp;" "&amp;Afspraken1700!D32&amp;" "&amp; INDEX(Opl,Berekeningen1700!E20,1)&amp;" " &amp; Afspraken1700!G32&amp;" (="&amp;Afspraken1700!H32&amp;" "&amp;Afspraken1700!I32&amp;"), inlooptijd: "&amp;Afspraken1700!N32,"")</f>
        <v/>
      </c>
    </row>
    <row r="91" spans="1:2" x14ac:dyDescent="0.35">
      <c r="A91" s="518" t="s">
        <v>2283</v>
      </c>
      <c r="B91" s="821" t="str">
        <f>IF(Berekeningen1700!B21&gt;1,INDEX(Medicamenten,Berekeningen1700!B21, 1)&amp;" "&amp;Afspraken1700!C33&amp;" "&amp;Afspraken1700!D33&amp;" "&amp; INDEX(Opl,Berekeningen1700!E21,1)&amp;" " &amp; Afspraken1700!G33&amp;" (="&amp;Afspraken1700!H33&amp;" "&amp;Afspraken1700!I33&amp;"), inlooptijd: "&amp;Afspraken1700!N33,"")</f>
        <v/>
      </c>
    </row>
    <row r="92" spans="1:2" x14ac:dyDescent="0.35">
      <c r="A92" s="518" t="s">
        <v>2283</v>
      </c>
      <c r="B92" s="821" t="str">
        <f>IF(Berekeningen1700!B22&gt;1,INDEX(Medicamenten,Berekeningen1700!B22, 1)&amp;" "&amp;Afspraken1700!C34&amp;" "&amp;Afspraken1700!D34&amp;" "&amp; INDEX(Opl,Berekeningen1700!E22,1)&amp;" " &amp; Afspraken1700!G34&amp;" (="&amp;Afspraken1700!H34&amp;" "&amp;Afspraken1700!I34&amp;"), inlooptijd: "&amp;Afspraken1700!N34,"")</f>
        <v/>
      </c>
    </row>
    <row r="93" spans="1:2" x14ac:dyDescent="0.35">
      <c r="A93" s="518" t="s">
        <v>2283</v>
      </c>
      <c r="B93" s="821" t="str">
        <f>IF(Berekeningen1700!B23&gt;1,INDEX(Medicamenten,Berekeningen1700!B23, 1)&amp;" "&amp;Afspraken1700!C35&amp;" "&amp;Afspraken1700!D35&amp;" "&amp; INDEX(Opl,Berekeningen1700!E23,1)&amp;" " &amp; Afspraken1700!G35&amp;" (="&amp;Afspraken1700!H35&amp;" "&amp;Afspraken1700!I35&amp;"), inlooptijd: "&amp;Afspraken1700!N35,"")</f>
        <v/>
      </c>
    </row>
    <row r="94" spans="1:2" x14ac:dyDescent="0.35">
      <c r="A94" s="518" t="s">
        <v>2283</v>
      </c>
      <c r="B94" s="821" t="str">
        <f>IF(Berekeningen1700!B24&gt;1,INDEX(Medicamenten,Berekeningen1700!B24, 1)&amp;" "&amp;Afspraken1700!C36&amp;" "&amp;Afspraken1700!D36&amp;" "&amp; INDEX(Opl,Berekeningen1700!E24,1)&amp;" " &amp; Afspraken1700!G36&amp;" (="&amp;Afspraken1700!H36&amp;" "&amp;Afspraken1700!I36&amp;"), inlooptijd: "&amp;Afspraken1700!N36,"")</f>
        <v/>
      </c>
    </row>
    <row r="95" spans="1:2" x14ac:dyDescent="0.35">
      <c r="A95" s="518" t="s">
        <v>2283</v>
      </c>
      <c r="B95" s="821" t="str">
        <f>IF(Berekeningen1700!B25&gt;1,INDEX(Medicamenten,Berekeningen1700!B25, 1)&amp;" "&amp;Afspraken1700!C37&amp;" "&amp;Afspraken1700!D37&amp;" "&amp; INDEX(Opl,Berekeningen1700!E25,1)&amp;" " &amp; Afspraken1700!G37&amp;" (="&amp;Afspraken1700!H37&amp;" "&amp;Afspraken1700!I37&amp;"), inlooptijd: "&amp;Afspraken1700!N37,"")</f>
        <v/>
      </c>
    </row>
    <row r="96" spans="1:2" x14ac:dyDescent="0.35">
      <c r="A96" s="518" t="s">
        <v>2283</v>
      </c>
      <c r="B96" s="821" t="str">
        <f>IF(Berekeningen1700!B26&gt;1,INDEX(Medicamenten,Berekeningen1700!B26, 1)&amp;" "&amp;Afspraken1700!C38&amp;" "&amp;Afspraken1700!D38&amp;" "&amp; INDEX(Opl,Berekeningen1700!E26,1)&amp;" " &amp; Afspraken1700!G38&amp;" (="&amp;Afspraken1700!H38&amp;" "&amp;Afspraken1700!I38&amp;"), inlooptijd: "&amp;Afspraken1700!N38,"")</f>
        <v/>
      </c>
    </row>
    <row r="97" spans="1:2" x14ac:dyDescent="0.35">
      <c r="A97" s="518" t="s">
        <v>2283</v>
      </c>
      <c r="B97" s="821" t="str">
        <f>IF(Berekeningen1700!B27&gt;1,INDEX(Medicamenten,Berekeningen1700!B27, 1)&amp;" "&amp;Afspraken1700!C39&amp;" "&amp;Afspraken1700!D39&amp;" "&amp; INDEX(Opl,Berekeningen1700!E27,1)&amp;" " &amp; Afspraken1700!G39&amp;" (="&amp;Afspraken1700!H39&amp;" "&amp;Afspraken1700!I39&amp;"), inlooptijd: "&amp;Afspraken1700!N39,"")</f>
        <v/>
      </c>
    </row>
    <row r="98" spans="1:2" x14ac:dyDescent="0.35">
      <c r="A98" s="518" t="s">
        <v>2283</v>
      </c>
      <c r="B98" s="821" t="str">
        <f>IF(Berekeningen1700!B28&gt;1,INDEX(Medicamenten,Berekeningen1700!B28, 1)&amp;" "&amp;Afspraken1700!C40&amp;" "&amp;Afspraken1700!D40&amp;" "&amp; INDEX(Opl,Berekeningen1700!E28,1)&amp;" " &amp; Afspraken1700!G40&amp;" (="&amp;Afspraken1700!H40&amp;" "&amp;Afspraken1700!I40&amp;"), inlooptijd: "&amp;Afspraken1700!N40,"")</f>
        <v/>
      </c>
    </row>
    <row r="99" spans="1:2" x14ac:dyDescent="0.35">
      <c r="A99" s="518" t="s">
        <v>2283</v>
      </c>
      <c r="B99" s="821" t="str">
        <f>IF(Berekeningen1700!E29&gt;1, Afspraken1700!B42&amp;": "&amp; INDEX(Opl,Berekeningen1700!$E29,1)&amp;" " &amp; Afspraken1700!G42,"")</f>
        <v/>
      </c>
    </row>
    <row r="100" spans="1:2" x14ac:dyDescent="0.35">
      <c r="A100" s="518" t="s">
        <v>2283</v>
      </c>
      <c r="B100" s="821" t="str">
        <f>IF(Berekeningen1700!E30&gt;1, Afspraken1700!B43&amp;": "&amp; INDEX(Opl,Berekeningen1700!$E30,1)&amp;" " &amp; Afspraken1700!G43,"")</f>
        <v/>
      </c>
    </row>
    <row r="101" spans="1:2" x14ac:dyDescent="0.35">
      <c r="A101" s="518" t="s">
        <v>2283</v>
      </c>
      <c r="B101" s="821" t="str">
        <f>IF(Berekeningen1700!E31&gt;1, Afspraken1700!B44&amp;": "&amp; INDEX(Opl,Berekeningen1700!$E31,1)&amp;" " &amp; Afspraken1700!G44,"")</f>
        <v/>
      </c>
    </row>
    <row r="102" spans="1:2" x14ac:dyDescent="0.35">
      <c r="A102" s="518" t="s">
        <v>2283</v>
      </c>
      <c r="B102" s="821" t="str">
        <f>IF(Berekeningen1700!B32="","",Berekeningen1700!B32)</f>
        <v/>
      </c>
    </row>
    <row r="103" spans="1:2" x14ac:dyDescent="0.35">
      <c r="A103" s="518" t="s">
        <v>2283</v>
      </c>
      <c r="B103" s="821" t="str">
        <f>IF(Berekeningen1700!B33="","",Berekeningen1700!B33)</f>
        <v/>
      </c>
    </row>
    <row r="104" spans="1:2" x14ac:dyDescent="0.35">
      <c r="A104" s="518" t="s">
        <v>2283</v>
      </c>
      <c r="B104" s="821" t="str">
        <f ca="1">IF(Berekeningen1700!C35&lt;&gt;0,CONCATENATE("Intralipid 20% (incl.vitintra) ",ROUNDUP(Berekeningen1700!C35/24,1)," ml/uur"),"")</f>
        <v/>
      </c>
    </row>
    <row r="105" spans="1:2" x14ac:dyDescent="0.35">
      <c r="A105" s="518" t="s">
        <v>2283</v>
      </c>
      <c r="B105" s="821" t="str">
        <f ca="1">IF(_WerkbriefTPNStand&lt;&gt;"",CONCATENATE("TPN: ",_WerkbriefTPNStand, " ml/uur"),"")</f>
        <v/>
      </c>
    </row>
    <row r="106" spans="1:2" x14ac:dyDescent="0.35">
      <c r="A106" s="518" t="s">
        <v>2283</v>
      </c>
      <c r="B106" s="821" t="str">
        <f ca="1">IF(_WerkbriefTPNStand&lt;&gt;"",CONCATENATE("TPN Totaal: ",_WerkbriefTPNTotaalGeheel,",", ROUND(_WerkbriefTPNTotaalBreuk,0), " ml"),"")</f>
        <v/>
      </c>
    </row>
    <row r="107" spans="1:2" x14ac:dyDescent="0.35">
      <c r="A107" s="518" t="s">
        <v>2283</v>
      </c>
      <c r="B107" s="821" t="str">
        <f ca="1">IF(OR(_WerkbriefTPNNaClGeheel&lt;&gt;"",_WerkbriefTPNNaClBreuk&lt;&gt;""),CONCATENATE(_WerkbriefTPNNaCLTekst," ",_WerkbriefTPNNaClGeheel,",", _WerkbriefTPNNaClBreuk, " ml"),"")</f>
        <v/>
      </c>
    </row>
    <row r="108" spans="1:2" x14ac:dyDescent="0.35">
      <c r="A108" s="518" t="s">
        <v>2283</v>
      </c>
      <c r="B108" s="821" t="str">
        <f ca="1">IF(OR(_WerkbriefTPNKacetaatGeheel&lt;&gt;"",_WerkbriefTPNKacetaatBreuk&lt;&gt;""),CONCATENATE(_WerkbriefTPNKacetaatTekst," ",_WerkbriefTPNKacetaatGeheel,",", _WerkbriefTPNKacetaatBreuk, " ml"),"")</f>
        <v/>
      </c>
    </row>
    <row r="109" spans="1:2" x14ac:dyDescent="0.35">
      <c r="A109" s="518" t="s">
        <v>2283</v>
      </c>
      <c r="B109" s="821" t="str">
        <f ca="1">IF(OR(_WerkbriefTPNCaClGeheel&lt;&gt;"",_WerkbriefTPNCaClBreuk&lt;&gt;""),CONCATENATE(_WerkbriefTPNCaClTekst," ",_WerkbriefTPNCaClGeheel,",", _WerkbriefTPNCaClBreuk, " ml"),"")</f>
        <v/>
      </c>
    </row>
    <row r="110" spans="1:2" x14ac:dyDescent="0.35">
      <c r="A110" s="518" t="s">
        <v>2283</v>
      </c>
      <c r="B110" s="821" t="str">
        <f ca="1">IF(OR(_WerkbriefTPNMgClGeheel&lt;&gt;"",_WerkbriefTPNMgClBreuk&lt;&gt;""),CONCATENATE(_WerkbriefTPNMgClTekst," ",_WerkbriefTPNMgClGeheel,",", _WerkbriefTPNMgClBreuk, " ml"),"")</f>
        <v/>
      </c>
    </row>
    <row r="111" spans="1:2" x14ac:dyDescent="0.35">
      <c r="A111" s="518" t="s">
        <v>2283</v>
      </c>
      <c r="B111" s="821" t="str">
        <f ca="1">IF(OR(_WerkbriefTPNSoluvitGeheel&lt;&gt;"",_WerkbriefTPNSoluvitBreuk&lt;&gt;""),CONCATENATE(_WerkbriefTPNSoluvitTekst," ",_WerkbriefTPNSoluvitGeheel,",", _WerkbriefTPNSoluvitBreuk, " ml"),"")</f>
        <v/>
      </c>
    </row>
    <row r="112" spans="1:2" x14ac:dyDescent="0.35">
      <c r="A112" s="518" t="s">
        <v>2283</v>
      </c>
      <c r="B112" s="821" t="str">
        <f ca="1">IF(OR(_WerkbriefTPNPrimeneGeheel&lt;&gt;"",_WerkbriefTPNPrimeneBreuk&lt;&gt;""),CONCATENATE(_WerkbriefTPNPrimeneTekst," ",_WerkbriefTPNPrimeneGeheel,",", _WerkbriefTPNPrimeneBreuk, " ml"),"")</f>
        <v/>
      </c>
    </row>
    <row r="113" spans="1:2" x14ac:dyDescent="0.35">
      <c r="A113" s="518" t="s">
        <v>2283</v>
      </c>
      <c r="B113" s="821" t="str">
        <f>IF(OR(_WerkbriefTPNNICUmixGeheel&lt;&gt;"",_WerkbriefTPNNICUmixBreuk&lt;&gt;""),CONCATENATE(_WerkbriefTPNNICUmixTekst," ",_WerkbriefTPNNICUmixGeheel,",", _WerkbriefTPNNICUmixBreuk, " ml"),"")</f>
        <v/>
      </c>
    </row>
    <row r="114" spans="1:2" x14ac:dyDescent="0.35">
      <c r="A114" s="518" t="s">
        <v>2283</v>
      </c>
      <c r="B114" s="821" t="str">
        <f>IF(OR(_WerkbriefTPNSamBGeheel&lt;&gt;"",_WerkbriefTPNSamBBreuk&lt;&gt;""),CONCATENATE(_WerkbriefTPNSamBTekst," ",_WerkbriefTPNSamBGeheel,",", _WerkbriefTPNSamBBreuk, " ml"),"")</f>
        <v/>
      </c>
    </row>
    <row r="115" spans="1:2" x14ac:dyDescent="0.35">
      <c r="A115" s="518" t="s">
        <v>2283</v>
      </c>
      <c r="B115" s="821" t="str">
        <f>IF(OR(_WerkbriefTPNGlucGeheel&lt;&gt;"",_WerkbriefTPNGlucBreuk&lt;&gt;""),CONCATENATE(_WerkbriefTPNGlucTekst," ",_WerkbriefTPNGlucGeheel,",", ROUND(_WerkbriefTPNGlucBreuk,2), " ml"),"")</f>
        <v/>
      </c>
    </row>
    <row r="116" spans="1:2" x14ac:dyDescent="0.35">
      <c r="A116" s="518" t="s">
        <v>2283</v>
      </c>
      <c r="B116" s="821" t="str">
        <f>IF(_WerkbriefIntravasaleToegangStand&lt;&gt;"",CONCATENATE(_WerkbriefIntravasaleToegangTekst," ",_WerkbriefIntravasaleToegangStand, " ml/uur"),"")</f>
        <v/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uiWerkBrief">
    <tabColor rgb="FF7030A0"/>
    <pageSetUpPr autoPageBreaks="0"/>
  </sheetPr>
  <dimension ref="A1:P60"/>
  <sheetViews>
    <sheetView zoomScaleNormal="100" workbookViewId="0"/>
  </sheetViews>
  <sheetFormatPr defaultColWidth="5.73046875" defaultRowHeight="12.85" x14ac:dyDescent="0.35"/>
  <cols>
    <col min="1" max="12" width="5.73046875" style="321"/>
    <col min="13" max="14" width="7.86328125" style="321" customWidth="1"/>
    <col min="15" max="16384" width="5.73046875" style="321"/>
  </cols>
  <sheetData>
    <row r="1" spans="1:16" x14ac:dyDescent="0.35">
      <c r="A1" s="596" t="s">
        <v>1017</v>
      </c>
      <c r="L1" s="321" t="s">
        <v>1002</v>
      </c>
      <c r="M1" s="322">
        <f>_Bed</f>
        <v>0</v>
      </c>
    </row>
    <row r="2" spans="1:16" ht="13.2" x14ac:dyDescent="0.4">
      <c r="A2" s="321" t="s">
        <v>1018</v>
      </c>
      <c r="C2" s="323" t="str">
        <f>_VoorNaam&amp;" "&amp;_AchterNaam</f>
        <v>Voornaam Achternaam</v>
      </c>
      <c r="G2" s="321" t="s">
        <v>1019</v>
      </c>
      <c r="I2" s="936">
        <f ca="1">TODAY()</f>
        <v>42722</v>
      </c>
      <c r="J2" s="936"/>
      <c r="K2" s="936"/>
      <c r="L2" s="321" t="s">
        <v>1020</v>
      </c>
      <c r="M2" s="937">
        <f ca="1">NOW()</f>
        <v>42722.539963194446</v>
      </c>
      <c r="N2" s="937"/>
    </row>
    <row r="3" spans="1:16" ht="13.2" x14ac:dyDescent="0.4">
      <c r="A3" s="321" t="s">
        <v>1021</v>
      </c>
      <c r="C3" s="323">
        <f>_Gewicht</f>
        <v>10</v>
      </c>
      <c r="D3" s="321" t="s">
        <v>62</v>
      </c>
      <c r="I3" s="324"/>
      <c r="J3" s="324"/>
      <c r="K3" s="324"/>
      <c r="M3" s="325"/>
      <c r="N3" s="325"/>
    </row>
    <row r="4" spans="1:16" ht="13.2" x14ac:dyDescent="0.4">
      <c r="G4" s="321" t="s">
        <v>1022</v>
      </c>
      <c r="I4" s="323" t="str">
        <f>IF(_Arts&gt;0,_Arts,"")</f>
        <v/>
      </c>
      <c r="L4" s="321" t="s">
        <v>1023</v>
      </c>
      <c r="M4" s="326"/>
      <c r="N4" s="326"/>
      <c r="O4" s="326"/>
      <c r="P4" s="326"/>
    </row>
    <row r="5" spans="1:16" ht="24.05" customHeight="1" x14ac:dyDescent="0.4">
      <c r="A5" s="327" t="s">
        <v>388</v>
      </c>
      <c r="B5" s="328"/>
      <c r="C5" s="329" t="s">
        <v>1024</v>
      </c>
      <c r="D5" s="329"/>
      <c r="E5" s="329"/>
      <c r="F5" s="329"/>
      <c r="G5" s="329"/>
      <c r="H5" s="330">
        <f ca="1">Afspraken1700!E28</f>
        <v>0</v>
      </c>
      <c r="I5" s="329" t="s">
        <v>365</v>
      </c>
      <c r="J5" s="329"/>
      <c r="K5" s="329"/>
      <c r="L5" s="329"/>
      <c r="M5" s="938" t="s">
        <v>1025</v>
      </c>
      <c r="N5" s="939"/>
      <c r="O5" s="331" t="s">
        <v>1026</v>
      </c>
      <c r="P5" s="332"/>
    </row>
    <row r="6" spans="1:16" ht="15.1" x14ac:dyDescent="0.4">
      <c r="A6" s="604" t="str">
        <f>IF(M6&lt;&gt;"",M6/24,"")</f>
        <v/>
      </c>
      <c r="B6" s="328"/>
      <c r="C6" s="327" t="str">
        <f>Afspraken1700!B30</f>
        <v>Arterielijn: 12 ml NaCl 0,45% + hep. (5EH/ml)</v>
      </c>
      <c r="D6" s="334"/>
      <c r="E6" s="334"/>
      <c r="F6" s="334"/>
      <c r="G6" s="334"/>
      <c r="H6" s="334"/>
      <c r="I6" s="334"/>
      <c r="J6" s="334"/>
      <c r="K6" s="334"/>
      <c r="L6" s="328"/>
      <c r="M6" s="335" t="str">
        <f>IF(24*Berekeningen1700!B18&gt;0,TRUNC(24*Berekeningen1700!B18/10),"")</f>
        <v/>
      </c>
      <c r="N6" s="335" t="str">
        <f>IF(Berekeningen1700!B18&gt;0,(24*Berekeningen1700!B18/10-M6)*10,"")</f>
        <v/>
      </c>
      <c r="O6" s="331" t="str">
        <f>IF(Berekeningen1700!K18,"extra","")</f>
        <v/>
      </c>
      <c r="P6" s="332"/>
    </row>
    <row r="7" spans="1:16" ht="15.1" x14ac:dyDescent="0.4">
      <c r="A7" s="333"/>
      <c r="B7" s="334"/>
      <c r="C7" s="334"/>
      <c r="D7" s="334"/>
      <c r="E7" s="334"/>
      <c r="F7" s="334"/>
      <c r="G7" s="334"/>
      <c r="H7" s="334"/>
      <c r="I7" s="334"/>
      <c r="J7" s="334"/>
      <c r="K7" s="334"/>
      <c r="L7" s="334"/>
      <c r="M7" s="336"/>
      <c r="N7" s="336"/>
      <c r="O7" s="331"/>
      <c r="P7" s="332"/>
    </row>
    <row r="8" spans="1:16" ht="14.25" customHeight="1" x14ac:dyDescent="0.4">
      <c r="A8" s="337" t="str">
        <f ca="1">IF(M17&lt;&gt;"",IF(ROUND((M17+N17/100)/24,1)&gt;0,ROUND((M17+N17/100)/24,1),""),"")</f>
        <v/>
      </c>
      <c r="B8" s="331"/>
      <c r="C8" s="338"/>
      <c r="D8" s="339"/>
      <c r="E8" s="339"/>
      <c r="F8" s="339"/>
      <c r="G8" s="339"/>
      <c r="H8" s="339" t="s">
        <v>66</v>
      </c>
      <c r="I8" s="339"/>
      <c r="J8" s="339"/>
      <c r="K8" s="339"/>
      <c r="L8" s="340"/>
      <c r="M8" s="341" t="str">
        <f ca="1">IF(Berekeningen1700!$L$37&gt;0,IF(_DagKeuze&lt;&gt;2,TRUNC(Berekeningen1700!$C$37),0),"")</f>
        <v/>
      </c>
      <c r="N8" s="342" t="str">
        <f ca="1">IF(Berekeningen1700!$L$37&gt;0,IF(_DagKeuze1700&lt;&gt;2,(Berekeningen1700!$C$37-M8)*100,0),"")</f>
        <v/>
      </c>
      <c r="O8" s="331"/>
      <c r="P8" s="332"/>
    </row>
    <row r="9" spans="1:16" ht="14.25" customHeight="1" x14ac:dyDescent="0.35">
      <c r="A9" s="343"/>
      <c r="B9" s="331"/>
      <c r="C9" s="327"/>
      <c r="D9" s="334"/>
      <c r="E9" s="334"/>
      <c r="F9" s="334"/>
      <c r="G9" s="334"/>
      <c r="H9" s="334" t="s">
        <v>1027</v>
      </c>
      <c r="I9" s="334"/>
      <c r="J9" s="334"/>
      <c r="K9" s="334"/>
      <c r="L9" s="328"/>
      <c r="M9" s="344" t="str">
        <f ca="1">IF(Berekeningen1700!$L$38&gt;0,IF(_DagKeuze1700&lt;&gt;2,TRUNC(Berekeningen1700!$C$38),0),"")</f>
        <v/>
      </c>
      <c r="N9" s="335" t="str">
        <f ca="1">IF(Berekeningen1700!$L$38&gt;0,IF(_DagKeuze1700&lt;&gt;2,(Berekeningen1700!$C$38-M9)*100,0),"")</f>
        <v/>
      </c>
      <c r="O9" s="331"/>
      <c r="P9" s="332"/>
    </row>
    <row r="10" spans="1:16" ht="14.25" customHeight="1" x14ac:dyDescent="0.35">
      <c r="A10" s="343"/>
      <c r="B10" s="331"/>
      <c r="C10" s="338"/>
      <c r="D10" s="339"/>
      <c r="E10" s="339"/>
      <c r="F10" s="339"/>
      <c r="G10" s="339"/>
      <c r="H10" s="339" t="s">
        <v>898</v>
      </c>
      <c r="I10" s="339"/>
      <c r="J10" s="339"/>
      <c r="K10" s="339"/>
      <c r="L10" s="340"/>
      <c r="M10" s="341" t="str">
        <f ca="1">IF(Berekeningen1700!$L$39&gt;0,TRUNC(Berekeningen1700!$C$39),"")</f>
        <v/>
      </c>
      <c r="N10" s="342" t="str">
        <f ca="1">IF(Berekeningen1700!$L$39&gt;0,IF(_DagKeuze1700=1,Berekeningen1700!$C$39-M10,0),"")</f>
        <v/>
      </c>
      <c r="O10" s="331"/>
      <c r="P10" s="332"/>
    </row>
    <row r="11" spans="1:16" ht="14.25" customHeight="1" x14ac:dyDescent="0.35">
      <c r="A11" s="343"/>
      <c r="B11" s="331"/>
      <c r="C11" s="327"/>
      <c r="D11" s="334"/>
      <c r="E11" s="334"/>
      <c r="F11" s="334"/>
      <c r="G11" s="334"/>
      <c r="H11" s="334" t="s">
        <v>899</v>
      </c>
      <c r="I11" s="334"/>
      <c r="J11" s="334"/>
      <c r="K11" s="334"/>
      <c r="L11" s="328"/>
      <c r="M11" s="344" t="str">
        <f ca="1">IF(Berekeningen1700!$L$40&gt;0,TRUNC(Berekeningen1700!$C$40),"")</f>
        <v/>
      </c>
      <c r="N11" s="335" t="str">
        <f ca="1">IF(Berekeningen1700!$L$40&gt;0,IF(_DagKeuze1700=1,(Berekeningen1700!$C$40-M11)*100,0),"")</f>
        <v/>
      </c>
      <c r="O11" s="331"/>
      <c r="P11" s="332"/>
    </row>
    <row r="12" spans="1:16" ht="14.25" customHeight="1" x14ac:dyDescent="0.35">
      <c r="A12" s="343"/>
      <c r="B12" s="331"/>
      <c r="C12" s="338"/>
      <c r="D12" s="339"/>
      <c r="E12" s="339"/>
      <c r="F12" s="339"/>
      <c r="G12" s="339"/>
      <c r="H12" s="339" t="s">
        <v>435</v>
      </c>
      <c r="I12" s="339"/>
      <c r="J12" s="339"/>
      <c r="K12" s="339"/>
      <c r="L12" s="340"/>
      <c r="M12" s="341" t="str">
        <f ca="1">IF(Berekeningen1700!$L$41&gt;0,TRUNC(Berekeningen1700!$C$41),"")</f>
        <v/>
      </c>
      <c r="N12" s="342" t="str">
        <f ca="1">IF(Berekeningen1700!$L$41&gt;0,IF(_DagKeuze1700=1,(Berekeningen1700!$C$41-M12)*100,0),"")</f>
        <v/>
      </c>
      <c r="O12" s="331"/>
      <c r="P12" s="332"/>
    </row>
    <row r="13" spans="1:16" ht="14.25" customHeight="1" x14ac:dyDescent="0.35">
      <c r="A13" s="343"/>
      <c r="B13" s="331"/>
      <c r="C13" s="327"/>
      <c r="D13" s="334"/>
      <c r="E13" s="334"/>
      <c r="F13" s="334"/>
      <c r="G13" s="334"/>
      <c r="H13" s="334" t="s">
        <v>1028</v>
      </c>
      <c r="I13" s="334"/>
      <c r="J13" s="334"/>
      <c r="K13" s="334"/>
      <c r="L13" s="328"/>
      <c r="M13" s="344" t="str">
        <f ca="1">IF(Berekeningen1700!$L$42&gt;0,TRUNC(Berekeningen1700!$C$42),"")</f>
        <v/>
      </c>
      <c r="N13" s="335" t="str">
        <f ca="1">IF(Berekeningen1700!$L$42&gt;0,IF(_DagKeuze1700&lt;&gt;1,(Berekeningen1700!$C$42-M13)*100,0),"")</f>
        <v/>
      </c>
      <c r="O13" s="331"/>
      <c r="P13" s="332"/>
    </row>
    <row r="14" spans="1:16" ht="14.25" customHeight="1" x14ac:dyDescent="0.35">
      <c r="A14" s="343"/>
      <c r="B14" s="331"/>
      <c r="C14" s="338"/>
      <c r="D14" s="339"/>
      <c r="E14" s="339"/>
      <c r="F14" s="339"/>
      <c r="G14" s="339"/>
      <c r="H14" s="339" t="s">
        <v>1029</v>
      </c>
      <c r="I14" s="339"/>
      <c r="J14" s="339"/>
      <c r="K14" s="339"/>
      <c r="L14" s="340"/>
      <c r="M14" s="341" t="str">
        <f>IF(_DagKeuze=2,TRUNC(Berekeningen1700!$C$43),"")</f>
        <v/>
      </c>
      <c r="N14" s="342" t="str">
        <f>IF(_DagKeuze=2,(Berekeningen1700!$C$43-M14)*100,"")</f>
        <v/>
      </c>
      <c r="O14" s="331"/>
      <c r="P14" s="332"/>
    </row>
    <row r="15" spans="1:16" ht="14.25" customHeight="1" x14ac:dyDescent="0.35">
      <c r="A15" s="343"/>
      <c r="B15" s="331"/>
      <c r="C15" s="327"/>
      <c r="D15" s="334"/>
      <c r="E15" s="334"/>
      <c r="F15" s="334"/>
      <c r="G15" s="334"/>
      <c r="H15" s="334" t="s">
        <v>686</v>
      </c>
      <c r="I15" s="334"/>
      <c r="J15" s="334"/>
      <c r="K15" s="334"/>
      <c r="L15" s="328"/>
      <c r="M15" s="344" t="str">
        <f>IF(_DagKeuze=3,TRUNC(Berekeningen1700!$C$44),"")</f>
        <v/>
      </c>
      <c r="N15" s="335" t="str">
        <f>IF(_DagKeuze=3,(Berekeningen1700!$C$44-M15)*100,"")</f>
        <v/>
      </c>
      <c r="O15" s="331"/>
      <c r="P15" s="332"/>
    </row>
    <row r="16" spans="1:16" ht="14.25" customHeight="1" x14ac:dyDescent="0.35">
      <c r="A16" s="338"/>
      <c r="B16" s="340"/>
      <c r="C16" s="338"/>
      <c r="D16" s="339"/>
      <c r="E16" s="339"/>
      <c r="F16" s="339"/>
      <c r="G16" s="339"/>
      <c r="H16" s="339" t="str">
        <f>INDEX(Opl,Berekeningen1700!D45+1,1)</f>
        <v>glucose 10%</v>
      </c>
      <c r="I16" s="339"/>
      <c r="J16" s="339"/>
      <c r="K16" s="339"/>
      <c r="L16" s="340"/>
      <c r="M16" s="341" t="str">
        <f>IF(Berekeningen1700!$L$45&gt;0,TRUNC(Berekeningen1700!$L$45),"")</f>
        <v/>
      </c>
      <c r="N16" s="342" t="str">
        <f>IF(Berekeningen1700!$L$45&gt;0,(Berekeningen1700!$L$45-M16)*100,"")</f>
        <v/>
      </c>
      <c r="O16" s="331"/>
      <c r="P16" s="332"/>
    </row>
    <row r="17" spans="1:16" ht="14.25" customHeight="1" x14ac:dyDescent="0.4">
      <c r="A17" s="329"/>
      <c r="B17" s="329"/>
      <c r="C17" s="331"/>
      <c r="D17" s="331"/>
      <c r="E17" s="331"/>
      <c r="F17" s="331"/>
      <c r="G17" s="331"/>
      <c r="H17" s="345" t="s">
        <v>242</v>
      </c>
      <c r="I17" s="345"/>
      <c r="J17" s="345"/>
      <c r="K17" s="334"/>
      <c r="L17" s="334"/>
      <c r="M17" s="344" t="str">
        <f ca="1">IF(SUM(M8:N16)&gt;0,TRUNC(SUM(M8:M16)+SUM(N8:N16)/100),"")</f>
        <v/>
      </c>
      <c r="N17" s="335" t="str">
        <f ca="1">IF(SUM(M8:N16)&gt;0,(SUM(M8:M16)+SUM(N8:N16)/100-M17)*100,"")</f>
        <v/>
      </c>
      <c r="O17" s="331"/>
      <c r="P17" s="332"/>
    </row>
    <row r="18" spans="1:16" ht="14.25" customHeight="1" x14ac:dyDescent="0.4">
      <c r="A18" s="339"/>
      <c r="B18" s="339"/>
      <c r="C18" s="331"/>
      <c r="D18" s="331"/>
      <c r="E18" s="331"/>
      <c r="F18" s="331"/>
      <c r="G18" s="331"/>
      <c r="H18" s="331"/>
      <c r="I18" s="331"/>
      <c r="J18" s="346"/>
      <c r="K18" s="331"/>
      <c r="L18" s="331"/>
      <c r="M18" s="347"/>
      <c r="N18" s="348"/>
      <c r="O18" s="331"/>
      <c r="P18" s="332"/>
    </row>
    <row r="19" spans="1:16" ht="14.25" customHeight="1" x14ac:dyDescent="0.35">
      <c r="A19" s="327" t="s">
        <v>388</v>
      </c>
      <c r="B19" s="334"/>
      <c r="C19" s="328"/>
      <c r="D19" s="331"/>
      <c r="E19" s="331"/>
      <c r="F19" s="331"/>
      <c r="G19" s="331"/>
      <c r="H19" s="331"/>
      <c r="I19" s="331"/>
      <c r="J19" s="331"/>
      <c r="K19" s="331"/>
      <c r="L19" s="331"/>
      <c r="M19" s="349"/>
      <c r="N19" s="350"/>
      <c r="O19" s="331"/>
      <c r="P19" s="332"/>
    </row>
    <row r="20" spans="1:16" ht="14.25" customHeight="1" x14ac:dyDescent="0.4">
      <c r="A20" s="351" t="str">
        <f>IF(F20&lt;&gt;"",_Stand_10/10,"")</f>
        <v/>
      </c>
      <c r="B20" s="352"/>
      <c r="C20" s="353"/>
      <c r="D20" s="327" t="str">
        <f>IF(F20&lt;&gt;"","Zijlijn 1","")</f>
        <v/>
      </c>
      <c r="E20" s="334"/>
      <c r="F20" s="334" t="str">
        <f>IF(Berekeningen1700!E29&gt;1,INDEX(Opl,Berekeningen1700!E29,1),"")</f>
        <v/>
      </c>
      <c r="G20" s="334"/>
      <c r="H20" s="334"/>
      <c r="I20" s="334"/>
      <c r="J20" s="334"/>
      <c r="K20" s="334"/>
      <c r="L20" s="328"/>
      <c r="M20" s="344" t="str">
        <f>IF(F20&lt;&gt;"",TRUNC(A20*24),"")</f>
        <v/>
      </c>
      <c r="N20" s="335" t="str">
        <f>IF(F20&lt;&gt;"",((A20*24)-M20)*100,"")</f>
        <v/>
      </c>
      <c r="O20" s="331" t="str">
        <f>IF(_Extra_11,"extra","")</f>
        <v/>
      </c>
      <c r="P20" s="332"/>
    </row>
    <row r="21" spans="1:16" ht="14.25" customHeight="1" x14ac:dyDescent="0.4">
      <c r="A21" s="351" t="str">
        <f>IF(F21&lt;&gt;"",_Stand_11/10,"")</f>
        <v/>
      </c>
      <c r="B21" s="352"/>
      <c r="C21" s="353"/>
      <c r="D21" s="327" t="str">
        <f>IF(F21&lt;&gt;"","Zijlijn 2","")</f>
        <v/>
      </c>
      <c r="E21" s="334"/>
      <c r="F21" s="334" t="str">
        <f>IF(Berekeningen1700!E30&gt;1,INDEX(Opl,Berekeningen1700!E30,1),"")</f>
        <v/>
      </c>
      <c r="G21" s="334"/>
      <c r="H21" s="334"/>
      <c r="I21" s="334"/>
      <c r="J21" s="334"/>
      <c r="K21" s="334"/>
      <c r="L21" s="328"/>
      <c r="M21" s="344" t="str">
        <f>IF(F21&lt;&gt;"",TRUNC(A21*24),"")</f>
        <v/>
      </c>
      <c r="N21" s="335" t="str">
        <f>IF(F21&lt;&gt;"",((A21*24)-M21)*100,"")</f>
        <v/>
      </c>
      <c r="O21" s="331" t="str">
        <f>IF(_Extra_12,"extra","")</f>
        <v/>
      </c>
      <c r="P21" s="332"/>
    </row>
    <row r="22" spans="1:16" ht="14.25" customHeight="1" x14ac:dyDescent="0.4">
      <c r="A22" s="351" t="str">
        <f>IF(F22&lt;&gt;"",_Stand_12/10,"")</f>
        <v/>
      </c>
      <c r="B22" s="352"/>
      <c r="C22" s="353"/>
      <c r="D22" s="327" t="str">
        <f>IF(F22&lt;&gt;"","Zijlijn 3","")</f>
        <v/>
      </c>
      <c r="E22" s="334"/>
      <c r="F22" s="334" t="str">
        <f>IF(Berekeningen1700!E31&gt;1,INDEX(Opl,Berekeningen1700!E31,1),"")</f>
        <v/>
      </c>
      <c r="G22" s="334"/>
      <c r="H22" s="334"/>
      <c r="I22" s="334"/>
      <c r="J22" s="334"/>
      <c r="K22" s="334"/>
      <c r="L22" s="328"/>
      <c r="M22" s="344" t="str">
        <f>IF(F22&lt;&gt;"",TRUNC(A22*24),"")</f>
        <v/>
      </c>
      <c r="N22" s="335" t="str">
        <f>IF(F22&lt;&gt;"",((A22*24)-M22)*100,"")</f>
        <v/>
      </c>
      <c r="O22" s="331" t="str">
        <f>IF(_Extra_13,"extra","")</f>
        <v/>
      </c>
      <c r="P22" s="332"/>
    </row>
    <row r="23" spans="1:16" ht="14.25" customHeight="1" x14ac:dyDescent="0.4">
      <c r="A23" s="351" t="str">
        <f ca="1">IF(D23&lt;&gt;"",ROUNDUP(Berekeningen1700!C35/24,1),"")</f>
        <v/>
      </c>
      <c r="B23" s="352"/>
      <c r="C23" s="353"/>
      <c r="D23" s="327" t="str">
        <f ca="1">IF(Berekeningen1700!C35&lt;&gt;0,INDEX(lijstIntralipidSmof,SelectedIntralipidSmof1700),"")</f>
        <v/>
      </c>
      <c r="E23" s="334"/>
      <c r="F23" s="334"/>
      <c r="G23" s="334"/>
      <c r="H23" s="334"/>
      <c r="I23" s="334"/>
      <c r="J23" s="334"/>
      <c r="K23" s="334"/>
      <c r="L23" s="328"/>
      <c r="M23" s="344" t="str">
        <f ca="1">IF(D23&lt;&gt;"",TRUNC(Berekeningen1700!C35),"")</f>
        <v/>
      </c>
      <c r="N23" s="335" t="str">
        <f ca="1">IF(D23&lt;&gt;"",(Berekeningen1700!C35-M23)*100,"")</f>
        <v/>
      </c>
      <c r="O23" s="331"/>
      <c r="P23" s="332"/>
    </row>
    <row r="24" spans="1:16" ht="14.25" customHeight="1" x14ac:dyDescent="0.35">
      <c r="A24" s="334"/>
      <c r="B24" s="331"/>
      <c r="C24" s="331"/>
      <c r="D24" s="331"/>
      <c r="E24" s="331"/>
      <c r="F24" s="331"/>
      <c r="G24" s="331"/>
      <c r="H24" s="331"/>
      <c r="I24" s="331"/>
      <c r="J24" s="331"/>
      <c r="K24" s="331"/>
      <c r="L24" s="331"/>
      <c r="M24" s="354"/>
      <c r="N24" s="355"/>
      <c r="O24" s="331"/>
      <c r="P24" s="332"/>
    </row>
    <row r="25" spans="1:16" ht="14.25" customHeight="1" x14ac:dyDescent="0.35">
      <c r="A25" s="327" t="s">
        <v>388</v>
      </c>
      <c r="B25" s="328"/>
      <c r="C25" s="331"/>
      <c r="D25" s="331"/>
      <c r="E25" s="331"/>
      <c r="F25" s="331"/>
      <c r="G25" s="331"/>
      <c r="H25" s="331"/>
      <c r="I25" s="331"/>
      <c r="J25" s="331"/>
      <c r="K25" s="331"/>
      <c r="L25" s="331"/>
      <c r="M25" s="349"/>
      <c r="N25" s="350"/>
      <c r="O25" s="331"/>
      <c r="P25" s="332"/>
    </row>
    <row r="26" spans="1:16" ht="14.25" customHeight="1" x14ac:dyDescent="0.4">
      <c r="A26" s="351" t="str">
        <f>IF(Berekeningen1700!B20&gt;1,Berekeningen1700!F20/10,"")</f>
        <v/>
      </c>
      <c r="B26" s="351"/>
      <c r="C26" s="356" t="str">
        <f>IF(A26&lt;&gt;"",IF(Berekeningen1700!B20&gt;1,INDEX(Medicamenten,Berekeningen1700!B20,1),""),"")</f>
        <v/>
      </c>
      <c r="D26" s="329"/>
      <c r="E26" s="330" t="str">
        <f>IF(A26&lt;&gt;"",IF(Berekeningen1700!B20&gt;1,Berekeningen1700!C20/10,""),"")</f>
        <v/>
      </c>
      <c r="F26" s="329" t="str">
        <f>IF(_Medicament_1&lt;&gt;5,"mg","ml")</f>
        <v>mg</v>
      </c>
      <c r="G26" s="357" t="s">
        <v>1030</v>
      </c>
      <c r="H26" s="329" t="str">
        <f>IF(A26&lt;&gt;"",IF(Berekeningen1700!B20&gt;1,INDEX(Medicamenten,Berekeningen1700!B20,3),""),"")</f>
        <v/>
      </c>
      <c r="I26" s="329" t="s">
        <v>1031</v>
      </c>
      <c r="J26" s="329" t="str">
        <f>IF(A26&lt;&gt;"",IF(Berekeningen1700!B20&gt;1,INDEX(Medicamenten,Berekeningen1700!B20,4),""),"")</f>
        <v/>
      </c>
      <c r="K26" s="329" t="s">
        <v>1032</v>
      </c>
      <c r="L26" s="329"/>
      <c r="M26" s="358" t="str">
        <f>IF(A26&lt;&gt;"",TRUNC((J26/H26)*E26),"")</f>
        <v/>
      </c>
      <c r="N26" s="359" t="str">
        <f>IF(A26&lt;&gt;"",(ROUND((J26/H26)*E26,2)-M26)*100,"")</f>
        <v/>
      </c>
      <c r="O26" s="331" t="str">
        <f>IF(C26&lt;&gt;"",IF(_Extra_1,"extra",""),"")</f>
        <v/>
      </c>
      <c r="P26" s="332"/>
    </row>
    <row r="27" spans="1:16" ht="14.25" customHeight="1" x14ac:dyDescent="0.4">
      <c r="A27" s="351"/>
      <c r="B27" s="351"/>
      <c r="C27" s="343"/>
      <c r="D27" s="331"/>
      <c r="E27" s="331"/>
      <c r="F27" s="331"/>
      <c r="G27" s="360"/>
      <c r="H27" s="331"/>
      <c r="I27" s="331" t="s">
        <v>1033</v>
      </c>
      <c r="J27" s="331" t="str">
        <f>IF(A26&lt;&gt;"",IF(A26&gt;0,Print!I33,""),"")</f>
        <v/>
      </c>
      <c r="K27" s="331"/>
      <c r="L27" s="331"/>
      <c r="M27" s="361" t="str">
        <f>IF(A26&lt;&gt;"",TRUNC(M28+N28/100-M26-N26/100),"")</f>
        <v/>
      </c>
      <c r="N27" s="362" t="str">
        <f>IF(A26&lt;&gt;"",(M28+N28/100-M26-N26/100-M27)*100,"")</f>
        <v/>
      </c>
      <c r="O27" s="331"/>
      <c r="P27" s="332"/>
    </row>
    <row r="28" spans="1:16" ht="14.25" customHeight="1" x14ac:dyDescent="0.4">
      <c r="A28" s="351"/>
      <c r="B28" s="351"/>
      <c r="C28" s="338" t="str">
        <f>IF(A26&lt;&gt;"",Print!K33,"")</f>
        <v/>
      </c>
      <c r="D28" s="339"/>
      <c r="E28" s="339" t="str">
        <f>IF(A26&lt;&gt;"",Print!M33&amp;" "&amp;Print!N33,"")</f>
        <v/>
      </c>
      <c r="F28" s="339"/>
      <c r="G28" s="363"/>
      <c r="H28" s="339"/>
      <c r="I28" s="339"/>
      <c r="J28" s="364" t="s">
        <v>242</v>
      </c>
      <c r="K28" s="339"/>
      <c r="L28" s="339"/>
      <c r="M28" s="344" t="str">
        <f>IF(A26&lt;&gt;"",TRUNC(_OplHoev_1),"")</f>
        <v/>
      </c>
      <c r="N28" s="335" t="str">
        <f>IF(A26&lt;&gt;"",(_OplHoev_1-M28)*100,"")</f>
        <v/>
      </c>
      <c r="O28" s="331"/>
      <c r="P28" s="332"/>
    </row>
    <row r="29" spans="1:16" ht="14.25" customHeight="1" x14ac:dyDescent="0.4">
      <c r="A29" s="351" t="str">
        <f>IF(Berekeningen1700!B21&gt;1,Berekeningen1700!F21/10,"")</f>
        <v/>
      </c>
      <c r="B29" s="351"/>
      <c r="C29" s="356" t="str">
        <f>IF(A29&lt;&gt;"",IF(Berekeningen1700!B21&gt;1,INDEX(Medicamenten,Berekeningen1700!B21,1),""),"")</f>
        <v/>
      </c>
      <c r="D29" s="329"/>
      <c r="E29" s="330" t="str">
        <f>IF(A29&lt;&gt;"",IF(Berekeningen1700!B21&gt;1,Berekeningen1700!C21/10,""),"")</f>
        <v/>
      </c>
      <c r="F29" s="329" t="str">
        <f>IF(_Medicament_2&lt;&gt;5,"mg","ml")</f>
        <v>mg</v>
      </c>
      <c r="G29" s="357" t="s">
        <v>1030</v>
      </c>
      <c r="H29" s="329" t="str">
        <f>IF(A29&lt;&gt;"",IF(Berekeningen1700!B21&gt;1,INDEX(Medicamenten,Berekeningen1700!B21,3),""),"")</f>
        <v/>
      </c>
      <c r="I29" s="329" t="s">
        <v>1031</v>
      </c>
      <c r="J29" s="329" t="str">
        <f>IF(A29&lt;&gt;"",IF(Berekeningen1700!B21&gt;1,INDEX(Medicamenten,Berekeningen1700!B21,4),""),"")</f>
        <v/>
      </c>
      <c r="K29" s="329" t="s">
        <v>1032</v>
      </c>
      <c r="L29" s="329"/>
      <c r="M29" s="361" t="str">
        <f>IF(A29&lt;&gt;"",TRUNC((J29/H29)*E29),"")</f>
        <v/>
      </c>
      <c r="N29" s="362" t="str">
        <f>IF(A29&lt;&gt;"",(IF(A29&gt;0,ROUND((J29/H29)*E29,2),0)-M29)*100,"")</f>
        <v/>
      </c>
      <c r="O29" s="331" t="str">
        <f>IF(C29&lt;&gt;"",IF(_Extra_2,"extra",""),"")</f>
        <v/>
      </c>
      <c r="P29" s="332"/>
    </row>
    <row r="30" spans="1:16" ht="14.25" customHeight="1" x14ac:dyDescent="0.4">
      <c r="A30" s="351"/>
      <c r="B30" s="351"/>
      <c r="C30" s="343"/>
      <c r="D30" s="331"/>
      <c r="E30" s="331"/>
      <c r="F30" s="331"/>
      <c r="G30" s="360"/>
      <c r="H30" s="331"/>
      <c r="I30" s="331" t="s">
        <v>1033</v>
      </c>
      <c r="J30" s="331" t="str">
        <f>IF(A29&lt;&gt;"",IF(A29&gt;0,Print!I34,""),"")</f>
        <v/>
      </c>
      <c r="K30" s="331"/>
      <c r="L30" s="331"/>
      <c r="M30" s="361" t="str">
        <f>IF(A29&lt;&gt;"",TRUNC(IF(A29&gt;0,M31+N31/100-M29-N29/100,0)),"")</f>
        <v/>
      </c>
      <c r="N30" s="362" t="str">
        <f>IF(A29&lt;&gt;"",(IF(A29&gt;0,M31+N31/100-M29-N29/100,0)-M30)*100,"")</f>
        <v/>
      </c>
      <c r="O30" s="331"/>
      <c r="P30" s="332"/>
    </row>
    <row r="31" spans="1:16" ht="14.25" customHeight="1" x14ac:dyDescent="0.4">
      <c r="A31" s="351"/>
      <c r="B31" s="351"/>
      <c r="C31" s="338" t="str">
        <f>IF(A29&lt;&gt;"",Print!K34,"")</f>
        <v/>
      </c>
      <c r="D31" s="339"/>
      <c r="E31" s="339" t="str">
        <f>IF(A29&lt;&gt;"",Print!M34&amp;" "&amp;Print!N34,"")</f>
        <v/>
      </c>
      <c r="F31" s="339"/>
      <c r="G31" s="363"/>
      <c r="H31" s="339"/>
      <c r="I31" s="339"/>
      <c r="J31" s="364" t="s">
        <v>242</v>
      </c>
      <c r="K31" s="339"/>
      <c r="L31" s="339"/>
      <c r="M31" s="344" t="str">
        <f>IF(A29&lt;&gt;"",TRUNC(_OplHoev_2),"")</f>
        <v/>
      </c>
      <c r="N31" s="335" t="str">
        <f>IF(A29&lt;&gt;"",(_OplHoev_2-M31)*100,"")</f>
        <v/>
      </c>
      <c r="O31" s="331"/>
      <c r="P31" s="332"/>
    </row>
    <row r="32" spans="1:16" ht="14.25" customHeight="1" x14ac:dyDescent="0.4">
      <c r="A32" s="351" t="str">
        <f>IF(Berekeningen1700!B22&gt;1,Berekeningen1700!F22/10,"")</f>
        <v/>
      </c>
      <c r="B32" s="351"/>
      <c r="C32" s="356" t="str">
        <f>IF(A32&lt;&gt;"",IF(Berekeningen1700!B22&gt;1,INDEX(Medicamenten,Berekeningen1700!B22,1),""),"")</f>
        <v/>
      </c>
      <c r="D32" s="329"/>
      <c r="E32" s="330" t="str">
        <f>IF(A32&lt;&gt;"",IF(Berekeningen1700!B22&gt;1,Berekeningen1700!C22/10,""),"")</f>
        <v/>
      </c>
      <c r="F32" s="329" t="str">
        <f>IF(_Medicament_3&lt;&gt;5,"mg","ml")</f>
        <v>mg</v>
      </c>
      <c r="G32" s="357" t="s">
        <v>1030</v>
      </c>
      <c r="H32" s="329" t="str">
        <f>IF(A32&lt;&gt;"",IF(Berekeningen1700!B22&gt;1,INDEX(Medicamenten,Berekeningen1700!B22,3),""),"")</f>
        <v/>
      </c>
      <c r="I32" s="329" t="s">
        <v>1031</v>
      </c>
      <c r="J32" s="329" t="str">
        <f>IF(A32&lt;&gt;"",IF(Berekeningen1700!B22&gt;1,INDEX(Medicamenten,Berekeningen1700!B22,4),""),"")</f>
        <v/>
      </c>
      <c r="K32" s="329" t="s">
        <v>1032</v>
      </c>
      <c r="L32" s="329"/>
      <c r="M32" s="358" t="str">
        <f>IF(A32&lt;&gt;"",TRUNC((J32/H32)*E32),"")</f>
        <v/>
      </c>
      <c r="N32" s="359" t="str">
        <f>IF(A32&lt;&gt;"",(IF(A32&gt;0,ROUND((J32/H32)*E32,2),0)-M32)*100,"")</f>
        <v/>
      </c>
      <c r="O32" s="331" t="str">
        <f>IF(C32&lt;&gt;"",IF(_Extra_3,"extra",""),"")</f>
        <v/>
      </c>
      <c r="P32" s="332"/>
    </row>
    <row r="33" spans="1:16" ht="14.25" customHeight="1" x14ac:dyDescent="0.4">
      <c r="A33" s="351"/>
      <c r="B33" s="351"/>
      <c r="C33" s="343"/>
      <c r="D33" s="331"/>
      <c r="E33" s="331"/>
      <c r="F33" s="331"/>
      <c r="G33" s="360"/>
      <c r="H33" s="331"/>
      <c r="I33" s="331" t="s">
        <v>1033</v>
      </c>
      <c r="J33" s="331" t="str">
        <f>IF(A32&lt;&gt;"",IF(A32&gt;0,Print!I35,""),"")</f>
        <v/>
      </c>
      <c r="K33" s="331"/>
      <c r="L33" s="331"/>
      <c r="M33" s="361" t="str">
        <f>IF(A32&lt;&gt;"",TRUNC(IF(A32&gt;0,M34+N34/100-M32-N32/100,0)),"")</f>
        <v/>
      </c>
      <c r="N33" s="362" t="str">
        <f>IF(A32&lt;&gt;"",(IF(A32&gt;0,M34+N34/100-M32-N32/100,0)-M33)*100,"")</f>
        <v/>
      </c>
      <c r="O33" s="331"/>
      <c r="P33" s="332"/>
    </row>
    <row r="34" spans="1:16" ht="14.25" customHeight="1" x14ac:dyDescent="0.4">
      <c r="A34" s="351"/>
      <c r="B34" s="351"/>
      <c r="C34" s="338" t="str">
        <f>IF(A32&lt;&gt;"",Print!K35,"")</f>
        <v/>
      </c>
      <c r="D34" s="339"/>
      <c r="E34" s="339" t="str">
        <f>IF(A32&lt;&gt;"",Print!M35&amp;" "&amp;Print!N35,"")</f>
        <v/>
      </c>
      <c r="F34" s="339"/>
      <c r="G34" s="363"/>
      <c r="H34" s="339"/>
      <c r="I34" s="339"/>
      <c r="J34" s="364" t="s">
        <v>242</v>
      </c>
      <c r="K34" s="339"/>
      <c r="L34" s="339"/>
      <c r="M34" s="344" t="str">
        <f>IF(A32&lt;&gt;"",TRUNC(_OplHoev_3),"")</f>
        <v/>
      </c>
      <c r="N34" s="335" t="str">
        <f>IF(A32&lt;&gt;"",(_OplHoev_3-M34)*100,"")</f>
        <v/>
      </c>
      <c r="O34" s="331"/>
      <c r="P34" s="332"/>
    </row>
    <row r="35" spans="1:16" ht="14.25" customHeight="1" x14ac:dyDescent="0.4">
      <c r="A35" s="351" t="str">
        <f>IF(Berekeningen1700!B23&gt;1,Berekeningen1700!F23/10,"")</f>
        <v/>
      </c>
      <c r="B35" s="351"/>
      <c r="C35" s="356" t="str">
        <f>IF(A35&lt;&gt;"",IF(Berekeningen1700!B23&gt;1,INDEX(Medicamenten,Berekeningen1700!B23,1),""),"")</f>
        <v/>
      </c>
      <c r="D35" s="329"/>
      <c r="E35" s="330" t="str">
        <f>IF(A35&lt;&gt;"",IF(Berekeningen1700!B23&gt;1,Berekeningen1700!C23/10,""),"")</f>
        <v/>
      </c>
      <c r="F35" s="329" t="str">
        <f>IF(_Medicament_4&lt;&gt;5,"mg","ml")</f>
        <v>mg</v>
      </c>
      <c r="G35" s="357" t="s">
        <v>1030</v>
      </c>
      <c r="H35" s="329" t="str">
        <f>IF(A35&lt;&gt;"",IF(Berekeningen1700!B23&gt;1,INDEX(Medicamenten,Berekeningen1700!B23,3),""),"")</f>
        <v/>
      </c>
      <c r="I35" s="329" t="s">
        <v>1031</v>
      </c>
      <c r="J35" s="329" t="str">
        <f>IF(A35&lt;&gt;"",IF(Berekeningen1700!B23&gt;1,INDEX(Medicamenten,Berekeningen1700!B23,4),""),"")</f>
        <v/>
      </c>
      <c r="K35" s="329" t="s">
        <v>1032</v>
      </c>
      <c r="L35" s="329"/>
      <c r="M35" s="361" t="str">
        <f>IF(A35&lt;&gt;"",TRUNC((J35/H35)*E35),"")</f>
        <v/>
      </c>
      <c r="N35" s="362" t="str">
        <f>IF(A35&lt;&gt;"",(IF(A35&gt;0,ROUND((J35/H35)*E35,2),0)-M35)*100,"")</f>
        <v/>
      </c>
      <c r="O35" s="331" t="str">
        <f>IF(C35&lt;&gt;"",IF(_Extra_4,"extra",""),"")</f>
        <v/>
      </c>
      <c r="P35" s="332"/>
    </row>
    <row r="36" spans="1:16" ht="14.25" customHeight="1" x14ac:dyDescent="0.4">
      <c r="A36" s="351"/>
      <c r="B36" s="351"/>
      <c r="C36" s="343"/>
      <c r="D36" s="331"/>
      <c r="E36" s="331"/>
      <c r="F36" s="331"/>
      <c r="G36" s="360"/>
      <c r="H36" s="331"/>
      <c r="I36" s="331" t="s">
        <v>1033</v>
      </c>
      <c r="J36" s="331" t="str">
        <f>IF(A35&lt;&gt;"",IF(A35&gt;0,Print!I36,""),"")</f>
        <v/>
      </c>
      <c r="K36" s="331"/>
      <c r="L36" s="331"/>
      <c r="M36" s="361" t="str">
        <f>IF(A35&lt;&gt;"",TRUNC(IF(A35&gt;0,M37+N37/100-M35-N35/100,0)),"")</f>
        <v/>
      </c>
      <c r="N36" s="362" t="str">
        <f>IF(A35&lt;&gt;"",(IF(A35&gt;0,M37+N37/100-M35-N35/100,0)-M36)*100,"")</f>
        <v/>
      </c>
      <c r="O36" s="331"/>
      <c r="P36" s="332"/>
    </row>
    <row r="37" spans="1:16" ht="14.25" customHeight="1" x14ac:dyDescent="0.4">
      <c r="A37" s="351"/>
      <c r="B37" s="351"/>
      <c r="C37" s="338" t="str">
        <f>IF(A35&lt;&gt;"",Print!K36,"")</f>
        <v/>
      </c>
      <c r="D37" s="339"/>
      <c r="E37" s="339" t="str">
        <f>IF(A35&lt;&gt;"",Print!M36&amp;" "&amp;Print!N36,"")</f>
        <v/>
      </c>
      <c r="F37" s="339"/>
      <c r="G37" s="363"/>
      <c r="H37" s="339"/>
      <c r="I37" s="339"/>
      <c r="J37" s="364" t="s">
        <v>242</v>
      </c>
      <c r="K37" s="339"/>
      <c r="L37" s="339"/>
      <c r="M37" s="344" t="str">
        <f>IF(A35&lt;&gt;"",TRUNC(_OplHoev_4),"")</f>
        <v/>
      </c>
      <c r="N37" s="335" t="str">
        <f>IF(A35&lt;&gt;"",(_OplHoev_4-M37)*100,"")</f>
        <v/>
      </c>
      <c r="O37" s="331"/>
      <c r="P37" s="332"/>
    </row>
    <row r="38" spans="1:16" ht="14.25" customHeight="1" x14ac:dyDescent="0.4">
      <c r="A38" s="351" t="str">
        <f>IF(Berekeningen1700!B24&gt;1,Berekeningen1700!F24/10,"")</f>
        <v/>
      </c>
      <c r="B38" s="351"/>
      <c r="C38" s="356" t="str">
        <f>IF(A38&lt;&gt;"",IF(Berekeningen1700!B24&gt;1,INDEX(Medicamenten,Berekeningen1700!B24,1),""),"")</f>
        <v/>
      </c>
      <c r="D38" s="329"/>
      <c r="E38" s="330" t="str">
        <f>IF(A38&lt;&gt;"",IF(Berekeningen1700!B24&gt;1,Berekeningen1700!C24/10,""),"")</f>
        <v/>
      </c>
      <c r="F38" s="329" t="str">
        <f>IF(_Medicament_5&lt;&gt;5,"mg","ml")</f>
        <v>mg</v>
      </c>
      <c r="G38" s="357" t="s">
        <v>1030</v>
      </c>
      <c r="H38" s="329" t="str">
        <f>IF(A38&lt;&gt;"",IF(Berekeningen1700!B24&gt;1,INDEX(Medicamenten,Berekeningen1700!B24,3),""),"")</f>
        <v/>
      </c>
      <c r="I38" s="329" t="s">
        <v>1031</v>
      </c>
      <c r="J38" s="329" t="str">
        <f>IF(A38&lt;&gt;"",IF(Berekeningen1700!B24&gt;1,INDEX(Medicamenten,Berekeningen1700!B24,4),""),"")</f>
        <v/>
      </c>
      <c r="K38" s="329" t="s">
        <v>1032</v>
      </c>
      <c r="L38" s="329"/>
      <c r="M38" s="358" t="str">
        <f>IF(A38&lt;&gt;"",TRUNC((J38/H38)*E38),"")</f>
        <v/>
      </c>
      <c r="N38" s="359" t="str">
        <f>IF(A38&lt;&gt;"",(IF(A38&gt;0,ROUND((J38/H38)*E38,2),0)-M38)*100,"")</f>
        <v/>
      </c>
      <c r="O38" s="331" t="str">
        <f>IF(C38&lt;&gt;"",IF(_Extra_5,"extra",""),"")</f>
        <v/>
      </c>
      <c r="P38" s="332"/>
    </row>
    <row r="39" spans="1:16" ht="14.25" customHeight="1" x14ac:dyDescent="0.4">
      <c r="A39" s="351"/>
      <c r="B39" s="351"/>
      <c r="C39" s="343"/>
      <c r="D39" s="331"/>
      <c r="E39" s="331"/>
      <c r="F39" s="331"/>
      <c r="G39" s="360"/>
      <c r="H39" s="331"/>
      <c r="I39" s="331" t="s">
        <v>1033</v>
      </c>
      <c r="J39" s="331" t="str">
        <f>IF(A38&lt;&gt;"",IF(A38&gt;0,Print!I37,""),"")</f>
        <v/>
      </c>
      <c r="K39" s="331"/>
      <c r="L39" s="331"/>
      <c r="M39" s="361" t="str">
        <f>IF(A38&lt;&gt;"",TRUNC(IF(A38&gt;0,M40+N40/100-M38-N38/100,0)),"")</f>
        <v/>
      </c>
      <c r="N39" s="362" t="str">
        <f>IF(A38&lt;&gt;"",(IF(A38&gt;0,M40+N40/100-M38-N38/100,0)-M39)*100,"")</f>
        <v/>
      </c>
      <c r="O39" s="331"/>
      <c r="P39" s="332"/>
    </row>
    <row r="40" spans="1:16" ht="14.25" customHeight="1" x14ac:dyDescent="0.4">
      <c r="A40" s="351"/>
      <c r="B40" s="351"/>
      <c r="C40" s="338" t="str">
        <f>IF(A38&lt;&gt;"",Print!K37,"")</f>
        <v/>
      </c>
      <c r="D40" s="339"/>
      <c r="E40" s="339" t="str">
        <f>IF(A38&lt;&gt;"",Print!M37&amp;" "&amp;Print!N37,"")</f>
        <v/>
      </c>
      <c r="F40" s="339"/>
      <c r="G40" s="363"/>
      <c r="H40" s="339"/>
      <c r="I40" s="339"/>
      <c r="J40" s="364" t="s">
        <v>242</v>
      </c>
      <c r="K40" s="339"/>
      <c r="L40" s="339"/>
      <c r="M40" s="344" t="str">
        <f>IF(A38&lt;&gt;"",TRUNC(_OplHoev_5),"")</f>
        <v/>
      </c>
      <c r="N40" s="335" t="str">
        <f>IF(A38&lt;&gt;"",(_OplHoev_5-M40)*100,"")</f>
        <v/>
      </c>
      <c r="O40" s="331"/>
      <c r="P40" s="332"/>
    </row>
    <row r="41" spans="1:16" ht="14.25" customHeight="1" x14ac:dyDescent="0.4">
      <c r="A41" s="351" t="str">
        <f>IF(Berekeningen1700!B25&gt;1,Berekeningen1700!F25/10,"")</f>
        <v/>
      </c>
      <c r="B41" s="351"/>
      <c r="C41" s="356" t="str">
        <f>IF(A41&lt;&gt;"",IF(Berekeningen1700!B25&gt;1,INDEX(Medicamenten,Berekeningen1700!B25,1),""),"")</f>
        <v/>
      </c>
      <c r="D41" s="329"/>
      <c r="E41" s="330" t="str">
        <f>IF(A41&lt;&gt;"",IF(Berekeningen1700!B25&gt;1,Berekeningen1700!C25/10,""),"")</f>
        <v/>
      </c>
      <c r="F41" s="329" t="str">
        <f>IF(_Medicament_6&lt;&gt;5,"mg","ml")</f>
        <v>mg</v>
      </c>
      <c r="G41" s="357" t="s">
        <v>1030</v>
      </c>
      <c r="H41" s="329" t="str">
        <f>IF(A41&lt;&gt;"",IF(Berekeningen1700!B25&gt;1,INDEX(Medicamenten,Berekeningen1700!B25,3),""),"")</f>
        <v/>
      </c>
      <c r="I41" s="329" t="s">
        <v>1031</v>
      </c>
      <c r="J41" s="329" t="str">
        <f>IF(A41&lt;&gt;"",IF(Berekeningen1700!B25&gt;1,INDEX(Medicamenten,Berekeningen1700!B25,4),""),"")</f>
        <v/>
      </c>
      <c r="K41" s="329" t="s">
        <v>1032</v>
      </c>
      <c r="L41" s="329"/>
      <c r="M41" s="361" t="str">
        <f>IF(A41&lt;&gt;"",TRUNC((J41/H41)*E41),"")</f>
        <v/>
      </c>
      <c r="N41" s="362" t="str">
        <f>IF(A41&lt;&gt;"",(IF(A41&gt;0,ROUND((J41/H41)*E41,2),0)-M41)*100,"")</f>
        <v/>
      </c>
      <c r="O41" s="331" t="str">
        <f>IF(C41&lt;&gt;"",IF(_Extra_6,"extra",""),"")</f>
        <v/>
      </c>
      <c r="P41" s="332"/>
    </row>
    <row r="42" spans="1:16" ht="14.25" customHeight="1" x14ac:dyDescent="0.4">
      <c r="A42" s="351"/>
      <c r="B42" s="351"/>
      <c r="C42" s="343"/>
      <c r="D42" s="331"/>
      <c r="E42" s="331"/>
      <c r="F42" s="331"/>
      <c r="G42" s="360"/>
      <c r="H42" s="331"/>
      <c r="I42" s="331" t="s">
        <v>1033</v>
      </c>
      <c r="J42" s="331" t="str">
        <f>IF(A41&lt;&gt;"",IF(A41&gt;0,Print!I38,""),"")</f>
        <v/>
      </c>
      <c r="K42" s="331"/>
      <c r="L42" s="331"/>
      <c r="M42" s="361" t="str">
        <f>IF(A41&lt;&gt;"",TRUNC(IF(A41&gt;0,M43+N43/100-M41-N41/100,0)),"")</f>
        <v/>
      </c>
      <c r="N42" s="362" t="str">
        <f>IF(A41&lt;&gt;"",(IF(A41&gt;0,M43+N43/100-M41-N41/100,0)-M42)*100,"")</f>
        <v/>
      </c>
      <c r="O42" s="331"/>
      <c r="P42" s="332"/>
    </row>
    <row r="43" spans="1:16" ht="14.25" customHeight="1" x14ac:dyDescent="0.4">
      <c r="A43" s="351"/>
      <c r="B43" s="351"/>
      <c r="C43" s="338" t="str">
        <f>IF(A41&lt;&gt;"",Print!K38,"")</f>
        <v/>
      </c>
      <c r="D43" s="339"/>
      <c r="E43" s="339" t="str">
        <f>IF(A41&lt;&gt;"",Print!M38&amp;" "&amp;Print!N38,"")</f>
        <v/>
      </c>
      <c r="F43" s="339"/>
      <c r="G43" s="363"/>
      <c r="H43" s="339"/>
      <c r="I43" s="339"/>
      <c r="J43" s="364" t="s">
        <v>242</v>
      </c>
      <c r="K43" s="339"/>
      <c r="L43" s="339"/>
      <c r="M43" s="344" t="str">
        <f>IF(A41&lt;&gt;"",TRUNC(_OplHoev_6),"")</f>
        <v/>
      </c>
      <c r="N43" s="335" t="str">
        <f>IF(A41&lt;&gt;"",(_OplHoev_6-M43)*100,"")</f>
        <v/>
      </c>
      <c r="O43" s="331"/>
      <c r="P43" s="332"/>
    </row>
    <row r="44" spans="1:16" ht="14.25" customHeight="1" x14ac:dyDescent="0.4">
      <c r="A44" s="351" t="str">
        <f>IF(Berekeningen1700!B26&gt;1,Berekeningen1700!F26/10,"")</f>
        <v/>
      </c>
      <c r="B44" s="351"/>
      <c r="C44" s="356" t="str">
        <f>IF(A44&lt;&gt;"",IF(Berekeningen1700!B26&gt;1,INDEX(Medicamenten,Berekeningen1700!B26,1),""),"")</f>
        <v/>
      </c>
      <c r="D44" s="329"/>
      <c r="E44" s="330" t="str">
        <f>IF(A44&lt;&gt;"",IF(Berekeningen1700!B26&gt;1,Berekeningen1700!C26/10,""),"")</f>
        <v/>
      </c>
      <c r="F44" s="329" t="str">
        <f>IF(_Medicament_7&lt;&gt;5,"mg","ml")</f>
        <v>mg</v>
      </c>
      <c r="G44" s="357" t="s">
        <v>1030</v>
      </c>
      <c r="H44" s="329" t="str">
        <f>IF(A44&lt;&gt;"",IF(Berekeningen1700!B26&gt;1,INDEX(Medicamenten,Berekeningen1700!B26,3),""),"")</f>
        <v/>
      </c>
      <c r="I44" s="329" t="s">
        <v>1031</v>
      </c>
      <c r="J44" s="329" t="str">
        <f>IF(A44&lt;&gt;"",IF(Berekeningen1700!B26&gt;1,INDEX(Medicamenten,Berekeningen1700!B26,4),""),"")</f>
        <v/>
      </c>
      <c r="K44" s="329" t="s">
        <v>1032</v>
      </c>
      <c r="L44" s="329"/>
      <c r="M44" s="358" t="str">
        <f>IF(A44&lt;&gt;"",TRUNC((J44/H44)*E44),"")</f>
        <v/>
      </c>
      <c r="N44" s="359" t="str">
        <f>IF(A44&lt;&gt;"",(IF(A44&gt;0,ROUND((J44/H44)*E44,2),0)-M44)*100,"")</f>
        <v/>
      </c>
      <c r="O44" s="331" t="str">
        <f>IF(C44&lt;&gt;"",IF(_Extra_7,"extra",""),"")</f>
        <v/>
      </c>
      <c r="P44" s="332"/>
    </row>
    <row r="45" spans="1:16" ht="14.25" customHeight="1" x14ac:dyDescent="0.4">
      <c r="A45" s="351"/>
      <c r="B45" s="351"/>
      <c r="C45" s="343"/>
      <c r="D45" s="331"/>
      <c r="E45" s="331"/>
      <c r="F45" s="331"/>
      <c r="G45" s="360"/>
      <c r="H45" s="331"/>
      <c r="I45" s="331" t="s">
        <v>1033</v>
      </c>
      <c r="J45" s="331" t="str">
        <f>IF(A44&lt;&gt;"",IF(A44&gt;0,Print!I39,""),"")</f>
        <v/>
      </c>
      <c r="K45" s="331"/>
      <c r="L45" s="331"/>
      <c r="M45" s="361" t="str">
        <f>IF(A44&lt;&gt;"",TRUNC(IF(A44&gt;0,M46+N46/100-M44-N44/100,0)),"")</f>
        <v/>
      </c>
      <c r="N45" s="362" t="str">
        <f>IF(A44&lt;&gt;"",(IF(A44&gt;0,M46+N46/100-M44-N44/100,0)-M45)*100,"")</f>
        <v/>
      </c>
      <c r="O45" s="331"/>
      <c r="P45" s="332"/>
    </row>
    <row r="46" spans="1:16" ht="14.25" customHeight="1" x14ac:dyDescent="0.4">
      <c r="A46" s="351"/>
      <c r="B46" s="351"/>
      <c r="C46" s="338" t="str">
        <f>IF(A44&lt;&gt;"",Print!K39,"")</f>
        <v/>
      </c>
      <c r="D46" s="339"/>
      <c r="E46" s="339" t="str">
        <f>IF(A44&lt;&gt;"",Print!M39&amp;" "&amp;Print!N39,"")</f>
        <v/>
      </c>
      <c r="F46" s="339"/>
      <c r="G46" s="363"/>
      <c r="H46" s="339"/>
      <c r="I46" s="339"/>
      <c r="J46" s="364" t="s">
        <v>242</v>
      </c>
      <c r="K46" s="339"/>
      <c r="L46" s="339"/>
      <c r="M46" s="344" t="str">
        <f>IF(A44&lt;&gt;"",TRUNC(_OplHoev_7),"")</f>
        <v/>
      </c>
      <c r="N46" s="335" t="str">
        <f>IF(A44&lt;&gt;"",(_OplHoev_7-M46)*100,"")</f>
        <v/>
      </c>
      <c r="O46" s="331"/>
      <c r="P46" s="332"/>
    </row>
    <row r="47" spans="1:16" ht="14.25" customHeight="1" x14ac:dyDescent="0.4">
      <c r="A47" s="351" t="str">
        <f>IF(Berekeningen1700!B27&gt;1,Berekeningen1700!F27/10,"")</f>
        <v/>
      </c>
      <c r="B47" s="351"/>
      <c r="C47" s="356" t="str">
        <f>IF(A47&lt;&gt;"",IF(Berekeningen1700!B27&gt;1,INDEX(Medicamenten,Berekeningen1700!B27,1),""),"")</f>
        <v/>
      </c>
      <c r="D47" s="329"/>
      <c r="E47" s="330" t="str">
        <f>IF(A47&lt;&gt;"",IF(Berekeningen1700!B27&gt;1,Berekeningen1700!C27/10,""),"")</f>
        <v/>
      </c>
      <c r="F47" s="329" t="str">
        <f>IF(_Medicament_8&lt;&gt;5,"mg","ml")</f>
        <v>mg</v>
      </c>
      <c r="G47" s="357" t="s">
        <v>1030</v>
      </c>
      <c r="H47" s="329" t="str">
        <f>IF(A47&lt;&gt;"",IF(Berekeningen1700!B27&gt;1,INDEX(Medicamenten,Berekeningen1700!B27,3),""),"")</f>
        <v/>
      </c>
      <c r="I47" s="329" t="s">
        <v>1031</v>
      </c>
      <c r="J47" s="329" t="str">
        <f>IF(A47&lt;&gt;"",IF(Berekeningen1700!B27&gt;1,INDEX(Medicamenten,Berekeningen1700!B27,4),""),"")</f>
        <v/>
      </c>
      <c r="K47" s="329" t="s">
        <v>1032</v>
      </c>
      <c r="L47" s="329"/>
      <c r="M47" s="361" t="str">
        <f>IF(A47&lt;&gt;"",TRUNC((J47/H47)*E47),"")</f>
        <v/>
      </c>
      <c r="N47" s="362" t="str">
        <f>IF(A47&lt;&gt;"",(IF(A47&gt;0,ROUND((J47/H47)*E47,2),0)-M47)*100,"")</f>
        <v/>
      </c>
      <c r="O47" s="331" t="str">
        <f>IF(C47&lt;&gt;"",IF(_Extra_1=8,"extra",""),"")</f>
        <v/>
      </c>
      <c r="P47" s="332"/>
    </row>
    <row r="48" spans="1:16" ht="14.25" customHeight="1" x14ac:dyDescent="0.4">
      <c r="A48" s="351"/>
      <c r="B48" s="351"/>
      <c r="C48" s="343"/>
      <c r="D48" s="331"/>
      <c r="E48" s="331"/>
      <c r="F48" s="331"/>
      <c r="G48" s="360"/>
      <c r="H48" s="331"/>
      <c r="I48" s="331" t="s">
        <v>1033</v>
      </c>
      <c r="J48" s="331" t="str">
        <f>IF(A47&lt;&gt;"",IF(A47&gt;0,Print!I40,""),"")</f>
        <v/>
      </c>
      <c r="K48" s="331"/>
      <c r="L48" s="331"/>
      <c r="M48" s="361" t="str">
        <f>IF(A47&lt;&gt;"",TRUNC(IF(A47&gt;0,M49+N49/100-M47-N47/100,0)),"")</f>
        <v/>
      </c>
      <c r="N48" s="362" t="str">
        <f>IF(A47&lt;&gt;"",(IF(A47&gt;0,M49+N49/100-M47-N47/100,0)-M48)*100,"")</f>
        <v/>
      </c>
      <c r="O48" s="331"/>
      <c r="P48" s="332"/>
    </row>
    <row r="49" spans="1:16" ht="14.25" customHeight="1" x14ac:dyDescent="0.4">
      <c r="A49" s="351"/>
      <c r="B49" s="351"/>
      <c r="C49" s="338" t="str">
        <f>IF(A47&lt;&gt;"",Print!K40,"")</f>
        <v/>
      </c>
      <c r="D49" s="339"/>
      <c r="E49" s="339" t="str">
        <f>IF(A47&lt;&gt;"",Print!M40&amp;" "&amp;Print!N40,"")</f>
        <v/>
      </c>
      <c r="F49" s="339"/>
      <c r="G49" s="363"/>
      <c r="H49" s="339"/>
      <c r="I49" s="339"/>
      <c r="J49" s="364" t="s">
        <v>242</v>
      </c>
      <c r="K49" s="339"/>
      <c r="L49" s="339"/>
      <c r="M49" s="344" t="str">
        <f>IF(A47&lt;&gt;"",TRUNC(_OplHoev_8),"")</f>
        <v/>
      </c>
      <c r="N49" s="335" t="str">
        <f>IF(A47&lt;&gt;"",(_OplHoev_8-M49)*100,"")</f>
        <v/>
      </c>
      <c r="O49" s="331"/>
      <c r="P49" s="332"/>
    </row>
    <row r="50" spans="1:16" ht="14.25" customHeight="1" x14ac:dyDescent="0.4">
      <c r="A50" s="351" t="str">
        <f>IF(Berekeningen1700!B28&gt;1,Berekeningen1700!F28/10,"")</f>
        <v/>
      </c>
      <c r="B50" s="351"/>
      <c r="C50" s="356" t="str">
        <f>IF(A50&lt;&gt;"",IF(Berekeningen1700!B28&gt;1,INDEX(Medicamenten,Berekeningen1700!B28,1),""),"")</f>
        <v/>
      </c>
      <c r="D50" s="329"/>
      <c r="E50" s="330" t="str">
        <f>IF(A50&lt;&gt;"",IF(Berekeningen1700!B28&gt;1,Berekeningen1700!C28/10,""),"")</f>
        <v/>
      </c>
      <c r="F50" s="329" t="str">
        <f>IF(_Medicament_9&lt;&gt;5,"mg","ml")</f>
        <v>mg</v>
      </c>
      <c r="G50" s="357" t="s">
        <v>1030</v>
      </c>
      <c r="H50" s="329" t="str">
        <f>IF(A50&lt;&gt;"",IF(Berekeningen1700!B28&gt;1,INDEX(Medicamenten,Berekeningen1700!B28,3),""),"")</f>
        <v/>
      </c>
      <c r="I50" s="329" t="s">
        <v>1031</v>
      </c>
      <c r="J50" s="329" t="str">
        <f>IF(A50&lt;&gt;"",IF(Berekeningen1700!B28&gt;1,INDEX(Medicamenten,Berekeningen1700!B28,4),""),"")</f>
        <v/>
      </c>
      <c r="K50" s="329" t="s">
        <v>1032</v>
      </c>
      <c r="L50" s="329"/>
      <c r="M50" s="358" t="str">
        <f>IF(A50&lt;&gt;"",TRUNC((J50/H50)*E50),"")</f>
        <v/>
      </c>
      <c r="N50" s="359" t="str">
        <f>IF(A50&lt;&gt;"",(IF(A50&gt;0,ROUND((J50/H50)*E50,2),0)-M50)*100,"")</f>
        <v/>
      </c>
      <c r="O50" s="331" t="str">
        <f>IF(C50&lt;&gt;"",IF(_Extra_9,"extra",""),"")</f>
        <v/>
      </c>
      <c r="P50" s="332"/>
    </row>
    <row r="51" spans="1:16" ht="14.25" customHeight="1" x14ac:dyDescent="0.4">
      <c r="A51" s="351"/>
      <c r="B51" s="351"/>
      <c r="C51" s="343"/>
      <c r="D51" s="331"/>
      <c r="E51" s="331"/>
      <c r="F51" s="331"/>
      <c r="G51" s="360"/>
      <c r="H51" s="331"/>
      <c r="I51" s="331" t="s">
        <v>1033</v>
      </c>
      <c r="J51" s="331" t="str">
        <f>IF(A50&lt;&gt;"",IF(A50&gt;0,Print!I41,""),"")</f>
        <v/>
      </c>
      <c r="K51" s="331"/>
      <c r="L51" s="331"/>
      <c r="M51" s="361" t="str">
        <f>IF(A50&lt;&gt;"",TRUNC(IF(A50&gt;0,M52+N52/100-M50-N50/100,0)),"")</f>
        <v/>
      </c>
      <c r="N51" s="362" t="str">
        <f>IF(A50&lt;&gt;"",(IF(A50&gt;0,M52+N52/100-M50-N50/100,0)-M51)*100,"")</f>
        <v/>
      </c>
      <c r="O51" s="331"/>
      <c r="P51" s="332"/>
    </row>
    <row r="52" spans="1:16" ht="14.25" customHeight="1" x14ac:dyDescent="0.4">
      <c r="A52" s="351"/>
      <c r="B52" s="351"/>
      <c r="C52" s="338" t="str">
        <f>IF(A50&lt;&gt;"",Print!K41,"")</f>
        <v/>
      </c>
      <c r="D52" s="339"/>
      <c r="E52" s="339" t="str">
        <f>IF(A50&lt;&gt;"",Print!M41&amp;" "&amp;Print!N41,"")</f>
        <v/>
      </c>
      <c r="F52" s="339"/>
      <c r="G52" s="363"/>
      <c r="H52" s="339"/>
      <c r="I52" s="339"/>
      <c r="J52" s="364" t="s">
        <v>242</v>
      </c>
      <c r="K52" s="339"/>
      <c r="L52" s="339"/>
      <c r="M52" s="344" t="str">
        <f>IF(A50&lt;&gt;"",TRUNC(_OplHoev_9),"")</f>
        <v/>
      </c>
      <c r="N52" s="335" t="str">
        <f>IF(A50&lt;&gt;"",(_OplHoev_9-M52)*100,"")</f>
        <v/>
      </c>
      <c r="O52" s="331"/>
      <c r="P52" s="332"/>
    </row>
    <row r="53" spans="1:16" ht="14.25" customHeight="1" x14ac:dyDescent="0.35">
      <c r="C53" s="331"/>
      <c r="D53" s="331"/>
      <c r="E53" s="331"/>
      <c r="F53" s="331"/>
      <c r="G53" s="331"/>
      <c r="H53" s="331"/>
      <c r="I53" s="331"/>
      <c r="J53" s="331"/>
      <c r="K53" s="331"/>
      <c r="L53" s="331"/>
      <c r="M53" s="365"/>
      <c r="N53" s="366"/>
      <c r="O53" s="331"/>
      <c r="P53" s="332"/>
    </row>
    <row r="54" spans="1:16" ht="14.25" customHeight="1" x14ac:dyDescent="0.35">
      <c r="A54" s="327"/>
      <c r="B54" s="328"/>
      <c r="C54" s="367" t="str">
        <f>IF(Print!B45&lt;&gt;0,Print!B45,"")</f>
        <v/>
      </c>
      <c r="D54" s="334"/>
      <c r="E54" s="334"/>
      <c r="F54" s="334"/>
      <c r="G54" s="368"/>
      <c r="H54" s="334"/>
      <c r="I54" s="334"/>
      <c r="J54" s="334"/>
      <c r="K54" s="334"/>
      <c r="L54" s="328"/>
      <c r="M54" s="369"/>
      <c r="N54" s="369"/>
      <c r="O54" s="331"/>
      <c r="P54" s="332"/>
    </row>
    <row r="55" spans="1:16" ht="14.25" customHeight="1" x14ac:dyDescent="0.35">
      <c r="A55" s="327"/>
      <c r="B55" s="328"/>
      <c r="C55" s="367" t="str">
        <f>IF(Print!B46&lt;&gt;0,Print!B46,"")</f>
        <v/>
      </c>
      <c r="D55" s="334"/>
      <c r="E55" s="334"/>
      <c r="F55" s="334"/>
      <c r="G55" s="368"/>
      <c r="H55" s="334"/>
      <c r="I55" s="334"/>
      <c r="J55" s="334"/>
      <c r="K55" s="334"/>
      <c r="L55" s="328"/>
      <c r="M55" s="369"/>
      <c r="N55" s="369"/>
      <c r="O55" s="331"/>
      <c r="P55" s="332"/>
    </row>
    <row r="56" spans="1:16" ht="14.25" customHeight="1" x14ac:dyDescent="0.35">
      <c r="A56" s="327"/>
      <c r="B56" s="328"/>
      <c r="C56" s="367"/>
      <c r="D56" s="334"/>
      <c r="E56" s="334"/>
      <c r="F56" s="334"/>
      <c r="G56" s="368"/>
      <c r="H56" s="334"/>
      <c r="I56" s="334"/>
      <c r="J56" s="334"/>
      <c r="K56" s="334"/>
      <c r="L56" s="328"/>
      <c r="M56" s="369"/>
      <c r="N56" s="369"/>
      <c r="O56" s="331"/>
      <c r="P56" s="332"/>
    </row>
    <row r="57" spans="1:16" ht="14.25" customHeight="1" x14ac:dyDescent="0.35">
      <c r="D57" s="370"/>
    </row>
    <row r="58" spans="1:16" ht="9.75" customHeight="1" x14ac:dyDescent="0.35"/>
    <row r="59" spans="1:16" ht="14.25" customHeight="1" x14ac:dyDescent="0.35"/>
    <row r="60" spans="1:16" ht="14.25" customHeight="1" x14ac:dyDescent="0.35"/>
  </sheetData>
  <sheetProtection algorithmName="SHA-512" hashValue="DLNooY5NEUKS0lGvC28JJMpBsxRBk3UcoXqx7zhRkPIs/0WU0egM/xwN87dIlcbxaf2X7F2yRNr6Y6/vXjQlyg==" saltValue="qh91Gvtn2e3rHN2WD2oszA==" spinCount="100000" sheet="1" objects="1" scenarios="1" selectLockedCells="1" selectUnlockedCells="1"/>
  <mergeCells count="3">
    <mergeCell ref="I2:K2"/>
    <mergeCell ref="M2:N2"/>
    <mergeCell ref="M5:N5"/>
  </mergeCells>
  <pageMargins left="0.73" right="0.28000000000000003" top="0.37" bottom="0.51" header="0.16" footer="0.14000000000000001"/>
  <pageSetup paperSize="9" orientation="portrait" r:id="rId1"/>
  <headerFooter alignWithMargins="0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blMedicatieIVNeo">
    <tabColor rgb="FFFFC000"/>
  </sheetPr>
  <dimension ref="A1:K28"/>
  <sheetViews>
    <sheetView workbookViewId="0">
      <selection activeCell="P52" sqref="P52"/>
    </sheetView>
  </sheetViews>
  <sheetFormatPr defaultRowHeight="12.85" x14ac:dyDescent="0.35"/>
  <cols>
    <col min="2" max="2" width="30.73046875" bestFit="1" customWidth="1"/>
    <col min="3" max="3" width="26.1328125" customWidth="1"/>
    <col min="6" max="6" width="12.265625" bestFit="1" customWidth="1"/>
    <col min="7" max="7" width="12.73046875" bestFit="1" customWidth="1"/>
    <col min="8" max="10" width="17.86328125" customWidth="1"/>
    <col min="11" max="11" width="9.86328125" bestFit="1" customWidth="1"/>
  </cols>
  <sheetData>
    <row r="1" spans="1:11" x14ac:dyDescent="0.35">
      <c r="A1" s="594"/>
      <c r="B1" s="641" t="s">
        <v>1085</v>
      </c>
      <c r="C1" s="641" t="s">
        <v>1086</v>
      </c>
      <c r="D1" s="641" t="s">
        <v>364</v>
      </c>
      <c r="E1" s="641" t="s">
        <v>365</v>
      </c>
      <c r="F1" s="641" t="s">
        <v>2420</v>
      </c>
      <c r="G1" s="641"/>
      <c r="H1" s="641" t="s">
        <v>2255</v>
      </c>
      <c r="I1" s="641" t="s">
        <v>2256</v>
      </c>
      <c r="J1" s="642" t="s">
        <v>2254</v>
      </c>
      <c r="K1" s="642" t="s">
        <v>2270</v>
      </c>
    </row>
    <row r="2" spans="1:11" x14ac:dyDescent="0.35">
      <c r="A2" s="641">
        <v>1</v>
      </c>
      <c r="B2" s="641"/>
      <c r="C2" s="641"/>
      <c r="D2" s="641"/>
      <c r="E2" s="641"/>
      <c r="F2" s="641"/>
      <c r="G2" s="641"/>
      <c r="H2" s="641"/>
      <c r="I2" s="641"/>
      <c r="K2">
        <v>1</v>
      </c>
    </row>
    <row r="3" spans="1:11" x14ac:dyDescent="0.35">
      <c r="A3" s="641">
        <v>2</v>
      </c>
      <c r="B3" s="641" t="s">
        <v>250</v>
      </c>
      <c r="C3" s="641" t="s">
        <v>1490</v>
      </c>
      <c r="D3" s="641">
        <v>0.1</v>
      </c>
      <c r="E3" s="641">
        <v>1</v>
      </c>
      <c r="F3" s="641">
        <v>2</v>
      </c>
      <c r="G3" s="641" t="s">
        <v>1092</v>
      </c>
      <c r="H3" s="641">
        <v>0.05</v>
      </c>
      <c r="I3" s="641">
        <v>0.1</v>
      </c>
      <c r="J3">
        <v>0.5</v>
      </c>
      <c r="K3">
        <v>3</v>
      </c>
    </row>
    <row r="4" spans="1:11" x14ac:dyDescent="0.35">
      <c r="A4" s="641">
        <v>3</v>
      </c>
      <c r="B4" s="641" t="s">
        <v>1492</v>
      </c>
      <c r="C4" s="641" t="s">
        <v>1349</v>
      </c>
      <c r="D4" s="641">
        <v>0.5</v>
      </c>
      <c r="E4" s="641">
        <v>1</v>
      </c>
      <c r="F4" s="641">
        <v>6</v>
      </c>
      <c r="G4" s="641" t="s">
        <v>892</v>
      </c>
      <c r="H4" s="641">
        <v>10</v>
      </c>
      <c r="I4" s="641">
        <v>100</v>
      </c>
      <c r="J4" s="517">
        <v>100</v>
      </c>
      <c r="K4">
        <v>3</v>
      </c>
    </row>
    <row r="5" spans="1:11" x14ac:dyDescent="0.35">
      <c r="A5" s="641">
        <v>4</v>
      </c>
      <c r="B5" s="641" t="s">
        <v>1493</v>
      </c>
      <c r="C5" s="641" t="s">
        <v>1494</v>
      </c>
      <c r="D5" s="641">
        <v>50</v>
      </c>
      <c r="E5" s="641">
        <v>1</v>
      </c>
      <c r="F5" s="641">
        <v>2</v>
      </c>
      <c r="G5" s="641" t="s">
        <v>1092</v>
      </c>
      <c r="H5" s="641">
        <v>5</v>
      </c>
      <c r="I5" s="641">
        <v>15</v>
      </c>
      <c r="J5" s="517">
        <v>15</v>
      </c>
      <c r="K5">
        <v>3</v>
      </c>
    </row>
    <row r="6" spans="1:11" x14ac:dyDescent="0.35">
      <c r="A6" s="641">
        <v>5</v>
      </c>
      <c r="B6" s="641" t="s">
        <v>1515</v>
      </c>
      <c r="C6" s="641" t="s">
        <v>1090</v>
      </c>
      <c r="D6" s="641">
        <v>1</v>
      </c>
      <c r="E6" s="641">
        <v>2</v>
      </c>
      <c r="F6" s="641">
        <v>3</v>
      </c>
      <c r="G6" s="641" t="s">
        <v>737</v>
      </c>
      <c r="H6" s="641">
        <v>0.1</v>
      </c>
      <c r="I6" s="641">
        <v>0.5</v>
      </c>
      <c r="J6" s="517">
        <v>0.5</v>
      </c>
      <c r="K6">
        <v>3</v>
      </c>
    </row>
    <row r="7" spans="1:11" x14ac:dyDescent="0.35">
      <c r="A7" s="641">
        <v>6</v>
      </c>
      <c r="B7" s="641" t="s">
        <v>1495</v>
      </c>
      <c r="C7" s="641" t="s">
        <v>1520</v>
      </c>
      <c r="D7" s="641">
        <v>0.15</v>
      </c>
      <c r="E7" s="641">
        <v>1</v>
      </c>
      <c r="F7" s="641">
        <v>7</v>
      </c>
      <c r="G7" s="641" t="s">
        <v>1496</v>
      </c>
      <c r="H7" s="641">
        <v>0.25</v>
      </c>
      <c r="I7" s="641">
        <v>2</v>
      </c>
      <c r="J7" s="517">
        <v>2</v>
      </c>
      <c r="K7">
        <v>12</v>
      </c>
    </row>
    <row r="8" spans="1:11" x14ac:dyDescent="0.35">
      <c r="A8" s="641">
        <v>7</v>
      </c>
      <c r="B8" s="641" t="s">
        <v>1497</v>
      </c>
      <c r="C8" s="641" t="s">
        <v>1095</v>
      </c>
      <c r="D8" s="641">
        <v>12.5</v>
      </c>
      <c r="E8" s="641">
        <v>1</v>
      </c>
      <c r="F8" s="641">
        <v>2</v>
      </c>
      <c r="G8" s="641" t="s">
        <v>1092</v>
      </c>
      <c r="H8" s="641">
        <v>2.5</v>
      </c>
      <c r="I8" s="641">
        <v>20</v>
      </c>
      <c r="J8" s="517">
        <v>20</v>
      </c>
      <c r="K8">
        <v>3</v>
      </c>
    </row>
    <row r="9" spans="1:11" x14ac:dyDescent="0.35">
      <c r="A9" s="641">
        <v>8</v>
      </c>
      <c r="B9" s="641" t="s">
        <v>1498</v>
      </c>
      <c r="C9" s="641" t="s">
        <v>1098</v>
      </c>
      <c r="D9" s="641">
        <v>40</v>
      </c>
      <c r="E9" s="641">
        <v>1</v>
      </c>
      <c r="F9" s="641">
        <v>2</v>
      </c>
      <c r="G9" s="641" t="s">
        <v>1092</v>
      </c>
      <c r="H9" s="641">
        <v>1</v>
      </c>
      <c r="I9" s="641">
        <v>20</v>
      </c>
      <c r="J9" s="517">
        <v>20</v>
      </c>
      <c r="K9">
        <v>3</v>
      </c>
    </row>
    <row r="10" spans="1:11" s="548" customFormat="1" ht="14.35" x14ac:dyDescent="0.45">
      <c r="A10" s="641">
        <v>9</v>
      </c>
      <c r="B10" s="826" t="s">
        <v>2411</v>
      </c>
      <c r="C10" s="827" t="s">
        <v>2412</v>
      </c>
      <c r="D10" s="826">
        <v>2</v>
      </c>
      <c r="E10" s="826">
        <v>1</v>
      </c>
      <c r="F10" s="825">
        <v>5</v>
      </c>
      <c r="G10" s="827" t="s">
        <v>736</v>
      </c>
      <c r="H10" s="642">
        <v>0.5</v>
      </c>
      <c r="I10" s="642">
        <v>2</v>
      </c>
      <c r="J10" s="548">
        <v>2</v>
      </c>
      <c r="K10" s="548">
        <v>3</v>
      </c>
    </row>
    <row r="11" spans="1:11" x14ac:dyDescent="0.35">
      <c r="A11" s="641">
        <v>10</v>
      </c>
      <c r="B11" s="641" t="s">
        <v>1502</v>
      </c>
      <c r="C11" s="641" t="s">
        <v>976</v>
      </c>
      <c r="D11" s="641">
        <v>2.5</v>
      </c>
      <c r="E11" s="641">
        <v>1</v>
      </c>
      <c r="F11" s="641"/>
      <c r="G11" s="641" t="s">
        <v>388</v>
      </c>
      <c r="H11" s="641">
        <v>1</v>
      </c>
      <c r="I11" s="641">
        <v>1000</v>
      </c>
      <c r="J11" s="517">
        <v>1000</v>
      </c>
      <c r="K11">
        <v>1</v>
      </c>
    </row>
    <row r="12" spans="1:11" x14ac:dyDescent="0.35">
      <c r="A12" s="641">
        <v>11</v>
      </c>
      <c r="B12" s="641" t="s">
        <v>1499</v>
      </c>
      <c r="C12" s="641" t="s">
        <v>976</v>
      </c>
      <c r="D12" s="641">
        <v>2.5</v>
      </c>
      <c r="E12" s="641">
        <v>1</v>
      </c>
      <c r="F12" s="641"/>
      <c r="G12" s="641" t="s">
        <v>388</v>
      </c>
      <c r="H12" s="641">
        <v>1</v>
      </c>
      <c r="I12" s="641">
        <v>1000</v>
      </c>
      <c r="J12" s="517">
        <v>1000</v>
      </c>
      <c r="K12">
        <v>1</v>
      </c>
    </row>
    <row r="13" spans="1:11" x14ac:dyDescent="0.35">
      <c r="A13" s="641">
        <v>12</v>
      </c>
      <c r="B13" s="642" t="s">
        <v>1500</v>
      </c>
      <c r="C13" s="642" t="s">
        <v>103</v>
      </c>
      <c r="D13" s="642">
        <v>0.01</v>
      </c>
      <c r="E13" s="642">
        <v>1</v>
      </c>
      <c r="F13" s="642">
        <v>6</v>
      </c>
      <c r="G13" s="642" t="s">
        <v>892</v>
      </c>
      <c r="H13" s="642">
        <v>5</v>
      </c>
      <c r="I13" s="642">
        <v>30</v>
      </c>
      <c r="J13" s="517">
        <v>30</v>
      </c>
      <c r="K13">
        <v>14</v>
      </c>
    </row>
    <row r="14" spans="1:11" x14ac:dyDescent="0.35">
      <c r="A14" s="641">
        <v>13</v>
      </c>
      <c r="B14" s="641" t="s">
        <v>1501</v>
      </c>
      <c r="C14" s="641" t="s">
        <v>960</v>
      </c>
      <c r="D14" s="641">
        <v>10</v>
      </c>
      <c r="E14" s="641">
        <v>11</v>
      </c>
      <c r="F14" s="641">
        <v>4</v>
      </c>
      <c r="G14" s="641" t="s">
        <v>961</v>
      </c>
      <c r="H14" s="641">
        <v>0.1</v>
      </c>
      <c r="I14" s="641">
        <v>1</v>
      </c>
      <c r="J14" s="517">
        <v>1</v>
      </c>
      <c r="K14">
        <v>3</v>
      </c>
    </row>
    <row r="15" spans="1:11" x14ac:dyDescent="0.35">
      <c r="A15" s="641">
        <v>14</v>
      </c>
      <c r="B15" s="518" t="s">
        <v>1503</v>
      </c>
      <c r="C15" s="263" t="s">
        <v>319</v>
      </c>
      <c r="D15" s="641">
        <v>10</v>
      </c>
      <c r="E15" s="641">
        <v>1</v>
      </c>
      <c r="F15" s="641">
        <v>3</v>
      </c>
      <c r="G15" s="263" t="s">
        <v>737</v>
      </c>
      <c r="H15" s="641">
        <v>1</v>
      </c>
      <c r="I15" s="641">
        <v>4</v>
      </c>
      <c r="J15" s="517">
        <v>4</v>
      </c>
      <c r="K15">
        <v>3</v>
      </c>
    </row>
    <row r="16" spans="1:11" x14ac:dyDescent="0.35">
      <c r="A16" s="641">
        <v>15</v>
      </c>
      <c r="B16" s="518" t="s">
        <v>1504</v>
      </c>
      <c r="C16" s="263" t="s">
        <v>2418</v>
      </c>
      <c r="D16" s="641">
        <v>100</v>
      </c>
      <c r="E16" s="641">
        <v>1</v>
      </c>
      <c r="F16" s="641">
        <v>9</v>
      </c>
      <c r="G16" s="263" t="s">
        <v>128</v>
      </c>
      <c r="H16" s="641">
        <v>0.01</v>
      </c>
      <c r="I16" s="641">
        <v>0.1</v>
      </c>
      <c r="J16" s="517">
        <v>0.1</v>
      </c>
      <c r="K16">
        <v>3</v>
      </c>
    </row>
    <row r="17" spans="1:11" x14ac:dyDescent="0.35">
      <c r="A17" s="641">
        <v>16</v>
      </c>
      <c r="B17" s="518" t="s">
        <v>1505</v>
      </c>
      <c r="C17" s="263" t="s">
        <v>1106</v>
      </c>
      <c r="D17" s="641">
        <v>1</v>
      </c>
      <c r="E17" s="641">
        <v>1</v>
      </c>
      <c r="F17" s="641">
        <v>2</v>
      </c>
      <c r="G17" s="263" t="s">
        <v>1092</v>
      </c>
      <c r="H17" s="641">
        <v>0.01</v>
      </c>
      <c r="I17" s="641">
        <v>1.5</v>
      </c>
      <c r="J17" s="517">
        <v>0.5</v>
      </c>
      <c r="K17">
        <v>14</v>
      </c>
    </row>
    <row r="18" spans="1:11" x14ac:dyDescent="0.35">
      <c r="A18" s="641">
        <v>17</v>
      </c>
      <c r="B18" s="518" t="s">
        <v>1506</v>
      </c>
      <c r="C18" s="263" t="s">
        <v>1507</v>
      </c>
      <c r="D18" s="641">
        <v>5</v>
      </c>
      <c r="E18" s="642">
        <v>1</v>
      </c>
      <c r="F18" s="641">
        <v>5</v>
      </c>
      <c r="G18" s="263" t="s">
        <v>736</v>
      </c>
      <c r="H18" s="641">
        <v>0.25</v>
      </c>
      <c r="I18" s="641">
        <v>3</v>
      </c>
      <c r="J18" s="517">
        <v>3</v>
      </c>
      <c r="K18">
        <v>3</v>
      </c>
    </row>
    <row r="19" spans="1:11" x14ac:dyDescent="0.35">
      <c r="A19" s="641">
        <v>18</v>
      </c>
      <c r="B19" s="641" t="s">
        <v>1516</v>
      </c>
      <c r="C19" s="641" t="s">
        <v>1517</v>
      </c>
      <c r="D19" s="641">
        <v>20</v>
      </c>
      <c r="E19" s="641">
        <v>1</v>
      </c>
      <c r="F19" s="641">
        <v>5</v>
      </c>
      <c r="G19" s="641" t="s">
        <v>736</v>
      </c>
      <c r="H19" s="641">
        <v>4</v>
      </c>
      <c r="I19" s="641">
        <v>7</v>
      </c>
      <c r="J19" s="517">
        <v>7</v>
      </c>
      <c r="K19">
        <v>3</v>
      </c>
    </row>
    <row r="20" spans="1:11" x14ac:dyDescent="0.35">
      <c r="A20" s="641">
        <v>19</v>
      </c>
      <c r="B20" s="518" t="s">
        <v>569</v>
      </c>
      <c r="C20" s="263" t="s">
        <v>247</v>
      </c>
      <c r="D20" s="641">
        <v>5</v>
      </c>
      <c r="E20" s="641">
        <v>1</v>
      </c>
      <c r="F20" s="641">
        <v>5</v>
      </c>
      <c r="G20" s="263" t="s">
        <v>736</v>
      </c>
      <c r="H20" s="641">
        <v>0.05</v>
      </c>
      <c r="I20" s="641">
        <v>5</v>
      </c>
      <c r="J20" s="517">
        <v>5</v>
      </c>
      <c r="K20">
        <v>3</v>
      </c>
    </row>
    <row r="21" spans="1:11" x14ac:dyDescent="0.35">
      <c r="A21" s="641">
        <v>20</v>
      </c>
      <c r="B21" s="518" t="s">
        <v>1508</v>
      </c>
      <c r="C21" s="263" t="s">
        <v>1511</v>
      </c>
      <c r="D21" s="641">
        <v>1</v>
      </c>
      <c r="E21" s="641">
        <v>1</v>
      </c>
      <c r="F21" s="641">
        <v>2</v>
      </c>
      <c r="G21" s="263" t="s">
        <v>1092</v>
      </c>
      <c r="H21" s="641">
        <v>0.25</v>
      </c>
      <c r="I21" s="641">
        <v>0.75</v>
      </c>
      <c r="J21" s="517">
        <v>0.75</v>
      </c>
      <c r="K21">
        <v>3</v>
      </c>
    </row>
    <row r="22" spans="1:11" x14ac:dyDescent="0.35">
      <c r="A22" s="641">
        <v>21</v>
      </c>
      <c r="B22" s="518" t="s">
        <v>260</v>
      </c>
      <c r="C22" s="263" t="s">
        <v>1111</v>
      </c>
      <c r="D22" s="641">
        <v>10</v>
      </c>
      <c r="E22" s="641">
        <v>1</v>
      </c>
      <c r="F22" s="641">
        <v>3</v>
      </c>
      <c r="G22" s="263" t="s">
        <v>737</v>
      </c>
      <c r="H22" s="641">
        <v>0.125</v>
      </c>
      <c r="I22" s="641">
        <v>0.5</v>
      </c>
      <c r="J22" s="517">
        <v>0.5</v>
      </c>
      <c r="K22">
        <v>3</v>
      </c>
    </row>
    <row r="23" spans="1:11" x14ac:dyDescent="0.35">
      <c r="A23" s="641">
        <v>22</v>
      </c>
      <c r="B23" s="641" t="s">
        <v>1518</v>
      </c>
      <c r="C23" s="641" t="s">
        <v>1519</v>
      </c>
      <c r="D23" s="641">
        <v>1</v>
      </c>
      <c r="E23" s="641">
        <v>1</v>
      </c>
      <c r="F23" s="641">
        <v>2</v>
      </c>
      <c r="G23" s="641" t="s">
        <v>1092</v>
      </c>
      <c r="H23" s="641">
        <v>0.5</v>
      </c>
      <c r="I23" s="641">
        <v>2</v>
      </c>
      <c r="J23" s="517">
        <v>2</v>
      </c>
      <c r="K23">
        <v>3</v>
      </c>
    </row>
    <row r="24" spans="1:11" x14ac:dyDescent="0.35">
      <c r="A24" s="641">
        <v>23</v>
      </c>
      <c r="B24" s="518" t="s">
        <v>1509</v>
      </c>
      <c r="C24" s="263" t="s">
        <v>1512</v>
      </c>
      <c r="D24" s="641">
        <v>25</v>
      </c>
      <c r="E24" s="641">
        <v>1</v>
      </c>
      <c r="F24" s="641">
        <v>2</v>
      </c>
      <c r="G24" s="263" t="s">
        <v>1092</v>
      </c>
      <c r="H24" s="641">
        <v>0.5</v>
      </c>
      <c r="I24" s="641">
        <v>8</v>
      </c>
      <c r="J24" s="517">
        <v>8</v>
      </c>
      <c r="K24">
        <v>3</v>
      </c>
    </row>
    <row r="25" spans="1:11" x14ac:dyDescent="0.35">
      <c r="A25" s="641">
        <v>24</v>
      </c>
      <c r="B25" s="518" t="s">
        <v>1510</v>
      </c>
      <c r="C25" s="263" t="s">
        <v>1112</v>
      </c>
      <c r="D25" s="641">
        <v>1</v>
      </c>
      <c r="E25" s="641">
        <v>1</v>
      </c>
      <c r="F25" s="641">
        <v>2</v>
      </c>
      <c r="G25" s="263" t="s">
        <v>1092</v>
      </c>
      <c r="H25" s="641">
        <v>0.05</v>
      </c>
      <c r="I25" s="641">
        <v>2</v>
      </c>
      <c r="J25" s="517">
        <v>2</v>
      </c>
      <c r="K25">
        <v>3</v>
      </c>
    </row>
    <row r="26" spans="1:11" x14ac:dyDescent="0.35">
      <c r="A26" s="641">
        <v>25</v>
      </c>
      <c r="B26" s="518" t="s">
        <v>1513</v>
      </c>
      <c r="C26" s="263" t="s">
        <v>1514</v>
      </c>
      <c r="D26" s="641">
        <v>10</v>
      </c>
      <c r="E26" s="641">
        <v>1</v>
      </c>
      <c r="F26" s="641">
        <v>5</v>
      </c>
      <c r="G26" s="263" t="s">
        <v>736</v>
      </c>
      <c r="H26" s="641">
        <v>0.3</v>
      </c>
      <c r="I26" s="641">
        <v>1.2</v>
      </c>
      <c r="J26" s="517">
        <v>1.2</v>
      </c>
      <c r="K26">
        <v>3</v>
      </c>
    </row>
    <row r="27" spans="1:11" x14ac:dyDescent="0.35">
      <c r="A27" s="641"/>
    </row>
    <row r="28" spans="1:11" x14ac:dyDescent="0.35">
      <c r="D28" s="517"/>
      <c r="E28" s="517"/>
      <c r="F28" s="517"/>
      <c r="G28" s="517"/>
      <c r="H28" s="517"/>
      <c r="I28" s="517"/>
      <c r="J28" s="517"/>
      <c r="K28" s="517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Advies">
    <tabColor rgb="FFFFC000"/>
  </sheetPr>
  <dimension ref="A1:H32"/>
  <sheetViews>
    <sheetView workbookViewId="0"/>
  </sheetViews>
  <sheetFormatPr defaultColWidth="9.1328125" defaultRowHeight="12.85" x14ac:dyDescent="0.35"/>
  <cols>
    <col min="1" max="1" width="31.1328125" style="271" customWidth="1"/>
    <col min="2" max="16384" width="9.1328125" style="271"/>
  </cols>
  <sheetData>
    <row r="1" spans="1:7" ht="13.2" x14ac:dyDescent="0.4">
      <c r="A1" s="598"/>
      <c r="B1" s="489">
        <v>1</v>
      </c>
      <c r="C1" s="489">
        <v>2</v>
      </c>
      <c r="D1" s="489">
        <v>3</v>
      </c>
      <c r="E1" s="489">
        <v>4</v>
      </c>
      <c r="F1" s="489">
        <v>5</v>
      </c>
      <c r="G1" s="489">
        <v>6</v>
      </c>
    </row>
    <row r="2" spans="1:7" x14ac:dyDescent="0.35">
      <c r="A2" s="941"/>
      <c r="B2" s="941"/>
      <c r="C2" s="941"/>
      <c r="D2" s="941"/>
      <c r="E2" s="941"/>
      <c r="F2" s="941"/>
      <c r="G2" s="941"/>
    </row>
    <row r="3" spans="1:7" ht="13.2" x14ac:dyDescent="0.4">
      <c r="A3" s="942" t="s">
        <v>1074</v>
      </c>
      <c r="B3" s="942"/>
      <c r="C3" s="942"/>
      <c r="D3" s="942"/>
      <c r="E3" s="942"/>
      <c r="F3" s="942"/>
      <c r="G3" s="942"/>
    </row>
    <row r="4" spans="1:7" x14ac:dyDescent="0.35">
      <c r="A4" s="490" t="s">
        <v>1075</v>
      </c>
      <c r="B4" s="491">
        <v>50</v>
      </c>
      <c r="C4" s="491">
        <v>80</v>
      </c>
      <c r="D4" s="491">
        <v>110</v>
      </c>
      <c r="E4" s="491">
        <v>150</v>
      </c>
      <c r="F4" s="491">
        <v>150</v>
      </c>
      <c r="G4" s="491">
        <v>150</v>
      </c>
    </row>
    <row r="5" spans="1:7" x14ac:dyDescent="0.35">
      <c r="A5" s="490" t="s">
        <v>1259</v>
      </c>
      <c r="B5" s="492">
        <f>80-((_Gewicht*1000)-500)/500*30</f>
        <v>-490</v>
      </c>
      <c r="C5" s="492">
        <f>110-((_Gewicht*1000)-500)/500*30</f>
        <v>-460</v>
      </c>
      <c r="D5" s="492">
        <f>150-((_Gewicht*1000)-500)/500*40</f>
        <v>-610</v>
      </c>
      <c r="E5" s="492">
        <f>160-((_Gewicht*1000)-500)/500*10</f>
        <v>-30</v>
      </c>
      <c r="F5" s="492">
        <v>160</v>
      </c>
      <c r="G5" s="492">
        <v>160</v>
      </c>
    </row>
    <row r="6" spans="1:7" x14ac:dyDescent="0.35">
      <c r="A6" s="606" t="s">
        <v>1076</v>
      </c>
      <c r="B6" s="491">
        <v>30</v>
      </c>
      <c r="C6" s="491">
        <v>50</v>
      </c>
      <c r="D6" s="491">
        <v>70</v>
      </c>
      <c r="E6" s="491">
        <v>90</v>
      </c>
      <c r="F6" s="491">
        <v>110</v>
      </c>
      <c r="G6" s="491">
        <v>150</v>
      </c>
    </row>
    <row r="7" spans="1:7" x14ac:dyDescent="0.35">
      <c r="A7" s="490"/>
      <c r="B7" s="491"/>
      <c r="C7" s="491"/>
      <c r="D7" s="491"/>
      <c r="E7" s="491"/>
      <c r="F7" s="491"/>
      <c r="G7" s="491"/>
    </row>
    <row r="8" spans="1:7" ht="13.2" x14ac:dyDescent="0.4">
      <c r="A8" s="493" t="s">
        <v>1077</v>
      </c>
      <c r="B8" s="494"/>
      <c r="C8" s="494"/>
      <c r="D8" s="494"/>
      <c r="E8" s="494"/>
      <c r="F8" s="494"/>
      <c r="G8" s="494"/>
    </row>
    <row r="9" spans="1:7" x14ac:dyDescent="0.35">
      <c r="A9" s="490" t="s">
        <v>1078</v>
      </c>
      <c r="B9" s="491"/>
      <c r="C9" s="491"/>
      <c r="D9" s="491"/>
      <c r="E9" s="491">
        <v>35</v>
      </c>
      <c r="F9" s="491">
        <v>35</v>
      </c>
      <c r="G9" s="491">
        <v>35</v>
      </c>
    </row>
    <row r="10" spans="1:7" x14ac:dyDescent="0.35">
      <c r="A10" s="490" t="s">
        <v>66</v>
      </c>
      <c r="B10" s="491"/>
      <c r="C10" s="491" t="s">
        <v>1079</v>
      </c>
      <c r="D10" s="491" t="s">
        <v>1079</v>
      </c>
      <c r="E10" s="491"/>
      <c r="F10" s="491"/>
      <c r="G10" s="491"/>
    </row>
    <row r="11" spans="1:7" x14ac:dyDescent="0.35">
      <c r="A11" s="490" t="s">
        <v>1027</v>
      </c>
      <c r="B11" s="491"/>
      <c r="C11" s="491" t="s">
        <v>1080</v>
      </c>
      <c r="D11" s="491" t="s">
        <v>1080</v>
      </c>
      <c r="E11" s="491"/>
      <c r="F11" s="491"/>
      <c r="G11" s="491"/>
    </row>
    <row r="12" spans="1:7" ht="15.1" x14ac:dyDescent="0.5">
      <c r="A12" s="490" t="s">
        <v>1081</v>
      </c>
      <c r="B12" s="491" t="s">
        <v>1079</v>
      </c>
      <c r="C12" s="491" t="s">
        <v>1079</v>
      </c>
      <c r="D12" s="491" t="s">
        <v>1079</v>
      </c>
      <c r="E12" s="491"/>
      <c r="F12" s="491"/>
      <c r="G12" s="491"/>
    </row>
    <row r="13" spans="1:7" ht="15.1" x14ac:dyDescent="0.5">
      <c r="A13" s="490" t="s">
        <v>1082</v>
      </c>
      <c r="B13" s="491">
        <v>0.3</v>
      </c>
      <c r="C13" s="491">
        <v>0.3</v>
      </c>
      <c r="D13" s="491">
        <v>0.3</v>
      </c>
      <c r="E13" s="491"/>
      <c r="F13" s="491"/>
      <c r="G13" s="491"/>
    </row>
    <row r="14" spans="1:7" x14ac:dyDescent="0.35">
      <c r="A14" s="490" t="s">
        <v>454</v>
      </c>
      <c r="B14" s="491"/>
      <c r="C14" s="491">
        <v>1</v>
      </c>
      <c r="D14" s="491">
        <v>1</v>
      </c>
      <c r="E14" s="491"/>
      <c r="F14" s="491"/>
      <c r="G14" s="491"/>
    </row>
    <row r="15" spans="1:7" x14ac:dyDescent="0.35">
      <c r="A15" s="490" t="s">
        <v>1083</v>
      </c>
      <c r="B15" s="491"/>
      <c r="C15" s="491">
        <v>7.5</v>
      </c>
      <c r="D15" s="491">
        <v>15</v>
      </c>
      <c r="E15" s="491"/>
      <c r="F15" s="491"/>
      <c r="G15" s="491"/>
    </row>
    <row r="16" spans="1:7" ht="25.65" x14ac:dyDescent="0.35">
      <c r="A16" s="490" t="s">
        <v>1084</v>
      </c>
      <c r="B16" s="491"/>
      <c r="C16" s="491">
        <v>2.5</v>
      </c>
      <c r="D16" s="491">
        <v>5</v>
      </c>
      <c r="E16" s="491">
        <v>7.5</v>
      </c>
      <c r="F16" s="491">
        <v>10</v>
      </c>
      <c r="G16" s="491">
        <v>12</v>
      </c>
    </row>
    <row r="17" spans="1:8" x14ac:dyDescent="0.35">
      <c r="A17" s="490"/>
      <c r="B17" s="490"/>
      <c r="C17" s="490"/>
      <c r="D17" s="272"/>
      <c r="E17" s="272"/>
      <c r="F17" s="272"/>
      <c r="G17" s="272"/>
    </row>
    <row r="19" spans="1:8" x14ac:dyDescent="0.35">
      <c r="B19" s="495"/>
      <c r="C19" s="495"/>
      <c r="D19" s="495"/>
      <c r="E19" s="495"/>
      <c r="F19" s="495"/>
      <c r="G19" s="495"/>
    </row>
    <row r="21" spans="1:8" x14ac:dyDescent="0.35">
      <c r="A21" s="279"/>
      <c r="B21" s="279"/>
      <c r="C21" s="279"/>
      <c r="D21" s="279"/>
      <c r="E21" s="279"/>
      <c r="F21" s="279"/>
      <c r="G21" s="279"/>
      <c r="H21" s="279"/>
    </row>
    <row r="22" spans="1:8" x14ac:dyDescent="0.35">
      <c r="A22" s="279"/>
      <c r="B22" s="279"/>
      <c r="C22" s="279"/>
      <c r="D22" s="279"/>
      <c r="E22" s="279"/>
      <c r="F22" s="279"/>
      <c r="G22" s="279"/>
      <c r="H22" s="279"/>
    </row>
    <row r="23" spans="1:8" x14ac:dyDescent="0.35">
      <c r="A23" s="279"/>
      <c r="B23" s="279"/>
      <c r="C23" s="279"/>
      <c r="D23" s="279"/>
      <c r="E23" s="279"/>
      <c r="F23" s="279"/>
      <c r="G23" s="279"/>
      <c r="H23" s="279"/>
    </row>
    <row r="27" spans="1:8" ht="12.75" customHeight="1" x14ac:dyDescent="0.35"/>
    <row r="32" spans="1:8" ht="12.75" customHeight="1" x14ac:dyDescent="0.35"/>
  </sheetData>
  <mergeCells count="2">
    <mergeCell ref="A2:G2"/>
    <mergeCell ref="A3:G3"/>
  </mergeCells>
  <pageMargins left="0.75" right="0.75" top="1" bottom="1" header="0.5" footer="0.5"/>
  <headerFooter alignWithMargins="0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Lijsten">
    <tabColor rgb="FFFFC000"/>
  </sheetPr>
  <dimension ref="A1:AE292"/>
  <sheetViews>
    <sheetView workbookViewId="0">
      <selection activeCell="AE5" sqref="AE5"/>
    </sheetView>
  </sheetViews>
  <sheetFormatPr defaultColWidth="9.1328125" defaultRowHeight="12.85" x14ac:dyDescent="0.35"/>
  <cols>
    <col min="1" max="1" width="14.265625" style="641" customWidth="1"/>
    <col min="2" max="2" width="8.59765625" style="641" customWidth="1"/>
    <col min="3" max="3" width="6" style="641" bestFit="1" customWidth="1"/>
    <col min="4" max="4" width="2.265625" style="641" bestFit="1" customWidth="1"/>
    <col min="5" max="5" width="5" style="641" bestFit="1" customWidth="1"/>
    <col min="6" max="6" width="3.265625" style="641" bestFit="1" customWidth="1"/>
    <col min="7" max="7" width="3.59765625" style="641" bestFit="1" customWidth="1"/>
    <col min="8" max="8" width="4.73046875" style="641" bestFit="1" customWidth="1"/>
    <col min="9" max="9" width="2" style="641" bestFit="1" customWidth="1"/>
    <col min="10" max="10" width="12.73046875" style="641" customWidth="1"/>
    <col min="11" max="11" width="19.265625" style="641" customWidth="1"/>
    <col min="12" max="12" width="24" style="641" bestFit="1" customWidth="1"/>
    <col min="13" max="13" width="27.3984375" style="641" bestFit="1" customWidth="1"/>
    <col min="14" max="25" width="11.265625" style="641" customWidth="1"/>
    <col min="26" max="27" width="9.1328125" style="641"/>
    <col min="28" max="28" width="14.59765625" style="641" customWidth="1"/>
    <col min="29" max="29" width="23" style="641" bestFit="1" customWidth="1"/>
    <col min="30" max="30" width="9.1328125" style="641"/>
    <col min="31" max="31" width="23" style="641" bestFit="1" customWidth="1"/>
    <col min="32" max="16384" width="9.1328125" style="641"/>
  </cols>
  <sheetData>
    <row r="1" spans="1:31" ht="13.2" x14ac:dyDescent="0.4">
      <c r="A1" s="944" t="s">
        <v>2257</v>
      </c>
      <c r="B1" s="944"/>
      <c r="C1" s="944"/>
      <c r="D1" s="944"/>
      <c r="E1" s="944"/>
      <c r="F1" s="944"/>
      <c r="G1" s="944"/>
      <c r="H1" s="944"/>
      <c r="I1" s="945" t="s">
        <v>2258</v>
      </c>
      <c r="J1" s="945"/>
      <c r="K1" s="945"/>
      <c r="L1" s="943" t="s">
        <v>2259</v>
      </c>
      <c r="M1" s="943"/>
      <c r="N1" s="943"/>
      <c r="O1" s="943"/>
      <c r="P1" s="943"/>
      <c r="Q1" s="943"/>
      <c r="R1" s="943"/>
      <c r="S1" s="943"/>
      <c r="T1" s="943"/>
      <c r="U1" s="943"/>
      <c r="V1" s="943"/>
      <c r="W1" s="943"/>
      <c r="X1" s="943"/>
      <c r="Y1" s="943"/>
      <c r="Z1" s="943"/>
      <c r="AB1" s="943" t="s">
        <v>2264</v>
      </c>
      <c r="AC1" s="943"/>
      <c r="AE1" s="830" t="s">
        <v>2264</v>
      </c>
    </row>
    <row r="2" spans="1:31" ht="13.2" x14ac:dyDescent="0.4">
      <c r="A2" s="641" t="s">
        <v>329</v>
      </c>
      <c r="B2" s="641" t="s">
        <v>1035</v>
      </c>
      <c r="C2" s="641" t="s">
        <v>472</v>
      </c>
      <c r="D2" s="641" t="s">
        <v>473</v>
      </c>
      <c r="E2" s="641" t="s">
        <v>465</v>
      </c>
      <c r="F2" s="641" t="s">
        <v>474</v>
      </c>
      <c r="G2" s="641" t="s">
        <v>475</v>
      </c>
      <c r="H2" s="641" t="s">
        <v>1034</v>
      </c>
      <c r="J2" s="641" t="s">
        <v>685</v>
      </c>
      <c r="K2" s="641" t="s">
        <v>1087</v>
      </c>
      <c r="L2" s="652" t="s">
        <v>1987</v>
      </c>
      <c r="M2" s="652" t="s">
        <v>582</v>
      </c>
      <c r="N2" s="652" t="s">
        <v>472</v>
      </c>
      <c r="O2" s="652" t="s">
        <v>473</v>
      </c>
      <c r="P2" s="652" t="s">
        <v>474</v>
      </c>
      <c r="Q2" s="652" t="s">
        <v>475</v>
      </c>
      <c r="R2" s="652" t="s">
        <v>1034</v>
      </c>
      <c r="S2" s="652" t="s">
        <v>470</v>
      </c>
      <c r="T2" s="652" t="s">
        <v>1035</v>
      </c>
      <c r="U2" s="652" t="s">
        <v>1036</v>
      </c>
      <c r="V2" s="652" t="s">
        <v>1037</v>
      </c>
      <c r="W2" s="652" t="s">
        <v>1088</v>
      </c>
      <c r="X2" s="652" t="s">
        <v>1046</v>
      </c>
      <c r="Y2" s="652" t="s">
        <v>1682</v>
      </c>
      <c r="Z2" s="652" t="s">
        <v>1772</v>
      </c>
      <c r="AB2" s="753" t="s">
        <v>1659</v>
      </c>
      <c r="AC2" s="753" t="s">
        <v>1660</v>
      </c>
      <c r="AE2" s="831"/>
    </row>
    <row r="3" spans="1:31" x14ac:dyDescent="0.35">
      <c r="I3" s="641">
        <v>1</v>
      </c>
      <c r="AE3" s="831" t="s">
        <v>1069</v>
      </c>
    </row>
    <row r="4" spans="1:31" x14ac:dyDescent="0.35">
      <c r="A4" s="641" t="s">
        <v>1091</v>
      </c>
      <c r="B4" s="641">
        <v>0.05</v>
      </c>
      <c r="I4" s="641">
        <v>2</v>
      </c>
      <c r="J4" s="641" t="s">
        <v>1092</v>
      </c>
      <c r="K4" s="641">
        <v>1.44</v>
      </c>
      <c r="L4" s="641" t="s">
        <v>373</v>
      </c>
      <c r="M4" s="641" t="s">
        <v>373</v>
      </c>
      <c r="N4" s="683">
        <f t="shared" ref="N4:N19" si="0">VLOOKUP(M4,tblVoedingBasislijst,6,FALSE)*tblOmrekenNA/100</f>
        <v>8.6956000000000012E-3</v>
      </c>
      <c r="O4" s="683">
        <f t="shared" ref="O4:O19" si="1">VLOOKUP(M4,tblVoedingBasislijst,7,FALSE)*tblOmrekenK/100</f>
        <v>1.2820500000000002E-2</v>
      </c>
      <c r="P4" s="683">
        <f t="shared" ref="P4:P19" si="2">VLOOKUP(M4,tblVoedingBasislijst,8,FALSE)*tblOmrekenCa/100</f>
        <v>7.4700000000000001E-3</v>
      </c>
      <c r="Q4" s="683">
        <f t="shared" ref="Q4:Q19" si="3">VLOOKUP(M4,tblVoedingBasislijst,10,FALSE)*tblOmrekenMg/100</f>
        <v>1.23423E-3</v>
      </c>
      <c r="R4" s="683">
        <f t="shared" ref="R4:R19" si="4">VLOOKUP(M4,tblVoedingBasislijst,9,FALSE)*tblOmrekenP/100</f>
        <v>4.8433499999999997E-3</v>
      </c>
      <c r="S4" s="683">
        <f t="shared" ref="S4:S19" si="5">VLOOKUP(M4,tblVoedingBasislijst,3,FALSE)/100</f>
        <v>0.01</v>
      </c>
      <c r="T4" s="683">
        <f t="shared" ref="T4:T19" si="6">VLOOKUP(M4,tblVoedingBasislijst,4,FALSE)/100</f>
        <v>7.0000000000000007E-2</v>
      </c>
      <c r="U4" s="683">
        <f t="shared" ref="U4:U19" si="7">VLOOKUP(M4,tblVoedingBasislijst,5,FALSE)/100</f>
        <v>0.04</v>
      </c>
      <c r="V4" s="683">
        <f t="shared" ref="V4:V19" si="8">VLOOKUP(M4,tblVoedingBasislijst,2,FALSE)/100</f>
        <v>0.68</v>
      </c>
      <c r="W4" s="683">
        <f t="shared" ref="W4:W19" si="9">VLOOKUP(M4,tblVoedingBasislijst,13,FALSE)*tblOmrekenCl/100</f>
        <v>1.212858E-2</v>
      </c>
      <c r="X4" s="683">
        <f t="shared" ref="X4:X19" si="10">VLOOKUP(M4,tblVoedingBasislijst,12,FALSE)*tblOmrekenVitD/100</f>
        <v>0</v>
      </c>
      <c r="Y4" s="683">
        <f t="shared" ref="Y4:Y19" si="11">VLOOKUP(M4,tblVoedingBasislijst,11,FALSE)*tblOmrekenFe/100</f>
        <v>1.7899999999999998E-5</v>
      </c>
      <c r="Z4" s="683" t="s">
        <v>373</v>
      </c>
      <c r="AA4" s="683"/>
      <c r="AB4" s="641">
        <v>2.2000000000000002</v>
      </c>
      <c r="AC4" s="641">
        <v>0.5</v>
      </c>
      <c r="AE4" s="831" t="s">
        <v>2495</v>
      </c>
    </row>
    <row r="5" spans="1:31" x14ac:dyDescent="0.35">
      <c r="A5" s="641" t="s">
        <v>1096</v>
      </c>
      <c r="B5" s="641">
        <v>0.1</v>
      </c>
      <c r="I5" s="641">
        <v>3</v>
      </c>
      <c r="J5" s="641" t="s">
        <v>737</v>
      </c>
      <c r="K5" s="641">
        <v>1</v>
      </c>
      <c r="L5" s="641" t="s">
        <v>1687</v>
      </c>
      <c r="M5" s="641" t="s">
        <v>1687</v>
      </c>
      <c r="N5" s="683">
        <f t="shared" si="0"/>
        <v>3.0434599999999999E-2</v>
      </c>
      <c r="O5" s="683">
        <f t="shared" si="1"/>
        <v>2.0512800000000001E-2</v>
      </c>
      <c r="P5" s="683">
        <f t="shared" si="2"/>
        <v>2.4899999999999999E-2</v>
      </c>
      <c r="Q5" s="683">
        <f t="shared" si="3"/>
        <v>3.2912799999999997E-3</v>
      </c>
      <c r="R5" s="683">
        <f t="shared" si="4"/>
        <v>1.8081839999999998E-2</v>
      </c>
      <c r="S5" s="683">
        <f t="shared" si="5"/>
        <v>2.6000000000000002E-2</v>
      </c>
      <c r="T5" s="683">
        <f t="shared" si="6"/>
        <v>8.4000000000000005E-2</v>
      </c>
      <c r="U5" s="683">
        <f t="shared" si="7"/>
        <v>3.9E-2</v>
      </c>
      <c r="V5" s="683">
        <f t="shared" si="8"/>
        <v>0.8</v>
      </c>
      <c r="W5" s="683">
        <f t="shared" si="9"/>
        <v>2.3975099999999999E-2</v>
      </c>
      <c r="X5" s="683">
        <f t="shared" si="10"/>
        <v>1.2</v>
      </c>
      <c r="Y5" s="683">
        <f t="shared" si="11"/>
        <v>2.8639999999999997E-4</v>
      </c>
      <c r="Z5" s="683" t="s">
        <v>1773</v>
      </c>
      <c r="AA5" s="683"/>
      <c r="AB5" s="641">
        <v>4.4000000000000004</v>
      </c>
      <c r="AC5" s="641">
        <v>1</v>
      </c>
    </row>
    <row r="6" spans="1:31" x14ac:dyDescent="0.35">
      <c r="A6" s="641" t="s">
        <v>1099</v>
      </c>
      <c r="B6" s="641">
        <v>0.15</v>
      </c>
      <c r="I6" s="641">
        <v>4</v>
      </c>
      <c r="J6" s="641" t="s">
        <v>961</v>
      </c>
      <c r="K6" s="641">
        <v>1440</v>
      </c>
      <c r="L6" s="641" t="s">
        <v>1688</v>
      </c>
      <c r="M6" s="641" t="s">
        <v>1688</v>
      </c>
      <c r="N6" s="683">
        <f t="shared" si="0"/>
        <v>1.217384E-2</v>
      </c>
      <c r="O6" s="683">
        <f t="shared" si="1"/>
        <v>1.9743570000000002E-2</v>
      </c>
      <c r="P6" s="683">
        <f t="shared" si="2"/>
        <v>2.1662999999999998E-2</v>
      </c>
      <c r="Q6" s="683">
        <f t="shared" si="3"/>
        <v>2.8798700000000001E-3</v>
      </c>
      <c r="R6" s="683">
        <f t="shared" si="4"/>
        <v>1.517583E-2</v>
      </c>
      <c r="S6" s="683">
        <f t="shared" si="5"/>
        <v>0.02</v>
      </c>
      <c r="T6" s="683">
        <f t="shared" si="6"/>
        <v>7.4999999999999997E-2</v>
      </c>
      <c r="U6" s="683">
        <f t="shared" si="7"/>
        <v>0.04</v>
      </c>
      <c r="V6" s="683">
        <f t="shared" si="8"/>
        <v>0.75</v>
      </c>
      <c r="W6" s="683">
        <f t="shared" si="9"/>
        <v>1.5513299999999999E-2</v>
      </c>
      <c r="X6" s="683">
        <f t="shared" si="10"/>
        <v>0.68</v>
      </c>
      <c r="Y6" s="683">
        <f t="shared" si="11"/>
        <v>2.1479999999999999E-4</v>
      </c>
      <c r="Z6" s="683" t="s">
        <v>1773</v>
      </c>
      <c r="AA6" s="683"/>
      <c r="AC6" s="641">
        <v>1.5</v>
      </c>
    </row>
    <row r="7" spans="1:31" x14ac:dyDescent="0.35">
      <c r="A7" s="641" t="s">
        <v>1101</v>
      </c>
      <c r="B7" s="641">
        <v>0.2</v>
      </c>
      <c r="I7" s="641">
        <v>5</v>
      </c>
      <c r="J7" s="641" t="s">
        <v>736</v>
      </c>
      <c r="K7" s="641">
        <v>24</v>
      </c>
      <c r="L7" s="641" t="s">
        <v>1093</v>
      </c>
      <c r="M7" s="641" t="s">
        <v>1093</v>
      </c>
      <c r="N7" s="683">
        <f t="shared" si="0"/>
        <v>7.3912600000000002E-3</v>
      </c>
      <c r="O7" s="683">
        <f t="shared" si="1"/>
        <v>1.7435880000000001E-2</v>
      </c>
      <c r="P7" s="683">
        <f t="shared" si="2"/>
        <v>1.4193000000000001E-2</v>
      </c>
      <c r="Q7" s="683">
        <f t="shared" si="3"/>
        <v>2.0981909999999997E-3</v>
      </c>
      <c r="R7" s="683">
        <f t="shared" si="4"/>
        <v>1.033248E-2</v>
      </c>
      <c r="S7" s="683">
        <f t="shared" si="5"/>
        <v>1.3000000000000001E-2</v>
      </c>
      <c r="T7" s="683">
        <f t="shared" si="6"/>
        <v>7.2999999999999995E-2</v>
      </c>
      <c r="U7" s="683">
        <f t="shared" si="7"/>
        <v>3.4000000000000002E-2</v>
      </c>
      <c r="V7" s="683">
        <f t="shared" si="8"/>
        <v>0.66</v>
      </c>
      <c r="W7" s="683">
        <f t="shared" si="9"/>
        <v>1.1846520000000001E-2</v>
      </c>
      <c r="X7" s="683">
        <f t="shared" si="10"/>
        <v>3.48</v>
      </c>
      <c r="Y7" s="683">
        <f t="shared" si="11"/>
        <v>6.981E-4</v>
      </c>
      <c r="Z7" s="683" t="s">
        <v>1773</v>
      </c>
      <c r="AA7" s="683"/>
      <c r="AC7" s="641">
        <v>2</v>
      </c>
    </row>
    <row r="8" spans="1:31" x14ac:dyDescent="0.35">
      <c r="A8" s="641" t="s">
        <v>1103</v>
      </c>
      <c r="B8" s="641">
        <v>0.25</v>
      </c>
      <c r="I8" s="641">
        <v>6</v>
      </c>
      <c r="J8" s="641" t="s">
        <v>892</v>
      </c>
      <c r="K8" s="641">
        <v>1.4400000000000001E-3</v>
      </c>
      <c r="L8" s="641" t="s">
        <v>1752</v>
      </c>
      <c r="M8" s="641" t="s">
        <v>1752</v>
      </c>
      <c r="N8" s="683">
        <f t="shared" si="0"/>
        <v>9.9999400000000006E-3</v>
      </c>
      <c r="O8" s="683">
        <f t="shared" si="1"/>
        <v>1.8974339999999999E-2</v>
      </c>
      <c r="P8" s="683">
        <f t="shared" si="2"/>
        <v>1.6184999999999998E-2</v>
      </c>
      <c r="Q8" s="683">
        <f t="shared" si="3"/>
        <v>1.974768E-3</v>
      </c>
      <c r="R8" s="683">
        <f t="shared" si="4"/>
        <v>1.162404E-2</v>
      </c>
      <c r="S8" s="683">
        <f t="shared" si="5"/>
        <v>1.3999999999999999E-2</v>
      </c>
      <c r="T8" s="683">
        <f t="shared" si="6"/>
        <v>8.5999999999999993E-2</v>
      </c>
      <c r="U8" s="683">
        <f t="shared" si="7"/>
        <v>0.03</v>
      </c>
      <c r="V8" s="683">
        <f t="shared" si="8"/>
        <v>0.68</v>
      </c>
      <c r="W8" s="683">
        <f t="shared" si="9"/>
        <v>1.3256820000000001E-2</v>
      </c>
      <c r="X8" s="683">
        <f t="shared" si="10"/>
        <v>0.56000000000000005</v>
      </c>
      <c r="Y8" s="683">
        <f t="shared" si="11"/>
        <v>1.253E-3</v>
      </c>
      <c r="Z8" s="683" t="s">
        <v>1773</v>
      </c>
      <c r="AA8" s="683"/>
      <c r="AC8" s="641">
        <v>2.5</v>
      </c>
    </row>
    <row r="9" spans="1:31" x14ac:dyDescent="0.35">
      <c r="A9" s="641" t="s">
        <v>1105</v>
      </c>
      <c r="B9" s="641">
        <v>0.3</v>
      </c>
      <c r="I9" s="641">
        <v>7</v>
      </c>
      <c r="J9" s="641" t="s">
        <v>1496</v>
      </c>
      <c r="K9" s="641">
        <v>2.4E-2</v>
      </c>
      <c r="L9" s="641" t="s">
        <v>1753</v>
      </c>
      <c r="M9" s="641" t="s">
        <v>1753</v>
      </c>
      <c r="N9" s="683">
        <f t="shared" si="0"/>
        <v>8.6956000000000012E-3</v>
      </c>
      <c r="O9" s="683">
        <f t="shared" si="1"/>
        <v>1.2820500000000002E-2</v>
      </c>
      <c r="P9" s="683">
        <f t="shared" si="2"/>
        <v>7.4700000000000001E-3</v>
      </c>
      <c r="Q9" s="683">
        <f t="shared" si="3"/>
        <v>1.23423E-3</v>
      </c>
      <c r="R9" s="683">
        <f t="shared" si="4"/>
        <v>4.8433499999999997E-3</v>
      </c>
      <c r="S9" s="683">
        <f t="shared" si="5"/>
        <v>0.01</v>
      </c>
      <c r="T9" s="683">
        <f t="shared" si="6"/>
        <v>7.0000000000000007E-2</v>
      </c>
      <c r="U9" s="683">
        <f t="shared" si="7"/>
        <v>0.04</v>
      </c>
      <c r="V9" s="683">
        <f t="shared" si="8"/>
        <v>0.68</v>
      </c>
      <c r="W9" s="683">
        <f t="shared" si="9"/>
        <v>1.212858E-2</v>
      </c>
      <c r="X9" s="683">
        <f t="shared" si="10"/>
        <v>0</v>
      </c>
      <c r="Y9" s="683">
        <f t="shared" si="11"/>
        <v>1.7899999999999998E-5</v>
      </c>
      <c r="Z9" s="683" t="s">
        <v>373</v>
      </c>
      <c r="AA9" s="683"/>
      <c r="AC9" s="641">
        <v>3</v>
      </c>
    </row>
    <row r="10" spans="1:31" x14ac:dyDescent="0.35">
      <c r="A10" s="641" t="s">
        <v>1107</v>
      </c>
      <c r="B10" s="641">
        <v>0.35</v>
      </c>
      <c r="I10" s="641">
        <v>8</v>
      </c>
      <c r="J10" s="641" t="s">
        <v>738</v>
      </c>
      <c r="K10" s="641">
        <v>1</v>
      </c>
      <c r="L10" s="641" t="s">
        <v>1754</v>
      </c>
      <c r="M10" s="641" t="s">
        <v>1754</v>
      </c>
      <c r="N10" s="683">
        <f t="shared" si="0"/>
        <v>8.6956000000000012E-3</v>
      </c>
      <c r="O10" s="683">
        <f t="shared" si="1"/>
        <v>1.2820500000000002E-2</v>
      </c>
      <c r="P10" s="683">
        <f t="shared" si="2"/>
        <v>7.4700000000000001E-3</v>
      </c>
      <c r="Q10" s="683">
        <f t="shared" si="3"/>
        <v>1.23423E-3</v>
      </c>
      <c r="R10" s="683">
        <f t="shared" si="4"/>
        <v>4.8433499999999997E-3</v>
      </c>
      <c r="S10" s="683">
        <f t="shared" si="5"/>
        <v>0.01</v>
      </c>
      <c r="T10" s="683">
        <f t="shared" si="6"/>
        <v>7.0000000000000007E-2</v>
      </c>
      <c r="U10" s="683">
        <f t="shared" si="7"/>
        <v>0.04</v>
      </c>
      <c r="V10" s="683">
        <f t="shared" si="8"/>
        <v>0.68</v>
      </c>
      <c r="W10" s="683">
        <f t="shared" si="9"/>
        <v>1.212858E-2</v>
      </c>
      <c r="X10" s="683">
        <f t="shared" si="10"/>
        <v>0</v>
      </c>
      <c r="Y10" s="683">
        <f t="shared" si="11"/>
        <v>1.7899999999999998E-5</v>
      </c>
      <c r="Z10" s="683" t="s">
        <v>373</v>
      </c>
      <c r="AA10" s="683"/>
      <c r="AC10" s="641">
        <v>3.5</v>
      </c>
    </row>
    <row r="11" spans="1:31" x14ac:dyDescent="0.35">
      <c r="A11" s="641" t="s">
        <v>1108</v>
      </c>
      <c r="B11" s="641">
        <v>0.4</v>
      </c>
      <c r="I11" s="641">
        <v>9</v>
      </c>
      <c r="J11" s="263" t="s">
        <v>128</v>
      </c>
      <c r="K11" s="641">
        <v>24</v>
      </c>
      <c r="L11" s="641" t="s">
        <v>1755</v>
      </c>
      <c r="M11" s="641" t="s">
        <v>1755</v>
      </c>
      <c r="N11" s="683">
        <f t="shared" si="0"/>
        <v>8.6956000000000012E-3</v>
      </c>
      <c r="O11" s="683">
        <f t="shared" si="1"/>
        <v>1.2820500000000002E-2</v>
      </c>
      <c r="P11" s="683">
        <f t="shared" si="2"/>
        <v>7.4700000000000001E-3</v>
      </c>
      <c r="Q11" s="683">
        <f t="shared" si="3"/>
        <v>1.23423E-3</v>
      </c>
      <c r="R11" s="683">
        <f t="shared" si="4"/>
        <v>4.8433499999999997E-3</v>
      </c>
      <c r="S11" s="683">
        <f t="shared" si="5"/>
        <v>0.01</v>
      </c>
      <c r="T11" s="683">
        <f t="shared" si="6"/>
        <v>7.0000000000000007E-2</v>
      </c>
      <c r="U11" s="683">
        <f t="shared" si="7"/>
        <v>0.04</v>
      </c>
      <c r="V11" s="683">
        <f t="shared" si="8"/>
        <v>0.68</v>
      </c>
      <c r="W11" s="683">
        <f t="shared" si="9"/>
        <v>1.212858E-2</v>
      </c>
      <c r="X11" s="683">
        <f t="shared" si="10"/>
        <v>0</v>
      </c>
      <c r="Y11" s="683">
        <f t="shared" si="11"/>
        <v>1.7899999999999998E-5</v>
      </c>
      <c r="Z11" s="683" t="s">
        <v>373</v>
      </c>
      <c r="AA11" s="683"/>
      <c r="AC11" s="641">
        <v>4</v>
      </c>
    </row>
    <row r="12" spans="1:31" x14ac:dyDescent="0.35">
      <c r="A12" s="641" t="s">
        <v>1109</v>
      </c>
      <c r="B12" s="641">
        <v>0.45</v>
      </c>
      <c r="L12" s="641" t="s">
        <v>1756</v>
      </c>
      <c r="M12" s="641" t="s">
        <v>1756</v>
      </c>
      <c r="N12" s="683">
        <f t="shared" si="0"/>
        <v>8.6956000000000012E-3</v>
      </c>
      <c r="O12" s="683">
        <f t="shared" si="1"/>
        <v>1.2820500000000002E-2</v>
      </c>
      <c r="P12" s="683">
        <f t="shared" si="2"/>
        <v>7.4700000000000001E-3</v>
      </c>
      <c r="Q12" s="683">
        <f t="shared" si="3"/>
        <v>1.23423E-3</v>
      </c>
      <c r="R12" s="683">
        <f t="shared" si="4"/>
        <v>4.8433499999999997E-3</v>
      </c>
      <c r="S12" s="683">
        <f t="shared" si="5"/>
        <v>0.01</v>
      </c>
      <c r="T12" s="683">
        <f t="shared" si="6"/>
        <v>7.0000000000000007E-2</v>
      </c>
      <c r="U12" s="683">
        <f t="shared" si="7"/>
        <v>0.04</v>
      </c>
      <c r="V12" s="683">
        <f t="shared" si="8"/>
        <v>0.68</v>
      </c>
      <c r="W12" s="683">
        <f t="shared" si="9"/>
        <v>1.212858E-2</v>
      </c>
      <c r="X12" s="683">
        <f t="shared" si="10"/>
        <v>0</v>
      </c>
      <c r="Y12" s="683">
        <f t="shared" si="11"/>
        <v>1.7899999999999998E-5</v>
      </c>
      <c r="Z12" s="683" t="s">
        <v>373</v>
      </c>
      <c r="AA12" s="683"/>
      <c r="AC12" s="641">
        <v>4.5</v>
      </c>
    </row>
    <row r="13" spans="1:31" x14ac:dyDescent="0.35">
      <c r="A13" s="641" t="s">
        <v>1110</v>
      </c>
      <c r="B13" s="641">
        <v>0.5</v>
      </c>
      <c r="L13" s="641" t="s">
        <v>1757</v>
      </c>
      <c r="M13" s="641" t="s">
        <v>1757</v>
      </c>
      <c r="N13" s="683">
        <f t="shared" si="0"/>
        <v>8.6956000000000012E-3</v>
      </c>
      <c r="O13" s="683">
        <f t="shared" si="1"/>
        <v>1.2820500000000002E-2</v>
      </c>
      <c r="P13" s="683">
        <f t="shared" si="2"/>
        <v>7.4700000000000001E-3</v>
      </c>
      <c r="Q13" s="683">
        <f t="shared" si="3"/>
        <v>1.23423E-3</v>
      </c>
      <c r="R13" s="683">
        <f t="shared" si="4"/>
        <v>4.8433499999999997E-3</v>
      </c>
      <c r="S13" s="683">
        <f t="shared" si="5"/>
        <v>0.01</v>
      </c>
      <c r="T13" s="683">
        <f t="shared" si="6"/>
        <v>7.0000000000000007E-2</v>
      </c>
      <c r="U13" s="683">
        <f t="shared" si="7"/>
        <v>0.04</v>
      </c>
      <c r="V13" s="683">
        <f t="shared" si="8"/>
        <v>0.68</v>
      </c>
      <c r="W13" s="683">
        <f t="shared" si="9"/>
        <v>1.212858E-2</v>
      </c>
      <c r="X13" s="683">
        <f t="shared" si="10"/>
        <v>0</v>
      </c>
      <c r="Y13" s="683">
        <f t="shared" si="11"/>
        <v>1.7899999999999998E-5</v>
      </c>
      <c r="Z13" s="683" t="s">
        <v>373</v>
      </c>
      <c r="AA13" s="683"/>
      <c r="AC13" s="641">
        <v>5</v>
      </c>
    </row>
    <row r="14" spans="1:31" x14ac:dyDescent="0.35">
      <c r="A14" s="641" t="s">
        <v>629</v>
      </c>
      <c r="C14" s="641">
        <v>0.155</v>
      </c>
      <c r="L14" s="641" t="s">
        <v>1758</v>
      </c>
      <c r="M14" s="641" t="s">
        <v>1758</v>
      </c>
      <c r="N14" s="683">
        <f t="shared" si="0"/>
        <v>8.6956000000000012E-3</v>
      </c>
      <c r="O14" s="683">
        <f t="shared" si="1"/>
        <v>1.2820500000000002E-2</v>
      </c>
      <c r="P14" s="683">
        <f t="shared" si="2"/>
        <v>7.4700000000000001E-3</v>
      </c>
      <c r="Q14" s="683">
        <f t="shared" si="3"/>
        <v>1.23423E-3</v>
      </c>
      <c r="R14" s="683">
        <f t="shared" si="4"/>
        <v>4.8433499999999997E-3</v>
      </c>
      <c r="S14" s="683">
        <f t="shared" si="5"/>
        <v>0.01</v>
      </c>
      <c r="T14" s="683">
        <f t="shared" si="6"/>
        <v>7.0000000000000007E-2</v>
      </c>
      <c r="U14" s="683">
        <f t="shared" si="7"/>
        <v>0.04</v>
      </c>
      <c r="V14" s="683">
        <f t="shared" si="8"/>
        <v>0.68</v>
      </c>
      <c r="W14" s="683">
        <f t="shared" si="9"/>
        <v>1.212858E-2</v>
      </c>
      <c r="X14" s="683">
        <f t="shared" si="10"/>
        <v>0</v>
      </c>
      <c r="Y14" s="683">
        <f t="shared" si="11"/>
        <v>1.7899999999999998E-5</v>
      </c>
      <c r="Z14" s="683" t="s">
        <v>373</v>
      </c>
      <c r="AA14" s="683"/>
    </row>
    <row r="15" spans="1:31" x14ac:dyDescent="0.35">
      <c r="A15" s="641" t="s">
        <v>1113</v>
      </c>
      <c r="C15" s="641">
        <v>0.5</v>
      </c>
      <c r="L15" s="641" t="s">
        <v>1689</v>
      </c>
      <c r="M15" s="641" t="s">
        <v>1689</v>
      </c>
      <c r="N15" s="683">
        <f t="shared" si="0"/>
        <v>1.0869500000000001E-2</v>
      </c>
      <c r="O15" s="683">
        <f t="shared" si="1"/>
        <v>1.8717930000000001E-2</v>
      </c>
      <c r="P15" s="683">
        <f t="shared" si="2"/>
        <v>1.1453999999999999E-2</v>
      </c>
      <c r="Q15" s="683">
        <f t="shared" si="3"/>
        <v>2.0981909999999997E-3</v>
      </c>
      <c r="R15" s="683">
        <f t="shared" si="4"/>
        <v>8.3951400000000006E-3</v>
      </c>
      <c r="S15" s="683">
        <f t="shared" si="5"/>
        <v>1.4999999999999999E-2</v>
      </c>
      <c r="T15" s="683">
        <f t="shared" si="6"/>
        <v>7.2000000000000008E-2</v>
      </c>
      <c r="U15" s="683">
        <f t="shared" si="7"/>
        <v>3.4000000000000002E-2</v>
      </c>
      <c r="V15" s="683">
        <f t="shared" si="8"/>
        <v>0.66</v>
      </c>
      <c r="W15" s="683">
        <f t="shared" si="9"/>
        <v>1.1564459999999999E-2</v>
      </c>
      <c r="X15" s="683">
        <f t="shared" si="10"/>
        <v>0.48</v>
      </c>
      <c r="Y15" s="683">
        <f t="shared" si="11"/>
        <v>9.4870000000000005E-5</v>
      </c>
      <c r="Z15" s="683" t="s">
        <v>1773</v>
      </c>
      <c r="AA15" s="683"/>
    </row>
    <row r="16" spans="1:31" x14ac:dyDescent="0.35">
      <c r="A16" s="641" t="s">
        <v>100</v>
      </c>
      <c r="C16" s="641">
        <v>1</v>
      </c>
      <c r="L16" s="641" t="s">
        <v>1766</v>
      </c>
      <c r="M16" s="641" t="s">
        <v>1766</v>
      </c>
      <c r="N16" s="683">
        <f t="shared" si="0"/>
        <v>8.826034E-3</v>
      </c>
      <c r="O16" s="683">
        <f t="shared" si="1"/>
        <v>1.7179470000000002E-2</v>
      </c>
      <c r="P16" s="683">
        <f t="shared" si="2"/>
        <v>1.3271699999999999E-2</v>
      </c>
      <c r="Q16" s="683">
        <f t="shared" si="3"/>
        <v>3.2912799999999994E-5</v>
      </c>
      <c r="R16" s="683">
        <f t="shared" si="4"/>
        <v>9.4283879999999994E-3</v>
      </c>
      <c r="S16" s="683">
        <f t="shared" si="5"/>
        <v>1.4999999999999999E-2</v>
      </c>
      <c r="T16" s="683">
        <f t="shared" si="6"/>
        <v>7.0000000000000007E-2</v>
      </c>
      <c r="U16" s="683">
        <f t="shared" si="7"/>
        <v>3.6000000000000004E-2</v>
      </c>
      <c r="V16" s="683">
        <f t="shared" si="8"/>
        <v>0.66299999999999992</v>
      </c>
      <c r="W16" s="683">
        <f t="shared" si="9"/>
        <v>1.12824E-2</v>
      </c>
      <c r="X16" s="683">
        <f t="shared" si="10"/>
        <v>0.76</v>
      </c>
      <c r="Y16" s="683">
        <f t="shared" si="11"/>
        <v>9.1290000000000002E-5</v>
      </c>
      <c r="Z16" s="683" t="s">
        <v>1773</v>
      </c>
      <c r="AA16" s="683"/>
    </row>
    <row r="17" spans="1:27" x14ac:dyDescent="0.35">
      <c r="A17" s="641" t="s">
        <v>688</v>
      </c>
      <c r="C17" s="641">
        <v>0.5</v>
      </c>
      <c r="L17" s="641" t="s">
        <v>1690</v>
      </c>
      <c r="M17" s="641" t="s">
        <v>1690</v>
      </c>
      <c r="N17" s="683">
        <f t="shared" si="0"/>
        <v>1.1347758000000001E-2</v>
      </c>
      <c r="O17" s="683">
        <f t="shared" si="1"/>
        <v>1.8589725000000001E-2</v>
      </c>
      <c r="P17" s="683">
        <f t="shared" si="2"/>
        <v>1.6334399999999999E-2</v>
      </c>
      <c r="Q17" s="683">
        <f t="shared" si="3"/>
        <v>2.8798700000000001E-3</v>
      </c>
      <c r="R17" s="683">
        <f t="shared" si="4"/>
        <v>1.5208118999999999E-2</v>
      </c>
      <c r="S17" s="683">
        <f t="shared" si="5"/>
        <v>1.8000000000000002E-2</v>
      </c>
      <c r="T17" s="683">
        <f t="shared" si="6"/>
        <v>7.2000000000000008E-2</v>
      </c>
      <c r="U17" s="683">
        <f t="shared" si="7"/>
        <v>3.4000000000000002E-2</v>
      </c>
      <c r="V17" s="683">
        <f t="shared" si="8"/>
        <v>0.67</v>
      </c>
      <c r="W17" s="683">
        <f t="shared" si="9"/>
        <v>1.5033797999999998E-2</v>
      </c>
      <c r="X17" s="683">
        <f t="shared" si="10"/>
        <v>0.48</v>
      </c>
      <c r="Y17" s="683">
        <f t="shared" si="11"/>
        <v>1.7899999999999999E-4</v>
      </c>
      <c r="Z17" s="683" t="s">
        <v>1773</v>
      </c>
      <c r="AA17" s="683"/>
    </row>
    <row r="18" spans="1:27" x14ac:dyDescent="0.35">
      <c r="A18" s="641" t="s">
        <v>1491</v>
      </c>
      <c r="L18" s="641" t="s">
        <v>1769</v>
      </c>
      <c r="M18" s="641" t="s">
        <v>1769</v>
      </c>
      <c r="N18" s="683">
        <f t="shared" si="0"/>
        <v>8.6956000000000012E-3</v>
      </c>
      <c r="O18" s="683">
        <f t="shared" si="1"/>
        <v>2.076921E-2</v>
      </c>
      <c r="P18" s="683">
        <f t="shared" si="2"/>
        <v>1.1702999999999998E-2</v>
      </c>
      <c r="Q18" s="683">
        <f t="shared" si="3"/>
        <v>2.1804729999999996E-3</v>
      </c>
      <c r="R18" s="683">
        <f t="shared" si="4"/>
        <v>8.3951400000000006E-3</v>
      </c>
      <c r="S18" s="683">
        <f t="shared" si="5"/>
        <v>1.6E-2</v>
      </c>
      <c r="T18" s="683">
        <f t="shared" si="6"/>
        <v>7.0000000000000007E-2</v>
      </c>
      <c r="U18" s="683">
        <f t="shared" si="7"/>
        <v>3.5000000000000003E-2</v>
      </c>
      <c r="V18" s="683">
        <f t="shared" si="8"/>
        <v>0.67</v>
      </c>
      <c r="W18" s="683">
        <f t="shared" si="9"/>
        <v>1.12824E-2</v>
      </c>
      <c r="X18" s="683">
        <f t="shared" si="10"/>
        <v>0.52</v>
      </c>
      <c r="Y18" s="683">
        <f t="shared" si="11"/>
        <v>9.4870000000000005E-5</v>
      </c>
      <c r="Z18" s="683" t="s">
        <v>1773</v>
      </c>
      <c r="AA18" s="683"/>
    </row>
    <row r="19" spans="1:27" x14ac:dyDescent="0.35">
      <c r="L19" s="641" t="s">
        <v>1692</v>
      </c>
      <c r="M19" s="641" t="s">
        <v>1692</v>
      </c>
      <c r="N19" s="683">
        <f t="shared" si="0"/>
        <v>8.6956000000000012E-3</v>
      </c>
      <c r="O19" s="683">
        <f t="shared" si="1"/>
        <v>1.6666650000000002E-2</v>
      </c>
      <c r="P19" s="683">
        <f t="shared" si="2"/>
        <v>1.2449999999999999E-2</v>
      </c>
      <c r="Q19" s="683">
        <f t="shared" si="3"/>
        <v>2.46846E-3</v>
      </c>
      <c r="R19" s="683">
        <f t="shared" si="4"/>
        <v>9.6866999999999995E-3</v>
      </c>
      <c r="S19" s="683">
        <f t="shared" si="5"/>
        <v>1.3999999999999999E-2</v>
      </c>
      <c r="T19" s="683">
        <f t="shared" si="6"/>
        <v>7.2000000000000008E-2</v>
      </c>
      <c r="U19" s="683">
        <f t="shared" si="7"/>
        <v>3.5000000000000003E-2</v>
      </c>
      <c r="V19" s="683">
        <f t="shared" si="8"/>
        <v>0.66</v>
      </c>
      <c r="W19" s="683">
        <f t="shared" si="9"/>
        <v>1.1846520000000001E-2</v>
      </c>
      <c r="X19" s="683">
        <f t="shared" si="10"/>
        <v>0.48</v>
      </c>
      <c r="Y19" s="683">
        <f t="shared" si="11"/>
        <v>1.3961999999999999E-4</v>
      </c>
      <c r="Z19" s="683" t="s">
        <v>1773</v>
      </c>
      <c r="AA19" s="683"/>
    </row>
    <row r="23" spans="1:27" ht="13.2" x14ac:dyDescent="0.4">
      <c r="L23" s="943" t="s">
        <v>2262</v>
      </c>
      <c r="M23" s="943"/>
      <c r="N23" s="943"/>
      <c r="O23" s="943"/>
      <c r="P23" s="943"/>
      <c r="Q23" s="943"/>
      <c r="R23" s="943"/>
      <c r="S23" s="943"/>
      <c r="T23" s="943"/>
      <c r="U23" s="943"/>
      <c r="V23" s="943"/>
      <c r="W23" s="943"/>
      <c r="X23" s="943"/>
      <c r="Y23" s="943"/>
      <c r="Z23" s="943"/>
    </row>
    <row r="24" spans="1:27" ht="13.2" x14ac:dyDescent="0.4">
      <c r="M24" s="652" t="s">
        <v>478</v>
      </c>
      <c r="N24" s="652" t="s">
        <v>472</v>
      </c>
      <c r="O24" s="652" t="s">
        <v>473</v>
      </c>
      <c r="P24" s="652" t="s">
        <v>474</v>
      </c>
      <c r="Q24" s="652" t="s">
        <v>475</v>
      </c>
      <c r="R24" s="652" t="s">
        <v>1034</v>
      </c>
      <c r="S24" s="652" t="s">
        <v>470</v>
      </c>
      <c r="T24" s="652" t="s">
        <v>1035</v>
      </c>
      <c r="U24" s="652" t="s">
        <v>1036</v>
      </c>
      <c r="V24" s="652" t="s">
        <v>1037</v>
      </c>
    </row>
    <row r="25" spans="1:27" x14ac:dyDescent="0.35">
      <c r="M25" s="641" t="s">
        <v>686</v>
      </c>
      <c r="N25" s="641">
        <f>0.25/35</f>
        <v>7.1428571428571426E-3</v>
      </c>
      <c r="O25" s="641">
        <f>0.6/35</f>
        <v>1.7142857142857144E-2</v>
      </c>
      <c r="P25" s="641">
        <f>0.9/35</f>
        <v>2.5714285714285714E-2</v>
      </c>
      <c r="Q25" s="641">
        <f>0.2/35</f>
        <v>5.7142857142857143E-3</v>
      </c>
      <c r="R25" s="641">
        <f>0.75/35</f>
        <v>2.1428571428571429E-2</v>
      </c>
      <c r="S25" s="641">
        <f>2.6/35</f>
        <v>7.4285714285714288E-2</v>
      </c>
      <c r="T25" s="641">
        <v>0</v>
      </c>
      <c r="U25" s="641">
        <v>0</v>
      </c>
      <c r="V25" s="641">
        <v>0.28999999999999998</v>
      </c>
    </row>
    <row r="26" spans="1:27" x14ac:dyDescent="0.35">
      <c r="M26" s="641" t="s">
        <v>1114</v>
      </c>
      <c r="N26" s="641">
        <f>1.9/35</f>
        <v>5.4285714285714284E-2</v>
      </c>
      <c r="O26" s="641">
        <f>2.5/35</f>
        <v>7.1428571428571425E-2</v>
      </c>
      <c r="P26" s="641">
        <f>0.225*4/35</f>
        <v>2.5714285714285714E-2</v>
      </c>
      <c r="Q26" s="641">
        <f>0.5*0.3/35</f>
        <v>4.2857142857142859E-3</v>
      </c>
      <c r="R26" s="641">
        <f>1.2/35</f>
        <v>3.4285714285714287E-2</v>
      </c>
      <c r="S26" s="641">
        <f>2.6/35</f>
        <v>7.4285714285714288E-2</v>
      </c>
      <c r="T26" s="641">
        <v>0</v>
      </c>
      <c r="U26" s="641">
        <v>0</v>
      </c>
      <c r="V26" s="641">
        <v>0.28999999999999998</v>
      </c>
    </row>
    <row r="29" spans="1:27" x14ac:dyDescent="0.35">
      <c r="N29" s="640"/>
      <c r="O29" s="640"/>
      <c r="P29" s="640"/>
      <c r="Q29" s="640"/>
      <c r="R29" s="640"/>
      <c r="S29" s="640"/>
      <c r="T29" s="640"/>
      <c r="U29" s="640"/>
      <c r="V29" s="640"/>
      <c r="W29" s="640"/>
      <c r="X29" s="640"/>
    </row>
    <row r="30" spans="1:27" x14ac:dyDescent="0.35">
      <c r="N30" s="640"/>
      <c r="O30" s="640"/>
      <c r="P30" s="640"/>
      <c r="Q30" s="640"/>
      <c r="R30" s="640"/>
      <c r="S30" s="640"/>
      <c r="T30" s="640"/>
      <c r="U30" s="640"/>
      <c r="V30" s="640"/>
      <c r="W30" s="640"/>
      <c r="X30" s="640"/>
    </row>
    <row r="31" spans="1:27" ht="13.2" x14ac:dyDescent="0.4">
      <c r="L31" s="943" t="s">
        <v>2261</v>
      </c>
      <c r="M31" s="943"/>
      <c r="N31" s="943"/>
      <c r="O31" s="943"/>
      <c r="P31" s="943"/>
      <c r="Q31" s="943"/>
      <c r="R31" s="943"/>
      <c r="S31" s="943"/>
      <c r="T31" s="943"/>
      <c r="U31" s="943"/>
      <c r="V31" s="943"/>
      <c r="W31" s="943"/>
      <c r="X31" s="943"/>
      <c r="Y31" s="943"/>
      <c r="Z31" s="943"/>
    </row>
    <row r="32" spans="1:27" ht="13.2" x14ac:dyDescent="0.4">
      <c r="M32" s="652" t="s">
        <v>1661</v>
      </c>
      <c r="N32" s="652" t="s">
        <v>472</v>
      </c>
      <c r="O32" s="652" t="s">
        <v>473</v>
      </c>
      <c r="P32" s="652" t="s">
        <v>474</v>
      </c>
      <c r="Q32" s="652" t="s">
        <v>475</v>
      </c>
      <c r="R32" s="652" t="s">
        <v>1034</v>
      </c>
      <c r="S32" s="652" t="s">
        <v>470</v>
      </c>
      <c r="T32" s="652" t="s">
        <v>1035</v>
      </c>
      <c r="U32" s="652" t="s">
        <v>1036</v>
      </c>
      <c r="V32" s="652" t="s">
        <v>1037</v>
      </c>
      <c r="W32" s="661" t="s">
        <v>1088</v>
      </c>
      <c r="X32" s="661" t="s">
        <v>1089</v>
      </c>
      <c r="Y32" s="652" t="s">
        <v>1682</v>
      </c>
    </row>
    <row r="34" spans="11:27" x14ac:dyDescent="0.35">
      <c r="L34" s="641" t="s">
        <v>1038</v>
      </c>
      <c r="M34" s="641" t="s">
        <v>1038</v>
      </c>
      <c r="N34" s="683">
        <f t="shared" ref="N34:N39" si="12">VLOOKUP(M34,tblVoedingPoeder,6,FALSE)*tblOmrekenNA/100</f>
        <v>8.6956000000000002E-4</v>
      </c>
      <c r="O34" s="683">
        <f t="shared" ref="O34:O39" si="13">VLOOKUP(M34,tblVoedingPoeder,7,FALSE)*tblOmrekenK/100</f>
        <v>0</v>
      </c>
      <c r="P34" s="683">
        <f t="shared" ref="P34:P39" si="14">VLOOKUP(M34,tblVoedingPoeder,8,FALSE)*tblOmrekenCa/100</f>
        <v>0</v>
      </c>
      <c r="Q34" s="683">
        <f t="shared" ref="Q34:Q39" si="15">VLOOKUP(M34,tblVoedingPoeder,10,FALSE)*tblOmrekenMg/100</f>
        <v>0</v>
      </c>
      <c r="R34" s="683">
        <f t="shared" ref="R34:R39" si="16">VLOOKUP(M34,tblVoedingPoeder,9,FALSE)*tblOmrekenP/100</f>
        <v>0</v>
      </c>
      <c r="S34" s="683">
        <f t="shared" ref="S34:S39" si="17">VLOOKUP(M34,tblVoedingPoeder,3,FALSE)/100</f>
        <v>0</v>
      </c>
      <c r="T34" s="683">
        <f t="shared" ref="T34:T39" si="18">VLOOKUP(M34,tblVoedingPoeder,4,FALSE)/100</f>
        <v>0.96</v>
      </c>
      <c r="U34" s="683">
        <f t="shared" ref="U34:U39" si="19">VLOOKUP(M34,tblVoedingPoeder,5,FALSE)/100</f>
        <v>0</v>
      </c>
      <c r="V34" s="683">
        <f t="shared" ref="V34:V39" si="20">VLOOKUP(M34,tblVoedingPoeder,2,FALSE)/100</f>
        <v>3.84</v>
      </c>
      <c r="W34" s="683">
        <f t="shared" ref="W34:W39" si="21">VLOOKUP(M34,tblVoedingPoeder,13,FALSE)*tblOmrekenCl/100</f>
        <v>0</v>
      </c>
      <c r="X34" s="683">
        <f t="shared" ref="X34:X39" si="22">VLOOKUP(M34,tblVoedingPoeder,12,FALSE)*tblOmrekenVitD/100</f>
        <v>0</v>
      </c>
      <c r="Y34" s="683">
        <f t="shared" ref="Y34:Y39" si="23">VLOOKUP(M34,tblVoedingPoeder,11,FALSE)*tblOmrekenFe/100</f>
        <v>0</v>
      </c>
    </row>
    <row r="35" spans="11:27" x14ac:dyDescent="0.35">
      <c r="L35" s="641" t="s">
        <v>1094</v>
      </c>
      <c r="M35" s="641" t="s">
        <v>1986</v>
      </c>
      <c r="N35" s="683">
        <f t="shared" si="12"/>
        <v>5.43475E-2</v>
      </c>
      <c r="O35" s="683">
        <f t="shared" si="13"/>
        <v>0.12846141</v>
      </c>
      <c r="P35" s="683">
        <f t="shared" si="14"/>
        <v>0.10408199999999999</v>
      </c>
      <c r="Q35" s="683">
        <f t="shared" si="15"/>
        <v>1.522217E-2</v>
      </c>
      <c r="R35" s="683">
        <f t="shared" si="16"/>
        <v>7.6524929999999991E-2</v>
      </c>
      <c r="S35" s="683">
        <f t="shared" si="17"/>
        <v>9.6999999999999989E-2</v>
      </c>
      <c r="T35" s="683">
        <f t="shared" si="18"/>
        <v>0.53799999999999992</v>
      </c>
      <c r="U35" s="683">
        <f t="shared" si="19"/>
        <v>0.247</v>
      </c>
      <c r="V35" s="683">
        <f t="shared" si="20"/>
        <v>4.84</v>
      </c>
      <c r="W35" s="683">
        <f t="shared" si="21"/>
        <v>8.5746240000000001E-2</v>
      </c>
      <c r="X35" s="683">
        <f t="shared" si="22"/>
        <v>3.48</v>
      </c>
      <c r="Y35" s="683">
        <f t="shared" si="23"/>
        <v>6.981E-4</v>
      </c>
    </row>
    <row r="36" spans="11:27" x14ac:dyDescent="0.35">
      <c r="L36" s="641" t="s">
        <v>1097</v>
      </c>
      <c r="M36" s="641" t="s">
        <v>1701</v>
      </c>
      <c r="N36" s="683">
        <f t="shared" si="12"/>
        <v>0.1804337</v>
      </c>
      <c r="O36" s="683">
        <f t="shared" si="13"/>
        <v>0.12153833999999999</v>
      </c>
      <c r="P36" s="683">
        <f t="shared" si="14"/>
        <v>0.14765699999999998</v>
      </c>
      <c r="Q36" s="683">
        <f t="shared" si="15"/>
        <v>1.9336269999999999E-2</v>
      </c>
      <c r="R36" s="683">
        <f t="shared" si="16"/>
        <v>0.10719947999999999</v>
      </c>
      <c r="S36" s="683">
        <f t="shared" si="17"/>
        <v>0.156</v>
      </c>
      <c r="T36" s="683">
        <f t="shared" si="18"/>
        <v>0.22899999999999998</v>
      </c>
      <c r="U36" s="683">
        <f t="shared" si="19"/>
        <v>0.498</v>
      </c>
      <c r="V36" s="683">
        <f t="shared" si="20"/>
        <v>4.74</v>
      </c>
      <c r="W36" s="683">
        <f t="shared" si="21"/>
        <v>0.14215823999999999</v>
      </c>
      <c r="X36" s="683">
        <f t="shared" si="22"/>
        <v>7.2</v>
      </c>
      <c r="Y36" s="683">
        <f t="shared" si="23"/>
        <v>1.7004999999999998E-3</v>
      </c>
    </row>
    <row r="37" spans="11:27" x14ac:dyDescent="0.35">
      <c r="L37" s="641" t="s">
        <v>1102</v>
      </c>
      <c r="M37" s="641" t="s">
        <v>1702</v>
      </c>
      <c r="N37" s="683">
        <f t="shared" si="12"/>
        <v>0.33738928000000001</v>
      </c>
      <c r="O37" s="683">
        <f t="shared" si="13"/>
        <v>0.31435866000000001</v>
      </c>
      <c r="P37" s="683">
        <f t="shared" si="14"/>
        <v>0.13047599999999998</v>
      </c>
      <c r="Q37" s="683">
        <f t="shared" si="15"/>
        <v>1.8924859999999998E-2</v>
      </c>
      <c r="R37" s="683">
        <f t="shared" si="16"/>
        <v>0.16661123999999997</v>
      </c>
      <c r="S37" s="683">
        <f t="shared" si="17"/>
        <v>0.82099999999999995</v>
      </c>
      <c r="T37" s="683">
        <f t="shared" si="18"/>
        <v>2.2000000000000002E-2</v>
      </c>
      <c r="U37" s="683">
        <f t="shared" si="19"/>
        <v>1E-3</v>
      </c>
      <c r="V37" s="683">
        <f t="shared" si="20"/>
        <v>3.38</v>
      </c>
      <c r="W37" s="683">
        <f t="shared" si="21"/>
        <v>1.8615959999999997E-2</v>
      </c>
      <c r="X37" s="683">
        <f t="shared" si="22"/>
        <v>0</v>
      </c>
      <c r="Y37" s="683">
        <f t="shared" si="23"/>
        <v>0</v>
      </c>
    </row>
    <row r="38" spans="11:27" x14ac:dyDescent="0.35">
      <c r="L38" s="641" t="s">
        <v>1104</v>
      </c>
      <c r="M38" s="641" t="s">
        <v>1703</v>
      </c>
      <c r="N38" s="683">
        <f t="shared" si="12"/>
        <v>3.04346E-3</v>
      </c>
      <c r="O38" s="683">
        <f t="shared" si="13"/>
        <v>0</v>
      </c>
      <c r="P38" s="683">
        <f t="shared" si="14"/>
        <v>0</v>
      </c>
      <c r="Q38" s="683">
        <f t="shared" si="15"/>
        <v>0</v>
      </c>
      <c r="R38" s="683">
        <f t="shared" si="16"/>
        <v>0</v>
      </c>
      <c r="S38" s="683">
        <f t="shared" si="17"/>
        <v>0</v>
      </c>
      <c r="T38" s="683">
        <f t="shared" si="18"/>
        <v>0</v>
      </c>
      <c r="U38" s="683">
        <f t="shared" si="19"/>
        <v>0.5</v>
      </c>
      <c r="V38" s="683">
        <f t="shared" si="20"/>
        <v>4.5</v>
      </c>
      <c r="W38" s="683">
        <f t="shared" si="21"/>
        <v>2.8206000000000001E-5</v>
      </c>
      <c r="X38" s="683">
        <f t="shared" si="22"/>
        <v>0</v>
      </c>
      <c r="Y38" s="683">
        <f t="shared" si="23"/>
        <v>0</v>
      </c>
    </row>
    <row r="39" spans="11:27" x14ac:dyDescent="0.35">
      <c r="L39" s="641" t="s">
        <v>1762</v>
      </c>
      <c r="M39" s="641" t="s">
        <v>1762</v>
      </c>
      <c r="N39" s="683">
        <f t="shared" si="12"/>
        <v>2.6086799999999999E-3</v>
      </c>
      <c r="O39" s="683">
        <f t="shared" si="13"/>
        <v>2.3333310000000003E-2</v>
      </c>
      <c r="P39" s="683">
        <f t="shared" si="14"/>
        <v>8.3415000000000003E-2</v>
      </c>
      <c r="Q39" s="683">
        <f t="shared" si="15"/>
        <v>3.7438309999999995E-3</v>
      </c>
      <c r="R39" s="683">
        <f t="shared" si="16"/>
        <v>3.8746799999999997E-3</v>
      </c>
      <c r="S39" s="683">
        <f t="shared" si="17"/>
        <v>0</v>
      </c>
      <c r="T39" s="683">
        <f t="shared" si="18"/>
        <v>0.66200000000000003</v>
      </c>
      <c r="U39" s="683">
        <f t="shared" si="19"/>
        <v>3.0000000000000001E-3</v>
      </c>
      <c r="V39" s="683">
        <f t="shared" si="20"/>
        <v>3.18</v>
      </c>
      <c r="W39" s="683">
        <f t="shared" si="21"/>
        <v>3.0744539999999997E-2</v>
      </c>
      <c r="X39" s="683">
        <f t="shared" si="22"/>
        <v>0</v>
      </c>
      <c r="Y39" s="683">
        <f t="shared" si="23"/>
        <v>1.5751999999999999E-3</v>
      </c>
    </row>
    <row r="40" spans="11:27" x14ac:dyDescent="0.35">
      <c r="Z40" s="685"/>
      <c r="AA40" s="685"/>
    </row>
    <row r="41" spans="11:27" x14ac:dyDescent="0.35">
      <c r="K41" s="685"/>
    </row>
    <row r="42" spans="11:27" ht="13.2" x14ac:dyDescent="0.4">
      <c r="L42" s="943" t="s">
        <v>2260</v>
      </c>
      <c r="M42" s="943"/>
      <c r="N42" s="943"/>
      <c r="O42" s="943"/>
      <c r="P42" s="943"/>
      <c r="Q42" s="943"/>
      <c r="R42" s="943"/>
      <c r="S42" s="943"/>
      <c r="T42" s="943"/>
      <c r="U42" s="943"/>
      <c r="V42" s="943"/>
      <c r="W42" s="943"/>
      <c r="X42" s="943"/>
      <c r="Y42" s="943"/>
      <c r="Z42" s="943"/>
    </row>
    <row r="43" spans="11:27" ht="13.2" x14ac:dyDescent="0.4">
      <c r="M43" s="652" t="s">
        <v>1662</v>
      </c>
      <c r="N43" s="652" t="s">
        <v>472</v>
      </c>
      <c r="O43" s="652" t="s">
        <v>473</v>
      </c>
      <c r="P43" s="652" t="s">
        <v>474</v>
      </c>
      <c r="Q43" s="652" t="s">
        <v>475</v>
      </c>
      <c r="R43" s="652" t="s">
        <v>1034</v>
      </c>
      <c r="S43" s="652" t="s">
        <v>470</v>
      </c>
      <c r="T43" s="652" t="s">
        <v>1035</v>
      </c>
      <c r="U43" s="652" t="s">
        <v>1036</v>
      </c>
      <c r="V43" s="652" t="s">
        <v>1037</v>
      </c>
      <c r="W43" s="661" t="s">
        <v>1088</v>
      </c>
      <c r="X43" s="661" t="s">
        <v>1089</v>
      </c>
      <c r="Y43" s="652" t="s">
        <v>1682</v>
      </c>
    </row>
    <row r="45" spans="11:27" x14ac:dyDescent="0.35">
      <c r="L45" s="641" t="s">
        <v>1663</v>
      </c>
      <c r="M45" s="641" t="s">
        <v>1703</v>
      </c>
      <c r="N45" s="683">
        <f>VLOOKUP(M45,tblVoedingPoeder,6,FALSE)*tblOmrekenNA/100</f>
        <v>3.04346E-3</v>
      </c>
      <c r="O45" s="683">
        <f>VLOOKUP(M45,tblVoedingPoeder,7,FALSE)*tblOmrekenK/100</f>
        <v>0</v>
      </c>
      <c r="P45" s="683">
        <f>VLOOKUP(M45,tblVoedingPoeder,8,FALSE)*tblOmrekenCa/100</f>
        <v>0</v>
      </c>
      <c r="Q45" s="683">
        <f>VLOOKUP(M45,tblVoedingPoeder,10,FALSE)*tblOmrekenMg/100</f>
        <v>0</v>
      </c>
      <c r="R45" s="683">
        <f>VLOOKUP(M45,tblVoedingPoeder,9,FALSE)*tblOmrekenP/100</f>
        <v>0</v>
      </c>
      <c r="S45" s="683">
        <f>VLOOKUP(M45,tblVoedingPoeder,3,FALSE)/100</f>
        <v>0</v>
      </c>
      <c r="T45" s="683">
        <f>VLOOKUP(M45,tblVoedingPoeder,4,FALSE)/100</f>
        <v>0</v>
      </c>
      <c r="U45" s="683">
        <f>VLOOKUP(M45,tblVoedingPoeder,5,FALSE)/100</f>
        <v>0.5</v>
      </c>
      <c r="V45" s="683">
        <f>VLOOKUP(M45,tblVoedingPoeder,2,FALSE)/100</f>
        <v>4.5</v>
      </c>
      <c r="W45" s="683">
        <f>VLOOKUP(M45,tblVoedingPoeder,13,FALSE)*tblOmrekenCl/100</f>
        <v>2.8206000000000001E-5</v>
      </c>
      <c r="X45" s="683">
        <f>VLOOKUP(M45,tblVoedingPoeder,12,FALSE)*tblOmrekenVitD/100</f>
        <v>0</v>
      </c>
      <c r="Y45" s="683">
        <f>VLOOKUP(M45,tblVoedingPoeder,11,FALSE)*tblOmrekenFe/100</f>
        <v>0</v>
      </c>
      <c r="Z45" s="642"/>
      <c r="AA45" s="642"/>
    </row>
    <row r="46" spans="11:27" x14ac:dyDescent="0.35">
      <c r="L46" s="641" t="s">
        <v>1664</v>
      </c>
      <c r="M46" s="641" t="s">
        <v>1038</v>
      </c>
      <c r="N46" s="683">
        <f>VLOOKUP(M46,tblVoedingPoeder,6,FALSE)*tblOmrekenNA/100</f>
        <v>8.6956000000000002E-4</v>
      </c>
      <c r="O46" s="683">
        <f>VLOOKUP(M46,tblVoedingPoeder,7,FALSE)*tblOmrekenK/100</f>
        <v>0</v>
      </c>
      <c r="P46" s="683">
        <f>VLOOKUP(M46,tblVoedingPoeder,8,FALSE)*tblOmrekenCa/100</f>
        <v>0</v>
      </c>
      <c r="Q46" s="683">
        <f>VLOOKUP(M46,tblVoedingPoeder,10,FALSE)*tblOmrekenMg/100</f>
        <v>0</v>
      </c>
      <c r="R46" s="683">
        <f>VLOOKUP(M46,tblVoedingPoeder,9,FALSE)*tblOmrekenP/100</f>
        <v>0</v>
      </c>
      <c r="S46" s="683">
        <f>VLOOKUP(M46,tblVoedingPoeder,3,FALSE)/100</f>
        <v>0</v>
      </c>
      <c r="T46" s="683">
        <f>VLOOKUP(M46,tblVoedingPoeder,4,FALSE)/100</f>
        <v>0.96</v>
      </c>
      <c r="U46" s="683">
        <f>VLOOKUP(M46,tblVoedingPoeder,5,FALSE)/100</f>
        <v>0</v>
      </c>
      <c r="V46" s="683">
        <f>VLOOKUP(M46,tblVoedingPoeder,2,FALSE)/100</f>
        <v>3.84</v>
      </c>
      <c r="W46" s="683">
        <f>VLOOKUP(M46,tblVoedingPoeder,13,FALSE)*tblOmrekenCl/100</f>
        <v>0</v>
      </c>
      <c r="X46" s="683">
        <f>VLOOKUP(M46,tblVoedingPoeder,12,FALSE)*tblOmrekenVitD/100</f>
        <v>0</v>
      </c>
      <c r="Y46" s="683">
        <f>VLOOKUP(M46,tblVoedingPoeder,11,FALSE)*tblOmrekenFe/100</f>
        <v>0</v>
      </c>
      <c r="Z46" s="642"/>
      <c r="AA46" s="642"/>
    </row>
    <row r="47" spans="11:27" x14ac:dyDescent="0.35">
      <c r="L47" s="641" t="s">
        <v>1665</v>
      </c>
      <c r="M47" s="641" t="s">
        <v>1701</v>
      </c>
      <c r="N47" s="683">
        <f>VLOOKUP(M47,tblVoedingPoeder,6,FALSE)*tblOmrekenNA/100</f>
        <v>0.1804337</v>
      </c>
      <c r="O47" s="683">
        <f>VLOOKUP(M47,tblVoedingPoeder,7,FALSE)*tblOmrekenK/100</f>
        <v>0.12153833999999999</v>
      </c>
      <c r="P47" s="683">
        <f>VLOOKUP(M47,tblVoedingPoeder,8,FALSE)*tblOmrekenCa/100</f>
        <v>0.14765699999999998</v>
      </c>
      <c r="Q47" s="683">
        <f>VLOOKUP(M47,tblVoedingPoeder,10,FALSE)*tblOmrekenMg/100</f>
        <v>1.9336269999999999E-2</v>
      </c>
      <c r="R47" s="683">
        <f>VLOOKUP(M47,tblVoedingPoeder,9,FALSE)*tblOmrekenP/100</f>
        <v>0.10719947999999999</v>
      </c>
      <c r="S47" s="683">
        <f>VLOOKUP(M47,tblVoedingPoeder,3,FALSE)/100</f>
        <v>0.156</v>
      </c>
      <c r="T47" s="683">
        <f>VLOOKUP(M47,tblVoedingPoeder,4,FALSE)/100</f>
        <v>0.22899999999999998</v>
      </c>
      <c r="U47" s="683">
        <f>VLOOKUP(M47,tblVoedingPoeder,5,FALSE)/100</f>
        <v>0.498</v>
      </c>
      <c r="V47" s="683">
        <f>VLOOKUP(M47,tblVoedingPoeder,2,FALSE)/100</f>
        <v>4.74</v>
      </c>
      <c r="W47" s="683">
        <f>VLOOKUP(M47,tblVoedingPoeder,13,FALSE)*tblOmrekenCl/100</f>
        <v>0.14215823999999999</v>
      </c>
      <c r="X47" s="683">
        <f>VLOOKUP(M47,tblVoedingPoeder,12,FALSE)*tblOmrekenVitD/100</f>
        <v>7.2</v>
      </c>
      <c r="Y47" s="683">
        <f>VLOOKUP(M47,tblVoedingPoeder,11,FALSE)*tblOmrekenFe/100</f>
        <v>1.7004999999999998E-3</v>
      </c>
      <c r="Z47" s="642"/>
      <c r="AA47" s="642"/>
    </row>
    <row r="48" spans="11:27" x14ac:dyDescent="0.35">
      <c r="L48" s="641" t="s">
        <v>1666</v>
      </c>
      <c r="M48" s="641" t="s">
        <v>1762</v>
      </c>
      <c r="N48" s="683">
        <f>VLOOKUP(M48,tblVoedingPoeder,6,FALSE)*tblOmrekenNA/100</f>
        <v>2.6086799999999999E-3</v>
      </c>
      <c r="O48" s="683">
        <f>VLOOKUP(M48,tblVoedingPoeder,7,FALSE)*tblOmrekenK/100</f>
        <v>2.3333310000000003E-2</v>
      </c>
      <c r="P48" s="683">
        <f>VLOOKUP(M48,tblVoedingPoeder,8,FALSE)*tblOmrekenCa/100</f>
        <v>8.3415000000000003E-2</v>
      </c>
      <c r="Q48" s="683">
        <f>VLOOKUP(M48,tblVoedingPoeder,10,FALSE)*tblOmrekenMg/100</f>
        <v>3.7438309999999995E-3</v>
      </c>
      <c r="R48" s="683">
        <f>VLOOKUP(M48,tblVoedingPoeder,9,FALSE)*tblOmrekenP/100</f>
        <v>3.8746799999999997E-3</v>
      </c>
      <c r="S48" s="683">
        <f>VLOOKUP(M48,tblVoedingPoeder,3,FALSE)/100</f>
        <v>0</v>
      </c>
      <c r="T48" s="683">
        <f>VLOOKUP(M48,tblVoedingPoeder,4,FALSE)/100</f>
        <v>0.66200000000000003</v>
      </c>
      <c r="U48" s="683">
        <f>VLOOKUP(M48,tblVoedingPoeder,5,FALSE)/100</f>
        <v>3.0000000000000001E-3</v>
      </c>
      <c r="V48" s="683">
        <f>VLOOKUP(M48,tblVoedingPoeder,2,FALSE)/100</f>
        <v>3.18</v>
      </c>
      <c r="W48" s="683">
        <f>VLOOKUP(M48,tblVoedingPoeder,13,FALSE)*tblOmrekenCl/100</f>
        <v>3.0744539999999997E-2</v>
      </c>
      <c r="X48" s="683">
        <f>VLOOKUP(M48,tblVoedingPoeder,12,FALSE)*tblOmrekenVitD/100</f>
        <v>0</v>
      </c>
      <c r="Y48" s="683">
        <f>VLOOKUP(M48,tblVoedingPoeder,11,FALSE)*tblOmrekenFe/100</f>
        <v>1.5751999999999999E-3</v>
      </c>
      <c r="Z48" s="642"/>
      <c r="AA48" s="642"/>
    </row>
    <row r="49" spans="1:27" x14ac:dyDescent="0.35">
      <c r="M49" s="685"/>
      <c r="P49" s="644"/>
      <c r="Q49" s="644"/>
      <c r="W49" s="644"/>
      <c r="Y49" s="642"/>
      <c r="Z49" s="642"/>
      <c r="AA49" s="642"/>
    </row>
    <row r="50" spans="1:27" ht="13.2" x14ac:dyDescent="0.4">
      <c r="L50" s="943" t="s">
        <v>2263</v>
      </c>
      <c r="M50" s="943"/>
      <c r="N50" s="943"/>
      <c r="O50" s="943"/>
      <c r="P50" s="943"/>
      <c r="Q50" s="943"/>
      <c r="R50" s="943"/>
      <c r="S50" s="943"/>
      <c r="T50" s="943"/>
      <c r="U50" s="943"/>
      <c r="V50" s="943"/>
      <c r="W50" s="943"/>
      <c r="X50" s="943"/>
      <c r="Y50" s="943"/>
      <c r="Z50" s="943"/>
      <c r="AA50" s="642"/>
    </row>
    <row r="51" spans="1:27" ht="13.2" x14ac:dyDescent="0.4">
      <c r="M51" s="652"/>
      <c r="N51" s="652" t="s">
        <v>472</v>
      </c>
      <c r="O51" s="652" t="s">
        <v>473</v>
      </c>
      <c r="P51" s="652" t="s">
        <v>474</v>
      </c>
      <c r="Q51" s="652" t="s">
        <v>475</v>
      </c>
      <c r="R51" s="652" t="s">
        <v>1034</v>
      </c>
      <c r="S51" s="652" t="s">
        <v>470</v>
      </c>
      <c r="T51" s="652" t="s">
        <v>1035</v>
      </c>
      <c r="U51" s="652" t="s">
        <v>1036</v>
      </c>
      <c r="V51" s="652" t="s">
        <v>1037</v>
      </c>
      <c r="W51" s="704" t="s">
        <v>1088</v>
      </c>
      <c r="X51" s="704" t="s">
        <v>1089</v>
      </c>
      <c r="Y51" s="652" t="s">
        <v>1682</v>
      </c>
      <c r="Z51" s="642"/>
      <c r="AA51" s="642"/>
    </row>
    <row r="52" spans="1:27" x14ac:dyDescent="0.35">
      <c r="L52" s="641" t="s">
        <v>1100</v>
      </c>
      <c r="M52" s="641" t="s">
        <v>1100</v>
      </c>
      <c r="N52" s="683">
        <f>VLOOKUP(M52,tblVoedingPoeder,6,FALSE)*tblOmrekenNA/100</f>
        <v>0.34912834000000004</v>
      </c>
      <c r="O52" s="683">
        <f>VLOOKUP(M52,tblVoedingPoeder,7,FALSE)*tblOmrekenK/100</f>
        <v>0.13538448</v>
      </c>
      <c r="P52" s="683">
        <f>VLOOKUP(M52,tblVoedingPoeder,8,FALSE)*tblOmrekenCa/100</f>
        <v>0.37125899999999995</v>
      </c>
      <c r="Q52" s="683">
        <f>VLOOKUP(M52,tblVoedingPoeder,10,FALSE)*tblOmrekenMg/100</f>
        <v>4.7312149999999997E-2</v>
      </c>
      <c r="R52" s="683">
        <f>VLOOKUP(M52,tblVoedingPoeder,9,FALSE)*tblOmrekenP/100</f>
        <v>0.28156007999999999</v>
      </c>
      <c r="S52" s="683">
        <f>VLOOKUP(M52,tblVoedingPoeder,3,FALSE)/100</f>
        <v>0.252</v>
      </c>
      <c r="T52" s="683">
        <f>VLOOKUP(M52,tblVoedingPoeder,4,FALSE)/100</f>
        <v>0.622</v>
      </c>
      <c r="U52" s="683">
        <f>VLOOKUP(M52,tblVoedingPoeder,5,FALSE)/100</f>
        <v>0</v>
      </c>
      <c r="V52" s="683">
        <f>VLOOKUP(M52,tblVoedingPoeder,2,FALSE)/100</f>
        <v>3.47</v>
      </c>
      <c r="W52" s="683">
        <f>VLOOKUP(M52,tblVoedingPoeder,13,FALSE)*tblOmrekenCl/100</f>
        <v>0.16162037999999998</v>
      </c>
      <c r="X52" s="683">
        <f>VLOOKUP(M52,tblVoedingPoeder,12,FALSE)*tblOmrekenVitD/100</f>
        <v>46</v>
      </c>
      <c r="Y52" s="683">
        <f>VLOOKUP(M52,tblVoedingPoeder,11,FALSE)*tblOmrekenFe/100</f>
        <v>0</v>
      </c>
      <c r="Z52" s="642"/>
      <c r="AA52" s="642"/>
    </row>
    <row r="53" spans="1:27" x14ac:dyDescent="0.35">
      <c r="M53" s="642"/>
      <c r="N53" s="629"/>
      <c r="O53" s="629"/>
      <c r="P53" s="629"/>
      <c r="Q53" s="629"/>
      <c r="R53" s="629"/>
      <c r="S53" s="629"/>
      <c r="T53" s="629"/>
      <c r="U53" s="629"/>
      <c r="V53" s="629"/>
      <c r="W53" s="629"/>
      <c r="X53" s="629"/>
      <c r="Y53" s="629"/>
      <c r="Z53" s="629"/>
      <c r="AA53" s="629"/>
    </row>
    <row r="54" spans="1:27" x14ac:dyDescent="0.35">
      <c r="A54" s="642"/>
      <c r="B54" s="642"/>
      <c r="C54" s="642"/>
      <c r="D54" s="642"/>
      <c r="E54" s="642"/>
      <c r="F54" s="642"/>
      <c r="G54" s="642"/>
      <c r="H54" s="642"/>
      <c r="M54" s="642"/>
      <c r="N54" s="629"/>
      <c r="O54" s="629"/>
      <c r="P54" s="629"/>
      <c r="Q54" s="629"/>
      <c r="R54" s="629"/>
      <c r="S54" s="629"/>
      <c r="T54" s="629"/>
      <c r="U54" s="629"/>
      <c r="V54" s="629"/>
      <c r="W54" s="629"/>
      <c r="X54" s="629"/>
      <c r="Y54" s="629"/>
      <c r="Z54" s="629"/>
      <c r="AA54" s="629"/>
    </row>
    <row r="55" spans="1:27" x14ac:dyDescent="0.35">
      <c r="A55" s="642"/>
      <c r="B55" s="642"/>
      <c r="C55" s="642"/>
      <c r="D55" s="642"/>
      <c r="E55" s="642"/>
      <c r="F55" s="642"/>
      <c r="G55" s="642"/>
      <c r="H55" s="642"/>
      <c r="L55" s="642"/>
      <c r="M55" s="642"/>
      <c r="N55" s="629"/>
      <c r="O55" s="629"/>
      <c r="P55" s="629"/>
      <c r="Q55" s="629"/>
      <c r="R55" s="629"/>
      <c r="S55" s="629"/>
      <c r="T55" s="629"/>
      <c r="U55" s="629"/>
      <c r="V55" s="629"/>
      <c r="W55" s="629"/>
      <c r="X55" s="629"/>
      <c r="Y55" s="629"/>
      <c r="Z55" s="629"/>
      <c r="AA55" s="629"/>
    </row>
    <row r="56" spans="1:27" x14ac:dyDescent="0.35">
      <c r="A56" s="642"/>
      <c r="B56" s="642"/>
      <c r="C56" s="642"/>
      <c r="D56" s="642"/>
      <c r="E56" s="642"/>
      <c r="F56" s="642"/>
      <c r="G56" s="642"/>
      <c r="H56" s="642"/>
      <c r="I56" s="642"/>
      <c r="J56" s="642"/>
      <c r="K56" s="642"/>
      <c r="L56" s="642"/>
      <c r="M56" s="642"/>
      <c r="N56" s="629"/>
      <c r="O56" s="629"/>
      <c r="P56" s="629"/>
      <c r="Q56" s="629"/>
      <c r="R56" s="629"/>
      <c r="S56" s="629"/>
      <c r="T56" s="629"/>
      <c r="U56" s="629"/>
      <c r="V56" s="629"/>
      <c r="W56" s="629"/>
      <c r="X56" s="629"/>
      <c r="Y56" s="629"/>
      <c r="Z56" s="629"/>
      <c r="AA56" s="629"/>
    </row>
    <row r="57" spans="1:27" x14ac:dyDescent="0.35">
      <c r="A57" s="642"/>
      <c r="B57" s="642"/>
      <c r="C57" s="642"/>
      <c r="D57" s="642"/>
      <c r="E57" s="642"/>
      <c r="F57" s="642"/>
      <c r="G57" s="642"/>
      <c r="H57" s="642"/>
      <c r="I57" s="642"/>
      <c r="J57" s="642"/>
      <c r="K57" s="642"/>
      <c r="L57" s="642"/>
      <c r="M57" s="642"/>
      <c r="N57" s="629"/>
      <c r="O57" s="629"/>
      <c r="P57" s="629"/>
      <c r="Q57" s="629"/>
      <c r="R57" s="629"/>
      <c r="S57" s="629"/>
      <c r="T57" s="629"/>
      <c r="U57" s="629"/>
      <c r="V57" s="629"/>
      <c r="W57" s="629"/>
      <c r="X57" s="629"/>
      <c r="Y57" s="629"/>
      <c r="Z57" s="629"/>
      <c r="AA57" s="629"/>
    </row>
    <row r="58" spans="1:27" x14ac:dyDescent="0.35">
      <c r="A58" s="642"/>
      <c r="B58" s="642"/>
      <c r="C58" s="642"/>
      <c r="D58" s="642"/>
      <c r="E58" s="642"/>
      <c r="F58" s="642"/>
      <c r="G58" s="642"/>
      <c r="H58" s="642"/>
      <c r="I58" s="642"/>
      <c r="J58" s="642"/>
      <c r="K58" s="642"/>
      <c r="L58" s="642"/>
      <c r="P58" s="644"/>
      <c r="Q58" s="644"/>
      <c r="W58" s="630"/>
      <c r="X58" s="643"/>
      <c r="Y58" s="642"/>
      <c r="Z58" s="629"/>
      <c r="AA58" s="629"/>
    </row>
    <row r="59" spans="1:27" x14ac:dyDescent="0.35">
      <c r="A59" s="642"/>
      <c r="B59" s="642"/>
      <c r="C59" s="642"/>
      <c r="D59" s="642"/>
      <c r="E59" s="642"/>
      <c r="F59" s="642"/>
      <c r="G59" s="642"/>
      <c r="H59" s="642"/>
      <c r="I59" s="642"/>
      <c r="J59" s="642"/>
      <c r="K59" s="642"/>
      <c r="L59" s="642"/>
      <c r="P59" s="644"/>
      <c r="Q59" s="644"/>
      <c r="W59" s="640"/>
      <c r="Y59" s="642"/>
      <c r="Z59" s="642"/>
      <c r="AA59" s="642"/>
    </row>
    <row r="60" spans="1:27" x14ac:dyDescent="0.35">
      <c r="A60" s="642"/>
      <c r="B60" s="642"/>
      <c r="C60" s="642"/>
      <c r="D60" s="642"/>
      <c r="E60" s="642"/>
      <c r="F60" s="642"/>
      <c r="G60" s="642"/>
      <c r="H60" s="642"/>
      <c r="I60" s="642"/>
      <c r="J60" s="642"/>
      <c r="K60" s="642"/>
      <c r="L60" s="642"/>
      <c r="P60" s="644"/>
      <c r="Q60" s="644"/>
      <c r="W60" s="640"/>
      <c r="Y60" s="642"/>
      <c r="Z60" s="642"/>
      <c r="AA60" s="642"/>
    </row>
    <row r="61" spans="1:27" x14ac:dyDescent="0.35">
      <c r="A61" s="642"/>
      <c r="B61" s="642"/>
      <c r="C61" s="642"/>
      <c r="D61" s="642"/>
      <c r="E61" s="642"/>
      <c r="F61" s="642"/>
      <c r="G61" s="642"/>
      <c r="H61" s="642"/>
      <c r="I61" s="642"/>
      <c r="J61" s="642"/>
      <c r="K61" s="642"/>
      <c r="L61" s="642"/>
      <c r="P61" s="644"/>
      <c r="Q61" s="644"/>
      <c r="W61" s="640"/>
      <c r="Y61" s="642"/>
      <c r="Z61" s="642"/>
      <c r="AA61" s="642"/>
    </row>
    <row r="62" spans="1:27" ht="13.2" x14ac:dyDescent="0.4">
      <c r="A62" s="642"/>
      <c r="B62" s="642"/>
      <c r="C62" s="642"/>
      <c r="D62" s="642"/>
      <c r="E62" s="642"/>
      <c r="F62" s="642"/>
      <c r="G62" s="642"/>
      <c r="H62" s="642"/>
      <c r="I62" s="642"/>
      <c r="J62" s="642"/>
      <c r="K62" s="642"/>
      <c r="L62" s="642"/>
      <c r="M62" s="684"/>
      <c r="N62" s="684"/>
      <c r="Z62" s="642"/>
      <c r="AA62" s="642"/>
    </row>
    <row r="63" spans="1:27" x14ac:dyDescent="0.35">
      <c r="A63" s="642"/>
      <c r="B63" s="642"/>
      <c r="C63" s="642"/>
      <c r="D63" s="642"/>
      <c r="E63" s="642"/>
      <c r="F63" s="642"/>
      <c r="G63" s="642"/>
      <c r="H63" s="642"/>
      <c r="I63" s="642"/>
      <c r="J63" s="642"/>
      <c r="K63" s="642"/>
      <c r="L63" s="642"/>
      <c r="M63" s="594"/>
    </row>
    <row r="64" spans="1:27" x14ac:dyDescent="0.35">
      <c r="A64" s="642"/>
      <c r="B64" s="642"/>
      <c r="C64" s="642"/>
      <c r="D64" s="642"/>
      <c r="E64" s="642"/>
      <c r="F64" s="642"/>
      <c r="G64" s="642"/>
      <c r="H64" s="642"/>
      <c r="I64" s="642"/>
      <c r="J64" s="642"/>
      <c r="K64" s="642"/>
      <c r="L64" s="642"/>
    </row>
    <row r="65" spans="1:27" x14ac:dyDescent="0.35">
      <c r="A65" s="642"/>
      <c r="B65" s="642"/>
      <c r="C65" s="642"/>
      <c r="D65" s="642"/>
      <c r="E65" s="642"/>
      <c r="F65" s="642"/>
      <c r="G65" s="642"/>
      <c r="H65" s="642"/>
      <c r="I65" s="642"/>
      <c r="J65" s="642"/>
      <c r="K65" s="642"/>
      <c r="L65" s="642"/>
      <c r="N65" s="685"/>
      <c r="O65" s="685"/>
      <c r="P65" s="685"/>
      <c r="Q65" s="685"/>
      <c r="R65" s="685"/>
      <c r="S65" s="685"/>
      <c r="T65" s="685"/>
      <c r="U65" s="685"/>
      <c r="V65" s="685"/>
      <c r="W65" s="685"/>
      <c r="X65" s="685"/>
      <c r="Y65" s="685"/>
    </row>
    <row r="66" spans="1:27" x14ac:dyDescent="0.35">
      <c r="A66" s="642"/>
      <c r="B66" s="642"/>
      <c r="C66" s="642"/>
      <c r="D66" s="642"/>
      <c r="E66" s="642"/>
      <c r="F66" s="642"/>
      <c r="G66" s="642"/>
      <c r="H66" s="642"/>
      <c r="I66" s="642"/>
      <c r="J66" s="642"/>
      <c r="K66" s="642"/>
      <c r="L66" s="642"/>
      <c r="P66" s="644"/>
      <c r="Q66" s="644"/>
      <c r="W66" s="645"/>
      <c r="X66" s="642"/>
      <c r="Y66" s="642"/>
      <c r="Z66" s="685"/>
      <c r="AA66" s="685"/>
    </row>
    <row r="67" spans="1:27" x14ac:dyDescent="0.35">
      <c r="A67" s="642"/>
      <c r="B67" s="642"/>
      <c r="C67" s="642"/>
      <c r="D67" s="642"/>
      <c r="E67" s="642"/>
      <c r="F67" s="642"/>
      <c r="G67" s="642"/>
      <c r="H67" s="642"/>
      <c r="I67" s="642"/>
      <c r="J67" s="642"/>
      <c r="K67" s="642"/>
      <c r="L67" s="642"/>
      <c r="M67" s="642"/>
      <c r="N67" s="642"/>
      <c r="O67" s="642"/>
      <c r="P67" s="645"/>
      <c r="Q67" s="645"/>
      <c r="R67" s="642"/>
      <c r="S67" s="642"/>
      <c r="T67" s="642"/>
      <c r="U67" s="642"/>
      <c r="V67" s="642"/>
      <c r="W67" s="633"/>
      <c r="X67" s="629"/>
      <c r="Y67" s="629"/>
      <c r="Z67" s="642"/>
      <c r="AA67" s="642"/>
    </row>
    <row r="68" spans="1:27" x14ac:dyDescent="0.35">
      <c r="A68" s="642"/>
      <c r="B68" s="642"/>
      <c r="C68" s="642"/>
      <c r="D68" s="642"/>
      <c r="E68" s="642"/>
      <c r="F68" s="642"/>
      <c r="G68" s="642"/>
      <c r="H68" s="642"/>
      <c r="I68" s="642"/>
      <c r="J68" s="642"/>
      <c r="K68" s="642"/>
      <c r="L68" s="642"/>
      <c r="M68" s="642"/>
      <c r="N68" s="642"/>
      <c r="O68" s="642"/>
      <c r="P68" s="645"/>
      <c r="Q68" s="645"/>
      <c r="R68" s="642"/>
      <c r="S68" s="642"/>
      <c r="T68" s="642"/>
      <c r="U68" s="642"/>
      <c r="V68" s="642"/>
      <c r="W68" s="633"/>
      <c r="X68" s="629"/>
      <c r="Y68" s="629"/>
      <c r="Z68" s="629"/>
      <c r="AA68" s="629"/>
    </row>
    <row r="69" spans="1:27" x14ac:dyDescent="0.35">
      <c r="A69" s="642"/>
      <c r="B69" s="642"/>
      <c r="C69" s="642"/>
      <c r="D69" s="642"/>
      <c r="E69" s="642"/>
      <c r="F69" s="642"/>
      <c r="G69" s="642"/>
      <c r="H69" s="642"/>
      <c r="I69" s="642"/>
      <c r="J69" s="642"/>
      <c r="K69" s="642"/>
      <c r="L69" s="642"/>
      <c r="M69" s="642"/>
      <c r="N69" s="642"/>
      <c r="O69" s="642"/>
      <c r="P69" s="645"/>
      <c r="Q69" s="645"/>
      <c r="R69" s="642"/>
      <c r="S69" s="642"/>
      <c r="T69" s="642"/>
      <c r="U69" s="642"/>
      <c r="V69" s="637"/>
      <c r="W69" s="635"/>
      <c r="X69" s="634"/>
      <c r="Y69" s="634"/>
      <c r="Z69" s="629"/>
      <c r="AA69" s="629"/>
    </row>
    <row r="70" spans="1:27" x14ac:dyDescent="0.35">
      <c r="A70" s="642"/>
      <c r="B70" s="642"/>
      <c r="C70" s="642"/>
      <c r="D70" s="642"/>
      <c r="E70" s="642"/>
      <c r="F70" s="642"/>
      <c r="G70" s="642"/>
      <c r="H70" s="642"/>
      <c r="I70" s="642"/>
      <c r="J70" s="642"/>
      <c r="K70" s="642"/>
      <c r="L70" s="642"/>
      <c r="M70" s="642"/>
      <c r="N70" s="642"/>
      <c r="O70" s="642"/>
      <c r="P70" s="645"/>
      <c r="Q70" s="645"/>
      <c r="R70" s="642"/>
      <c r="S70" s="642"/>
      <c r="T70" s="642"/>
      <c r="U70" s="642"/>
      <c r="V70" s="637"/>
      <c r="W70" s="635"/>
      <c r="X70" s="634"/>
      <c r="Y70" s="634"/>
      <c r="Z70" s="634"/>
      <c r="AA70" s="634"/>
    </row>
    <row r="71" spans="1:27" x14ac:dyDescent="0.35">
      <c r="A71" s="642"/>
      <c r="B71" s="642"/>
      <c r="C71" s="642"/>
      <c r="D71" s="642"/>
      <c r="E71" s="642"/>
      <c r="F71" s="642"/>
      <c r="G71" s="642"/>
      <c r="H71" s="642"/>
      <c r="I71" s="642"/>
      <c r="J71" s="642"/>
      <c r="K71" s="642"/>
      <c r="L71" s="642"/>
      <c r="M71" s="642"/>
      <c r="N71" s="642"/>
      <c r="O71" s="642"/>
      <c r="P71" s="645"/>
      <c r="Q71" s="645"/>
      <c r="R71" s="642"/>
      <c r="S71" s="642"/>
      <c r="T71" s="642"/>
      <c r="U71" s="642"/>
      <c r="V71" s="642"/>
      <c r="W71" s="635"/>
      <c r="X71" s="634"/>
      <c r="Y71" s="634"/>
      <c r="Z71" s="634"/>
      <c r="AA71" s="634"/>
    </row>
    <row r="72" spans="1:27" x14ac:dyDescent="0.35">
      <c r="A72" s="642"/>
      <c r="B72" s="642"/>
      <c r="C72" s="642"/>
      <c r="D72" s="642"/>
      <c r="E72" s="642"/>
      <c r="F72" s="642"/>
      <c r="G72" s="642"/>
      <c r="H72" s="642"/>
      <c r="I72" s="642"/>
      <c r="J72" s="642"/>
      <c r="K72" s="642"/>
      <c r="L72" s="642"/>
      <c r="M72" s="642"/>
      <c r="N72" s="642"/>
      <c r="O72" s="642"/>
      <c r="P72" s="645"/>
      <c r="Q72" s="645"/>
      <c r="R72" s="642"/>
      <c r="S72" s="642"/>
      <c r="T72" s="642"/>
      <c r="U72" s="642"/>
      <c r="V72" s="642"/>
      <c r="W72" s="635"/>
      <c r="X72" s="634"/>
      <c r="Y72" s="634"/>
      <c r="Z72" s="634"/>
      <c r="AA72" s="634"/>
    </row>
    <row r="73" spans="1:27" x14ac:dyDescent="0.35">
      <c r="A73" s="642"/>
      <c r="B73" s="642"/>
      <c r="C73" s="642"/>
      <c r="D73" s="642"/>
      <c r="E73" s="642"/>
      <c r="F73" s="642"/>
      <c r="G73" s="642"/>
      <c r="H73" s="642"/>
      <c r="I73" s="642"/>
      <c r="J73" s="642"/>
      <c r="K73" s="642"/>
      <c r="L73" s="642"/>
      <c r="M73" s="642"/>
      <c r="P73" s="644"/>
      <c r="Q73" s="644"/>
      <c r="W73" s="630"/>
      <c r="X73" s="643"/>
      <c r="Y73" s="629"/>
      <c r="Z73" s="634"/>
      <c r="AA73" s="634"/>
    </row>
    <row r="74" spans="1:27" x14ac:dyDescent="0.35">
      <c r="A74" s="642"/>
      <c r="B74" s="642"/>
      <c r="C74" s="642"/>
      <c r="D74" s="642"/>
      <c r="E74" s="642"/>
      <c r="F74" s="642"/>
      <c r="G74" s="642"/>
      <c r="H74" s="642"/>
      <c r="I74" s="642"/>
      <c r="J74" s="642"/>
      <c r="K74" s="642"/>
      <c r="L74" s="642"/>
      <c r="M74" s="642"/>
      <c r="P74" s="644"/>
      <c r="Q74" s="644"/>
      <c r="W74" s="630"/>
      <c r="X74" s="643"/>
      <c r="Y74" s="629"/>
      <c r="Z74" s="629"/>
      <c r="AA74" s="629"/>
    </row>
    <row r="75" spans="1:27" x14ac:dyDescent="0.35">
      <c r="A75" s="686"/>
      <c r="B75" s="686"/>
      <c r="C75" s="548"/>
      <c r="D75" s="548"/>
      <c r="E75" s="548"/>
      <c r="F75" s="548"/>
      <c r="G75" s="548"/>
      <c r="H75" s="548"/>
      <c r="I75" s="642"/>
      <c r="J75" s="642"/>
      <c r="K75" s="642"/>
      <c r="L75" s="642"/>
      <c r="M75" s="642"/>
      <c r="P75" s="644"/>
      <c r="Q75" s="644"/>
      <c r="W75" s="630"/>
      <c r="X75" s="643"/>
      <c r="Y75" s="629"/>
      <c r="Z75" s="629"/>
      <c r="AA75" s="629"/>
    </row>
    <row r="76" spans="1:27" x14ac:dyDescent="0.35">
      <c r="A76" s="686"/>
      <c r="B76" s="686"/>
      <c r="C76" s="548"/>
      <c r="D76" s="548"/>
      <c r="E76" s="548"/>
      <c r="F76" s="548"/>
      <c r="G76" s="548"/>
      <c r="H76" s="548"/>
      <c r="I76" s="642"/>
      <c r="J76" s="642"/>
      <c r="K76" s="642"/>
      <c r="L76" s="263"/>
      <c r="M76" s="642"/>
      <c r="P76" s="644"/>
      <c r="Q76" s="644"/>
      <c r="W76" s="630"/>
      <c r="X76" s="643"/>
      <c r="Y76" s="629"/>
      <c r="Z76" s="629"/>
      <c r="AA76" s="629"/>
    </row>
    <row r="77" spans="1:27" x14ac:dyDescent="0.35">
      <c r="A77" s="548"/>
      <c r="B77" s="548"/>
      <c r="C77" s="548"/>
      <c r="D77" s="548"/>
      <c r="E77" s="548"/>
      <c r="F77" s="548"/>
      <c r="G77" s="548"/>
      <c r="H77" s="548"/>
      <c r="I77" s="548"/>
      <c r="J77" s="548"/>
      <c r="K77" s="263"/>
      <c r="L77" s="548"/>
      <c r="M77" s="642"/>
      <c r="N77" s="642"/>
      <c r="O77" s="642"/>
      <c r="P77" s="645"/>
      <c r="Q77" s="645"/>
      <c r="R77" s="642"/>
      <c r="S77" s="642"/>
      <c r="T77" s="642"/>
      <c r="U77" s="642"/>
      <c r="V77" s="643"/>
      <c r="W77" s="645"/>
      <c r="X77" s="642"/>
      <c r="Y77" s="642"/>
      <c r="Z77" s="629"/>
      <c r="AA77" s="629"/>
    </row>
    <row r="78" spans="1:27" x14ac:dyDescent="0.35">
      <c r="A78" s="686"/>
      <c r="B78" s="686"/>
      <c r="C78" s="548"/>
      <c r="D78" s="548"/>
      <c r="E78" s="548"/>
      <c r="F78" s="548"/>
      <c r="G78" s="548"/>
      <c r="H78" s="548"/>
      <c r="I78" s="548"/>
      <c r="J78" s="548"/>
      <c r="K78" s="548"/>
      <c r="L78" s="548"/>
      <c r="M78" s="642"/>
      <c r="N78" s="642"/>
      <c r="O78" s="642"/>
      <c r="P78" s="645"/>
      <c r="Q78" s="645"/>
      <c r="R78" s="642"/>
      <c r="S78" s="642"/>
      <c r="T78" s="642"/>
      <c r="U78" s="642"/>
      <c r="V78" s="643"/>
      <c r="W78" s="645"/>
      <c r="X78" s="642"/>
      <c r="Y78" s="642"/>
      <c r="Z78" s="642"/>
      <c r="AA78" s="642"/>
    </row>
    <row r="79" spans="1:27" x14ac:dyDescent="0.35">
      <c r="A79" s="686"/>
      <c r="B79" s="686"/>
      <c r="C79" s="548"/>
      <c r="D79" s="548"/>
      <c r="E79" s="548"/>
      <c r="F79" s="548"/>
      <c r="G79" s="548"/>
      <c r="H79" s="548"/>
      <c r="I79" s="548"/>
      <c r="J79" s="548"/>
      <c r="K79" s="548"/>
      <c r="L79" s="548"/>
      <c r="M79" s="643"/>
      <c r="P79" s="644"/>
      <c r="Q79" s="644"/>
      <c r="W79" s="645"/>
      <c r="X79" s="642"/>
      <c r="Y79" s="642"/>
      <c r="Z79" s="642"/>
      <c r="AA79" s="642"/>
    </row>
    <row r="80" spans="1:27" x14ac:dyDescent="0.35">
      <c r="A80" s="686"/>
      <c r="B80" s="686"/>
      <c r="C80" s="548"/>
      <c r="D80" s="548"/>
      <c r="E80" s="548"/>
      <c r="F80" s="548"/>
      <c r="G80" s="548"/>
      <c r="H80" s="548"/>
      <c r="I80" s="548"/>
      <c r="J80" s="548"/>
      <c r="K80" s="548"/>
      <c r="L80" s="548"/>
      <c r="M80" s="643"/>
      <c r="N80" s="643"/>
      <c r="O80" s="643"/>
      <c r="P80" s="630"/>
      <c r="Q80" s="630"/>
      <c r="R80" s="643"/>
      <c r="S80" s="643"/>
      <c r="T80" s="643"/>
      <c r="U80" s="643"/>
      <c r="V80" s="643"/>
      <c r="W80" s="630"/>
      <c r="X80" s="643"/>
      <c r="Y80" s="629"/>
      <c r="Z80" s="642"/>
      <c r="AA80" s="642"/>
    </row>
    <row r="81" spans="1:27" x14ac:dyDescent="0.35">
      <c r="A81" s="686"/>
      <c r="B81" s="686"/>
      <c r="C81" s="548"/>
      <c r="D81" s="548"/>
      <c r="E81" s="548"/>
      <c r="F81" s="548"/>
      <c r="G81" s="548"/>
      <c r="H81" s="548"/>
      <c r="I81" s="548"/>
      <c r="J81" s="548"/>
      <c r="K81" s="548"/>
      <c r="L81" s="548"/>
      <c r="M81" s="643"/>
      <c r="N81" s="643"/>
      <c r="O81" s="643"/>
      <c r="P81" s="630"/>
      <c r="Q81" s="630"/>
      <c r="R81" s="643"/>
      <c r="S81" s="643"/>
      <c r="T81" s="643"/>
      <c r="U81" s="643"/>
      <c r="V81" s="643"/>
      <c r="W81" s="630"/>
      <c r="X81" s="643"/>
      <c r="Y81" s="629"/>
      <c r="Z81" s="629"/>
      <c r="AA81" s="629"/>
    </row>
    <row r="82" spans="1:27" x14ac:dyDescent="0.35">
      <c r="A82" s="548"/>
      <c r="B82" s="686"/>
      <c r="C82" s="548"/>
      <c r="D82" s="548"/>
      <c r="E82" s="548"/>
      <c r="F82" s="548"/>
      <c r="G82" s="548"/>
      <c r="H82" s="548"/>
      <c r="I82" s="548"/>
      <c r="J82" s="548"/>
      <c r="K82" s="548"/>
      <c r="L82" s="548"/>
      <c r="M82" s="643"/>
      <c r="N82" s="643"/>
      <c r="O82" s="643"/>
      <c r="P82" s="630"/>
      <c r="Q82" s="630"/>
      <c r="R82" s="643"/>
      <c r="S82" s="643"/>
      <c r="T82" s="643"/>
      <c r="U82" s="643"/>
      <c r="V82" s="643"/>
      <c r="W82" s="630"/>
      <c r="X82" s="643"/>
      <c r="Y82" s="629"/>
      <c r="Z82" s="629"/>
      <c r="AA82" s="629"/>
    </row>
    <row r="83" spans="1:27" x14ac:dyDescent="0.35">
      <c r="A83" s="548"/>
      <c r="B83" s="686"/>
      <c r="C83" s="548"/>
      <c r="D83" s="548"/>
      <c r="E83" s="548"/>
      <c r="F83" s="548"/>
      <c r="G83" s="548"/>
      <c r="H83" s="548"/>
      <c r="I83" s="548"/>
      <c r="J83" s="548"/>
      <c r="K83" s="548"/>
      <c r="L83" s="548"/>
      <c r="M83" s="643"/>
      <c r="N83" s="643"/>
      <c r="O83" s="643"/>
      <c r="P83" s="630"/>
      <c r="Q83" s="636"/>
      <c r="R83" s="643"/>
      <c r="S83" s="643"/>
      <c r="T83" s="643"/>
      <c r="U83" s="643"/>
      <c r="V83" s="643"/>
      <c r="W83" s="630"/>
      <c r="X83" s="631"/>
      <c r="Y83" s="634"/>
      <c r="Z83" s="629"/>
      <c r="AA83" s="629"/>
    </row>
    <row r="84" spans="1:27" x14ac:dyDescent="0.35">
      <c r="A84" s="686"/>
      <c r="B84" s="686"/>
      <c r="C84" s="548"/>
      <c r="D84" s="548"/>
      <c r="E84" s="548"/>
      <c r="F84" s="548"/>
      <c r="G84" s="548"/>
      <c r="H84" s="548"/>
      <c r="I84" s="548"/>
      <c r="J84" s="548"/>
      <c r="K84" s="548"/>
      <c r="L84" s="548"/>
      <c r="M84" s="643"/>
      <c r="N84" s="643"/>
      <c r="O84" s="643"/>
      <c r="P84" s="630"/>
      <c r="Q84" s="630"/>
      <c r="R84" s="643"/>
      <c r="S84" s="643"/>
      <c r="T84" s="643"/>
      <c r="U84" s="643"/>
      <c r="V84" s="643"/>
      <c r="W84" s="630"/>
      <c r="X84" s="631"/>
      <c r="Y84" s="634"/>
      <c r="Z84" s="634"/>
      <c r="AA84" s="634"/>
    </row>
    <row r="85" spans="1:27" x14ac:dyDescent="0.35">
      <c r="A85" s="686"/>
      <c r="B85" s="686"/>
      <c r="C85" s="548"/>
      <c r="D85" s="548"/>
      <c r="E85" s="548"/>
      <c r="F85" s="548"/>
      <c r="G85" s="548"/>
      <c r="H85" s="548"/>
      <c r="I85" s="548"/>
      <c r="J85" s="548"/>
      <c r="K85" s="548"/>
      <c r="L85" s="548"/>
      <c r="M85" s="643"/>
      <c r="N85" s="643"/>
      <c r="O85" s="643"/>
      <c r="P85" s="630"/>
      <c r="Q85" s="630"/>
      <c r="R85" s="643"/>
      <c r="S85" s="643"/>
      <c r="T85" s="643"/>
      <c r="U85" s="643"/>
      <c r="V85" s="643"/>
      <c r="W85" s="630"/>
      <c r="X85" s="631"/>
      <c r="Y85" s="634"/>
      <c r="Z85" s="634"/>
      <c r="AA85" s="634"/>
    </row>
    <row r="86" spans="1:27" x14ac:dyDescent="0.35">
      <c r="A86" s="686"/>
      <c r="B86" s="686"/>
      <c r="C86" s="548"/>
      <c r="D86" s="548"/>
      <c r="E86" s="548"/>
      <c r="F86" s="548"/>
      <c r="G86" s="548"/>
      <c r="H86" s="548"/>
      <c r="I86" s="548"/>
      <c r="J86" s="548"/>
      <c r="K86" s="548"/>
      <c r="L86" s="548"/>
      <c r="M86" s="643"/>
      <c r="N86" s="643"/>
      <c r="O86" s="643"/>
      <c r="P86" s="630"/>
      <c r="Q86" s="630"/>
      <c r="R86" s="643"/>
      <c r="S86" s="643"/>
      <c r="T86" s="643"/>
      <c r="U86" s="643"/>
      <c r="V86" s="643"/>
      <c r="W86" s="630"/>
      <c r="X86" s="643"/>
      <c r="Y86" s="629"/>
      <c r="Z86" s="634"/>
      <c r="AA86" s="634"/>
    </row>
    <row r="87" spans="1:27" x14ac:dyDescent="0.35">
      <c r="A87" s="686"/>
      <c r="B87" s="686"/>
      <c r="C87" s="548"/>
      <c r="D87" s="548"/>
      <c r="E87" s="548"/>
      <c r="F87" s="548"/>
      <c r="G87" s="548"/>
      <c r="H87" s="548"/>
      <c r="I87" s="548"/>
      <c r="J87" s="548"/>
      <c r="K87" s="548"/>
      <c r="L87" s="548"/>
      <c r="M87" s="629"/>
      <c r="N87" s="632"/>
      <c r="O87" s="632"/>
      <c r="P87" s="632"/>
      <c r="Q87" s="632"/>
      <c r="R87" s="632"/>
      <c r="S87" s="632"/>
      <c r="T87" s="632"/>
      <c r="U87" s="632"/>
      <c r="V87" s="632"/>
      <c r="W87" s="632"/>
      <c r="X87" s="632"/>
      <c r="Y87" s="629"/>
      <c r="Z87" s="629"/>
      <c r="AA87" s="629"/>
    </row>
    <row r="88" spans="1:27" x14ac:dyDescent="0.35">
      <c r="A88" s="686"/>
      <c r="B88" s="686"/>
      <c r="C88" s="548"/>
      <c r="D88" s="548"/>
      <c r="E88" s="548"/>
      <c r="F88" s="548"/>
      <c r="G88" s="548"/>
      <c r="H88" s="548"/>
      <c r="I88" s="548"/>
      <c r="J88" s="548"/>
      <c r="K88" s="548"/>
      <c r="L88" s="548"/>
      <c r="M88" s="629"/>
      <c r="N88" s="632"/>
      <c r="O88" s="632"/>
      <c r="P88" s="632"/>
      <c r="Q88" s="632"/>
      <c r="R88" s="632"/>
      <c r="S88" s="632"/>
      <c r="T88" s="632"/>
      <c r="U88" s="632"/>
      <c r="V88" s="632"/>
      <c r="W88" s="632"/>
      <c r="X88" s="632"/>
      <c r="Y88" s="629"/>
      <c r="Z88" s="629"/>
      <c r="AA88" s="629"/>
    </row>
    <row r="89" spans="1:27" x14ac:dyDescent="0.35">
      <c r="A89" s="686"/>
      <c r="B89" s="686"/>
      <c r="C89" s="548"/>
      <c r="D89" s="548"/>
      <c r="E89" s="548"/>
      <c r="F89" s="548"/>
      <c r="G89" s="548"/>
      <c r="H89" s="548"/>
      <c r="I89" s="548"/>
      <c r="J89" s="548"/>
      <c r="K89" s="548"/>
      <c r="L89" s="548"/>
      <c r="M89" s="548"/>
      <c r="N89" s="642"/>
      <c r="O89" s="642"/>
      <c r="P89" s="642"/>
      <c r="Q89" s="642"/>
      <c r="R89" s="642"/>
      <c r="S89" s="642"/>
      <c r="Z89" s="629"/>
      <c r="AA89" s="629"/>
    </row>
    <row r="90" spans="1:27" x14ac:dyDescent="0.35">
      <c r="A90" s="686"/>
      <c r="B90" s="686"/>
      <c r="C90" s="548"/>
      <c r="D90" s="548"/>
      <c r="E90" s="548"/>
      <c r="F90" s="548"/>
      <c r="G90" s="548"/>
      <c r="H90" s="548"/>
      <c r="I90" s="548"/>
      <c r="J90" s="548"/>
      <c r="K90" s="548"/>
      <c r="L90" s="548"/>
      <c r="M90" s="548"/>
      <c r="N90" s="642"/>
      <c r="O90" s="642"/>
      <c r="P90" s="642"/>
      <c r="Q90" s="642"/>
      <c r="R90" s="642"/>
      <c r="S90" s="642"/>
    </row>
    <row r="91" spans="1:27" x14ac:dyDescent="0.35">
      <c r="A91" s="686"/>
      <c r="B91" s="686"/>
      <c r="C91" s="548"/>
      <c r="D91" s="548"/>
      <c r="E91" s="548"/>
      <c r="F91" s="548"/>
      <c r="G91" s="548"/>
      <c r="H91" s="548"/>
      <c r="I91" s="548"/>
      <c r="J91" s="548"/>
      <c r="K91" s="548"/>
      <c r="L91" s="548"/>
      <c r="M91" s="548"/>
      <c r="N91" s="642"/>
      <c r="O91" s="642"/>
      <c r="P91" s="642"/>
      <c r="Q91" s="642"/>
      <c r="R91" s="642"/>
      <c r="S91" s="642"/>
    </row>
    <row r="92" spans="1:27" x14ac:dyDescent="0.35">
      <c r="A92" s="686"/>
      <c r="B92" s="686"/>
      <c r="C92" s="548"/>
      <c r="D92" s="548"/>
      <c r="E92" s="548"/>
      <c r="F92" s="548"/>
      <c r="G92" s="548"/>
      <c r="H92" s="548"/>
      <c r="I92" s="548"/>
      <c r="J92" s="548"/>
      <c r="K92" s="548"/>
      <c r="L92" s="548"/>
      <c r="M92" s="548"/>
      <c r="N92" s="642"/>
      <c r="O92" s="642"/>
      <c r="P92" s="642"/>
      <c r="Q92" s="642"/>
      <c r="R92" s="642"/>
      <c r="S92" s="642"/>
    </row>
    <row r="93" spans="1:27" x14ac:dyDescent="0.35">
      <c r="A93" s="686"/>
      <c r="B93" s="686"/>
      <c r="C93" s="548"/>
      <c r="D93" s="548"/>
      <c r="E93" s="548"/>
      <c r="F93" s="548"/>
      <c r="G93" s="548"/>
      <c r="H93" s="548"/>
      <c r="I93" s="548"/>
      <c r="J93" s="548"/>
      <c r="K93" s="548"/>
      <c r="L93" s="548"/>
      <c r="M93" s="548"/>
      <c r="N93" s="642"/>
      <c r="O93" s="642"/>
      <c r="P93" s="642"/>
      <c r="Q93" s="642"/>
      <c r="R93" s="642"/>
      <c r="S93" s="642"/>
    </row>
    <row r="94" spans="1:27" x14ac:dyDescent="0.35">
      <c r="A94" s="686"/>
      <c r="B94" s="686"/>
      <c r="C94" s="548"/>
      <c r="D94" s="548"/>
      <c r="E94" s="548"/>
      <c r="F94" s="548"/>
      <c r="G94" s="548"/>
      <c r="H94" s="548"/>
      <c r="I94" s="548"/>
      <c r="J94" s="548"/>
      <c r="K94" s="548"/>
      <c r="L94" s="548"/>
      <c r="M94" s="548"/>
      <c r="N94" s="642"/>
      <c r="O94" s="642"/>
      <c r="P94" s="642"/>
      <c r="Q94" s="642"/>
      <c r="R94" s="642"/>
      <c r="S94" s="642"/>
    </row>
    <row r="95" spans="1:27" x14ac:dyDescent="0.35">
      <c r="A95" s="686"/>
      <c r="B95" s="686"/>
      <c r="C95" s="548"/>
      <c r="D95" s="548"/>
      <c r="E95" s="548"/>
      <c r="F95" s="548"/>
      <c r="G95" s="548"/>
      <c r="H95" s="548"/>
      <c r="I95" s="548"/>
      <c r="J95" s="548"/>
      <c r="K95" s="548"/>
      <c r="L95" s="548"/>
      <c r="M95" s="548"/>
      <c r="N95" s="642"/>
      <c r="O95" s="642"/>
      <c r="P95" s="642"/>
      <c r="Q95" s="642"/>
      <c r="R95" s="642"/>
      <c r="S95" s="642"/>
    </row>
    <row r="96" spans="1:27" x14ac:dyDescent="0.35">
      <c r="A96" s="686"/>
      <c r="B96" s="686"/>
      <c r="C96" s="548"/>
      <c r="D96" s="548"/>
      <c r="E96" s="548"/>
      <c r="F96" s="548"/>
      <c r="G96" s="548"/>
      <c r="H96" s="548"/>
      <c r="I96" s="548"/>
      <c r="J96" s="548"/>
      <c r="K96" s="548"/>
      <c r="L96" s="548"/>
      <c r="M96" s="548"/>
      <c r="N96" s="642"/>
      <c r="O96" s="642"/>
      <c r="P96" s="642"/>
      <c r="Q96" s="642"/>
      <c r="R96" s="642"/>
      <c r="S96" s="642"/>
    </row>
    <row r="97" spans="1:19" x14ac:dyDescent="0.35">
      <c r="A97" s="686"/>
      <c r="B97" s="686"/>
      <c r="C97" s="548"/>
      <c r="D97" s="548"/>
      <c r="E97" s="548"/>
      <c r="F97" s="548"/>
      <c r="G97" s="548"/>
      <c r="H97" s="548"/>
      <c r="I97" s="548"/>
      <c r="J97" s="548"/>
      <c r="K97" s="548"/>
      <c r="L97" s="548"/>
      <c r="M97" s="548"/>
      <c r="N97" s="642"/>
      <c r="O97" s="642"/>
      <c r="P97" s="642"/>
      <c r="Q97" s="642"/>
      <c r="R97" s="642"/>
      <c r="S97" s="642"/>
    </row>
    <row r="98" spans="1:19" x14ac:dyDescent="0.35">
      <c r="A98" s="686"/>
      <c r="B98" s="686"/>
      <c r="C98" s="548"/>
      <c r="D98" s="548"/>
      <c r="E98" s="548"/>
      <c r="F98" s="548"/>
      <c r="G98" s="548"/>
      <c r="H98" s="548"/>
      <c r="I98" s="548"/>
      <c r="J98" s="548"/>
      <c r="K98" s="548"/>
      <c r="L98" s="548"/>
      <c r="M98" s="548"/>
      <c r="N98" s="642"/>
      <c r="O98" s="642"/>
      <c r="P98" s="642"/>
      <c r="Q98" s="642"/>
      <c r="R98" s="642"/>
      <c r="S98" s="642"/>
    </row>
    <row r="99" spans="1:19" x14ac:dyDescent="0.35">
      <c r="A99" s="686"/>
      <c r="B99" s="686"/>
      <c r="C99" s="548"/>
      <c r="D99" s="548"/>
      <c r="E99" s="548"/>
      <c r="F99" s="548"/>
      <c r="G99" s="548"/>
      <c r="H99" s="548"/>
      <c r="I99" s="548"/>
      <c r="J99" s="548"/>
      <c r="K99" s="548"/>
      <c r="L99" s="548"/>
      <c r="M99" s="548"/>
      <c r="N99" s="642"/>
      <c r="O99" s="642"/>
      <c r="P99" s="642"/>
      <c r="Q99" s="642"/>
      <c r="R99" s="642"/>
      <c r="S99" s="642"/>
    </row>
    <row r="100" spans="1:19" x14ac:dyDescent="0.35">
      <c r="A100" s="686"/>
      <c r="B100" s="686"/>
      <c r="C100" s="548"/>
      <c r="D100" s="548"/>
      <c r="E100" s="548"/>
      <c r="F100" s="548"/>
      <c r="G100" s="548"/>
      <c r="H100" s="548"/>
      <c r="I100" s="548"/>
      <c r="J100" s="548"/>
      <c r="K100" s="548"/>
      <c r="L100" s="548"/>
      <c r="M100" s="548"/>
      <c r="N100" s="642"/>
      <c r="O100" s="642"/>
      <c r="P100" s="642"/>
      <c r="Q100" s="642"/>
      <c r="R100" s="642"/>
      <c r="S100" s="642"/>
    </row>
    <row r="101" spans="1:19" x14ac:dyDescent="0.35">
      <c r="A101" s="686"/>
      <c r="B101" s="686"/>
      <c r="C101" s="548"/>
      <c r="D101" s="548"/>
      <c r="E101" s="548"/>
      <c r="F101" s="548"/>
      <c r="G101" s="548"/>
      <c r="H101" s="548"/>
      <c r="I101" s="548"/>
      <c r="J101" s="548"/>
      <c r="K101" s="548"/>
      <c r="L101" s="548"/>
      <c r="M101" s="548"/>
      <c r="N101" s="642"/>
      <c r="O101" s="642"/>
      <c r="P101" s="642"/>
      <c r="Q101" s="642"/>
      <c r="R101" s="642"/>
      <c r="S101" s="642"/>
    </row>
    <row r="102" spans="1:19" x14ac:dyDescent="0.35">
      <c r="A102" s="686"/>
      <c r="B102" s="686"/>
      <c r="C102" s="548"/>
      <c r="D102" s="548"/>
      <c r="E102" s="548"/>
      <c r="F102" s="548"/>
      <c r="G102" s="548"/>
      <c r="H102" s="548"/>
      <c r="I102" s="548"/>
      <c r="J102" s="548"/>
      <c r="K102" s="548"/>
      <c r="L102" s="548"/>
      <c r="M102" s="548"/>
      <c r="N102" s="642"/>
      <c r="O102" s="642"/>
      <c r="P102" s="642"/>
      <c r="Q102" s="642"/>
      <c r="R102" s="642"/>
      <c r="S102" s="642"/>
    </row>
    <row r="103" spans="1:19" x14ac:dyDescent="0.35">
      <c r="A103" s="686"/>
      <c r="B103" s="686"/>
      <c r="C103" s="548"/>
      <c r="D103" s="548"/>
      <c r="E103" s="548"/>
      <c r="F103" s="548"/>
      <c r="G103" s="548"/>
      <c r="H103" s="548"/>
      <c r="I103" s="548"/>
      <c r="J103" s="548"/>
      <c r="K103" s="548"/>
      <c r="L103" s="548"/>
      <c r="M103" s="548"/>
      <c r="N103" s="642"/>
      <c r="O103" s="642"/>
      <c r="P103" s="642"/>
      <c r="Q103" s="642"/>
      <c r="R103" s="642"/>
      <c r="S103" s="642"/>
    </row>
    <row r="104" spans="1:19" x14ac:dyDescent="0.35">
      <c r="A104" s="686"/>
      <c r="B104" s="686"/>
      <c r="C104" s="548"/>
      <c r="D104" s="548"/>
      <c r="E104" s="548"/>
      <c r="F104" s="548"/>
      <c r="G104" s="548"/>
      <c r="H104" s="548"/>
      <c r="I104" s="548"/>
      <c r="J104" s="548"/>
      <c r="K104" s="548"/>
      <c r="L104" s="548"/>
      <c r="M104" s="548"/>
      <c r="N104" s="642"/>
      <c r="O104" s="642"/>
      <c r="P104" s="642"/>
      <c r="Q104" s="642"/>
      <c r="R104" s="642"/>
      <c r="S104" s="642"/>
    </row>
    <row r="105" spans="1:19" x14ac:dyDescent="0.35">
      <c r="A105" s="686"/>
      <c r="B105" s="686"/>
      <c r="C105" s="548"/>
      <c r="D105" s="548"/>
      <c r="E105" s="548"/>
      <c r="F105" s="548"/>
      <c r="G105" s="548"/>
      <c r="H105" s="548"/>
      <c r="I105" s="548"/>
      <c r="J105" s="548"/>
      <c r="K105" s="548"/>
      <c r="L105" s="548"/>
      <c r="M105" s="548"/>
      <c r="N105" s="642"/>
      <c r="O105" s="642"/>
      <c r="P105" s="642"/>
      <c r="Q105" s="642"/>
      <c r="R105" s="642"/>
      <c r="S105" s="642"/>
    </row>
    <row r="106" spans="1:19" x14ac:dyDescent="0.35">
      <c r="A106" s="642"/>
      <c r="B106" s="642"/>
      <c r="C106" s="642"/>
      <c r="D106" s="642"/>
      <c r="E106" s="642"/>
      <c r="F106" s="642"/>
      <c r="G106" s="642"/>
      <c r="H106" s="642"/>
      <c r="I106" s="548"/>
      <c r="J106" s="548"/>
      <c r="K106" s="548"/>
      <c r="L106" s="548"/>
      <c r="M106" s="548"/>
      <c r="N106" s="642"/>
      <c r="O106" s="642"/>
      <c r="P106" s="642"/>
      <c r="Q106" s="642"/>
      <c r="R106" s="642"/>
      <c r="S106" s="642"/>
    </row>
    <row r="107" spans="1:19" x14ac:dyDescent="0.35">
      <c r="A107" s="642"/>
      <c r="B107" s="642"/>
      <c r="C107" s="642"/>
      <c r="D107" s="642"/>
      <c r="E107" s="642"/>
      <c r="F107" s="642"/>
      <c r="G107" s="642"/>
      <c r="H107" s="642"/>
      <c r="I107" s="548"/>
      <c r="J107" s="548"/>
      <c r="K107" s="548"/>
      <c r="L107" s="642"/>
      <c r="M107" s="642"/>
      <c r="N107" s="642"/>
      <c r="O107" s="642"/>
      <c r="P107" s="642"/>
      <c r="Q107" s="642"/>
      <c r="R107" s="642"/>
      <c r="S107" s="642"/>
    </row>
    <row r="108" spans="1:19" x14ac:dyDescent="0.35">
      <c r="A108" s="642"/>
      <c r="B108" s="642"/>
      <c r="C108" s="642"/>
      <c r="D108" s="642"/>
      <c r="E108" s="642"/>
      <c r="F108" s="642"/>
      <c r="G108" s="642"/>
      <c r="H108" s="642"/>
      <c r="I108" s="642"/>
      <c r="J108" s="642"/>
      <c r="K108" s="642"/>
      <c r="L108" s="642"/>
      <c r="M108" s="642"/>
      <c r="N108" s="642"/>
      <c r="O108" s="642"/>
      <c r="P108" s="642"/>
      <c r="Q108" s="642"/>
      <c r="R108" s="642"/>
      <c r="S108" s="642"/>
    </row>
    <row r="109" spans="1:19" x14ac:dyDescent="0.35">
      <c r="A109" s="642"/>
      <c r="B109" s="642"/>
      <c r="C109" s="642"/>
      <c r="D109" s="642"/>
      <c r="E109" s="642"/>
      <c r="F109" s="642"/>
      <c r="G109" s="642"/>
      <c r="H109" s="642"/>
      <c r="I109" s="642"/>
      <c r="J109" s="642"/>
      <c r="K109" s="642"/>
      <c r="L109" s="642"/>
      <c r="M109" s="642"/>
      <c r="N109" s="642"/>
      <c r="O109" s="642"/>
      <c r="P109" s="642"/>
      <c r="Q109" s="642"/>
      <c r="R109" s="642"/>
      <c r="S109" s="642"/>
    </row>
    <row r="110" spans="1:19" x14ac:dyDescent="0.35">
      <c r="A110" s="642"/>
      <c r="B110" s="642"/>
      <c r="C110" s="642"/>
      <c r="D110" s="642"/>
      <c r="E110" s="642"/>
      <c r="F110" s="642"/>
      <c r="G110" s="642"/>
      <c r="H110" s="642"/>
      <c r="I110" s="642"/>
      <c r="J110" s="642"/>
      <c r="K110" s="642"/>
      <c r="L110" s="642"/>
      <c r="M110" s="642"/>
      <c r="N110" s="642"/>
      <c r="O110" s="642"/>
      <c r="P110" s="642"/>
      <c r="Q110" s="642"/>
      <c r="R110" s="642"/>
      <c r="S110" s="642"/>
    </row>
    <row r="111" spans="1:19" x14ac:dyDescent="0.35">
      <c r="A111" s="642"/>
      <c r="B111" s="642"/>
      <c r="C111" s="642"/>
      <c r="D111" s="642"/>
      <c r="E111" s="642"/>
      <c r="F111" s="642"/>
      <c r="G111" s="642"/>
      <c r="H111" s="642"/>
      <c r="I111" s="642"/>
      <c r="J111" s="642"/>
      <c r="K111" s="642"/>
      <c r="L111" s="642"/>
      <c r="M111" s="642"/>
      <c r="N111" s="642"/>
      <c r="O111" s="642"/>
      <c r="P111" s="642"/>
      <c r="Q111" s="642"/>
      <c r="R111" s="642"/>
      <c r="S111" s="642"/>
    </row>
    <row r="112" spans="1:19" x14ac:dyDescent="0.35">
      <c r="A112" s="642"/>
      <c r="B112" s="642"/>
      <c r="C112" s="642"/>
      <c r="D112" s="642"/>
      <c r="E112" s="642"/>
      <c r="F112" s="642"/>
      <c r="G112" s="642"/>
      <c r="H112" s="642"/>
      <c r="I112" s="642"/>
      <c r="J112" s="642"/>
      <c r="K112" s="642"/>
      <c r="L112" s="642"/>
      <c r="M112" s="642"/>
      <c r="N112" s="642"/>
      <c r="O112" s="642"/>
      <c r="P112" s="642"/>
      <c r="Q112" s="642"/>
      <c r="R112" s="642"/>
      <c r="S112" s="642"/>
    </row>
    <row r="113" spans="1:19" x14ac:dyDescent="0.35">
      <c r="A113" s="642"/>
      <c r="B113" s="642"/>
      <c r="C113" s="642"/>
      <c r="D113" s="642"/>
      <c r="E113" s="642"/>
      <c r="F113" s="642"/>
      <c r="G113" s="642"/>
      <c r="H113" s="642"/>
      <c r="I113" s="642"/>
      <c r="J113" s="642"/>
      <c r="K113" s="642"/>
      <c r="L113" s="642"/>
      <c r="M113" s="642"/>
      <c r="N113" s="642"/>
      <c r="O113" s="642"/>
      <c r="P113" s="642"/>
      <c r="Q113" s="642"/>
      <c r="R113" s="642"/>
      <c r="S113" s="642"/>
    </row>
    <row r="114" spans="1:19" x14ac:dyDescent="0.35">
      <c r="A114" s="642"/>
      <c r="B114" s="642"/>
      <c r="C114" s="642"/>
      <c r="D114" s="642"/>
      <c r="E114" s="642"/>
      <c r="F114" s="642"/>
      <c r="G114" s="642"/>
      <c r="H114" s="642"/>
      <c r="I114" s="642"/>
      <c r="J114" s="642"/>
      <c r="K114" s="642"/>
      <c r="L114" s="642"/>
      <c r="M114" s="642"/>
      <c r="N114" s="642"/>
      <c r="O114" s="642"/>
      <c r="P114" s="642"/>
      <c r="Q114" s="642"/>
      <c r="R114" s="642"/>
      <c r="S114" s="642"/>
    </row>
    <row r="115" spans="1:19" x14ac:dyDescent="0.35">
      <c r="A115" s="642"/>
      <c r="B115" s="642"/>
      <c r="C115" s="642"/>
      <c r="D115" s="642"/>
      <c r="E115" s="642"/>
      <c r="F115" s="642"/>
      <c r="G115" s="642"/>
      <c r="H115" s="642"/>
      <c r="I115" s="642"/>
      <c r="J115" s="642"/>
      <c r="K115" s="642"/>
      <c r="L115" s="642"/>
      <c r="M115" s="642"/>
      <c r="N115" s="642"/>
      <c r="O115" s="642"/>
      <c r="P115" s="642"/>
      <c r="Q115" s="642"/>
      <c r="R115" s="642"/>
      <c r="S115" s="642"/>
    </row>
    <row r="116" spans="1:19" x14ac:dyDescent="0.35">
      <c r="A116" s="642"/>
      <c r="B116" s="642"/>
      <c r="C116" s="642"/>
      <c r="D116" s="642"/>
      <c r="E116" s="642"/>
      <c r="F116" s="642"/>
      <c r="G116" s="642"/>
      <c r="H116" s="642"/>
      <c r="I116" s="642"/>
      <c r="J116" s="642"/>
      <c r="K116" s="642"/>
      <c r="L116" s="642"/>
      <c r="M116" s="642"/>
      <c r="N116" s="642"/>
      <c r="O116" s="642"/>
      <c r="P116" s="642"/>
      <c r="Q116" s="642"/>
      <c r="R116" s="642"/>
      <c r="S116" s="642"/>
    </row>
    <row r="117" spans="1:19" x14ac:dyDescent="0.35">
      <c r="A117" s="642"/>
      <c r="B117" s="642"/>
      <c r="C117" s="642"/>
      <c r="D117" s="642"/>
      <c r="E117" s="642"/>
      <c r="F117" s="642"/>
      <c r="G117" s="642"/>
      <c r="H117" s="642"/>
      <c r="I117" s="642"/>
      <c r="J117" s="642"/>
      <c r="K117" s="642"/>
      <c r="L117" s="642"/>
      <c r="M117" s="642"/>
      <c r="N117" s="642"/>
      <c r="O117" s="642"/>
      <c r="P117" s="642"/>
      <c r="Q117" s="642"/>
      <c r="R117" s="642"/>
      <c r="S117" s="642"/>
    </row>
    <row r="118" spans="1:19" x14ac:dyDescent="0.35">
      <c r="A118" s="642"/>
      <c r="B118" s="642"/>
      <c r="C118" s="642"/>
      <c r="D118" s="642"/>
      <c r="E118" s="642"/>
      <c r="F118" s="642"/>
      <c r="G118" s="642"/>
      <c r="H118" s="642"/>
      <c r="I118" s="642"/>
      <c r="J118" s="642"/>
      <c r="K118" s="642"/>
      <c r="L118" s="642"/>
      <c r="M118" s="642"/>
      <c r="N118" s="642"/>
      <c r="O118" s="642"/>
      <c r="P118" s="642"/>
      <c r="Q118" s="642"/>
      <c r="R118" s="642"/>
      <c r="S118" s="642"/>
    </row>
    <row r="119" spans="1:19" x14ac:dyDescent="0.35">
      <c r="A119" s="642"/>
      <c r="B119" s="642"/>
      <c r="C119" s="642"/>
      <c r="D119" s="642"/>
      <c r="E119" s="642"/>
      <c r="F119" s="642"/>
      <c r="G119" s="642"/>
      <c r="H119" s="642"/>
      <c r="I119" s="642"/>
      <c r="J119" s="642"/>
      <c r="K119" s="642"/>
      <c r="L119" s="642"/>
      <c r="M119" s="642"/>
      <c r="N119" s="642"/>
      <c r="O119" s="642"/>
      <c r="P119" s="642"/>
      <c r="Q119" s="642"/>
      <c r="R119" s="642"/>
      <c r="S119" s="642"/>
    </row>
    <row r="120" spans="1:19" x14ac:dyDescent="0.35">
      <c r="A120" s="642"/>
      <c r="B120" s="642"/>
      <c r="C120" s="642"/>
      <c r="D120" s="642"/>
      <c r="E120" s="642"/>
      <c r="F120" s="642"/>
      <c r="G120" s="642"/>
      <c r="H120" s="642"/>
      <c r="I120" s="642"/>
      <c r="J120" s="642"/>
      <c r="K120" s="642"/>
      <c r="L120" s="642"/>
      <c r="M120" s="642"/>
      <c r="N120" s="642"/>
      <c r="O120" s="642"/>
      <c r="P120" s="642"/>
      <c r="Q120" s="642"/>
      <c r="R120" s="642"/>
      <c r="S120" s="642"/>
    </row>
    <row r="121" spans="1:19" x14ac:dyDescent="0.35">
      <c r="A121" s="642"/>
      <c r="B121" s="642"/>
      <c r="C121" s="642"/>
      <c r="D121" s="642"/>
      <c r="E121" s="642"/>
      <c r="F121" s="642"/>
      <c r="G121" s="642"/>
      <c r="H121" s="642"/>
      <c r="I121" s="642"/>
      <c r="J121" s="642"/>
      <c r="K121" s="642"/>
      <c r="L121" s="642"/>
      <c r="M121" s="642"/>
      <c r="N121" s="642"/>
      <c r="O121" s="642"/>
      <c r="P121" s="642"/>
      <c r="Q121" s="642"/>
      <c r="R121" s="642"/>
      <c r="S121" s="642"/>
    </row>
    <row r="122" spans="1:19" x14ac:dyDescent="0.35">
      <c r="A122" s="642"/>
      <c r="B122" s="642"/>
      <c r="C122" s="642"/>
      <c r="D122" s="642"/>
      <c r="E122" s="642"/>
      <c r="F122" s="642"/>
      <c r="G122" s="642"/>
      <c r="H122" s="642"/>
      <c r="I122" s="642"/>
      <c r="J122" s="642"/>
      <c r="K122" s="642"/>
      <c r="L122" s="642"/>
      <c r="M122" s="642"/>
      <c r="N122" s="642"/>
      <c r="O122" s="642"/>
      <c r="P122" s="642"/>
      <c r="Q122" s="642"/>
      <c r="R122" s="642"/>
      <c r="S122" s="642"/>
    </row>
    <row r="123" spans="1:19" x14ac:dyDescent="0.35">
      <c r="A123" s="642"/>
      <c r="B123" s="642"/>
      <c r="C123" s="642"/>
      <c r="D123" s="642"/>
      <c r="E123" s="642"/>
      <c r="F123" s="642"/>
      <c r="G123" s="642"/>
      <c r="H123" s="642"/>
      <c r="I123" s="642"/>
      <c r="J123" s="642"/>
      <c r="K123" s="642"/>
      <c r="L123" s="642"/>
      <c r="M123" s="642"/>
      <c r="N123" s="642"/>
      <c r="O123" s="642"/>
      <c r="P123" s="642"/>
      <c r="Q123" s="642"/>
      <c r="R123" s="642"/>
      <c r="S123" s="642"/>
    </row>
    <row r="124" spans="1:19" x14ac:dyDescent="0.35">
      <c r="A124" s="642"/>
      <c r="B124" s="642"/>
      <c r="C124" s="642"/>
      <c r="D124" s="642"/>
      <c r="E124" s="642"/>
      <c r="F124" s="642"/>
      <c r="G124" s="642"/>
      <c r="H124" s="642"/>
      <c r="I124" s="642"/>
      <c r="J124" s="642"/>
      <c r="K124" s="642"/>
      <c r="L124" s="642"/>
      <c r="M124" s="642"/>
      <c r="N124" s="642"/>
      <c r="O124" s="642"/>
      <c r="P124" s="642"/>
      <c r="Q124" s="642"/>
      <c r="R124" s="642"/>
      <c r="S124" s="642"/>
    </row>
    <row r="125" spans="1:19" x14ac:dyDescent="0.35">
      <c r="A125" s="642"/>
      <c r="B125" s="642"/>
      <c r="C125" s="642"/>
      <c r="D125" s="642"/>
      <c r="E125" s="642"/>
      <c r="F125" s="642"/>
      <c r="G125" s="642"/>
      <c r="H125" s="642"/>
      <c r="I125" s="642"/>
      <c r="J125" s="642"/>
      <c r="K125" s="642"/>
      <c r="L125" s="642"/>
      <c r="M125" s="642"/>
      <c r="N125" s="642"/>
      <c r="O125" s="642"/>
      <c r="P125" s="642"/>
      <c r="Q125" s="642"/>
      <c r="R125" s="642"/>
      <c r="S125" s="642"/>
    </row>
    <row r="126" spans="1:19" x14ac:dyDescent="0.35">
      <c r="A126" s="642"/>
      <c r="B126" s="642"/>
      <c r="C126" s="642"/>
      <c r="D126" s="642"/>
      <c r="E126" s="642"/>
      <c r="F126" s="642"/>
      <c r="G126" s="642"/>
      <c r="H126" s="642"/>
      <c r="I126" s="642"/>
      <c r="J126" s="642"/>
      <c r="K126" s="642"/>
      <c r="L126" s="642"/>
      <c r="M126" s="642"/>
      <c r="N126" s="642"/>
      <c r="O126" s="642"/>
      <c r="P126" s="642"/>
      <c r="Q126" s="642"/>
      <c r="R126" s="642"/>
      <c r="S126" s="642"/>
    </row>
    <row r="127" spans="1:19" x14ac:dyDescent="0.35">
      <c r="A127" s="642"/>
      <c r="B127" s="642"/>
      <c r="C127" s="642"/>
      <c r="D127" s="642"/>
      <c r="E127" s="642"/>
      <c r="F127" s="642"/>
      <c r="G127" s="642"/>
      <c r="H127" s="642"/>
      <c r="I127" s="642"/>
      <c r="J127" s="642"/>
      <c r="K127" s="642"/>
      <c r="L127" s="642"/>
      <c r="M127" s="642"/>
      <c r="N127" s="642"/>
      <c r="O127" s="642"/>
      <c r="P127" s="642"/>
      <c r="Q127" s="642"/>
      <c r="R127" s="642"/>
      <c r="S127" s="642"/>
    </row>
    <row r="128" spans="1:19" x14ac:dyDescent="0.35">
      <c r="A128" s="642"/>
      <c r="B128" s="642"/>
      <c r="C128" s="642"/>
      <c r="D128" s="642"/>
      <c r="E128" s="642"/>
      <c r="F128" s="642"/>
      <c r="G128" s="642"/>
      <c r="H128" s="642"/>
      <c r="I128" s="642"/>
      <c r="J128" s="642"/>
      <c r="K128" s="642"/>
      <c r="L128" s="642"/>
      <c r="M128" s="642"/>
      <c r="N128" s="642"/>
      <c r="O128" s="642"/>
      <c r="P128" s="642"/>
      <c r="Q128" s="642"/>
      <c r="R128" s="642"/>
      <c r="S128" s="642"/>
    </row>
    <row r="129" spans="1:19" x14ac:dyDescent="0.35">
      <c r="A129" s="642"/>
      <c r="B129" s="642"/>
      <c r="C129" s="642"/>
      <c r="D129" s="642"/>
      <c r="E129" s="642"/>
      <c r="F129" s="642"/>
      <c r="G129" s="642"/>
      <c r="H129" s="642"/>
      <c r="I129" s="642"/>
      <c r="J129" s="642"/>
      <c r="K129" s="642"/>
      <c r="L129" s="642"/>
      <c r="M129" s="642"/>
      <c r="N129" s="642"/>
      <c r="O129" s="642"/>
      <c r="P129" s="642"/>
      <c r="Q129" s="642"/>
      <c r="R129" s="642"/>
      <c r="S129" s="642"/>
    </row>
    <row r="130" spans="1:19" x14ac:dyDescent="0.35">
      <c r="A130" s="642"/>
      <c r="B130" s="642"/>
      <c r="C130" s="642"/>
      <c r="D130" s="642"/>
      <c r="E130" s="642"/>
      <c r="F130" s="642"/>
      <c r="G130" s="642"/>
      <c r="H130" s="642"/>
      <c r="I130" s="642"/>
      <c r="J130" s="642"/>
      <c r="K130" s="642"/>
      <c r="L130" s="642"/>
      <c r="M130" s="642"/>
      <c r="N130" s="642"/>
      <c r="O130" s="642"/>
      <c r="P130" s="642"/>
      <c r="Q130" s="642"/>
      <c r="R130" s="642"/>
      <c r="S130" s="642"/>
    </row>
    <row r="131" spans="1:19" x14ac:dyDescent="0.35">
      <c r="A131" s="642"/>
      <c r="B131" s="642"/>
      <c r="C131" s="642"/>
      <c r="D131" s="642"/>
      <c r="E131" s="642"/>
      <c r="F131" s="642"/>
      <c r="G131" s="642"/>
      <c r="H131" s="642"/>
      <c r="I131" s="642"/>
      <c r="J131" s="642"/>
      <c r="K131" s="642"/>
      <c r="L131" s="642"/>
      <c r="M131" s="642"/>
      <c r="N131" s="642"/>
      <c r="O131" s="642"/>
      <c r="P131" s="642"/>
      <c r="Q131" s="642"/>
      <c r="R131" s="642"/>
      <c r="S131" s="642"/>
    </row>
    <row r="132" spans="1:19" x14ac:dyDescent="0.35">
      <c r="A132" s="642"/>
      <c r="B132" s="642"/>
      <c r="C132" s="642"/>
      <c r="D132" s="642"/>
      <c r="E132" s="642"/>
      <c r="F132" s="642"/>
      <c r="G132" s="642"/>
      <c r="H132" s="642"/>
      <c r="I132" s="642"/>
      <c r="J132" s="642"/>
      <c r="K132" s="642"/>
      <c r="L132" s="642"/>
      <c r="M132" s="642"/>
      <c r="N132" s="642"/>
      <c r="O132" s="642"/>
      <c r="P132" s="642"/>
      <c r="Q132" s="642"/>
      <c r="R132" s="642"/>
      <c r="S132" s="642"/>
    </row>
    <row r="133" spans="1:19" x14ac:dyDescent="0.35">
      <c r="A133" s="642"/>
      <c r="B133" s="642"/>
      <c r="C133" s="642"/>
      <c r="D133" s="642"/>
      <c r="E133" s="642"/>
      <c r="F133" s="642"/>
      <c r="G133" s="642"/>
      <c r="H133" s="642"/>
      <c r="I133" s="642"/>
      <c r="J133" s="642"/>
      <c r="K133" s="642"/>
      <c r="L133" s="642"/>
      <c r="M133" s="642"/>
      <c r="N133" s="642"/>
      <c r="O133" s="642"/>
      <c r="P133" s="642"/>
      <c r="Q133" s="642"/>
      <c r="R133" s="642"/>
      <c r="S133" s="642"/>
    </row>
    <row r="134" spans="1:19" x14ac:dyDescent="0.35">
      <c r="A134" s="642"/>
      <c r="B134" s="642"/>
      <c r="C134" s="642"/>
      <c r="D134" s="642"/>
      <c r="E134" s="642"/>
      <c r="F134" s="642"/>
      <c r="G134" s="642"/>
      <c r="H134" s="642"/>
      <c r="I134" s="642"/>
      <c r="J134" s="642"/>
      <c r="K134" s="642"/>
      <c r="L134" s="642"/>
      <c r="M134" s="642"/>
      <c r="N134" s="642"/>
      <c r="O134" s="642"/>
      <c r="P134" s="642"/>
      <c r="Q134" s="642"/>
      <c r="R134" s="642"/>
      <c r="S134" s="642"/>
    </row>
    <row r="135" spans="1:19" x14ac:dyDescent="0.35">
      <c r="A135" s="642"/>
      <c r="B135" s="642"/>
      <c r="C135" s="642"/>
      <c r="D135" s="642"/>
      <c r="E135" s="642"/>
      <c r="F135" s="642"/>
      <c r="G135" s="642"/>
      <c r="H135" s="642"/>
      <c r="I135" s="642"/>
      <c r="J135" s="642"/>
      <c r="K135" s="642"/>
      <c r="L135" s="642"/>
      <c r="M135" s="642"/>
      <c r="N135" s="642"/>
      <c r="O135" s="642"/>
      <c r="P135" s="642"/>
      <c r="Q135" s="642"/>
      <c r="R135" s="642"/>
      <c r="S135" s="642"/>
    </row>
    <row r="136" spans="1:19" x14ac:dyDescent="0.35">
      <c r="A136" s="642"/>
      <c r="B136" s="642"/>
      <c r="C136" s="642"/>
      <c r="D136" s="642"/>
      <c r="E136" s="642"/>
      <c r="F136" s="642"/>
      <c r="G136" s="642"/>
      <c r="H136" s="642"/>
      <c r="I136" s="642"/>
      <c r="J136" s="642"/>
      <c r="K136" s="642"/>
      <c r="L136" s="642"/>
      <c r="M136" s="642"/>
      <c r="N136" s="642"/>
      <c r="O136" s="642"/>
      <c r="P136" s="642"/>
      <c r="Q136" s="642"/>
      <c r="R136" s="642"/>
      <c r="S136" s="642"/>
    </row>
    <row r="137" spans="1:19" x14ac:dyDescent="0.35">
      <c r="A137" s="642"/>
      <c r="B137" s="642"/>
      <c r="C137" s="642"/>
      <c r="D137" s="642"/>
      <c r="E137" s="642"/>
      <c r="F137" s="642"/>
      <c r="G137" s="642"/>
      <c r="H137" s="642"/>
      <c r="I137" s="642"/>
      <c r="J137" s="642"/>
      <c r="K137" s="642"/>
      <c r="L137" s="642"/>
      <c r="M137" s="642"/>
      <c r="N137" s="642"/>
      <c r="O137" s="642"/>
      <c r="P137" s="642"/>
      <c r="Q137" s="642"/>
      <c r="R137" s="642"/>
      <c r="S137" s="642"/>
    </row>
    <row r="138" spans="1:19" x14ac:dyDescent="0.35">
      <c r="A138" s="642"/>
      <c r="B138" s="642"/>
      <c r="C138" s="642"/>
      <c r="D138" s="642"/>
      <c r="E138" s="642"/>
      <c r="F138" s="642"/>
      <c r="G138" s="642"/>
      <c r="H138" s="642"/>
      <c r="I138" s="642"/>
      <c r="J138" s="642"/>
      <c r="K138" s="642"/>
      <c r="L138" s="642"/>
      <c r="M138" s="642"/>
      <c r="N138" s="642"/>
      <c r="O138" s="642"/>
      <c r="P138" s="642"/>
      <c r="Q138" s="642"/>
      <c r="R138" s="642"/>
      <c r="S138" s="642"/>
    </row>
    <row r="139" spans="1:19" x14ac:dyDescent="0.35">
      <c r="A139" s="642"/>
      <c r="B139" s="642"/>
      <c r="C139" s="642"/>
      <c r="D139" s="642"/>
      <c r="E139" s="642"/>
      <c r="F139" s="642"/>
      <c r="G139" s="642"/>
      <c r="H139" s="642"/>
      <c r="I139" s="642"/>
      <c r="J139" s="642"/>
      <c r="K139" s="642"/>
      <c r="L139" s="642"/>
      <c r="M139" s="642"/>
      <c r="N139" s="642"/>
      <c r="O139" s="642"/>
      <c r="P139" s="642"/>
      <c r="Q139" s="642"/>
      <c r="R139" s="642"/>
      <c r="S139" s="642"/>
    </row>
    <row r="140" spans="1:19" x14ac:dyDescent="0.35">
      <c r="A140" s="642"/>
      <c r="B140" s="642"/>
      <c r="C140" s="642"/>
      <c r="D140" s="642"/>
      <c r="E140" s="642"/>
      <c r="F140" s="642"/>
      <c r="G140" s="642"/>
      <c r="H140" s="642"/>
      <c r="I140" s="642"/>
      <c r="J140" s="642"/>
      <c r="K140" s="642"/>
      <c r="L140" s="642"/>
      <c r="M140" s="642"/>
      <c r="N140" s="642"/>
      <c r="O140" s="642"/>
      <c r="P140" s="642"/>
      <c r="Q140" s="642"/>
      <c r="R140" s="642"/>
      <c r="S140" s="642"/>
    </row>
    <row r="141" spans="1:19" x14ac:dyDescent="0.35">
      <c r="A141" s="642"/>
      <c r="B141" s="642"/>
      <c r="C141" s="642"/>
      <c r="D141" s="642"/>
      <c r="E141" s="642"/>
      <c r="F141" s="642"/>
      <c r="G141" s="642"/>
      <c r="H141" s="642"/>
      <c r="I141" s="642"/>
      <c r="J141" s="642"/>
      <c r="K141" s="642"/>
      <c r="L141" s="642"/>
      <c r="M141" s="642"/>
      <c r="N141" s="642"/>
      <c r="O141" s="642"/>
      <c r="P141" s="642"/>
      <c r="Q141" s="642"/>
      <c r="R141" s="642"/>
      <c r="S141" s="642"/>
    </row>
    <row r="142" spans="1:19" x14ac:dyDescent="0.35">
      <c r="A142" s="642"/>
      <c r="B142" s="642"/>
      <c r="C142" s="642"/>
      <c r="D142" s="642"/>
      <c r="E142" s="642"/>
      <c r="F142" s="642"/>
      <c r="G142" s="642"/>
      <c r="H142" s="642"/>
      <c r="I142" s="642"/>
      <c r="J142" s="642"/>
      <c r="K142" s="642"/>
      <c r="L142" s="642"/>
      <c r="M142" s="642"/>
      <c r="N142" s="642"/>
      <c r="O142" s="642"/>
      <c r="P142" s="642"/>
      <c r="Q142" s="642"/>
      <c r="R142" s="642"/>
      <c r="S142" s="642"/>
    </row>
    <row r="143" spans="1:19" x14ac:dyDescent="0.35">
      <c r="A143" s="642"/>
      <c r="B143" s="642"/>
      <c r="C143" s="642"/>
      <c r="D143" s="642"/>
      <c r="E143" s="642"/>
      <c r="F143" s="642"/>
      <c r="G143" s="642"/>
      <c r="H143" s="642"/>
      <c r="I143" s="642"/>
      <c r="J143" s="642"/>
      <c r="K143" s="642"/>
      <c r="L143" s="642"/>
      <c r="M143" s="642"/>
      <c r="N143" s="642"/>
      <c r="O143" s="642"/>
      <c r="P143" s="642"/>
      <c r="Q143" s="642"/>
      <c r="R143" s="642"/>
      <c r="S143" s="642"/>
    </row>
    <row r="144" spans="1:19" x14ac:dyDescent="0.35">
      <c r="A144" s="642"/>
      <c r="B144" s="642"/>
      <c r="C144" s="642"/>
      <c r="D144" s="642"/>
      <c r="E144" s="642"/>
      <c r="F144" s="642"/>
      <c r="G144" s="642"/>
      <c r="H144" s="642"/>
      <c r="I144" s="642"/>
      <c r="J144" s="642"/>
      <c r="K144" s="642"/>
      <c r="L144" s="642"/>
      <c r="M144" s="642"/>
      <c r="N144" s="642"/>
      <c r="O144" s="642"/>
      <c r="P144" s="642"/>
      <c r="Q144" s="642"/>
      <c r="R144" s="642"/>
      <c r="S144" s="642"/>
    </row>
    <row r="145" spans="1:19" x14ac:dyDescent="0.35">
      <c r="A145" s="642"/>
      <c r="B145" s="642"/>
      <c r="C145" s="642"/>
      <c r="D145" s="642"/>
      <c r="E145" s="642"/>
      <c r="F145" s="642"/>
      <c r="G145" s="642"/>
      <c r="H145" s="642"/>
      <c r="I145" s="642"/>
      <c r="J145" s="642"/>
      <c r="K145" s="642"/>
      <c r="L145" s="642"/>
      <c r="M145" s="642"/>
      <c r="N145" s="642"/>
      <c r="O145" s="642"/>
      <c r="P145" s="642"/>
      <c r="Q145" s="642"/>
      <c r="R145" s="642"/>
      <c r="S145" s="642"/>
    </row>
    <row r="146" spans="1:19" x14ac:dyDescent="0.35">
      <c r="A146" s="642"/>
      <c r="B146" s="642"/>
      <c r="C146" s="642"/>
      <c r="D146" s="642"/>
      <c r="E146" s="642"/>
      <c r="F146" s="642"/>
      <c r="G146" s="642"/>
      <c r="H146" s="642"/>
      <c r="I146" s="642"/>
      <c r="J146" s="642"/>
      <c r="K146" s="642"/>
      <c r="L146" s="642"/>
      <c r="M146" s="642"/>
      <c r="N146" s="642"/>
      <c r="O146" s="642"/>
      <c r="P146" s="642"/>
      <c r="Q146" s="642"/>
      <c r="R146" s="642"/>
      <c r="S146" s="642"/>
    </row>
    <row r="147" spans="1:19" x14ac:dyDescent="0.35">
      <c r="A147" s="642"/>
      <c r="B147" s="642"/>
      <c r="C147" s="642"/>
      <c r="D147" s="642"/>
      <c r="E147" s="642"/>
      <c r="F147" s="642"/>
      <c r="G147" s="642"/>
      <c r="H147" s="642"/>
      <c r="I147" s="642"/>
      <c r="J147" s="642"/>
      <c r="K147" s="642"/>
      <c r="L147" s="642"/>
      <c r="M147" s="642"/>
      <c r="N147" s="642"/>
      <c r="O147" s="642"/>
      <c r="P147" s="642"/>
      <c r="Q147" s="642"/>
      <c r="R147" s="642"/>
      <c r="S147" s="642"/>
    </row>
    <row r="148" spans="1:19" x14ac:dyDescent="0.35">
      <c r="A148" s="642"/>
      <c r="B148" s="642"/>
      <c r="C148" s="642"/>
      <c r="D148" s="642"/>
      <c r="E148" s="642"/>
      <c r="F148" s="642"/>
      <c r="G148" s="642"/>
      <c r="H148" s="642"/>
      <c r="I148" s="642"/>
      <c r="J148" s="642"/>
      <c r="K148" s="642"/>
      <c r="L148" s="642"/>
      <c r="M148" s="642"/>
      <c r="N148" s="642"/>
      <c r="O148" s="642"/>
      <c r="P148" s="642"/>
      <c r="Q148" s="642"/>
      <c r="R148" s="642"/>
      <c r="S148" s="642"/>
    </row>
    <row r="149" spans="1:19" x14ac:dyDescent="0.35">
      <c r="A149" s="642"/>
      <c r="B149" s="642"/>
      <c r="C149" s="642"/>
      <c r="D149" s="642"/>
      <c r="E149" s="642"/>
      <c r="F149" s="642"/>
      <c r="G149" s="642"/>
      <c r="H149" s="642"/>
      <c r="I149" s="642"/>
      <c r="J149" s="642"/>
      <c r="K149" s="642"/>
      <c r="L149" s="642"/>
      <c r="M149" s="642"/>
      <c r="N149" s="642"/>
      <c r="O149" s="642"/>
      <c r="P149" s="642"/>
      <c r="Q149" s="642"/>
      <c r="R149" s="642"/>
      <c r="S149" s="642"/>
    </row>
    <row r="150" spans="1:19" x14ac:dyDescent="0.35">
      <c r="A150" s="642"/>
      <c r="B150" s="642"/>
      <c r="C150" s="642"/>
      <c r="D150" s="642"/>
      <c r="E150" s="642"/>
      <c r="F150" s="642"/>
      <c r="G150" s="642"/>
      <c r="H150" s="642"/>
      <c r="I150" s="642"/>
      <c r="J150" s="642"/>
      <c r="K150" s="642"/>
      <c r="L150" s="642"/>
      <c r="M150" s="642"/>
      <c r="N150" s="642"/>
      <c r="O150" s="642"/>
      <c r="P150" s="642"/>
      <c r="Q150" s="642"/>
      <c r="R150" s="642"/>
      <c r="S150" s="642"/>
    </row>
    <row r="151" spans="1:19" x14ac:dyDescent="0.35">
      <c r="A151" s="642"/>
      <c r="B151" s="642"/>
      <c r="C151" s="642"/>
      <c r="D151" s="642"/>
      <c r="E151" s="642"/>
      <c r="F151" s="642"/>
      <c r="G151" s="642"/>
      <c r="H151" s="642"/>
      <c r="I151" s="642"/>
      <c r="J151" s="642"/>
      <c r="K151" s="642"/>
      <c r="L151" s="642"/>
      <c r="M151" s="642"/>
      <c r="N151" s="642"/>
      <c r="O151" s="642"/>
      <c r="P151" s="642"/>
      <c r="Q151" s="642"/>
      <c r="R151" s="642"/>
      <c r="S151" s="642"/>
    </row>
    <row r="152" spans="1:19" x14ac:dyDescent="0.35">
      <c r="A152" s="642"/>
      <c r="B152" s="642"/>
      <c r="C152" s="642"/>
      <c r="D152" s="642"/>
      <c r="E152" s="642"/>
      <c r="F152" s="642"/>
      <c r="G152" s="642"/>
      <c r="H152" s="642"/>
      <c r="I152" s="642"/>
      <c r="J152" s="642"/>
      <c r="K152" s="642"/>
      <c r="L152" s="642"/>
      <c r="M152" s="642"/>
      <c r="N152" s="642"/>
      <c r="O152" s="642"/>
      <c r="P152" s="642"/>
      <c r="Q152" s="642"/>
      <c r="R152" s="642"/>
      <c r="S152" s="642"/>
    </row>
    <row r="153" spans="1:19" x14ac:dyDescent="0.35">
      <c r="A153" s="642"/>
      <c r="B153" s="642"/>
      <c r="C153" s="642"/>
      <c r="D153" s="642"/>
      <c r="E153" s="642"/>
      <c r="F153" s="642"/>
      <c r="G153" s="642"/>
      <c r="H153" s="642"/>
      <c r="I153" s="642"/>
      <c r="J153" s="642"/>
      <c r="K153" s="642"/>
      <c r="L153" s="642"/>
      <c r="M153" s="642"/>
      <c r="N153" s="642"/>
      <c r="O153" s="642"/>
      <c r="P153" s="642"/>
      <c r="Q153" s="642"/>
      <c r="R153" s="642"/>
      <c r="S153" s="642"/>
    </row>
    <row r="154" spans="1:19" x14ac:dyDescent="0.35">
      <c r="A154" s="642"/>
      <c r="B154" s="642"/>
      <c r="C154" s="642"/>
      <c r="D154" s="642"/>
      <c r="E154" s="642"/>
      <c r="F154" s="642"/>
      <c r="G154" s="642"/>
      <c r="H154" s="642"/>
      <c r="I154" s="642"/>
      <c r="J154" s="642"/>
      <c r="K154" s="642"/>
      <c r="L154" s="642"/>
      <c r="M154" s="642"/>
      <c r="N154" s="642"/>
      <c r="O154" s="642"/>
      <c r="P154" s="642"/>
      <c r="Q154" s="642"/>
      <c r="R154" s="642"/>
      <c r="S154" s="642"/>
    </row>
    <row r="155" spans="1:19" x14ac:dyDescent="0.35">
      <c r="A155" s="642"/>
      <c r="B155" s="642"/>
      <c r="C155" s="642"/>
      <c r="D155" s="642"/>
      <c r="E155" s="642"/>
      <c r="F155" s="642"/>
      <c r="G155" s="642"/>
      <c r="H155" s="642"/>
      <c r="I155" s="642"/>
      <c r="J155" s="642"/>
      <c r="K155" s="642"/>
      <c r="L155" s="642"/>
      <c r="M155" s="642"/>
      <c r="N155" s="642"/>
      <c r="O155" s="642"/>
      <c r="P155" s="642"/>
      <c r="Q155" s="642"/>
      <c r="R155" s="642"/>
      <c r="S155" s="642"/>
    </row>
    <row r="156" spans="1:19" x14ac:dyDescent="0.35">
      <c r="A156" s="642"/>
      <c r="B156" s="642"/>
      <c r="C156" s="642"/>
      <c r="D156" s="642"/>
      <c r="E156" s="642"/>
      <c r="F156" s="642"/>
      <c r="G156" s="642"/>
      <c r="H156" s="642"/>
      <c r="I156" s="642"/>
      <c r="J156" s="642"/>
      <c r="K156" s="642"/>
      <c r="L156" s="642"/>
      <c r="M156" s="642"/>
      <c r="N156" s="642"/>
      <c r="O156" s="642"/>
      <c r="P156" s="642"/>
      <c r="Q156" s="642"/>
      <c r="R156" s="642"/>
      <c r="S156" s="642"/>
    </row>
    <row r="157" spans="1:19" x14ac:dyDescent="0.35">
      <c r="A157" s="642"/>
      <c r="B157" s="642"/>
      <c r="C157" s="642"/>
      <c r="D157" s="642"/>
      <c r="E157" s="642"/>
      <c r="F157" s="642"/>
      <c r="G157" s="642"/>
      <c r="H157" s="642"/>
      <c r="I157" s="642"/>
      <c r="J157" s="642"/>
      <c r="K157" s="642"/>
      <c r="L157" s="642"/>
      <c r="M157" s="642"/>
      <c r="N157" s="642"/>
      <c r="O157" s="642"/>
      <c r="P157" s="642"/>
      <c r="Q157" s="642"/>
      <c r="R157" s="642"/>
      <c r="S157" s="642"/>
    </row>
    <row r="158" spans="1:19" x14ac:dyDescent="0.35">
      <c r="A158" s="642"/>
      <c r="B158" s="642"/>
      <c r="C158" s="642"/>
      <c r="D158" s="642"/>
      <c r="E158" s="642"/>
      <c r="F158" s="642"/>
      <c r="G158" s="642"/>
      <c r="H158" s="642"/>
      <c r="I158" s="642"/>
      <c r="J158" s="642"/>
      <c r="K158" s="642"/>
      <c r="L158" s="642"/>
      <c r="M158" s="642"/>
      <c r="N158" s="642"/>
      <c r="O158" s="642"/>
      <c r="P158" s="642"/>
      <c r="Q158" s="642"/>
      <c r="R158" s="642"/>
      <c r="S158" s="642"/>
    </row>
    <row r="159" spans="1:19" x14ac:dyDescent="0.35">
      <c r="A159" s="642"/>
      <c r="B159" s="642"/>
      <c r="C159" s="642"/>
      <c r="D159" s="642"/>
      <c r="E159" s="642"/>
      <c r="F159" s="642"/>
      <c r="G159" s="642"/>
      <c r="H159" s="642"/>
      <c r="I159" s="642"/>
      <c r="J159" s="642"/>
      <c r="K159" s="642"/>
      <c r="L159" s="642"/>
      <c r="M159" s="642"/>
      <c r="N159" s="642"/>
      <c r="O159" s="642"/>
      <c r="P159" s="642"/>
      <c r="Q159" s="642"/>
      <c r="R159" s="642"/>
      <c r="S159" s="642"/>
    </row>
    <row r="160" spans="1:19" x14ac:dyDescent="0.35">
      <c r="A160" s="642"/>
      <c r="B160" s="642"/>
      <c r="C160" s="642"/>
      <c r="D160" s="642"/>
      <c r="E160" s="642"/>
      <c r="F160" s="642"/>
      <c r="G160" s="642"/>
      <c r="H160" s="642"/>
      <c r="I160" s="642"/>
      <c r="J160" s="642"/>
      <c r="K160" s="642"/>
      <c r="L160" s="642"/>
      <c r="M160" s="642"/>
      <c r="N160" s="642"/>
      <c r="O160" s="642"/>
      <c r="P160" s="642"/>
      <c r="Q160" s="642"/>
      <c r="R160" s="642"/>
      <c r="S160" s="642"/>
    </row>
    <row r="161" spans="1:19" x14ac:dyDescent="0.35">
      <c r="A161" s="642"/>
      <c r="B161" s="642"/>
      <c r="C161" s="642"/>
      <c r="D161" s="642"/>
      <c r="E161" s="642"/>
      <c r="F161" s="642"/>
      <c r="G161" s="642"/>
      <c r="H161" s="642"/>
      <c r="I161" s="642"/>
      <c r="J161" s="642"/>
      <c r="K161" s="642"/>
      <c r="L161" s="642"/>
      <c r="M161" s="642"/>
      <c r="N161" s="642"/>
      <c r="O161" s="642"/>
      <c r="P161" s="642"/>
      <c r="Q161" s="642"/>
      <c r="R161" s="642"/>
      <c r="S161" s="642"/>
    </row>
    <row r="162" spans="1:19" x14ac:dyDescent="0.35">
      <c r="A162" s="642"/>
      <c r="B162" s="642"/>
      <c r="C162" s="642"/>
      <c r="D162" s="642"/>
      <c r="E162" s="642"/>
      <c r="F162" s="642"/>
      <c r="G162" s="642"/>
      <c r="H162" s="642"/>
      <c r="I162" s="642"/>
      <c r="J162" s="642"/>
      <c r="K162" s="642"/>
      <c r="L162" s="642"/>
      <c r="M162" s="642"/>
      <c r="N162" s="642"/>
      <c r="O162" s="642"/>
      <c r="P162" s="642"/>
      <c r="Q162" s="642"/>
      <c r="R162" s="642"/>
      <c r="S162" s="642"/>
    </row>
    <row r="163" spans="1:19" x14ac:dyDescent="0.35">
      <c r="A163" s="642"/>
      <c r="B163" s="642"/>
      <c r="C163" s="642"/>
      <c r="D163" s="642"/>
      <c r="E163" s="642"/>
      <c r="F163" s="642"/>
      <c r="G163" s="642"/>
      <c r="H163" s="642"/>
      <c r="I163" s="642"/>
      <c r="J163" s="642"/>
      <c r="K163" s="642"/>
      <c r="L163" s="642"/>
      <c r="M163" s="642"/>
      <c r="N163" s="642"/>
      <c r="O163" s="642"/>
      <c r="P163" s="642"/>
      <c r="Q163" s="642"/>
      <c r="R163" s="642"/>
      <c r="S163" s="642"/>
    </row>
    <row r="164" spans="1:19" x14ac:dyDescent="0.35">
      <c r="A164" s="642"/>
      <c r="B164" s="642"/>
      <c r="C164" s="642"/>
      <c r="D164" s="642"/>
      <c r="E164" s="642"/>
      <c r="F164" s="642"/>
      <c r="G164" s="642"/>
      <c r="H164" s="642"/>
      <c r="I164" s="642"/>
      <c r="J164" s="642"/>
      <c r="K164" s="642"/>
      <c r="L164" s="642"/>
      <c r="M164" s="642"/>
      <c r="N164" s="642"/>
      <c r="O164" s="642"/>
      <c r="P164" s="642"/>
      <c r="Q164" s="642"/>
      <c r="R164" s="642"/>
      <c r="S164" s="642"/>
    </row>
    <row r="165" spans="1:19" x14ac:dyDescent="0.35">
      <c r="A165" s="642"/>
      <c r="B165" s="642"/>
      <c r="C165" s="642"/>
      <c r="D165" s="642"/>
      <c r="E165" s="642"/>
      <c r="F165" s="642"/>
      <c r="G165" s="642"/>
      <c r="H165" s="642"/>
      <c r="I165" s="642"/>
      <c r="J165" s="642"/>
      <c r="K165" s="642"/>
      <c r="L165" s="642"/>
      <c r="M165" s="642"/>
      <c r="N165" s="642"/>
      <c r="O165" s="642"/>
      <c r="P165" s="642"/>
      <c r="Q165" s="642"/>
      <c r="R165" s="642"/>
      <c r="S165" s="642"/>
    </row>
    <row r="166" spans="1:19" x14ac:dyDescent="0.35">
      <c r="A166" s="642"/>
      <c r="B166" s="642"/>
      <c r="C166" s="642"/>
      <c r="D166" s="642"/>
      <c r="E166" s="642"/>
      <c r="F166" s="642"/>
      <c r="G166" s="642"/>
      <c r="H166" s="642"/>
      <c r="I166" s="642"/>
      <c r="J166" s="642"/>
      <c r="K166" s="642"/>
      <c r="L166" s="642"/>
      <c r="M166" s="642"/>
      <c r="N166" s="642"/>
      <c r="O166" s="642"/>
      <c r="P166" s="642"/>
      <c r="Q166" s="642"/>
      <c r="R166" s="642"/>
      <c r="S166" s="642"/>
    </row>
    <row r="167" spans="1:19" x14ac:dyDescent="0.35">
      <c r="A167" s="642"/>
      <c r="B167" s="642"/>
      <c r="C167" s="642"/>
      <c r="D167" s="642"/>
      <c r="E167" s="642"/>
      <c r="F167" s="642"/>
      <c r="G167" s="642"/>
      <c r="H167" s="642"/>
      <c r="I167" s="642"/>
      <c r="J167" s="642"/>
      <c r="K167" s="642"/>
      <c r="L167" s="642"/>
      <c r="M167" s="642"/>
      <c r="N167" s="642"/>
      <c r="O167" s="642"/>
      <c r="P167" s="642"/>
      <c r="Q167" s="642"/>
      <c r="R167" s="642"/>
      <c r="S167" s="642"/>
    </row>
    <row r="168" spans="1:19" x14ac:dyDescent="0.35">
      <c r="A168" s="642"/>
      <c r="B168" s="642"/>
      <c r="C168" s="642"/>
      <c r="D168" s="642"/>
      <c r="E168" s="642"/>
      <c r="F168" s="642"/>
      <c r="G168" s="642"/>
      <c r="H168" s="642"/>
      <c r="I168" s="642"/>
      <c r="J168" s="642"/>
      <c r="K168" s="642"/>
      <c r="L168" s="642"/>
      <c r="M168" s="642"/>
      <c r="N168" s="642"/>
      <c r="O168" s="642"/>
      <c r="P168" s="642"/>
      <c r="Q168" s="642"/>
      <c r="R168" s="642"/>
      <c r="S168" s="642"/>
    </row>
    <row r="169" spans="1:19" x14ac:dyDescent="0.35">
      <c r="A169" s="642"/>
      <c r="B169" s="642"/>
      <c r="C169" s="642"/>
      <c r="D169" s="642"/>
      <c r="E169" s="642"/>
      <c r="F169" s="642"/>
      <c r="G169" s="642"/>
      <c r="H169" s="642"/>
      <c r="I169" s="642"/>
      <c r="J169" s="642"/>
      <c r="K169" s="642"/>
      <c r="L169" s="642"/>
      <c r="M169" s="642"/>
      <c r="N169" s="642"/>
      <c r="O169" s="642"/>
      <c r="P169" s="642"/>
      <c r="Q169" s="642"/>
      <c r="R169" s="642"/>
      <c r="S169" s="642"/>
    </row>
    <row r="170" spans="1:19" x14ac:dyDescent="0.35">
      <c r="A170" s="642"/>
      <c r="B170" s="642"/>
      <c r="C170" s="642"/>
      <c r="D170" s="642"/>
      <c r="E170" s="642"/>
      <c r="F170" s="642"/>
      <c r="G170" s="642"/>
      <c r="H170" s="642"/>
      <c r="I170" s="642"/>
      <c r="J170" s="642"/>
      <c r="K170" s="642"/>
      <c r="L170" s="642"/>
      <c r="M170" s="642"/>
      <c r="N170" s="642"/>
      <c r="O170" s="642"/>
      <c r="P170" s="642"/>
      <c r="Q170" s="642"/>
      <c r="R170" s="642"/>
      <c r="S170" s="642"/>
    </row>
    <row r="171" spans="1:19" x14ac:dyDescent="0.35">
      <c r="A171" s="642"/>
      <c r="B171" s="642"/>
      <c r="C171" s="642"/>
      <c r="D171" s="642"/>
      <c r="E171" s="642"/>
      <c r="F171" s="642"/>
      <c r="G171" s="642"/>
      <c r="H171" s="642"/>
      <c r="I171" s="642"/>
      <c r="J171" s="642"/>
      <c r="K171" s="642"/>
      <c r="L171" s="642"/>
      <c r="M171" s="642"/>
      <c r="N171" s="642"/>
      <c r="O171" s="642"/>
      <c r="P171" s="642"/>
      <c r="Q171" s="642"/>
      <c r="R171" s="642"/>
      <c r="S171" s="642"/>
    </row>
    <row r="172" spans="1:19" x14ac:dyDescent="0.35">
      <c r="A172" s="642"/>
      <c r="B172" s="642"/>
      <c r="C172" s="642"/>
      <c r="D172" s="642"/>
      <c r="E172" s="642"/>
      <c r="F172" s="642"/>
      <c r="G172" s="642"/>
      <c r="H172" s="642"/>
      <c r="I172" s="642"/>
      <c r="J172" s="642"/>
      <c r="K172" s="642"/>
      <c r="L172" s="642"/>
      <c r="M172" s="642"/>
      <c r="N172" s="642"/>
      <c r="O172" s="642"/>
      <c r="P172" s="642"/>
      <c r="Q172" s="642"/>
      <c r="R172" s="642"/>
      <c r="S172" s="642"/>
    </row>
    <row r="173" spans="1:19" x14ac:dyDescent="0.35">
      <c r="A173" s="642"/>
      <c r="B173" s="642"/>
      <c r="C173" s="642"/>
      <c r="D173" s="642"/>
      <c r="E173" s="642"/>
      <c r="F173" s="642"/>
      <c r="G173" s="642"/>
      <c r="H173" s="642"/>
      <c r="I173" s="642"/>
      <c r="J173" s="642"/>
      <c r="K173" s="642"/>
      <c r="L173" s="642"/>
      <c r="M173" s="642"/>
      <c r="N173" s="642"/>
      <c r="O173" s="642"/>
      <c r="P173" s="642"/>
      <c r="Q173" s="642"/>
      <c r="R173" s="642"/>
      <c r="S173" s="642"/>
    </row>
    <row r="174" spans="1:19" x14ac:dyDescent="0.35">
      <c r="A174" s="642"/>
      <c r="B174" s="642"/>
      <c r="C174" s="642"/>
      <c r="D174" s="642"/>
      <c r="E174" s="642"/>
      <c r="F174" s="642"/>
      <c r="G174" s="642"/>
      <c r="H174" s="642"/>
      <c r="I174" s="642"/>
      <c r="J174" s="642"/>
      <c r="K174" s="642"/>
      <c r="L174" s="642"/>
      <c r="M174" s="642"/>
      <c r="N174" s="642"/>
      <c r="O174" s="642"/>
      <c r="P174" s="642"/>
      <c r="Q174" s="642"/>
      <c r="R174" s="642"/>
      <c r="S174" s="642"/>
    </row>
    <row r="175" spans="1:19" x14ac:dyDescent="0.35">
      <c r="A175" s="642"/>
      <c r="B175" s="642"/>
      <c r="C175" s="642"/>
      <c r="D175" s="642"/>
      <c r="E175" s="642"/>
      <c r="F175" s="642"/>
      <c r="G175" s="642"/>
      <c r="H175" s="642"/>
      <c r="I175" s="642"/>
      <c r="J175" s="642"/>
      <c r="K175" s="642"/>
      <c r="L175" s="642"/>
      <c r="M175" s="642"/>
      <c r="N175" s="642"/>
      <c r="O175" s="642"/>
      <c r="P175" s="642"/>
      <c r="Q175" s="642"/>
      <c r="R175" s="642"/>
      <c r="S175" s="642"/>
    </row>
    <row r="176" spans="1:19" x14ac:dyDescent="0.35">
      <c r="A176" s="642"/>
      <c r="B176" s="642"/>
      <c r="C176" s="642"/>
      <c r="D176" s="642"/>
      <c r="E176" s="642"/>
      <c r="F176" s="642"/>
      <c r="G176" s="642"/>
      <c r="H176" s="642"/>
      <c r="I176" s="642"/>
      <c r="J176" s="642"/>
      <c r="K176" s="642"/>
      <c r="L176" s="642"/>
      <c r="M176" s="642"/>
      <c r="N176" s="642"/>
      <c r="O176" s="642"/>
      <c r="P176" s="642"/>
      <c r="Q176" s="642"/>
      <c r="R176" s="642"/>
      <c r="S176" s="642"/>
    </row>
    <row r="177" spans="1:19" x14ac:dyDescent="0.35">
      <c r="A177" s="642"/>
      <c r="B177" s="642"/>
      <c r="C177" s="642"/>
      <c r="D177" s="642"/>
      <c r="E177" s="642"/>
      <c r="F177" s="642"/>
      <c r="G177" s="642"/>
      <c r="H177" s="642"/>
      <c r="I177" s="642"/>
      <c r="J177" s="642"/>
      <c r="K177" s="642"/>
      <c r="L177" s="642"/>
      <c r="M177" s="642"/>
      <c r="N177" s="642"/>
      <c r="O177" s="642"/>
      <c r="P177" s="642"/>
      <c r="Q177" s="642"/>
      <c r="R177" s="642"/>
      <c r="S177" s="642"/>
    </row>
    <row r="178" spans="1:19" x14ac:dyDescent="0.35">
      <c r="A178" s="642"/>
      <c r="B178" s="642"/>
      <c r="C178" s="642"/>
      <c r="D178" s="642"/>
      <c r="E178" s="642"/>
      <c r="F178" s="642"/>
      <c r="G178" s="642"/>
      <c r="H178" s="642"/>
      <c r="I178" s="642"/>
      <c r="J178" s="642"/>
      <c r="K178" s="642"/>
      <c r="L178" s="642"/>
      <c r="M178" s="642"/>
      <c r="N178" s="642"/>
      <c r="O178" s="642"/>
      <c r="P178" s="642"/>
      <c r="Q178" s="642"/>
      <c r="R178" s="642"/>
      <c r="S178" s="642"/>
    </row>
    <row r="179" spans="1:19" x14ac:dyDescent="0.35">
      <c r="A179" s="642"/>
      <c r="B179" s="642"/>
      <c r="C179" s="642"/>
      <c r="D179" s="642"/>
      <c r="E179" s="642"/>
      <c r="F179" s="642"/>
      <c r="G179" s="642"/>
      <c r="H179" s="642"/>
      <c r="I179" s="642"/>
      <c r="J179" s="642"/>
      <c r="K179" s="642"/>
      <c r="L179" s="642"/>
      <c r="M179" s="642"/>
      <c r="N179" s="642"/>
      <c r="O179" s="642"/>
      <c r="P179" s="642"/>
      <c r="Q179" s="642"/>
      <c r="R179" s="642"/>
      <c r="S179" s="642"/>
    </row>
    <row r="180" spans="1:19" x14ac:dyDescent="0.35">
      <c r="A180" s="642"/>
      <c r="B180" s="642"/>
      <c r="C180" s="642"/>
      <c r="D180" s="642"/>
      <c r="E180" s="642"/>
      <c r="F180" s="642"/>
      <c r="G180" s="642"/>
      <c r="H180" s="642"/>
      <c r="I180" s="642"/>
      <c r="J180" s="642"/>
      <c r="K180" s="642"/>
      <c r="L180" s="642"/>
      <c r="M180" s="642"/>
      <c r="N180" s="642"/>
      <c r="O180" s="642"/>
      <c r="P180" s="642"/>
      <c r="Q180" s="642"/>
      <c r="R180" s="642"/>
      <c r="S180" s="642"/>
    </row>
    <row r="181" spans="1:19" x14ac:dyDescent="0.35">
      <c r="A181" s="642"/>
      <c r="B181" s="642"/>
      <c r="C181" s="642"/>
      <c r="D181" s="642"/>
      <c r="E181" s="642"/>
      <c r="F181" s="642"/>
      <c r="G181" s="642"/>
      <c r="H181" s="642"/>
      <c r="I181" s="642"/>
      <c r="J181" s="642"/>
      <c r="K181" s="642"/>
      <c r="L181" s="642"/>
      <c r="M181" s="642"/>
      <c r="N181" s="642"/>
      <c r="O181" s="642"/>
      <c r="P181" s="642"/>
      <c r="Q181" s="642"/>
      <c r="R181" s="642"/>
      <c r="S181" s="642"/>
    </row>
    <row r="182" spans="1:19" x14ac:dyDescent="0.35">
      <c r="A182" s="642"/>
      <c r="B182" s="642"/>
      <c r="C182" s="642"/>
      <c r="D182" s="642"/>
      <c r="E182" s="642"/>
      <c r="F182" s="642"/>
      <c r="G182" s="642"/>
      <c r="H182" s="642"/>
      <c r="I182" s="642"/>
      <c r="J182" s="642"/>
      <c r="K182" s="642"/>
      <c r="L182" s="642"/>
      <c r="M182" s="642"/>
      <c r="N182" s="642"/>
      <c r="O182" s="642"/>
      <c r="P182" s="642"/>
      <c r="Q182" s="642"/>
      <c r="R182" s="642"/>
      <c r="S182" s="642"/>
    </row>
    <row r="183" spans="1:19" x14ac:dyDescent="0.35">
      <c r="A183" s="642"/>
      <c r="B183" s="642"/>
      <c r="C183" s="642"/>
      <c r="D183" s="642"/>
      <c r="E183" s="642"/>
      <c r="F183" s="642"/>
      <c r="G183" s="642"/>
      <c r="H183" s="642"/>
      <c r="I183" s="642"/>
      <c r="J183" s="642"/>
      <c r="K183" s="642"/>
      <c r="L183" s="642"/>
      <c r="M183" s="642"/>
      <c r="N183" s="642"/>
      <c r="O183" s="642"/>
      <c r="P183" s="642"/>
      <c r="Q183" s="642"/>
      <c r="R183" s="642"/>
      <c r="S183" s="642"/>
    </row>
    <row r="184" spans="1:19" x14ac:dyDescent="0.35">
      <c r="A184" s="642"/>
      <c r="B184" s="642"/>
      <c r="C184" s="642"/>
      <c r="D184" s="642"/>
      <c r="E184" s="642"/>
      <c r="F184" s="642"/>
      <c r="G184" s="642"/>
      <c r="H184" s="642"/>
      <c r="I184" s="642"/>
      <c r="J184" s="642"/>
      <c r="K184" s="642"/>
      <c r="L184" s="642"/>
      <c r="M184" s="642"/>
      <c r="N184" s="642"/>
      <c r="O184" s="642"/>
      <c r="P184" s="642"/>
      <c r="Q184" s="642"/>
      <c r="R184" s="642"/>
      <c r="S184" s="642"/>
    </row>
    <row r="185" spans="1:19" x14ac:dyDescent="0.35">
      <c r="A185" s="642"/>
      <c r="B185" s="642"/>
      <c r="C185" s="642"/>
      <c r="D185" s="642"/>
      <c r="E185" s="642"/>
      <c r="F185" s="642"/>
      <c r="G185" s="642"/>
      <c r="H185" s="642"/>
      <c r="I185" s="642"/>
      <c r="J185" s="642"/>
      <c r="K185" s="642"/>
      <c r="L185" s="642"/>
      <c r="M185" s="642"/>
      <c r="N185" s="642"/>
      <c r="O185" s="642"/>
      <c r="P185" s="642"/>
      <c r="Q185" s="642"/>
      <c r="R185" s="642"/>
      <c r="S185" s="642"/>
    </row>
    <row r="186" spans="1:19" x14ac:dyDescent="0.35">
      <c r="A186" s="642"/>
      <c r="B186" s="642"/>
      <c r="C186" s="642"/>
      <c r="D186" s="642"/>
      <c r="E186" s="642"/>
      <c r="F186" s="642"/>
      <c r="G186" s="642"/>
      <c r="H186" s="642"/>
      <c r="I186" s="642"/>
      <c r="J186" s="642"/>
      <c r="K186" s="642"/>
      <c r="L186" s="642"/>
      <c r="M186" s="642"/>
      <c r="N186" s="642"/>
      <c r="O186" s="642"/>
      <c r="P186" s="642"/>
      <c r="Q186" s="642"/>
      <c r="R186" s="642"/>
      <c r="S186" s="642"/>
    </row>
    <row r="187" spans="1:19" x14ac:dyDescent="0.35">
      <c r="A187" s="642"/>
      <c r="B187" s="642"/>
      <c r="C187" s="642"/>
      <c r="D187" s="642"/>
      <c r="E187" s="642"/>
      <c r="F187" s="642"/>
      <c r="G187" s="642"/>
      <c r="H187" s="642"/>
      <c r="I187" s="642"/>
      <c r="J187" s="642"/>
      <c r="K187" s="642"/>
      <c r="L187" s="642"/>
      <c r="M187" s="642"/>
      <c r="N187" s="642"/>
      <c r="O187" s="642"/>
      <c r="P187" s="642"/>
      <c r="Q187" s="642"/>
      <c r="R187" s="642"/>
      <c r="S187" s="642"/>
    </row>
    <row r="188" spans="1:19" x14ac:dyDescent="0.35">
      <c r="A188" s="642"/>
      <c r="B188" s="642"/>
      <c r="C188" s="642"/>
      <c r="D188" s="642"/>
      <c r="E188" s="642"/>
      <c r="F188" s="642"/>
      <c r="G188" s="642"/>
      <c r="H188" s="642"/>
      <c r="I188" s="642"/>
      <c r="J188" s="642"/>
      <c r="K188" s="642"/>
      <c r="L188" s="642"/>
      <c r="M188" s="642"/>
      <c r="N188" s="642"/>
      <c r="O188" s="642"/>
      <c r="P188" s="642"/>
      <c r="Q188" s="642"/>
      <c r="R188" s="642"/>
      <c r="S188" s="642"/>
    </row>
    <row r="189" spans="1:19" x14ac:dyDescent="0.35">
      <c r="A189" s="642"/>
      <c r="B189" s="642"/>
      <c r="C189" s="642"/>
      <c r="D189" s="642"/>
      <c r="E189" s="642"/>
      <c r="F189" s="642"/>
      <c r="G189" s="642"/>
      <c r="H189" s="642"/>
      <c r="I189" s="642"/>
      <c r="J189" s="642"/>
      <c r="K189" s="642"/>
      <c r="L189" s="642"/>
      <c r="M189" s="642"/>
      <c r="N189" s="642"/>
      <c r="O189" s="642"/>
      <c r="P189" s="642"/>
      <c r="Q189" s="642"/>
      <c r="R189" s="642"/>
      <c r="S189" s="642"/>
    </row>
    <row r="190" spans="1:19" x14ac:dyDescent="0.35">
      <c r="A190" s="642"/>
      <c r="B190" s="642"/>
      <c r="C190" s="642"/>
      <c r="D190" s="642"/>
      <c r="E190" s="642"/>
      <c r="F190" s="642"/>
      <c r="G190" s="642"/>
      <c r="H190" s="642"/>
      <c r="I190" s="642"/>
      <c r="J190" s="642"/>
      <c r="K190" s="642"/>
      <c r="L190" s="642"/>
      <c r="M190" s="642"/>
      <c r="N190" s="642"/>
      <c r="O190" s="642"/>
      <c r="P190" s="642"/>
      <c r="Q190" s="642"/>
      <c r="R190" s="642"/>
      <c r="S190" s="642"/>
    </row>
    <row r="191" spans="1:19" x14ac:dyDescent="0.35">
      <c r="A191" s="642"/>
      <c r="B191" s="642"/>
      <c r="C191" s="642"/>
      <c r="D191" s="642"/>
      <c r="E191" s="642"/>
      <c r="F191" s="642"/>
      <c r="G191" s="642"/>
      <c r="H191" s="642"/>
      <c r="I191" s="642"/>
      <c r="J191" s="642"/>
      <c r="K191" s="642"/>
      <c r="L191" s="642"/>
      <c r="M191" s="642"/>
      <c r="N191" s="642"/>
      <c r="O191" s="642"/>
      <c r="P191" s="642"/>
      <c r="Q191" s="642"/>
      <c r="R191" s="642"/>
      <c r="S191" s="642"/>
    </row>
    <row r="192" spans="1:19" x14ac:dyDescent="0.35">
      <c r="A192" s="642"/>
      <c r="B192" s="642"/>
      <c r="C192" s="642"/>
      <c r="D192" s="642"/>
      <c r="E192" s="642"/>
      <c r="F192" s="642"/>
      <c r="G192" s="642"/>
      <c r="H192" s="642"/>
      <c r="I192" s="642"/>
      <c r="J192" s="642"/>
      <c r="K192" s="642"/>
      <c r="L192" s="642"/>
      <c r="M192" s="642"/>
      <c r="N192" s="642"/>
      <c r="O192" s="642"/>
      <c r="P192" s="642"/>
      <c r="Q192" s="642"/>
      <c r="R192" s="642"/>
      <c r="S192" s="642"/>
    </row>
    <row r="193" spans="1:19" x14ac:dyDescent="0.35">
      <c r="A193" s="642"/>
      <c r="B193" s="642"/>
      <c r="C193" s="642"/>
      <c r="D193" s="642"/>
      <c r="E193" s="642"/>
      <c r="F193" s="642"/>
      <c r="G193" s="642"/>
      <c r="H193" s="642"/>
      <c r="I193" s="642"/>
      <c r="J193" s="642"/>
      <c r="K193" s="642"/>
      <c r="L193" s="642"/>
      <c r="M193" s="642"/>
      <c r="N193" s="642"/>
      <c r="O193" s="642"/>
      <c r="P193" s="642"/>
      <c r="Q193" s="642"/>
      <c r="R193" s="642"/>
      <c r="S193" s="642"/>
    </row>
    <row r="194" spans="1:19" x14ac:dyDescent="0.35">
      <c r="A194" s="642"/>
      <c r="B194" s="642"/>
      <c r="C194" s="642"/>
      <c r="D194" s="642"/>
      <c r="E194" s="642"/>
      <c r="F194" s="642"/>
      <c r="G194" s="642"/>
      <c r="H194" s="642"/>
      <c r="I194" s="642"/>
      <c r="J194" s="642"/>
      <c r="K194" s="642"/>
      <c r="L194" s="642"/>
      <c r="M194" s="642"/>
      <c r="N194" s="642"/>
      <c r="O194" s="642"/>
      <c r="P194" s="642"/>
      <c r="Q194" s="642"/>
      <c r="R194" s="642"/>
      <c r="S194" s="642"/>
    </row>
    <row r="195" spans="1:19" x14ac:dyDescent="0.35">
      <c r="A195" s="642"/>
      <c r="B195" s="642"/>
      <c r="C195" s="642"/>
      <c r="D195" s="642"/>
      <c r="E195" s="642"/>
      <c r="F195" s="642"/>
      <c r="G195" s="642"/>
      <c r="H195" s="642"/>
      <c r="I195" s="642"/>
      <c r="J195" s="642"/>
      <c r="K195" s="642"/>
      <c r="L195" s="642"/>
      <c r="M195" s="642"/>
      <c r="N195" s="642"/>
      <c r="O195" s="642"/>
      <c r="P195" s="642"/>
      <c r="Q195" s="642"/>
      <c r="R195" s="642"/>
      <c r="S195" s="642"/>
    </row>
    <row r="196" spans="1:19" x14ac:dyDescent="0.35">
      <c r="A196" s="642"/>
      <c r="B196" s="642"/>
      <c r="C196" s="642"/>
      <c r="D196" s="642"/>
      <c r="E196" s="642"/>
      <c r="F196" s="642"/>
      <c r="G196" s="642"/>
      <c r="H196" s="642"/>
      <c r="I196" s="642"/>
      <c r="J196" s="642"/>
      <c r="K196" s="642"/>
      <c r="L196" s="642"/>
      <c r="M196" s="642"/>
      <c r="N196" s="642"/>
      <c r="O196" s="642"/>
      <c r="P196" s="642"/>
      <c r="Q196" s="642"/>
      <c r="R196" s="642"/>
      <c r="S196" s="642"/>
    </row>
    <row r="197" spans="1:19" x14ac:dyDescent="0.35">
      <c r="A197" s="642"/>
      <c r="B197" s="642"/>
      <c r="C197" s="642"/>
      <c r="D197" s="642"/>
      <c r="E197" s="642"/>
      <c r="F197" s="642"/>
      <c r="G197" s="642"/>
      <c r="H197" s="642"/>
      <c r="I197" s="642"/>
      <c r="J197" s="642"/>
      <c r="K197" s="642"/>
      <c r="L197" s="642"/>
      <c r="M197" s="642"/>
      <c r="N197" s="642"/>
      <c r="O197" s="642"/>
      <c r="P197" s="642"/>
      <c r="Q197" s="642"/>
      <c r="R197" s="642"/>
      <c r="S197" s="642"/>
    </row>
    <row r="198" spans="1:19" x14ac:dyDescent="0.35">
      <c r="A198" s="642"/>
      <c r="B198" s="642"/>
      <c r="C198" s="642"/>
      <c r="D198" s="642"/>
      <c r="E198" s="642"/>
      <c r="F198" s="642"/>
      <c r="G198" s="642"/>
      <c r="H198" s="642"/>
      <c r="I198" s="642"/>
      <c r="J198" s="642"/>
      <c r="K198" s="642"/>
      <c r="L198" s="642"/>
      <c r="M198" s="642"/>
      <c r="N198" s="642"/>
      <c r="O198" s="642"/>
      <c r="P198" s="642"/>
      <c r="Q198" s="642"/>
      <c r="R198" s="642"/>
      <c r="S198" s="642"/>
    </row>
    <row r="199" spans="1:19" x14ac:dyDescent="0.35">
      <c r="A199" s="642"/>
      <c r="B199" s="642"/>
      <c r="C199" s="642"/>
      <c r="D199" s="642"/>
      <c r="E199" s="642"/>
      <c r="F199" s="642"/>
      <c r="G199" s="642"/>
      <c r="H199" s="642"/>
      <c r="I199" s="642"/>
      <c r="J199" s="642"/>
      <c r="K199" s="642"/>
      <c r="L199" s="642"/>
      <c r="M199" s="642"/>
      <c r="N199" s="642"/>
      <c r="O199" s="642"/>
      <c r="P199" s="642"/>
      <c r="Q199" s="642"/>
      <c r="R199" s="642"/>
      <c r="S199" s="642"/>
    </row>
    <row r="200" spans="1:19" x14ac:dyDescent="0.35">
      <c r="A200" s="642"/>
      <c r="B200" s="642"/>
      <c r="C200" s="642"/>
      <c r="D200" s="642"/>
      <c r="E200" s="642"/>
      <c r="F200" s="642"/>
      <c r="G200" s="642"/>
      <c r="H200" s="642"/>
      <c r="I200" s="642"/>
      <c r="J200" s="642"/>
      <c r="K200" s="642"/>
      <c r="L200" s="642"/>
      <c r="M200" s="642"/>
      <c r="N200" s="642"/>
      <c r="O200" s="642"/>
      <c r="P200" s="642"/>
      <c r="Q200" s="642"/>
      <c r="R200" s="642"/>
      <c r="S200" s="642"/>
    </row>
    <row r="201" spans="1:19" x14ac:dyDescent="0.35">
      <c r="A201" s="642"/>
      <c r="B201" s="642"/>
      <c r="C201" s="642"/>
      <c r="D201" s="642"/>
      <c r="E201" s="642"/>
      <c r="F201" s="642"/>
      <c r="G201" s="642"/>
      <c r="H201" s="642"/>
      <c r="I201" s="642"/>
      <c r="J201" s="642"/>
      <c r="K201" s="642"/>
      <c r="L201" s="642"/>
      <c r="M201" s="642"/>
      <c r="N201" s="642"/>
      <c r="O201" s="642"/>
      <c r="P201" s="642"/>
      <c r="Q201" s="642"/>
      <c r="R201" s="642"/>
      <c r="S201" s="642"/>
    </row>
    <row r="202" spans="1:19" x14ac:dyDescent="0.35">
      <c r="A202" s="642"/>
      <c r="B202" s="642"/>
      <c r="C202" s="642"/>
      <c r="D202" s="642"/>
      <c r="E202" s="642"/>
      <c r="F202" s="642"/>
      <c r="G202" s="642"/>
      <c r="H202" s="642"/>
      <c r="I202" s="642"/>
      <c r="J202" s="642"/>
      <c r="K202" s="642"/>
      <c r="L202" s="642"/>
      <c r="M202" s="642"/>
      <c r="N202" s="642"/>
      <c r="O202" s="642"/>
      <c r="P202" s="642"/>
      <c r="Q202" s="642"/>
      <c r="R202" s="642"/>
      <c r="S202" s="642"/>
    </row>
    <row r="203" spans="1:19" x14ac:dyDescent="0.35">
      <c r="A203" s="642"/>
      <c r="B203" s="642"/>
      <c r="C203" s="642"/>
      <c r="D203" s="642"/>
      <c r="E203" s="642"/>
      <c r="F203" s="642"/>
      <c r="G203" s="642"/>
      <c r="H203" s="642"/>
      <c r="I203" s="642"/>
      <c r="J203" s="642"/>
      <c r="K203" s="642"/>
      <c r="L203" s="642"/>
      <c r="M203" s="642"/>
      <c r="N203" s="642"/>
      <c r="O203" s="642"/>
      <c r="P203" s="642"/>
      <c r="Q203" s="642"/>
      <c r="R203" s="642"/>
      <c r="S203" s="642"/>
    </row>
    <row r="204" spans="1:19" x14ac:dyDescent="0.35">
      <c r="A204" s="642"/>
      <c r="B204" s="642"/>
      <c r="C204" s="642"/>
      <c r="D204" s="642"/>
      <c r="E204" s="642"/>
      <c r="F204" s="642"/>
      <c r="G204" s="642"/>
      <c r="H204" s="642"/>
      <c r="I204" s="642"/>
      <c r="J204" s="642"/>
      <c r="K204" s="642"/>
      <c r="L204" s="642"/>
      <c r="M204" s="642"/>
      <c r="N204" s="642"/>
      <c r="O204" s="642"/>
      <c r="P204" s="642"/>
      <c r="Q204" s="642"/>
      <c r="R204" s="642"/>
      <c r="S204" s="642"/>
    </row>
    <row r="205" spans="1:19" x14ac:dyDescent="0.35">
      <c r="A205" s="642"/>
      <c r="B205" s="642"/>
      <c r="C205" s="642"/>
      <c r="D205" s="642"/>
      <c r="E205" s="642"/>
      <c r="F205" s="642"/>
      <c r="G205" s="642"/>
      <c r="H205" s="642"/>
      <c r="I205" s="642"/>
      <c r="J205" s="642"/>
      <c r="K205" s="642"/>
      <c r="L205" s="642"/>
      <c r="M205" s="642"/>
      <c r="N205" s="642"/>
      <c r="O205" s="642"/>
      <c r="P205" s="642"/>
      <c r="Q205" s="642"/>
      <c r="R205" s="642"/>
      <c r="S205" s="642"/>
    </row>
    <row r="206" spans="1:19" x14ac:dyDescent="0.35">
      <c r="A206" s="642"/>
      <c r="B206" s="642"/>
      <c r="C206" s="642"/>
      <c r="D206" s="642"/>
      <c r="E206" s="642"/>
      <c r="F206" s="642"/>
      <c r="G206" s="642"/>
      <c r="H206" s="642"/>
      <c r="I206" s="642"/>
      <c r="J206" s="642"/>
      <c r="K206" s="642"/>
      <c r="L206" s="642"/>
      <c r="M206" s="642"/>
      <c r="N206" s="642"/>
      <c r="O206" s="642"/>
      <c r="P206" s="642"/>
      <c r="Q206" s="642"/>
      <c r="R206" s="642"/>
      <c r="S206" s="642"/>
    </row>
    <row r="207" spans="1:19" x14ac:dyDescent="0.35">
      <c r="A207" s="642"/>
      <c r="B207" s="642"/>
      <c r="C207" s="642"/>
      <c r="D207" s="642"/>
      <c r="E207" s="642"/>
      <c r="F207" s="642"/>
      <c r="G207" s="642"/>
      <c r="H207" s="642"/>
      <c r="I207" s="642"/>
      <c r="J207" s="642"/>
      <c r="K207" s="642"/>
      <c r="L207" s="642"/>
      <c r="M207" s="642"/>
      <c r="N207" s="642"/>
      <c r="O207" s="642"/>
      <c r="P207" s="642"/>
      <c r="Q207" s="642"/>
      <c r="R207" s="642"/>
      <c r="S207" s="642"/>
    </row>
    <row r="208" spans="1:19" x14ac:dyDescent="0.35">
      <c r="A208" s="642"/>
      <c r="B208" s="642"/>
      <c r="C208" s="642"/>
      <c r="D208" s="642"/>
      <c r="E208" s="642"/>
      <c r="F208" s="642"/>
      <c r="G208" s="642"/>
      <c r="H208" s="642"/>
      <c r="I208" s="642"/>
      <c r="J208" s="642"/>
      <c r="K208" s="642"/>
      <c r="L208" s="642"/>
      <c r="M208" s="642"/>
      <c r="N208" s="642"/>
      <c r="O208" s="642"/>
      <c r="P208" s="642"/>
      <c r="Q208" s="642"/>
      <c r="R208" s="642"/>
      <c r="S208" s="642"/>
    </row>
    <row r="209" spans="1:19" x14ac:dyDescent="0.35">
      <c r="A209" s="642"/>
      <c r="B209" s="642"/>
      <c r="C209" s="642"/>
      <c r="D209" s="642"/>
      <c r="E209" s="642"/>
      <c r="F209" s="642"/>
      <c r="G209" s="642"/>
      <c r="H209" s="642"/>
      <c r="I209" s="642"/>
      <c r="J209" s="642"/>
      <c r="K209" s="642"/>
      <c r="L209" s="642"/>
      <c r="M209" s="642"/>
      <c r="N209" s="642"/>
      <c r="O209" s="642"/>
      <c r="P209" s="642"/>
      <c r="Q209" s="642"/>
      <c r="R209" s="642"/>
      <c r="S209" s="642"/>
    </row>
    <row r="210" spans="1:19" x14ac:dyDescent="0.35">
      <c r="A210" s="642"/>
      <c r="B210" s="642"/>
      <c r="C210" s="642"/>
      <c r="D210" s="642"/>
      <c r="E210" s="642"/>
      <c r="F210" s="642"/>
      <c r="G210" s="642"/>
      <c r="H210" s="642"/>
      <c r="I210" s="642"/>
      <c r="J210" s="642"/>
      <c r="K210" s="642"/>
      <c r="L210" s="642"/>
      <c r="M210" s="642"/>
      <c r="N210" s="642"/>
      <c r="O210" s="642"/>
      <c r="P210" s="642"/>
      <c r="Q210" s="642"/>
      <c r="R210" s="642"/>
      <c r="S210" s="642"/>
    </row>
    <row r="211" spans="1:19" x14ac:dyDescent="0.35">
      <c r="A211" s="642"/>
      <c r="B211" s="642"/>
      <c r="C211" s="642"/>
      <c r="D211" s="642"/>
      <c r="E211" s="642"/>
      <c r="F211" s="642"/>
      <c r="G211" s="642"/>
      <c r="H211" s="642"/>
      <c r="I211" s="642"/>
      <c r="J211" s="642"/>
      <c r="K211" s="642"/>
      <c r="L211" s="642"/>
      <c r="M211" s="642"/>
      <c r="N211" s="642"/>
      <c r="O211" s="642"/>
      <c r="P211" s="642"/>
      <c r="Q211" s="642"/>
      <c r="R211" s="642"/>
      <c r="S211" s="642"/>
    </row>
    <row r="212" spans="1:19" x14ac:dyDescent="0.35">
      <c r="A212" s="642"/>
      <c r="B212" s="642"/>
      <c r="C212" s="642"/>
      <c r="D212" s="642"/>
      <c r="E212" s="642"/>
      <c r="F212" s="642"/>
      <c r="G212" s="642"/>
      <c r="H212" s="642"/>
      <c r="I212" s="642"/>
      <c r="J212" s="642"/>
      <c r="K212" s="642"/>
      <c r="L212" s="642"/>
      <c r="M212" s="642"/>
      <c r="N212" s="642"/>
      <c r="O212" s="642"/>
      <c r="P212" s="642"/>
      <c r="Q212" s="642"/>
      <c r="R212" s="642"/>
      <c r="S212" s="642"/>
    </row>
    <row r="213" spans="1:19" x14ac:dyDescent="0.35">
      <c r="A213" s="642"/>
      <c r="B213" s="642"/>
      <c r="C213" s="642"/>
      <c r="D213" s="642"/>
      <c r="E213" s="642"/>
      <c r="F213" s="642"/>
      <c r="G213" s="642"/>
      <c r="H213" s="642"/>
      <c r="I213" s="642"/>
      <c r="J213" s="642"/>
      <c r="K213" s="642"/>
      <c r="L213" s="642"/>
      <c r="M213" s="642"/>
      <c r="N213" s="642"/>
      <c r="O213" s="642"/>
      <c r="P213" s="642"/>
      <c r="Q213" s="642"/>
      <c r="R213" s="642"/>
      <c r="S213" s="642"/>
    </row>
    <row r="214" spans="1:19" x14ac:dyDescent="0.35">
      <c r="A214" s="642"/>
      <c r="B214" s="642"/>
      <c r="C214" s="642"/>
      <c r="D214" s="642"/>
      <c r="E214" s="642"/>
      <c r="F214" s="642"/>
      <c r="G214" s="642"/>
      <c r="H214" s="642"/>
      <c r="I214" s="642"/>
      <c r="J214" s="642"/>
      <c r="K214" s="642"/>
      <c r="L214" s="642"/>
      <c r="M214" s="642"/>
      <c r="N214" s="642"/>
      <c r="O214" s="642"/>
      <c r="P214" s="642"/>
      <c r="Q214" s="642"/>
      <c r="R214" s="642"/>
      <c r="S214" s="642"/>
    </row>
    <row r="215" spans="1:19" x14ac:dyDescent="0.35">
      <c r="A215" s="642"/>
      <c r="B215" s="642"/>
      <c r="C215" s="642"/>
      <c r="D215" s="642"/>
      <c r="E215" s="642"/>
      <c r="F215" s="642"/>
      <c r="G215" s="642"/>
      <c r="H215" s="642"/>
      <c r="I215" s="642"/>
      <c r="J215" s="642"/>
      <c r="K215" s="642"/>
      <c r="L215" s="642"/>
      <c r="M215" s="642"/>
      <c r="N215" s="642"/>
      <c r="O215" s="642"/>
      <c r="P215" s="642"/>
      <c r="Q215" s="642"/>
      <c r="R215" s="642"/>
      <c r="S215" s="642"/>
    </row>
    <row r="216" spans="1:19" x14ac:dyDescent="0.35">
      <c r="A216" s="642"/>
      <c r="B216" s="642"/>
      <c r="C216" s="642"/>
      <c r="D216" s="642"/>
      <c r="E216" s="642"/>
      <c r="F216" s="642"/>
      <c r="G216" s="642"/>
      <c r="H216" s="642"/>
      <c r="I216" s="642"/>
      <c r="J216" s="642"/>
      <c r="K216" s="642"/>
      <c r="L216" s="642"/>
      <c r="M216" s="642"/>
      <c r="N216" s="642"/>
      <c r="O216" s="642"/>
      <c r="P216" s="642"/>
      <c r="Q216" s="642"/>
      <c r="R216" s="642"/>
      <c r="S216" s="642"/>
    </row>
    <row r="217" spans="1:19" x14ac:dyDescent="0.35">
      <c r="A217" s="642"/>
      <c r="B217" s="642"/>
      <c r="C217" s="642"/>
      <c r="D217" s="642"/>
      <c r="E217" s="642"/>
      <c r="F217" s="642"/>
      <c r="G217" s="642"/>
      <c r="H217" s="642"/>
      <c r="I217" s="642"/>
      <c r="J217" s="642"/>
      <c r="K217" s="642"/>
      <c r="L217" s="642"/>
      <c r="M217" s="642"/>
      <c r="N217" s="642"/>
      <c r="O217" s="642"/>
      <c r="P217" s="642"/>
      <c r="Q217" s="642"/>
      <c r="R217" s="642"/>
      <c r="S217" s="642"/>
    </row>
    <row r="218" spans="1:19" x14ac:dyDescent="0.35">
      <c r="A218" s="642"/>
      <c r="B218" s="642"/>
      <c r="C218" s="642"/>
      <c r="D218" s="642"/>
      <c r="E218" s="642"/>
      <c r="F218" s="642"/>
      <c r="G218" s="642"/>
      <c r="H218" s="642"/>
      <c r="I218" s="642"/>
      <c r="J218" s="642"/>
      <c r="K218" s="642"/>
      <c r="L218" s="642"/>
      <c r="M218" s="642"/>
      <c r="N218" s="642"/>
      <c r="O218" s="642"/>
      <c r="P218" s="642"/>
      <c r="Q218" s="642"/>
      <c r="R218" s="642"/>
      <c r="S218" s="642"/>
    </row>
    <row r="219" spans="1:19" x14ac:dyDescent="0.35">
      <c r="A219" s="642"/>
      <c r="B219" s="642"/>
      <c r="C219" s="642"/>
      <c r="D219" s="642"/>
      <c r="E219" s="642"/>
      <c r="F219" s="642"/>
      <c r="G219" s="642"/>
      <c r="H219" s="642"/>
      <c r="I219" s="642"/>
      <c r="J219" s="642"/>
      <c r="K219" s="642"/>
      <c r="L219" s="642"/>
      <c r="M219" s="642"/>
      <c r="N219" s="642"/>
      <c r="O219" s="642"/>
      <c r="P219" s="642"/>
      <c r="Q219" s="642"/>
      <c r="R219" s="642"/>
      <c r="S219" s="642"/>
    </row>
    <row r="220" spans="1:19" x14ac:dyDescent="0.35">
      <c r="A220" s="642"/>
      <c r="B220" s="642"/>
      <c r="C220" s="642"/>
      <c r="D220" s="642"/>
      <c r="E220" s="642"/>
      <c r="F220" s="642"/>
      <c r="G220" s="642"/>
      <c r="H220" s="642"/>
      <c r="I220" s="642"/>
      <c r="J220" s="642"/>
      <c r="K220" s="642"/>
      <c r="L220" s="642"/>
      <c r="M220" s="642"/>
      <c r="N220" s="642"/>
      <c r="O220" s="642"/>
      <c r="P220" s="642"/>
      <c r="Q220" s="642"/>
      <c r="R220" s="642"/>
      <c r="S220" s="642"/>
    </row>
    <row r="221" spans="1:19" x14ac:dyDescent="0.35">
      <c r="A221" s="642"/>
      <c r="B221" s="642"/>
      <c r="C221" s="642"/>
      <c r="D221" s="642"/>
      <c r="E221" s="642"/>
      <c r="F221" s="642"/>
      <c r="G221" s="642"/>
      <c r="H221" s="642"/>
      <c r="I221" s="642"/>
      <c r="J221" s="642"/>
      <c r="K221" s="642"/>
      <c r="L221" s="642"/>
      <c r="M221" s="642"/>
      <c r="N221" s="642"/>
      <c r="O221" s="642"/>
      <c r="P221" s="642"/>
      <c r="Q221" s="642"/>
      <c r="R221" s="642"/>
      <c r="S221" s="642"/>
    </row>
    <row r="222" spans="1:19" x14ac:dyDescent="0.35">
      <c r="A222" s="642"/>
      <c r="B222" s="642"/>
      <c r="C222" s="642"/>
      <c r="D222" s="642"/>
      <c r="E222" s="642"/>
      <c r="F222" s="642"/>
      <c r="G222" s="642"/>
      <c r="H222" s="642"/>
      <c r="I222" s="642"/>
      <c r="J222" s="642"/>
      <c r="K222" s="642"/>
      <c r="L222" s="642"/>
      <c r="M222" s="642"/>
      <c r="N222" s="642"/>
      <c r="O222" s="642"/>
      <c r="P222" s="642"/>
      <c r="Q222" s="642"/>
      <c r="R222" s="642"/>
      <c r="S222" s="642"/>
    </row>
    <row r="223" spans="1:19" x14ac:dyDescent="0.35">
      <c r="A223" s="642"/>
      <c r="B223" s="642"/>
      <c r="C223" s="642"/>
      <c r="D223" s="642"/>
      <c r="E223" s="642"/>
      <c r="F223" s="642"/>
      <c r="G223" s="642"/>
      <c r="H223" s="642"/>
      <c r="I223" s="642"/>
      <c r="J223" s="642"/>
      <c r="K223" s="642"/>
      <c r="L223" s="642"/>
      <c r="M223" s="642"/>
      <c r="N223" s="642"/>
      <c r="O223" s="642"/>
      <c r="P223" s="642"/>
      <c r="Q223" s="642"/>
      <c r="R223" s="642"/>
      <c r="S223" s="642"/>
    </row>
    <row r="224" spans="1:19" x14ac:dyDescent="0.35">
      <c r="A224" s="642"/>
      <c r="B224" s="642"/>
      <c r="C224" s="642"/>
      <c r="D224" s="642"/>
      <c r="E224" s="642"/>
      <c r="F224" s="642"/>
      <c r="G224" s="642"/>
      <c r="H224" s="642"/>
      <c r="I224" s="642"/>
      <c r="J224" s="642"/>
      <c r="K224" s="642"/>
      <c r="L224" s="642"/>
      <c r="M224" s="642"/>
      <c r="N224" s="642"/>
      <c r="O224" s="642"/>
      <c r="P224" s="642"/>
      <c r="Q224" s="642"/>
      <c r="R224" s="642"/>
      <c r="S224" s="642"/>
    </row>
    <row r="225" spans="1:19" x14ac:dyDescent="0.35">
      <c r="A225" s="642"/>
      <c r="B225" s="642"/>
      <c r="C225" s="642"/>
      <c r="D225" s="642"/>
      <c r="E225" s="642"/>
      <c r="F225" s="642"/>
      <c r="G225" s="642"/>
      <c r="H225" s="642"/>
      <c r="I225" s="642"/>
      <c r="J225" s="642"/>
      <c r="K225" s="642"/>
      <c r="L225" s="642"/>
      <c r="M225" s="642"/>
      <c r="N225" s="642"/>
      <c r="O225" s="642"/>
      <c r="P225" s="642"/>
      <c r="Q225" s="642"/>
      <c r="R225" s="642"/>
      <c r="S225" s="642"/>
    </row>
    <row r="226" spans="1:19" x14ac:dyDescent="0.35">
      <c r="A226" s="642"/>
      <c r="B226" s="642"/>
      <c r="C226" s="642"/>
      <c r="D226" s="642"/>
      <c r="E226" s="642"/>
      <c r="F226" s="642"/>
      <c r="G226" s="642"/>
      <c r="H226" s="642"/>
      <c r="I226" s="642"/>
      <c r="J226" s="642"/>
      <c r="K226" s="642"/>
      <c r="L226" s="642"/>
      <c r="M226" s="642"/>
      <c r="N226" s="642"/>
      <c r="O226" s="642"/>
      <c r="P226" s="642"/>
      <c r="Q226" s="642"/>
      <c r="R226" s="642"/>
      <c r="S226" s="642"/>
    </row>
    <row r="227" spans="1:19" x14ac:dyDescent="0.35">
      <c r="A227" s="642"/>
      <c r="B227" s="642"/>
      <c r="C227" s="642"/>
      <c r="D227" s="642"/>
      <c r="E227" s="642"/>
      <c r="F227" s="642"/>
      <c r="G227" s="642"/>
      <c r="H227" s="642"/>
      <c r="I227" s="642"/>
      <c r="J227" s="642"/>
      <c r="K227" s="642"/>
      <c r="L227" s="642"/>
      <c r="M227" s="642"/>
      <c r="N227" s="642"/>
      <c r="O227" s="642"/>
      <c r="P227" s="642"/>
      <c r="Q227" s="642"/>
      <c r="R227" s="642"/>
      <c r="S227" s="642"/>
    </row>
    <row r="228" spans="1:19" x14ac:dyDescent="0.35">
      <c r="A228" s="642"/>
      <c r="B228" s="642"/>
      <c r="C228" s="642"/>
      <c r="D228" s="642"/>
      <c r="E228" s="642"/>
      <c r="F228" s="642"/>
      <c r="G228" s="642"/>
      <c r="H228" s="642"/>
      <c r="I228" s="642"/>
      <c r="J228" s="642"/>
      <c r="K228" s="642"/>
      <c r="L228" s="642"/>
      <c r="M228" s="642"/>
      <c r="N228" s="642"/>
      <c r="O228" s="642"/>
      <c r="P228" s="642"/>
      <c r="Q228" s="642"/>
      <c r="R228" s="642"/>
      <c r="S228" s="642"/>
    </row>
    <row r="229" spans="1:19" x14ac:dyDescent="0.35">
      <c r="A229" s="642"/>
      <c r="B229" s="642"/>
      <c r="C229" s="642"/>
      <c r="D229" s="642"/>
      <c r="E229" s="642"/>
      <c r="F229" s="642"/>
      <c r="G229" s="642"/>
      <c r="H229" s="642"/>
      <c r="I229" s="642"/>
      <c r="J229" s="642"/>
      <c r="K229" s="642"/>
      <c r="L229" s="642"/>
      <c r="M229" s="642"/>
      <c r="N229" s="642"/>
      <c r="O229" s="642"/>
      <c r="P229" s="642"/>
      <c r="Q229" s="642"/>
      <c r="R229" s="642"/>
      <c r="S229" s="642"/>
    </row>
    <row r="230" spans="1:19" x14ac:dyDescent="0.35">
      <c r="A230" s="642"/>
      <c r="B230" s="642"/>
      <c r="C230" s="642"/>
      <c r="D230" s="642"/>
      <c r="E230" s="642"/>
      <c r="F230" s="642"/>
      <c r="G230" s="642"/>
      <c r="H230" s="642"/>
      <c r="I230" s="642"/>
      <c r="J230" s="642"/>
      <c r="K230" s="642"/>
      <c r="L230" s="642"/>
      <c r="M230" s="642"/>
      <c r="N230" s="642"/>
      <c r="O230" s="642"/>
      <c r="P230" s="642"/>
      <c r="Q230" s="642"/>
      <c r="R230" s="642"/>
      <c r="S230" s="642"/>
    </row>
    <row r="231" spans="1:19" x14ac:dyDescent="0.35">
      <c r="A231" s="642"/>
      <c r="B231" s="642"/>
      <c r="C231" s="642"/>
      <c r="D231" s="642"/>
      <c r="E231" s="642"/>
      <c r="F231" s="642"/>
      <c r="G231" s="642"/>
      <c r="H231" s="642"/>
      <c r="I231" s="642"/>
      <c r="J231" s="642"/>
      <c r="K231" s="642"/>
      <c r="L231" s="642"/>
      <c r="M231" s="642"/>
      <c r="N231" s="642"/>
      <c r="O231" s="642"/>
      <c r="P231" s="642"/>
      <c r="Q231" s="642"/>
      <c r="R231" s="642"/>
      <c r="S231" s="642"/>
    </row>
    <row r="232" spans="1:19" x14ac:dyDescent="0.35">
      <c r="A232" s="642"/>
      <c r="B232" s="642"/>
      <c r="C232" s="642"/>
      <c r="D232" s="642"/>
      <c r="E232" s="642"/>
      <c r="F232" s="642"/>
      <c r="G232" s="642"/>
      <c r="H232" s="642"/>
      <c r="I232" s="642"/>
      <c r="J232" s="642"/>
      <c r="K232" s="642"/>
      <c r="L232" s="642"/>
      <c r="M232" s="642"/>
      <c r="N232" s="642"/>
      <c r="O232" s="642"/>
      <c r="P232" s="642"/>
      <c r="Q232" s="642"/>
      <c r="R232" s="642"/>
      <c r="S232" s="642"/>
    </row>
    <row r="233" spans="1:19" x14ac:dyDescent="0.35">
      <c r="A233" s="642"/>
      <c r="B233" s="642"/>
      <c r="C233" s="642"/>
      <c r="D233" s="642"/>
      <c r="E233" s="642"/>
      <c r="F233" s="642"/>
      <c r="G233" s="642"/>
      <c r="H233" s="642"/>
      <c r="I233" s="642"/>
      <c r="J233" s="642"/>
      <c r="K233" s="642"/>
      <c r="L233" s="642"/>
      <c r="M233" s="642"/>
      <c r="N233" s="642"/>
      <c r="O233" s="642"/>
      <c r="P233" s="642"/>
      <c r="Q233" s="642"/>
      <c r="R233" s="642"/>
      <c r="S233" s="642"/>
    </row>
    <row r="234" spans="1:19" x14ac:dyDescent="0.35">
      <c r="A234" s="642"/>
      <c r="B234" s="642"/>
      <c r="C234" s="642"/>
      <c r="D234" s="642"/>
      <c r="E234" s="642"/>
      <c r="F234" s="642"/>
      <c r="G234" s="642"/>
      <c r="H234" s="642"/>
      <c r="I234" s="642"/>
      <c r="J234" s="642"/>
      <c r="K234" s="642"/>
      <c r="L234" s="642"/>
      <c r="M234" s="642"/>
      <c r="N234" s="642"/>
      <c r="O234" s="642"/>
      <c r="P234" s="642"/>
      <c r="Q234" s="642"/>
      <c r="R234" s="642"/>
      <c r="S234" s="642"/>
    </row>
    <row r="235" spans="1:19" x14ac:dyDescent="0.35">
      <c r="A235" s="642"/>
      <c r="B235" s="642"/>
      <c r="C235" s="642"/>
      <c r="D235" s="642"/>
      <c r="E235" s="642"/>
      <c r="F235" s="642"/>
      <c r="G235" s="642"/>
      <c r="H235" s="642"/>
      <c r="I235" s="642"/>
      <c r="J235" s="642"/>
      <c r="K235" s="642"/>
      <c r="L235" s="642"/>
      <c r="M235" s="642"/>
      <c r="N235" s="642"/>
      <c r="O235" s="642"/>
      <c r="P235" s="642"/>
      <c r="Q235" s="642"/>
      <c r="R235" s="642"/>
      <c r="S235" s="642"/>
    </row>
    <row r="236" spans="1:19" x14ac:dyDescent="0.35">
      <c r="A236" s="642"/>
      <c r="B236" s="642"/>
      <c r="C236" s="642"/>
      <c r="D236" s="642"/>
      <c r="E236" s="642"/>
      <c r="F236" s="642"/>
      <c r="G236" s="642"/>
      <c r="H236" s="642"/>
      <c r="I236" s="642"/>
      <c r="J236" s="642"/>
      <c r="K236" s="642"/>
      <c r="L236" s="642"/>
      <c r="M236" s="642"/>
      <c r="N236" s="642"/>
      <c r="O236" s="642"/>
      <c r="P236" s="642"/>
      <c r="Q236" s="642"/>
      <c r="R236" s="642"/>
      <c r="S236" s="642"/>
    </row>
    <row r="237" spans="1:19" x14ac:dyDescent="0.35">
      <c r="A237" s="642"/>
      <c r="B237" s="642"/>
      <c r="C237" s="642"/>
      <c r="D237" s="642"/>
      <c r="E237" s="642"/>
      <c r="F237" s="642"/>
      <c r="G237" s="642"/>
      <c r="H237" s="642"/>
      <c r="I237" s="642"/>
      <c r="J237" s="642"/>
      <c r="K237" s="642"/>
      <c r="L237" s="642"/>
      <c r="M237" s="642"/>
      <c r="N237" s="642"/>
      <c r="O237" s="642"/>
      <c r="P237" s="642"/>
      <c r="Q237" s="642"/>
      <c r="R237" s="642"/>
      <c r="S237" s="642"/>
    </row>
    <row r="238" spans="1:19" x14ac:dyDescent="0.35">
      <c r="A238" s="642"/>
      <c r="B238" s="642"/>
      <c r="C238" s="642"/>
      <c r="D238" s="642"/>
      <c r="E238" s="642"/>
      <c r="F238" s="642"/>
      <c r="G238" s="642"/>
      <c r="H238" s="642"/>
      <c r="I238" s="642"/>
      <c r="J238" s="642"/>
      <c r="K238" s="642"/>
      <c r="L238" s="642"/>
      <c r="M238" s="642"/>
      <c r="N238" s="642"/>
      <c r="O238" s="642"/>
      <c r="P238" s="642"/>
      <c r="Q238" s="642"/>
      <c r="R238" s="642"/>
      <c r="S238" s="642"/>
    </row>
    <row r="239" spans="1:19" x14ac:dyDescent="0.35">
      <c r="A239" s="642"/>
      <c r="B239" s="642"/>
      <c r="C239" s="642"/>
      <c r="D239" s="642"/>
      <c r="E239" s="642"/>
      <c r="F239" s="642"/>
      <c r="G239" s="642"/>
      <c r="H239" s="642"/>
      <c r="I239" s="642"/>
      <c r="J239" s="642"/>
      <c r="K239" s="642"/>
      <c r="L239" s="642"/>
      <c r="M239" s="642"/>
      <c r="N239" s="642"/>
      <c r="O239" s="642"/>
      <c r="P239" s="642"/>
      <c r="Q239" s="642"/>
      <c r="R239" s="642"/>
      <c r="S239" s="642"/>
    </row>
    <row r="240" spans="1:19" x14ac:dyDescent="0.35">
      <c r="A240" s="642"/>
      <c r="B240" s="642"/>
      <c r="C240" s="642"/>
      <c r="D240" s="642"/>
      <c r="E240" s="642"/>
      <c r="F240" s="642"/>
      <c r="G240" s="642"/>
      <c r="H240" s="642"/>
      <c r="I240" s="642"/>
      <c r="J240" s="642"/>
      <c r="K240" s="642"/>
      <c r="L240" s="642"/>
      <c r="M240" s="642"/>
      <c r="N240" s="642"/>
      <c r="O240" s="642"/>
      <c r="P240" s="642"/>
      <c r="Q240" s="642"/>
      <c r="R240" s="642"/>
      <c r="S240" s="642"/>
    </row>
    <row r="241" spans="1:19" x14ac:dyDescent="0.35">
      <c r="A241" s="642"/>
      <c r="B241" s="642"/>
      <c r="C241" s="642"/>
      <c r="D241" s="642"/>
      <c r="E241" s="642"/>
      <c r="F241" s="642"/>
      <c r="G241" s="642"/>
      <c r="H241" s="642"/>
      <c r="I241" s="642"/>
      <c r="J241" s="642"/>
      <c r="K241" s="642"/>
      <c r="L241" s="642"/>
      <c r="M241" s="642"/>
      <c r="N241" s="642"/>
      <c r="O241" s="642"/>
      <c r="P241" s="642"/>
      <c r="Q241" s="642"/>
      <c r="R241" s="642"/>
      <c r="S241" s="642"/>
    </row>
    <row r="242" spans="1:19" x14ac:dyDescent="0.35">
      <c r="A242" s="642"/>
      <c r="B242" s="642"/>
      <c r="C242" s="642"/>
      <c r="D242" s="642"/>
      <c r="E242" s="642"/>
      <c r="F242" s="642"/>
      <c r="G242" s="642"/>
      <c r="H242" s="642"/>
      <c r="I242" s="642"/>
      <c r="J242" s="642"/>
      <c r="K242" s="642"/>
      <c r="L242" s="642"/>
      <c r="M242" s="642"/>
      <c r="N242" s="642"/>
      <c r="O242" s="642"/>
      <c r="P242" s="642"/>
      <c r="Q242" s="642"/>
      <c r="R242" s="642"/>
      <c r="S242" s="642"/>
    </row>
    <row r="243" spans="1:19" x14ac:dyDescent="0.35">
      <c r="A243" s="642"/>
      <c r="B243" s="642"/>
      <c r="C243" s="642"/>
      <c r="D243" s="642"/>
      <c r="E243" s="642"/>
      <c r="F243" s="642"/>
      <c r="G243" s="642"/>
      <c r="H243" s="642"/>
      <c r="I243" s="642"/>
      <c r="J243" s="642"/>
      <c r="K243" s="642"/>
      <c r="L243" s="642"/>
      <c r="M243" s="642"/>
      <c r="N243" s="642"/>
      <c r="O243" s="642"/>
      <c r="P243" s="642"/>
      <c r="Q243" s="642"/>
      <c r="R243" s="642"/>
      <c r="S243" s="642"/>
    </row>
    <row r="244" spans="1:19" x14ac:dyDescent="0.35">
      <c r="A244" s="642"/>
      <c r="B244" s="642"/>
      <c r="C244" s="642"/>
      <c r="D244" s="642"/>
      <c r="E244" s="642"/>
      <c r="F244" s="642"/>
      <c r="G244" s="642"/>
      <c r="H244" s="642"/>
      <c r="I244" s="642"/>
      <c r="J244" s="642"/>
      <c r="K244" s="642"/>
      <c r="L244" s="642"/>
      <c r="M244" s="642"/>
      <c r="N244" s="642"/>
      <c r="O244" s="642"/>
      <c r="P244" s="642"/>
      <c r="Q244" s="642"/>
      <c r="R244" s="642"/>
      <c r="S244" s="642"/>
    </row>
    <row r="245" spans="1:19" x14ac:dyDescent="0.35">
      <c r="A245" s="642"/>
      <c r="B245" s="642"/>
      <c r="C245" s="642"/>
      <c r="D245" s="642"/>
      <c r="E245" s="642"/>
      <c r="F245" s="642"/>
      <c r="G245" s="642"/>
      <c r="H245" s="642"/>
      <c r="I245" s="642"/>
      <c r="J245" s="642"/>
      <c r="K245" s="642"/>
      <c r="L245" s="642"/>
      <c r="M245" s="642"/>
      <c r="N245" s="642"/>
      <c r="O245" s="642"/>
      <c r="P245" s="642"/>
      <c r="Q245" s="642"/>
      <c r="R245" s="642"/>
      <c r="S245" s="642"/>
    </row>
    <row r="246" spans="1:19" x14ac:dyDescent="0.35">
      <c r="A246" s="642"/>
      <c r="B246" s="642"/>
      <c r="C246" s="642"/>
      <c r="D246" s="642"/>
      <c r="E246" s="642"/>
      <c r="F246" s="642"/>
      <c r="G246" s="642"/>
      <c r="H246" s="642"/>
      <c r="I246" s="642"/>
      <c r="J246" s="642"/>
      <c r="K246" s="642"/>
      <c r="L246" s="642"/>
      <c r="M246" s="642"/>
      <c r="N246" s="642"/>
      <c r="O246" s="642"/>
      <c r="P246" s="642"/>
      <c r="Q246" s="642"/>
      <c r="R246" s="642"/>
      <c r="S246" s="642"/>
    </row>
    <row r="247" spans="1:19" x14ac:dyDescent="0.35">
      <c r="A247" s="642"/>
      <c r="B247" s="642"/>
      <c r="C247" s="642"/>
      <c r="D247" s="642"/>
      <c r="E247" s="642"/>
      <c r="F247" s="642"/>
      <c r="G247" s="642"/>
      <c r="H247" s="642"/>
      <c r="I247" s="642"/>
      <c r="J247" s="642"/>
      <c r="K247" s="642"/>
      <c r="L247" s="642"/>
      <c r="M247" s="642"/>
      <c r="N247" s="642"/>
      <c r="O247" s="642"/>
      <c r="P247" s="642"/>
      <c r="Q247" s="642"/>
      <c r="R247" s="642"/>
      <c r="S247" s="642"/>
    </row>
    <row r="248" spans="1:19" x14ac:dyDescent="0.35">
      <c r="A248" s="642"/>
      <c r="B248" s="642"/>
      <c r="C248" s="642"/>
      <c r="D248" s="642"/>
      <c r="E248" s="642"/>
      <c r="F248" s="642"/>
      <c r="G248" s="642"/>
      <c r="H248" s="642"/>
      <c r="I248" s="642"/>
      <c r="J248" s="642"/>
      <c r="K248" s="642"/>
      <c r="L248" s="642"/>
      <c r="M248" s="642"/>
      <c r="N248" s="642"/>
      <c r="O248" s="642"/>
      <c r="P248" s="642"/>
      <c r="Q248" s="642"/>
      <c r="R248" s="642"/>
      <c r="S248" s="642"/>
    </row>
    <row r="249" spans="1:19" x14ac:dyDescent="0.35">
      <c r="A249" s="642"/>
      <c r="B249" s="642"/>
      <c r="C249" s="642"/>
      <c r="D249" s="642"/>
      <c r="E249" s="642"/>
      <c r="F249" s="642"/>
      <c r="G249" s="642"/>
      <c r="H249" s="642"/>
      <c r="I249" s="642"/>
      <c r="J249" s="642"/>
      <c r="K249" s="642"/>
      <c r="L249" s="642"/>
      <c r="M249" s="642"/>
      <c r="N249" s="642"/>
      <c r="O249" s="642"/>
      <c r="P249" s="642"/>
      <c r="Q249" s="642"/>
      <c r="R249" s="642"/>
      <c r="S249" s="642"/>
    </row>
    <row r="250" spans="1:19" x14ac:dyDescent="0.35">
      <c r="A250" s="642"/>
      <c r="B250" s="642"/>
      <c r="C250" s="642"/>
      <c r="D250" s="642"/>
      <c r="E250" s="642"/>
      <c r="F250" s="642"/>
      <c r="G250" s="642"/>
      <c r="H250" s="642"/>
      <c r="I250" s="642"/>
      <c r="J250" s="642"/>
      <c r="K250" s="642"/>
      <c r="L250" s="642"/>
      <c r="M250" s="642"/>
      <c r="N250" s="642"/>
      <c r="O250" s="642"/>
      <c r="P250" s="642"/>
      <c r="Q250" s="642"/>
      <c r="R250" s="642"/>
      <c r="S250" s="642"/>
    </row>
    <row r="251" spans="1:19" x14ac:dyDescent="0.35">
      <c r="A251" s="642"/>
      <c r="B251" s="642"/>
      <c r="C251" s="642"/>
      <c r="D251" s="642"/>
      <c r="E251" s="642"/>
      <c r="F251" s="642"/>
      <c r="G251" s="642"/>
      <c r="H251" s="642"/>
      <c r="I251" s="642"/>
      <c r="J251" s="642"/>
      <c r="K251" s="642"/>
      <c r="L251" s="642"/>
      <c r="M251" s="642"/>
      <c r="N251" s="642"/>
      <c r="O251" s="642"/>
      <c r="P251" s="642"/>
      <c r="Q251" s="642"/>
      <c r="R251" s="642"/>
      <c r="S251" s="642"/>
    </row>
    <row r="252" spans="1:19" x14ac:dyDescent="0.35">
      <c r="A252" s="642"/>
      <c r="B252" s="642"/>
      <c r="C252" s="642"/>
      <c r="D252" s="642"/>
      <c r="E252" s="642"/>
      <c r="F252" s="642"/>
      <c r="G252" s="642"/>
      <c r="H252" s="642"/>
      <c r="I252" s="642"/>
      <c r="J252" s="642"/>
      <c r="K252" s="642"/>
      <c r="L252" s="642"/>
      <c r="M252" s="642"/>
      <c r="N252" s="642"/>
      <c r="O252" s="642"/>
      <c r="P252" s="642"/>
      <c r="Q252" s="642"/>
      <c r="R252" s="642"/>
      <c r="S252" s="642"/>
    </row>
    <row r="253" spans="1:19" x14ac:dyDescent="0.35">
      <c r="A253" s="642"/>
      <c r="B253" s="642"/>
      <c r="C253" s="642"/>
      <c r="D253" s="642"/>
      <c r="E253" s="642"/>
      <c r="F253" s="642"/>
      <c r="G253" s="642"/>
      <c r="H253" s="642"/>
      <c r="I253" s="642"/>
      <c r="J253" s="642"/>
      <c r="K253" s="642"/>
      <c r="L253" s="642"/>
      <c r="M253" s="642"/>
      <c r="N253" s="642"/>
      <c r="O253" s="642"/>
      <c r="P253" s="642"/>
      <c r="Q253" s="642"/>
      <c r="R253" s="642"/>
      <c r="S253" s="642"/>
    </row>
    <row r="254" spans="1:19" x14ac:dyDescent="0.35">
      <c r="A254" s="642"/>
      <c r="B254" s="642"/>
      <c r="C254" s="642"/>
      <c r="D254" s="642"/>
      <c r="E254" s="642"/>
      <c r="F254" s="642"/>
      <c r="G254" s="642"/>
      <c r="H254" s="642"/>
      <c r="I254" s="642"/>
      <c r="J254" s="642"/>
      <c r="K254" s="642"/>
      <c r="L254" s="642"/>
      <c r="M254" s="642"/>
      <c r="N254" s="642"/>
      <c r="O254" s="642"/>
      <c r="P254" s="642"/>
      <c r="Q254" s="642"/>
      <c r="R254" s="642"/>
      <c r="S254" s="642"/>
    </row>
    <row r="255" spans="1:19" x14ac:dyDescent="0.35">
      <c r="A255" s="642"/>
      <c r="B255" s="642"/>
      <c r="C255" s="642"/>
      <c r="D255" s="642"/>
      <c r="E255" s="642"/>
      <c r="F255" s="642"/>
      <c r="G255" s="642"/>
      <c r="H255" s="642"/>
      <c r="I255" s="642"/>
      <c r="J255" s="642"/>
      <c r="K255" s="642"/>
      <c r="L255" s="642"/>
      <c r="M255" s="642"/>
      <c r="N255" s="642"/>
      <c r="O255" s="642"/>
      <c r="P255" s="642"/>
      <c r="Q255" s="642"/>
      <c r="R255" s="642"/>
      <c r="S255" s="642"/>
    </row>
    <row r="256" spans="1:19" x14ac:dyDescent="0.35">
      <c r="A256" s="642"/>
      <c r="B256" s="642"/>
      <c r="C256" s="642"/>
      <c r="D256" s="642"/>
      <c r="E256" s="642"/>
      <c r="F256" s="642"/>
      <c r="G256" s="642"/>
      <c r="H256" s="642"/>
      <c r="I256" s="642"/>
      <c r="J256" s="642"/>
      <c r="K256" s="642"/>
      <c r="L256" s="642"/>
      <c r="M256" s="642"/>
      <c r="N256" s="642"/>
      <c r="O256" s="642"/>
      <c r="P256" s="642"/>
      <c r="Q256" s="642"/>
      <c r="R256" s="642"/>
      <c r="S256" s="642"/>
    </row>
    <row r="257" spans="1:19" x14ac:dyDescent="0.35">
      <c r="A257" s="642"/>
      <c r="B257" s="642"/>
      <c r="C257" s="642"/>
      <c r="D257" s="642"/>
      <c r="E257" s="642"/>
      <c r="F257" s="642"/>
      <c r="G257" s="642"/>
      <c r="H257" s="642"/>
      <c r="I257" s="642"/>
      <c r="J257" s="642"/>
      <c r="K257" s="642"/>
      <c r="L257" s="642"/>
      <c r="M257" s="642"/>
      <c r="N257" s="642"/>
      <c r="O257" s="642"/>
      <c r="P257" s="642"/>
      <c r="Q257" s="642"/>
      <c r="R257" s="642"/>
      <c r="S257" s="642"/>
    </row>
    <row r="258" spans="1:19" x14ac:dyDescent="0.35">
      <c r="A258" s="642"/>
      <c r="B258" s="642"/>
      <c r="C258" s="642"/>
      <c r="D258" s="642"/>
      <c r="E258" s="642"/>
      <c r="F258" s="642"/>
      <c r="G258" s="642"/>
      <c r="H258" s="642"/>
      <c r="I258" s="642"/>
      <c r="J258" s="642"/>
      <c r="K258" s="642"/>
      <c r="L258" s="642"/>
      <c r="M258" s="642"/>
      <c r="N258" s="642"/>
      <c r="O258" s="642"/>
      <c r="P258" s="642"/>
      <c r="Q258" s="642"/>
      <c r="R258" s="642"/>
      <c r="S258" s="642"/>
    </row>
    <row r="259" spans="1:19" x14ac:dyDescent="0.35">
      <c r="A259" s="642"/>
      <c r="B259" s="642"/>
      <c r="C259" s="642"/>
      <c r="D259" s="642"/>
      <c r="E259" s="642"/>
      <c r="F259" s="642"/>
      <c r="G259" s="642"/>
      <c r="H259" s="642"/>
      <c r="I259" s="642"/>
      <c r="J259" s="642"/>
      <c r="K259" s="642"/>
      <c r="L259" s="642"/>
      <c r="M259" s="642"/>
      <c r="N259" s="642"/>
      <c r="O259" s="642"/>
      <c r="P259" s="642"/>
      <c r="Q259" s="642"/>
      <c r="R259" s="642"/>
      <c r="S259" s="642"/>
    </row>
    <row r="260" spans="1:19" x14ac:dyDescent="0.35">
      <c r="A260" s="642"/>
      <c r="B260" s="642"/>
      <c r="C260" s="642"/>
      <c r="D260" s="642"/>
      <c r="E260" s="642"/>
      <c r="F260" s="642"/>
      <c r="G260" s="642"/>
      <c r="H260" s="642"/>
      <c r="I260" s="642"/>
      <c r="J260" s="642"/>
      <c r="K260" s="642"/>
      <c r="L260" s="642"/>
      <c r="M260" s="642"/>
      <c r="N260" s="642"/>
      <c r="O260" s="642"/>
      <c r="P260" s="642"/>
      <c r="Q260" s="642"/>
      <c r="R260" s="642"/>
      <c r="S260" s="642"/>
    </row>
    <row r="261" spans="1:19" x14ac:dyDescent="0.35">
      <c r="A261" s="642"/>
      <c r="B261" s="642"/>
      <c r="C261" s="642"/>
      <c r="D261" s="642"/>
      <c r="E261" s="642"/>
      <c r="F261" s="642"/>
      <c r="G261" s="642"/>
      <c r="H261" s="642"/>
      <c r="I261" s="642"/>
      <c r="J261" s="642"/>
      <c r="K261" s="642"/>
      <c r="L261" s="642"/>
      <c r="M261" s="642"/>
      <c r="N261" s="642"/>
      <c r="O261" s="642"/>
      <c r="P261" s="642"/>
      <c r="Q261" s="642"/>
      <c r="R261" s="642"/>
      <c r="S261" s="642"/>
    </row>
    <row r="262" spans="1:19" x14ac:dyDescent="0.35">
      <c r="A262" s="642"/>
      <c r="B262" s="642"/>
      <c r="C262" s="642"/>
      <c r="D262" s="642"/>
      <c r="E262" s="642"/>
      <c r="F262" s="642"/>
      <c r="G262" s="642"/>
      <c r="H262" s="642"/>
      <c r="I262" s="642"/>
      <c r="J262" s="642"/>
      <c r="K262" s="642"/>
      <c r="L262" s="642"/>
      <c r="M262" s="642"/>
      <c r="N262" s="642"/>
      <c r="O262" s="642"/>
      <c r="P262" s="642"/>
      <c r="Q262" s="642"/>
      <c r="R262" s="642"/>
      <c r="S262" s="642"/>
    </row>
    <row r="263" spans="1:19" x14ac:dyDescent="0.35">
      <c r="A263" s="642"/>
      <c r="B263" s="642"/>
      <c r="C263" s="642"/>
      <c r="D263" s="642"/>
      <c r="E263" s="642"/>
      <c r="F263" s="642"/>
      <c r="G263" s="642"/>
      <c r="H263" s="642"/>
      <c r="I263" s="642"/>
      <c r="J263" s="642"/>
      <c r="K263" s="642"/>
      <c r="L263" s="642"/>
      <c r="M263" s="642"/>
      <c r="N263" s="642"/>
      <c r="O263" s="642"/>
      <c r="P263" s="642"/>
      <c r="Q263" s="642"/>
      <c r="R263" s="642"/>
      <c r="S263" s="642"/>
    </row>
    <row r="264" spans="1:19" x14ac:dyDescent="0.35">
      <c r="A264" s="642"/>
      <c r="B264" s="642"/>
      <c r="C264" s="642"/>
      <c r="D264" s="642"/>
      <c r="E264" s="642"/>
      <c r="F264" s="642"/>
      <c r="G264" s="642"/>
      <c r="H264" s="642"/>
      <c r="I264" s="642"/>
      <c r="J264" s="642"/>
      <c r="K264" s="642"/>
      <c r="L264" s="642"/>
      <c r="M264" s="642"/>
      <c r="N264" s="642"/>
      <c r="O264" s="642"/>
      <c r="P264" s="642"/>
      <c r="Q264" s="642"/>
      <c r="R264" s="642"/>
      <c r="S264" s="642"/>
    </row>
    <row r="265" spans="1:19" x14ac:dyDescent="0.35">
      <c r="A265" s="642"/>
      <c r="B265" s="642"/>
      <c r="C265" s="642"/>
      <c r="D265" s="642"/>
      <c r="E265" s="642"/>
      <c r="F265" s="642"/>
      <c r="G265" s="642"/>
      <c r="H265" s="642"/>
      <c r="I265" s="642"/>
      <c r="J265" s="642"/>
      <c r="K265" s="642"/>
      <c r="L265" s="642"/>
      <c r="M265" s="642"/>
      <c r="N265" s="642"/>
      <c r="O265" s="642"/>
      <c r="P265" s="642"/>
      <c r="Q265" s="642"/>
      <c r="R265" s="642"/>
      <c r="S265" s="642"/>
    </row>
    <row r="266" spans="1:19" x14ac:dyDescent="0.35">
      <c r="A266" s="642"/>
      <c r="B266" s="642"/>
      <c r="C266" s="642"/>
      <c r="D266" s="642"/>
      <c r="E266" s="642"/>
      <c r="F266" s="642"/>
      <c r="G266" s="642"/>
      <c r="H266" s="642"/>
      <c r="I266" s="642"/>
      <c r="J266" s="642"/>
      <c r="K266" s="642"/>
      <c r="L266" s="642"/>
      <c r="M266" s="642"/>
      <c r="N266" s="642"/>
      <c r="O266" s="642"/>
      <c r="P266" s="642"/>
      <c r="Q266" s="642"/>
      <c r="R266" s="642"/>
      <c r="S266" s="642"/>
    </row>
    <row r="267" spans="1:19" x14ac:dyDescent="0.35">
      <c r="A267" s="642"/>
      <c r="B267" s="642"/>
      <c r="C267" s="642"/>
      <c r="D267" s="642"/>
      <c r="E267" s="642"/>
      <c r="F267" s="642"/>
      <c r="G267" s="642"/>
      <c r="H267" s="642"/>
      <c r="I267" s="642"/>
      <c r="J267" s="642"/>
      <c r="K267" s="642"/>
      <c r="L267" s="642"/>
      <c r="M267" s="642"/>
      <c r="N267" s="642"/>
      <c r="O267" s="642"/>
      <c r="P267" s="642"/>
      <c r="Q267" s="642"/>
      <c r="R267" s="642"/>
      <c r="S267" s="642"/>
    </row>
    <row r="268" spans="1:19" x14ac:dyDescent="0.35">
      <c r="A268" s="642"/>
      <c r="B268" s="642"/>
      <c r="C268" s="642"/>
      <c r="D268" s="642"/>
      <c r="E268" s="642"/>
      <c r="F268" s="642"/>
      <c r="G268" s="642"/>
      <c r="H268" s="642"/>
      <c r="I268" s="642"/>
      <c r="J268" s="642"/>
      <c r="K268" s="642"/>
      <c r="L268" s="642"/>
      <c r="M268" s="642"/>
      <c r="N268" s="642"/>
      <c r="O268" s="642"/>
      <c r="P268" s="642"/>
      <c r="Q268" s="642"/>
      <c r="R268" s="642"/>
      <c r="S268" s="642"/>
    </row>
    <row r="269" spans="1:19" x14ac:dyDescent="0.35">
      <c r="A269" s="642"/>
      <c r="B269" s="642"/>
      <c r="C269" s="642"/>
      <c r="D269" s="642"/>
      <c r="E269" s="642"/>
      <c r="F269" s="642"/>
      <c r="G269" s="642"/>
      <c r="H269" s="642"/>
      <c r="I269" s="642"/>
      <c r="J269" s="642"/>
      <c r="K269" s="642"/>
      <c r="L269" s="642"/>
      <c r="M269" s="642"/>
      <c r="N269" s="642"/>
      <c r="O269" s="642"/>
      <c r="P269" s="642"/>
      <c r="Q269" s="642"/>
      <c r="R269" s="642"/>
      <c r="S269" s="642"/>
    </row>
    <row r="270" spans="1:19" x14ac:dyDescent="0.35">
      <c r="A270" s="642"/>
      <c r="B270" s="642"/>
      <c r="C270" s="642"/>
      <c r="D270" s="642"/>
      <c r="E270" s="642"/>
      <c r="F270" s="642"/>
      <c r="G270" s="642"/>
      <c r="H270" s="642"/>
      <c r="I270" s="642"/>
      <c r="J270" s="642"/>
      <c r="K270" s="642"/>
      <c r="L270" s="642"/>
      <c r="M270" s="642"/>
      <c r="N270" s="642"/>
      <c r="O270" s="642"/>
      <c r="P270" s="642"/>
      <c r="Q270" s="642"/>
      <c r="R270" s="642"/>
      <c r="S270" s="642"/>
    </row>
    <row r="271" spans="1:19" x14ac:dyDescent="0.35">
      <c r="A271" s="642"/>
      <c r="B271" s="642"/>
      <c r="C271" s="642"/>
      <c r="D271" s="642"/>
      <c r="E271" s="642"/>
      <c r="F271" s="642"/>
      <c r="G271" s="642"/>
      <c r="H271" s="642"/>
      <c r="I271" s="642"/>
      <c r="J271" s="642"/>
      <c r="K271" s="642"/>
      <c r="L271" s="642"/>
      <c r="M271" s="642"/>
      <c r="N271" s="642"/>
      <c r="O271" s="642"/>
      <c r="P271" s="642"/>
      <c r="Q271" s="642"/>
      <c r="R271" s="642"/>
      <c r="S271" s="642"/>
    </row>
    <row r="272" spans="1:19" x14ac:dyDescent="0.35">
      <c r="A272" s="642"/>
      <c r="B272" s="642"/>
      <c r="C272" s="642"/>
      <c r="D272" s="642"/>
      <c r="E272" s="642"/>
      <c r="F272" s="642"/>
      <c r="G272" s="642"/>
      <c r="H272" s="642"/>
      <c r="I272" s="642"/>
      <c r="J272" s="642"/>
      <c r="K272" s="642"/>
      <c r="L272" s="642"/>
      <c r="M272" s="642"/>
      <c r="N272" s="642"/>
      <c r="O272" s="642"/>
      <c r="P272" s="642"/>
      <c r="Q272" s="642"/>
      <c r="R272" s="642"/>
      <c r="S272" s="642"/>
    </row>
    <row r="273" spans="1:19" x14ac:dyDescent="0.35">
      <c r="A273" s="642"/>
      <c r="B273" s="642"/>
      <c r="C273" s="642"/>
      <c r="D273" s="642"/>
      <c r="E273" s="642"/>
      <c r="F273" s="642"/>
      <c r="G273" s="642"/>
      <c r="H273" s="642"/>
      <c r="I273" s="642"/>
      <c r="J273" s="642"/>
      <c r="K273" s="642"/>
      <c r="L273" s="642"/>
      <c r="M273" s="642"/>
      <c r="N273" s="642"/>
      <c r="O273" s="642"/>
      <c r="P273" s="642"/>
      <c r="Q273" s="642"/>
      <c r="R273" s="642"/>
      <c r="S273" s="642"/>
    </row>
    <row r="274" spans="1:19" x14ac:dyDescent="0.35">
      <c r="A274" s="642"/>
      <c r="B274" s="642"/>
      <c r="C274" s="642"/>
      <c r="D274" s="642"/>
      <c r="E274" s="642"/>
      <c r="F274" s="642"/>
      <c r="G274" s="642"/>
      <c r="H274" s="642"/>
      <c r="I274" s="642"/>
      <c r="J274" s="642"/>
      <c r="K274" s="642"/>
      <c r="L274" s="642"/>
      <c r="M274" s="642"/>
      <c r="N274" s="642"/>
      <c r="O274" s="642"/>
      <c r="P274" s="642"/>
      <c r="Q274" s="642"/>
      <c r="R274" s="642"/>
      <c r="S274" s="642"/>
    </row>
    <row r="275" spans="1:19" x14ac:dyDescent="0.35">
      <c r="A275" s="642"/>
      <c r="B275" s="642"/>
      <c r="C275" s="642"/>
      <c r="D275" s="642"/>
      <c r="E275" s="642"/>
      <c r="F275" s="642"/>
      <c r="G275" s="642"/>
      <c r="H275" s="642"/>
      <c r="I275" s="642"/>
      <c r="J275" s="642"/>
      <c r="K275" s="642"/>
      <c r="L275" s="642"/>
      <c r="M275" s="642"/>
      <c r="N275" s="642"/>
      <c r="O275" s="642"/>
      <c r="P275" s="642"/>
      <c r="Q275" s="642"/>
      <c r="R275" s="642"/>
      <c r="S275" s="642"/>
    </row>
    <row r="276" spans="1:19" x14ac:dyDescent="0.35">
      <c r="A276" s="642"/>
      <c r="B276" s="642"/>
      <c r="C276" s="642"/>
      <c r="D276" s="642"/>
      <c r="E276" s="642"/>
      <c r="F276" s="642"/>
      <c r="G276" s="642"/>
      <c r="H276" s="642"/>
      <c r="I276" s="642"/>
      <c r="J276" s="642"/>
      <c r="K276" s="642"/>
      <c r="L276" s="642"/>
      <c r="M276" s="642"/>
      <c r="N276" s="642"/>
      <c r="O276" s="642"/>
      <c r="P276" s="642"/>
      <c r="Q276" s="642"/>
      <c r="R276" s="642"/>
      <c r="S276" s="642"/>
    </row>
    <row r="277" spans="1:19" x14ac:dyDescent="0.35">
      <c r="A277" s="642"/>
      <c r="B277" s="642"/>
      <c r="C277" s="642"/>
      <c r="D277" s="642"/>
      <c r="E277" s="642"/>
      <c r="F277" s="642"/>
      <c r="G277" s="642"/>
      <c r="H277" s="642"/>
      <c r="I277" s="642"/>
      <c r="J277" s="642"/>
      <c r="K277" s="642"/>
      <c r="L277" s="642"/>
      <c r="M277" s="642"/>
      <c r="N277" s="642"/>
      <c r="O277" s="642"/>
      <c r="P277" s="642"/>
      <c r="Q277" s="642"/>
      <c r="R277" s="642"/>
      <c r="S277" s="642"/>
    </row>
    <row r="278" spans="1:19" x14ac:dyDescent="0.35">
      <c r="A278" s="642"/>
      <c r="B278" s="642"/>
      <c r="C278" s="642"/>
      <c r="D278" s="642"/>
      <c r="E278" s="642"/>
      <c r="F278" s="642"/>
      <c r="G278" s="642"/>
      <c r="H278" s="642"/>
      <c r="I278" s="642"/>
      <c r="J278" s="642"/>
      <c r="K278" s="642"/>
      <c r="L278" s="642"/>
      <c r="M278" s="642"/>
      <c r="N278" s="642"/>
      <c r="O278" s="642"/>
      <c r="P278" s="642"/>
      <c r="Q278" s="642"/>
      <c r="R278" s="642"/>
      <c r="S278" s="642"/>
    </row>
    <row r="279" spans="1:19" x14ac:dyDescent="0.35">
      <c r="A279" s="642"/>
      <c r="B279" s="642"/>
      <c r="C279" s="642"/>
      <c r="D279" s="642"/>
      <c r="E279" s="642"/>
      <c r="F279" s="642"/>
      <c r="G279" s="642"/>
      <c r="H279" s="642"/>
      <c r="I279" s="642"/>
      <c r="J279" s="642"/>
      <c r="K279" s="642"/>
      <c r="L279" s="642"/>
      <c r="M279" s="642"/>
      <c r="N279" s="642"/>
      <c r="O279" s="642"/>
      <c r="P279" s="642"/>
      <c r="Q279" s="642"/>
      <c r="R279" s="642"/>
      <c r="S279" s="642"/>
    </row>
    <row r="280" spans="1:19" x14ac:dyDescent="0.35">
      <c r="A280" s="642"/>
      <c r="B280" s="642"/>
      <c r="C280" s="642"/>
      <c r="D280" s="642"/>
      <c r="E280" s="642"/>
      <c r="F280" s="642"/>
      <c r="G280" s="642"/>
      <c r="H280" s="642"/>
      <c r="I280" s="642"/>
      <c r="J280" s="642"/>
      <c r="K280" s="642"/>
      <c r="L280" s="642"/>
      <c r="M280" s="642"/>
      <c r="N280" s="642"/>
      <c r="O280" s="642"/>
      <c r="P280" s="642"/>
      <c r="Q280" s="642"/>
      <c r="R280" s="642"/>
      <c r="S280" s="642"/>
    </row>
    <row r="281" spans="1:19" x14ac:dyDescent="0.35">
      <c r="A281" s="642"/>
      <c r="B281" s="642"/>
      <c r="C281" s="642"/>
      <c r="D281" s="642"/>
      <c r="E281" s="642"/>
      <c r="F281" s="642"/>
      <c r="G281" s="642"/>
      <c r="H281" s="642"/>
      <c r="I281" s="642"/>
      <c r="J281" s="642"/>
      <c r="K281" s="642"/>
      <c r="L281" s="642"/>
      <c r="M281" s="642"/>
      <c r="N281" s="642"/>
      <c r="O281" s="642"/>
      <c r="P281" s="642"/>
      <c r="Q281" s="642"/>
      <c r="R281" s="642"/>
      <c r="S281" s="642"/>
    </row>
    <row r="282" spans="1:19" x14ac:dyDescent="0.35">
      <c r="A282" s="642"/>
      <c r="B282" s="642"/>
      <c r="C282" s="642"/>
      <c r="D282" s="642"/>
      <c r="E282" s="642"/>
      <c r="F282" s="642"/>
      <c r="G282" s="642"/>
      <c r="H282" s="642"/>
      <c r="I282" s="642"/>
      <c r="J282" s="642"/>
      <c r="K282" s="642"/>
      <c r="L282" s="642"/>
      <c r="M282" s="642"/>
      <c r="N282" s="642"/>
      <c r="O282" s="642"/>
      <c r="P282" s="642"/>
      <c r="Q282" s="642"/>
      <c r="R282" s="642"/>
      <c r="S282" s="642"/>
    </row>
    <row r="283" spans="1:19" x14ac:dyDescent="0.35">
      <c r="A283" s="642"/>
      <c r="B283" s="642"/>
      <c r="C283" s="642"/>
      <c r="D283" s="642"/>
      <c r="E283" s="642"/>
      <c r="F283" s="642"/>
      <c r="G283" s="642"/>
      <c r="H283" s="642"/>
      <c r="I283" s="642"/>
      <c r="J283" s="642"/>
      <c r="K283" s="642"/>
      <c r="L283" s="642"/>
      <c r="M283" s="642"/>
      <c r="N283" s="642"/>
      <c r="O283" s="642"/>
      <c r="P283" s="642"/>
      <c r="Q283" s="642"/>
      <c r="R283" s="642"/>
      <c r="S283" s="642"/>
    </row>
    <row r="284" spans="1:19" x14ac:dyDescent="0.35">
      <c r="A284" s="642"/>
      <c r="B284" s="642"/>
      <c r="C284" s="642"/>
      <c r="D284" s="642"/>
      <c r="E284" s="642"/>
      <c r="F284" s="642"/>
      <c r="G284" s="642"/>
      <c r="H284" s="642"/>
      <c r="I284" s="642"/>
      <c r="J284" s="642"/>
      <c r="K284" s="642"/>
      <c r="L284" s="642"/>
      <c r="M284" s="642"/>
      <c r="N284" s="642"/>
      <c r="O284" s="642"/>
      <c r="P284" s="642"/>
      <c r="Q284" s="642"/>
      <c r="R284" s="642"/>
      <c r="S284" s="642"/>
    </row>
    <row r="285" spans="1:19" x14ac:dyDescent="0.35">
      <c r="A285" s="642"/>
      <c r="B285" s="642"/>
      <c r="C285" s="642"/>
      <c r="D285" s="642"/>
      <c r="E285" s="642"/>
      <c r="F285" s="642"/>
      <c r="G285" s="642"/>
      <c r="H285" s="642"/>
      <c r="I285" s="642"/>
      <c r="J285" s="642"/>
      <c r="K285" s="642"/>
      <c r="L285" s="642"/>
      <c r="M285" s="642"/>
      <c r="N285" s="642"/>
      <c r="O285" s="642"/>
      <c r="P285" s="642"/>
      <c r="Q285" s="642"/>
      <c r="R285" s="642"/>
      <c r="S285" s="642"/>
    </row>
    <row r="286" spans="1:19" x14ac:dyDescent="0.35">
      <c r="A286" s="642"/>
      <c r="B286" s="642"/>
      <c r="C286" s="642"/>
      <c r="D286" s="642"/>
      <c r="E286" s="642"/>
      <c r="F286" s="642"/>
      <c r="G286" s="642"/>
      <c r="H286" s="642"/>
      <c r="I286" s="642"/>
      <c r="J286" s="642"/>
      <c r="K286" s="642"/>
      <c r="L286" s="642"/>
      <c r="M286" s="642"/>
      <c r="N286" s="642"/>
      <c r="O286" s="642"/>
      <c r="P286" s="642"/>
      <c r="Q286" s="642"/>
      <c r="R286" s="642"/>
      <c r="S286" s="642"/>
    </row>
    <row r="287" spans="1:19" x14ac:dyDescent="0.35">
      <c r="A287" s="642"/>
      <c r="B287" s="642"/>
      <c r="C287" s="642"/>
      <c r="D287" s="642"/>
      <c r="E287" s="642"/>
      <c r="F287" s="642"/>
      <c r="G287" s="642"/>
      <c r="H287" s="642"/>
      <c r="I287" s="642"/>
      <c r="J287" s="642"/>
      <c r="K287" s="642"/>
      <c r="L287" s="642"/>
      <c r="M287" s="642"/>
      <c r="N287" s="642"/>
      <c r="O287" s="642"/>
      <c r="P287" s="642"/>
      <c r="Q287" s="642"/>
      <c r="R287" s="642"/>
      <c r="S287" s="642"/>
    </row>
    <row r="288" spans="1:19" x14ac:dyDescent="0.35">
      <c r="A288" s="642"/>
      <c r="B288" s="642"/>
      <c r="C288" s="642"/>
      <c r="D288" s="642"/>
      <c r="E288" s="642"/>
      <c r="F288" s="642"/>
      <c r="G288" s="642"/>
      <c r="H288" s="642"/>
      <c r="I288" s="642"/>
      <c r="J288" s="642"/>
      <c r="K288" s="642"/>
      <c r="L288" s="642"/>
      <c r="M288" s="642"/>
      <c r="N288" s="642"/>
      <c r="O288" s="642"/>
      <c r="P288" s="642"/>
      <c r="Q288" s="642"/>
      <c r="R288" s="642"/>
      <c r="S288" s="642"/>
    </row>
    <row r="289" spans="1:19" x14ac:dyDescent="0.35">
      <c r="A289" s="642"/>
      <c r="B289" s="642"/>
      <c r="C289" s="642"/>
      <c r="D289" s="642"/>
      <c r="E289" s="642"/>
      <c r="F289" s="642"/>
      <c r="G289" s="642"/>
      <c r="H289" s="642"/>
      <c r="I289" s="642"/>
      <c r="J289" s="642"/>
      <c r="K289" s="642"/>
      <c r="L289" s="642"/>
      <c r="M289" s="642"/>
      <c r="N289" s="642"/>
      <c r="O289" s="642"/>
      <c r="P289" s="642"/>
      <c r="Q289" s="642"/>
      <c r="R289" s="642"/>
      <c r="S289" s="642"/>
    </row>
    <row r="290" spans="1:19" x14ac:dyDescent="0.35">
      <c r="A290" s="642"/>
      <c r="B290" s="642"/>
      <c r="C290" s="642"/>
      <c r="D290" s="642"/>
      <c r="E290" s="642"/>
      <c r="F290" s="642"/>
      <c r="G290" s="642"/>
      <c r="H290" s="642"/>
      <c r="I290" s="642"/>
      <c r="J290" s="642"/>
      <c r="K290" s="642"/>
      <c r="L290" s="642"/>
      <c r="M290" s="642"/>
      <c r="N290" s="642"/>
      <c r="O290" s="642"/>
      <c r="P290" s="642"/>
      <c r="Q290" s="642"/>
      <c r="R290" s="642"/>
      <c r="S290" s="642"/>
    </row>
    <row r="291" spans="1:19" x14ac:dyDescent="0.35">
      <c r="I291" s="642"/>
      <c r="J291" s="642"/>
      <c r="K291" s="642"/>
      <c r="L291" s="642"/>
      <c r="M291" s="642"/>
      <c r="N291" s="642"/>
      <c r="O291" s="642"/>
      <c r="P291" s="642"/>
      <c r="Q291" s="642"/>
      <c r="R291" s="642"/>
      <c r="S291" s="642"/>
    </row>
    <row r="292" spans="1:19" x14ac:dyDescent="0.35">
      <c r="I292" s="642"/>
      <c r="J292" s="642"/>
      <c r="K292" s="642"/>
    </row>
  </sheetData>
  <mergeCells count="8">
    <mergeCell ref="L42:Z42"/>
    <mergeCell ref="L50:Z50"/>
    <mergeCell ref="AB1:AC1"/>
    <mergeCell ref="A1:H1"/>
    <mergeCell ref="I1:K1"/>
    <mergeCell ref="L1:Z1"/>
    <mergeCell ref="L23:Z23"/>
    <mergeCell ref="L31:Z31"/>
  </mergeCells>
  <printOptions headings="1" gridLines="1"/>
  <pageMargins left="0.75" right="0.75" top="1" bottom="1" header="0.5" footer="0.5"/>
  <pageSetup paperSize="9" orientation="landscape" r:id="rId1"/>
  <headerFooter alignWithMargins="0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blVoeding">
    <tabColor rgb="FFFFC000"/>
  </sheetPr>
  <dimension ref="A1:R76"/>
  <sheetViews>
    <sheetView topLeftCell="A4" workbookViewId="0"/>
  </sheetViews>
  <sheetFormatPr defaultColWidth="9.1328125" defaultRowHeight="14.35" x14ac:dyDescent="0.45"/>
  <cols>
    <col min="1" max="1" width="10.86328125" style="662" bestFit="1" customWidth="1"/>
    <col min="2" max="2" width="32.265625" style="662" bestFit="1" customWidth="1"/>
    <col min="3" max="14" width="8.265625" style="662" customWidth="1"/>
    <col min="15" max="15" width="6.73046875" style="662" customWidth="1"/>
    <col min="16" max="16384" width="9.1328125" style="662"/>
  </cols>
  <sheetData>
    <row r="1" spans="1:18" x14ac:dyDescent="0.45">
      <c r="B1" s="688"/>
      <c r="C1" s="689" t="s">
        <v>1988</v>
      </c>
      <c r="D1" s="690"/>
      <c r="E1" s="690"/>
      <c r="F1" s="690"/>
      <c r="G1" s="690"/>
      <c r="H1" s="690"/>
      <c r="I1" s="690"/>
      <c r="J1" s="691"/>
    </row>
    <row r="2" spans="1:18" x14ac:dyDescent="0.45">
      <c r="C2" s="692" t="s">
        <v>105</v>
      </c>
      <c r="D2" s="693" t="s">
        <v>330</v>
      </c>
      <c r="E2" s="693" t="s">
        <v>330</v>
      </c>
      <c r="F2" s="693" t="s">
        <v>330</v>
      </c>
      <c r="G2" s="694" t="s">
        <v>330</v>
      </c>
      <c r="H2" s="694" t="s">
        <v>330</v>
      </c>
      <c r="I2" s="694" t="s">
        <v>1989</v>
      </c>
      <c r="J2" s="695" t="s">
        <v>1990</v>
      </c>
    </row>
    <row r="3" spans="1:18" x14ac:dyDescent="0.45">
      <c r="C3" s="696" t="s">
        <v>472</v>
      </c>
      <c r="D3" s="697" t="s">
        <v>473</v>
      </c>
      <c r="E3" s="697" t="s">
        <v>474</v>
      </c>
      <c r="F3" s="697" t="s">
        <v>481</v>
      </c>
      <c r="G3" s="697" t="s">
        <v>475</v>
      </c>
      <c r="H3" s="697" t="s">
        <v>1682</v>
      </c>
      <c r="I3" s="697" t="s">
        <v>1683</v>
      </c>
      <c r="J3" s="698" t="s">
        <v>1088</v>
      </c>
    </row>
    <row r="4" spans="1:18" ht="14.7" thickBot="1" x14ac:dyDescent="0.5">
      <c r="C4" s="699">
        <v>4.3478000000000003E-2</v>
      </c>
      <c r="D4" s="700">
        <v>2.5641000000000001E-2</v>
      </c>
      <c r="E4" s="700">
        <v>2.4899999999999999E-2</v>
      </c>
      <c r="F4" s="700">
        <v>3.2288999999999998E-2</v>
      </c>
      <c r="G4" s="700">
        <v>4.1140999999999997E-2</v>
      </c>
      <c r="H4" s="701">
        <v>1.7899999999999999E-2</v>
      </c>
      <c r="I4" s="702">
        <v>40</v>
      </c>
      <c r="J4" s="703">
        <v>2.8205999999999998E-2</v>
      </c>
    </row>
    <row r="7" spans="1:18" x14ac:dyDescent="0.45">
      <c r="A7" s="752" t="s">
        <v>1763</v>
      </c>
      <c r="B7" s="663" t="s">
        <v>979</v>
      </c>
    </row>
    <row r="8" spans="1:18" x14ac:dyDescent="0.45">
      <c r="C8" s="663"/>
      <c r="D8" s="653" t="s">
        <v>62</v>
      </c>
      <c r="E8" s="653" t="s">
        <v>62</v>
      </c>
      <c r="F8" s="653" t="s">
        <v>62</v>
      </c>
      <c r="G8" s="653" t="s">
        <v>364</v>
      </c>
      <c r="H8" s="653" t="s">
        <v>364</v>
      </c>
      <c r="I8" s="653" t="s">
        <v>364</v>
      </c>
      <c r="J8" s="653" t="s">
        <v>364</v>
      </c>
      <c r="K8" s="653" t="s">
        <v>364</v>
      </c>
      <c r="L8" s="653" t="s">
        <v>364</v>
      </c>
      <c r="M8" s="653" t="s">
        <v>1684</v>
      </c>
      <c r="N8" s="653" t="s">
        <v>364</v>
      </c>
      <c r="O8" s="653"/>
    </row>
    <row r="9" spans="1:18" x14ac:dyDescent="0.45">
      <c r="A9" s="647" t="s">
        <v>1764</v>
      </c>
      <c r="B9" s="653"/>
      <c r="C9" s="653" t="s">
        <v>479</v>
      </c>
      <c r="D9" s="653" t="s">
        <v>470</v>
      </c>
      <c r="E9" s="653" t="s">
        <v>1035</v>
      </c>
      <c r="F9" s="653" t="s">
        <v>1036</v>
      </c>
      <c r="G9" s="653" t="s">
        <v>472</v>
      </c>
      <c r="H9" s="653" t="s">
        <v>473</v>
      </c>
      <c r="I9" s="653" t="s">
        <v>474</v>
      </c>
      <c r="J9" s="653" t="s">
        <v>1034</v>
      </c>
      <c r="K9" s="653" t="s">
        <v>475</v>
      </c>
      <c r="L9" s="653" t="s">
        <v>1682</v>
      </c>
      <c r="M9" s="653" t="s">
        <v>1683</v>
      </c>
      <c r="N9" s="653" t="s">
        <v>1088</v>
      </c>
      <c r="O9" s="653"/>
    </row>
    <row r="10" spans="1:18" x14ac:dyDescent="0.45">
      <c r="A10" s="653" t="s">
        <v>1765</v>
      </c>
      <c r="B10" s="653"/>
      <c r="C10" s="653" t="s">
        <v>479</v>
      </c>
      <c r="D10" s="653" t="s">
        <v>430</v>
      </c>
      <c r="E10" s="653" t="s">
        <v>480</v>
      </c>
      <c r="F10" s="653" t="s">
        <v>431</v>
      </c>
      <c r="G10" s="653" t="s">
        <v>472</v>
      </c>
      <c r="H10" s="653" t="s">
        <v>473</v>
      </c>
      <c r="I10" s="653" t="s">
        <v>474</v>
      </c>
      <c r="J10" s="653" t="s">
        <v>481</v>
      </c>
      <c r="K10" s="653" t="s">
        <v>475</v>
      </c>
      <c r="L10" s="653" t="s">
        <v>1682</v>
      </c>
      <c r="M10" s="653" t="s">
        <v>1683</v>
      </c>
      <c r="N10" s="653" t="s">
        <v>1088</v>
      </c>
      <c r="O10" s="653"/>
    </row>
    <row r="11" spans="1:18" x14ac:dyDescent="0.45">
      <c r="A11" s="653"/>
      <c r="B11" s="653"/>
      <c r="C11" s="653">
        <v>2</v>
      </c>
      <c r="D11" s="653">
        <v>3</v>
      </c>
      <c r="E11" s="653">
        <v>4</v>
      </c>
      <c r="F11" s="653">
        <v>5</v>
      </c>
      <c r="G11" s="653">
        <v>6</v>
      </c>
      <c r="H11" s="653">
        <v>7</v>
      </c>
      <c r="I11" s="653">
        <v>8</v>
      </c>
      <c r="J11" s="653">
        <v>9</v>
      </c>
      <c r="K11" s="653">
        <v>10</v>
      </c>
      <c r="L11" s="653">
        <v>11</v>
      </c>
      <c r="M11" s="653">
        <v>12</v>
      </c>
      <c r="N11" s="653">
        <v>13</v>
      </c>
      <c r="O11" s="653"/>
    </row>
    <row r="12" spans="1:18" x14ac:dyDescent="0.45">
      <c r="A12" s="653"/>
      <c r="B12" s="653" t="s">
        <v>373</v>
      </c>
      <c r="C12" s="653">
        <v>68</v>
      </c>
      <c r="D12" s="653">
        <v>1</v>
      </c>
      <c r="E12" s="649">
        <v>7.0000000000000009</v>
      </c>
      <c r="F12" s="649">
        <v>4</v>
      </c>
      <c r="G12" s="653">
        <v>20</v>
      </c>
      <c r="H12" s="653">
        <v>50.000000000000007</v>
      </c>
      <c r="I12" s="653">
        <v>30</v>
      </c>
      <c r="J12" s="653">
        <v>15</v>
      </c>
      <c r="K12" s="653">
        <v>3.0000000000000004</v>
      </c>
      <c r="L12" s="649">
        <v>0.1</v>
      </c>
      <c r="M12" s="653">
        <v>0</v>
      </c>
      <c r="N12" s="654">
        <v>43</v>
      </c>
      <c r="O12" s="664"/>
    </row>
    <row r="13" spans="1:18" x14ac:dyDescent="0.45">
      <c r="A13" s="653"/>
      <c r="B13" s="653" t="s">
        <v>1687</v>
      </c>
      <c r="C13" s="653">
        <v>80</v>
      </c>
      <c r="D13" s="653">
        <v>2.6</v>
      </c>
      <c r="E13" s="649">
        <v>8.4</v>
      </c>
      <c r="F13" s="649">
        <v>3.9</v>
      </c>
      <c r="G13" s="653">
        <v>70</v>
      </c>
      <c r="H13" s="653">
        <v>80</v>
      </c>
      <c r="I13" s="653">
        <v>100</v>
      </c>
      <c r="J13" s="653">
        <v>56</v>
      </c>
      <c r="K13" s="653">
        <v>8</v>
      </c>
      <c r="L13" s="646">
        <v>1.6</v>
      </c>
      <c r="M13" s="654">
        <v>3</v>
      </c>
      <c r="N13" s="654">
        <v>85</v>
      </c>
      <c r="O13" s="664"/>
      <c r="R13" s="653"/>
    </row>
    <row r="14" spans="1:18" x14ac:dyDescent="0.45">
      <c r="A14" s="653"/>
      <c r="B14" s="653" t="s">
        <v>1688</v>
      </c>
      <c r="C14" s="653">
        <v>75</v>
      </c>
      <c r="D14" s="653">
        <v>2</v>
      </c>
      <c r="E14" s="649">
        <v>7.5</v>
      </c>
      <c r="F14" s="649">
        <v>4</v>
      </c>
      <c r="G14" s="653">
        <v>28</v>
      </c>
      <c r="H14" s="653">
        <v>77</v>
      </c>
      <c r="I14" s="653">
        <v>87</v>
      </c>
      <c r="J14" s="653">
        <v>47</v>
      </c>
      <c r="K14" s="653">
        <v>7</v>
      </c>
      <c r="L14" s="646">
        <v>1.2</v>
      </c>
      <c r="M14" s="654">
        <v>1.7</v>
      </c>
      <c r="N14" s="654">
        <v>55</v>
      </c>
      <c r="O14" s="664"/>
      <c r="R14" s="654"/>
    </row>
    <row r="15" spans="1:18" x14ac:dyDescent="0.45">
      <c r="A15" s="653"/>
      <c r="B15" s="653" t="s">
        <v>1689</v>
      </c>
      <c r="C15" s="666">
        <v>66</v>
      </c>
      <c r="D15" s="666">
        <v>1.5</v>
      </c>
      <c r="E15" s="667">
        <v>7.2</v>
      </c>
      <c r="F15" s="667">
        <v>3.4</v>
      </c>
      <c r="G15" s="666">
        <v>25</v>
      </c>
      <c r="H15" s="666">
        <v>73</v>
      </c>
      <c r="I15" s="666">
        <v>46</v>
      </c>
      <c r="J15" s="666">
        <v>26</v>
      </c>
      <c r="K15" s="666">
        <v>5.0999999999999996</v>
      </c>
      <c r="L15" s="650">
        <v>0.53</v>
      </c>
      <c r="M15" s="666">
        <v>1.2</v>
      </c>
      <c r="N15" s="654">
        <v>41</v>
      </c>
      <c r="O15" s="668"/>
      <c r="R15" s="654"/>
    </row>
    <row r="16" spans="1:18" x14ac:dyDescent="0.45">
      <c r="A16" s="653"/>
      <c r="B16" s="653" t="s">
        <v>1093</v>
      </c>
      <c r="C16" s="653">
        <v>66</v>
      </c>
      <c r="D16" s="653">
        <v>1.3</v>
      </c>
      <c r="E16" s="649">
        <v>7.3</v>
      </c>
      <c r="F16" s="649">
        <v>3.4</v>
      </c>
      <c r="G16" s="653">
        <v>17</v>
      </c>
      <c r="H16" s="653">
        <v>68</v>
      </c>
      <c r="I16" s="653">
        <v>57</v>
      </c>
      <c r="J16" s="653">
        <v>32</v>
      </c>
      <c r="K16" s="653">
        <v>5.0999999999999996</v>
      </c>
      <c r="L16" s="649">
        <v>3.9</v>
      </c>
      <c r="M16" s="653">
        <v>8.6999999999999993</v>
      </c>
      <c r="N16" s="654">
        <v>42</v>
      </c>
      <c r="O16" s="664"/>
      <c r="R16" s="654"/>
    </row>
    <row r="17" spans="1:18" x14ac:dyDescent="0.45">
      <c r="A17" s="647"/>
      <c r="B17" s="653" t="s">
        <v>1752</v>
      </c>
      <c r="C17" s="653">
        <v>68</v>
      </c>
      <c r="D17" s="653">
        <v>1.4</v>
      </c>
      <c r="E17" s="649">
        <v>8.6</v>
      </c>
      <c r="F17" s="649">
        <v>3</v>
      </c>
      <c r="G17" s="653">
        <v>23</v>
      </c>
      <c r="H17" s="653">
        <v>74</v>
      </c>
      <c r="I17" s="653">
        <v>65</v>
      </c>
      <c r="J17" s="653">
        <v>36</v>
      </c>
      <c r="K17" s="653">
        <v>4.8</v>
      </c>
      <c r="L17" s="649">
        <v>7</v>
      </c>
      <c r="M17" s="653">
        <v>1.4</v>
      </c>
      <c r="N17" s="654">
        <v>47</v>
      </c>
      <c r="O17" s="664"/>
      <c r="R17" s="654"/>
    </row>
    <row r="18" spans="1:18" x14ac:dyDescent="0.45">
      <c r="A18" s="653"/>
      <c r="B18" s="653" t="s">
        <v>24</v>
      </c>
      <c r="C18" s="653">
        <v>100</v>
      </c>
      <c r="D18" s="653">
        <v>2.6</v>
      </c>
      <c r="E18" s="649">
        <v>10.3</v>
      </c>
      <c r="F18" s="649">
        <v>5.4</v>
      </c>
      <c r="G18" s="653">
        <v>37</v>
      </c>
      <c r="H18" s="653">
        <v>95</v>
      </c>
      <c r="I18" s="653">
        <v>100</v>
      </c>
      <c r="J18" s="653">
        <v>50</v>
      </c>
      <c r="K18" s="653">
        <v>9</v>
      </c>
      <c r="L18" s="649">
        <v>1.2</v>
      </c>
      <c r="M18" s="653">
        <v>1.9</v>
      </c>
      <c r="N18" s="654">
        <v>62</v>
      </c>
      <c r="O18" s="664"/>
      <c r="R18" s="654"/>
    </row>
    <row r="19" spans="1:18" x14ac:dyDescent="0.45">
      <c r="A19" s="653"/>
      <c r="B19" s="653" t="s">
        <v>1947</v>
      </c>
      <c r="C19" s="653">
        <v>100</v>
      </c>
      <c r="D19" s="653">
        <v>2.6</v>
      </c>
      <c r="E19" s="649">
        <v>10.3</v>
      </c>
      <c r="F19" s="649">
        <v>5.4</v>
      </c>
      <c r="G19" s="653">
        <v>32</v>
      </c>
      <c r="H19" s="653">
        <v>108</v>
      </c>
      <c r="I19" s="653">
        <v>80</v>
      </c>
      <c r="J19" s="653">
        <v>40</v>
      </c>
      <c r="K19" s="653">
        <v>8</v>
      </c>
      <c r="L19" s="649">
        <v>1</v>
      </c>
      <c r="M19" s="653">
        <v>1.7</v>
      </c>
      <c r="N19" s="654">
        <v>64</v>
      </c>
      <c r="O19" s="664"/>
      <c r="R19" s="654"/>
    </row>
    <row r="20" spans="1:18" x14ac:dyDescent="0.45">
      <c r="A20" s="653"/>
      <c r="B20" s="653" t="s">
        <v>1769</v>
      </c>
      <c r="C20" s="653">
        <v>67</v>
      </c>
      <c r="D20" s="653">
        <v>1.6</v>
      </c>
      <c r="E20" s="649">
        <v>7</v>
      </c>
      <c r="F20" s="649">
        <v>3.5</v>
      </c>
      <c r="G20" s="653">
        <v>20</v>
      </c>
      <c r="H20" s="653">
        <v>81</v>
      </c>
      <c r="I20" s="653">
        <v>47</v>
      </c>
      <c r="J20" s="653">
        <v>26</v>
      </c>
      <c r="K20" s="653">
        <v>5.3</v>
      </c>
      <c r="L20" s="650">
        <v>0.53</v>
      </c>
      <c r="M20" s="653">
        <v>1.3</v>
      </c>
      <c r="N20" s="654">
        <v>40</v>
      </c>
      <c r="O20" s="664"/>
      <c r="R20" s="653"/>
    </row>
    <row r="21" spans="1:18" x14ac:dyDescent="0.45">
      <c r="A21" s="653"/>
      <c r="B21" s="653" t="s">
        <v>981</v>
      </c>
      <c r="C21" s="653">
        <v>101</v>
      </c>
      <c r="D21" s="653">
        <v>2.7</v>
      </c>
      <c r="E21" s="649">
        <v>12.3</v>
      </c>
      <c r="F21" s="649">
        <v>4.4000000000000004</v>
      </c>
      <c r="G21" s="653">
        <v>60</v>
      </c>
      <c r="H21" s="653">
        <v>110</v>
      </c>
      <c r="I21" s="653">
        <v>60</v>
      </c>
      <c r="J21" s="653">
        <v>50</v>
      </c>
      <c r="K21" s="653">
        <v>11</v>
      </c>
      <c r="L21" s="669">
        <v>1</v>
      </c>
      <c r="M21" s="653">
        <v>1</v>
      </c>
      <c r="N21" s="654">
        <v>95</v>
      </c>
      <c r="O21" s="664"/>
      <c r="R21" s="653"/>
    </row>
    <row r="22" spans="1:18" x14ac:dyDescent="0.45">
      <c r="A22" s="653"/>
      <c r="B22" s="653" t="s">
        <v>982</v>
      </c>
      <c r="C22" s="653">
        <v>151</v>
      </c>
      <c r="D22" s="653">
        <v>4</v>
      </c>
      <c r="E22" s="649">
        <v>18.5</v>
      </c>
      <c r="F22" s="649">
        <v>6.7</v>
      </c>
      <c r="G22" s="653">
        <v>90</v>
      </c>
      <c r="H22" s="653">
        <v>165</v>
      </c>
      <c r="I22" s="653">
        <v>90</v>
      </c>
      <c r="J22" s="653">
        <v>75</v>
      </c>
      <c r="K22" s="653">
        <v>17</v>
      </c>
      <c r="L22" s="649">
        <v>1.5</v>
      </c>
      <c r="M22" s="653">
        <v>1.5</v>
      </c>
      <c r="N22" s="654">
        <v>143</v>
      </c>
      <c r="O22" s="664"/>
    </row>
    <row r="23" spans="1:18" x14ac:dyDescent="0.45">
      <c r="A23" s="653"/>
      <c r="B23" s="653" t="s">
        <v>1948</v>
      </c>
      <c r="C23" s="653">
        <v>100</v>
      </c>
      <c r="D23" s="653">
        <v>2.8</v>
      </c>
      <c r="E23" s="649">
        <v>13.7</v>
      </c>
      <c r="F23" s="649">
        <v>3.9</v>
      </c>
      <c r="G23" s="653">
        <v>60</v>
      </c>
      <c r="H23" s="653">
        <v>110</v>
      </c>
      <c r="I23" s="653">
        <v>60</v>
      </c>
      <c r="J23" s="653">
        <v>50</v>
      </c>
      <c r="K23" s="653">
        <v>11</v>
      </c>
      <c r="L23" s="669">
        <v>1</v>
      </c>
      <c r="M23" s="669">
        <v>1</v>
      </c>
      <c r="N23" s="654">
        <v>95</v>
      </c>
      <c r="O23" s="670"/>
    </row>
    <row r="24" spans="1:18" x14ac:dyDescent="0.45">
      <c r="A24" s="653"/>
      <c r="B24" s="653" t="s">
        <v>1985</v>
      </c>
      <c r="C24" s="653">
        <v>68</v>
      </c>
      <c r="D24" s="653">
        <v>1.6</v>
      </c>
      <c r="E24" s="649">
        <v>8.1</v>
      </c>
      <c r="F24" s="649">
        <v>3.1</v>
      </c>
      <c r="G24" s="653">
        <v>25</v>
      </c>
      <c r="H24" s="653">
        <v>78</v>
      </c>
      <c r="I24" s="653">
        <v>63</v>
      </c>
      <c r="J24" s="653">
        <v>37</v>
      </c>
      <c r="K24" s="653">
        <v>5.5</v>
      </c>
      <c r="L24" s="649">
        <v>1</v>
      </c>
      <c r="M24" s="653">
        <v>1.4</v>
      </c>
      <c r="N24" s="654">
        <v>42</v>
      </c>
      <c r="O24" s="664"/>
    </row>
    <row r="25" spans="1:18" x14ac:dyDescent="0.45">
      <c r="A25" s="653"/>
      <c r="B25" s="653" t="s">
        <v>984</v>
      </c>
      <c r="C25" s="653">
        <v>102</v>
      </c>
      <c r="D25" s="653">
        <v>3.3</v>
      </c>
      <c r="E25" s="649">
        <v>12.3</v>
      </c>
      <c r="F25" s="649">
        <v>4.2</v>
      </c>
      <c r="G25" s="653">
        <v>80</v>
      </c>
      <c r="H25" s="653">
        <v>138</v>
      </c>
      <c r="I25" s="653">
        <v>70</v>
      </c>
      <c r="J25" s="653">
        <v>60</v>
      </c>
      <c r="K25" s="653">
        <v>17</v>
      </c>
      <c r="L25" s="649">
        <v>1.3</v>
      </c>
      <c r="M25" s="653">
        <v>0.7</v>
      </c>
      <c r="N25" s="654">
        <v>125</v>
      </c>
      <c r="O25" s="664"/>
    </row>
    <row r="26" spans="1:18" x14ac:dyDescent="0.45">
      <c r="A26" s="653"/>
      <c r="B26" s="653" t="s">
        <v>985</v>
      </c>
      <c r="C26" s="653">
        <v>152</v>
      </c>
      <c r="D26" s="653">
        <v>4.8</v>
      </c>
      <c r="E26" s="649">
        <v>18.5</v>
      </c>
      <c r="F26" s="649">
        <v>6.3</v>
      </c>
      <c r="G26" s="653">
        <v>107</v>
      </c>
      <c r="H26" s="653">
        <v>186</v>
      </c>
      <c r="I26" s="653">
        <v>95</v>
      </c>
      <c r="J26" s="653">
        <v>90</v>
      </c>
      <c r="K26" s="653">
        <v>26</v>
      </c>
      <c r="L26" s="649">
        <v>2</v>
      </c>
      <c r="M26" s="653">
        <v>1.1000000000000001</v>
      </c>
      <c r="N26" s="654">
        <v>147</v>
      </c>
      <c r="O26" s="664"/>
    </row>
    <row r="27" spans="1:18" x14ac:dyDescent="0.45">
      <c r="A27" s="653"/>
      <c r="B27" s="653" t="s">
        <v>987</v>
      </c>
      <c r="C27" s="653">
        <v>103</v>
      </c>
      <c r="D27" s="653">
        <v>4</v>
      </c>
      <c r="E27" s="649">
        <v>12.3</v>
      </c>
      <c r="F27" s="649">
        <v>3.9</v>
      </c>
      <c r="G27" s="653">
        <v>100</v>
      </c>
      <c r="H27" s="653">
        <v>150</v>
      </c>
      <c r="I27" s="653">
        <v>80</v>
      </c>
      <c r="J27" s="653">
        <v>72</v>
      </c>
      <c r="K27" s="653">
        <v>23</v>
      </c>
      <c r="L27" s="667">
        <v>1.6</v>
      </c>
      <c r="M27" s="666">
        <v>1</v>
      </c>
      <c r="N27" s="654">
        <v>125</v>
      </c>
      <c r="O27" s="668"/>
    </row>
    <row r="28" spans="1:18" x14ac:dyDescent="0.45">
      <c r="A28" s="653"/>
      <c r="B28" s="653" t="s">
        <v>988</v>
      </c>
      <c r="C28" s="653">
        <v>153</v>
      </c>
      <c r="D28" s="653">
        <v>6</v>
      </c>
      <c r="E28" s="649">
        <v>18.399999999999999</v>
      </c>
      <c r="F28" s="649">
        <v>5.8</v>
      </c>
      <c r="G28" s="653">
        <v>134</v>
      </c>
      <c r="H28" s="653">
        <v>201</v>
      </c>
      <c r="I28" s="653">
        <v>84</v>
      </c>
      <c r="J28" s="653">
        <v>84</v>
      </c>
      <c r="K28" s="653">
        <v>30</v>
      </c>
      <c r="L28" s="667">
        <v>2.4</v>
      </c>
      <c r="M28" s="666">
        <v>1.5</v>
      </c>
      <c r="N28" s="654">
        <v>100</v>
      </c>
      <c r="O28" s="668"/>
    </row>
    <row r="29" spans="1:18" x14ac:dyDescent="0.45">
      <c r="A29" s="653"/>
      <c r="B29" s="653" t="s">
        <v>1949</v>
      </c>
      <c r="C29" s="653">
        <v>100</v>
      </c>
      <c r="D29" s="653">
        <v>4</v>
      </c>
      <c r="E29" s="649">
        <v>17.600000000000001</v>
      </c>
      <c r="F29" s="649">
        <v>1.7</v>
      </c>
      <c r="G29" s="653">
        <v>100</v>
      </c>
      <c r="H29" s="653">
        <v>150</v>
      </c>
      <c r="I29" s="653">
        <v>80</v>
      </c>
      <c r="J29" s="653">
        <v>72</v>
      </c>
      <c r="K29" s="653">
        <v>23</v>
      </c>
      <c r="L29" s="667">
        <v>1.6</v>
      </c>
      <c r="M29" s="666">
        <v>0.7</v>
      </c>
      <c r="N29" s="654">
        <v>125</v>
      </c>
      <c r="O29" s="668"/>
      <c r="R29" s="665"/>
    </row>
    <row r="30" spans="1:18" x14ac:dyDescent="0.45">
      <c r="A30" s="653"/>
      <c r="B30" s="653" t="s">
        <v>1690</v>
      </c>
      <c r="C30" s="653">
        <v>67</v>
      </c>
      <c r="D30" s="653">
        <v>1.8</v>
      </c>
      <c r="E30" s="649">
        <v>7.2</v>
      </c>
      <c r="F30" s="649">
        <v>3.4</v>
      </c>
      <c r="G30" s="653">
        <v>26.1</v>
      </c>
      <c r="H30" s="653">
        <v>72.5</v>
      </c>
      <c r="I30" s="653">
        <v>65.599999999999994</v>
      </c>
      <c r="J30" s="653">
        <v>47.1</v>
      </c>
      <c r="K30" s="653">
        <v>7</v>
      </c>
      <c r="L30" s="667">
        <v>1</v>
      </c>
      <c r="M30" s="666">
        <v>1.2</v>
      </c>
      <c r="N30" s="654">
        <v>53.3</v>
      </c>
      <c r="O30" s="668"/>
      <c r="R30" s="653"/>
    </row>
    <row r="31" spans="1:18" x14ac:dyDescent="0.45">
      <c r="A31" s="653"/>
      <c r="B31" s="653" t="s">
        <v>1691</v>
      </c>
      <c r="C31" s="653">
        <v>66</v>
      </c>
      <c r="D31" s="653">
        <v>1.8</v>
      </c>
      <c r="E31" s="649">
        <v>6.8</v>
      </c>
      <c r="F31" s="649">
        <v>3.5</v>
      </c>
      <c r="G31" s="653">
        <v>18</v>
      </c>
      <c r="H31" s="653">
        <v>65</v>
      </c>
      <c r="I31" s="653">
        <v>50</v>
      </c>
      <c r="J31" s="653">
        <v>28</v>
      </c>
      <c r="K31" s="653">
        <v>5.0999999999999996</v>
      </c>
      <c r="L31" s="667">
        <v>0.77</v>
      </c>
      <c r="M31" s="666">
        <v>1.3</v>
      </c>
      <c r="N31" s="654">
        <v>40</v>
      </c>
      <c r="O31" s="668"/>
      <c r="R31" s="653"/>
    </row>
    <row r="32" spans="1:18" x14ac:dyDescent="0.45">
      <c r="B32" s="662" t="s">
        <v>1753</v>
      </c>
      <c r="C32" s="653">
        <v>68</v>
      </c>
      <c r="D32" s="653">
        <v>1</v>
      </c>
      <c r="E32" s="649">
        <v>7.0000000000000009</v>
      </c>
      <c r="F32" s="649">
        <v>4</v>
      </c>
      <c r="G32" s="653">
        <v>20</v>
      </c>
      <c r="H32" s="653">
        <v>50.000000000000007</v>
      </c>
      <c r="I32" s="653">
        <v>30</v>
      </c>
      <c r="J32" s="653">
        <v>15</v>
      </c>
      <c r="K32" s="653">
        <v>3.0000000000000004</v>
      </c>
      <c r="L32" s="649">
        <v>0.1</v>
      </c>
      <c r="M32" s="653">
        <v>0</v>
      </c>
      <c r="N32" s="654">
        <v>43</v>
      </c>
      <c r="O32" s="664"/>
      <c r="R32" s="653"/>
    </row>
    <row r="33" spans="1:18" x14ac:dyDescent="0.45">
      <c r="B33" s="662" t="s">
        <v>1754</v>
      </c>
      <c r="C33" s="653">
        <v>68</v>
      </c>
      <c r="D33" s="653">
        <v>1</v>
      </c>
      <c r="E33" s="649">
        <v>7.0000000000000009</v>
      </c>
      <c r="F33" s="649">
        <v>4</v>
      </c>
      <c r="G33" s="653">
        <v>20</v>
      </c>
      <c r="H33" s="653">
        <v>50.000000000000007</v>
      </c>
      <c r="I33" s="653">
        <v>30</v>
      </c>
      <c r="J33" s="653">
        <v>15</v>
      </c>
      <c r="K33" s="653">
        <v>3.0000000000000004</v>
      </c>
      <c r="L33" s="649">
        <v>0.1</v>
      </c>
      <c r="M33" s="653">
        <v>0</v>
      </c>
      <c r="N33" s="654">
        <v>43</v>
      </c>
      <c r="O33" s="664"/>
      <c r="R33" s="653"/>
    </row>
    <row r="34" spans="1:18" x14ac:dyDescent="0.45">
      <c r="B34" s="662" t="s">
        <v>1755</v>
      </c>
      <c r="C34" s="653">
        <v>68</v>
      </c>
      <c r="D34" s="653">
        <v>1</v>
      </c>
      <c r="E34" s="649">
        <v>7.0000000000000009</v>
      </c>
      <c r="F34" s="649">
        <v>4</v>
      </c>
      <c r="G34" s="653">
        <v>20</v>
      </c>
      <c r="H34" s="653">
        <v>50.000000000000007</v>
      </c>
      <c r="I34" s="653">
        <v>30</v>
      </c>
      <c r="J34" s="653">
        <v>15</v>
      </c>
      <c r="K34" s="653">
        <v>3.0000000000000004</v>
      </c>
      <c r="L34" s="649">
        <v>0.1</v>
      </c>
      <c r="M34" s="653">
        <v>0</v>
      </c>
      <c r="N34" s="654">
        <v>43</v>
      </c>
      <c r="O34" s="664"/>
      <c r="R34" s="653"/>
    </row>
    <row r="35" spans="1:18" x14ac:dyDescent="0.45">
      <c r="B35" s="662" t="s">
        <v>1756</v>
      </c>
      <c r="C35" s="653">
        <v>68</v>
      </c>
      <c r="D35" s="653">
        <v>1</v>
      </c>
      <c r="E35" s="649">
        <v>7.0000000000000009</v>
      </c>
      <c r="F35" s="649">
        <v>4</v>
      </c>
      <c r="G35" s="653">
        <v>20</v>
      </c>
      <c r="H35" s="653">
        <v>50.000000000000007</v>
      </c>
      <c r="I35" s="653">
        <v>30</v>
      </c>
      <c r="J35" s="653">
        <v>15</v>
      </c>
      <c r="K35" s="653">
        <v>3.0000000000000004</v>
      </c>
      <c r="L35" s="649">
        <v>0.1</v>
      </c>
      <c r="M35" s="653">
        <v>0</v>
      </c>
      <c r="N35" s="654">
        <v>43</v>
      </c>
      <c r="O35" s="664"/>
      <c r="R35" s="653"/>
    </row>
    <row r="36" spans="1:18" x14ac:dyDescent="0.45">
      <c r="B36" s="662" t="s">
        <v>1757</v>
      </c>
      <c r="C36" s="653">
        <v>68</v>
      </c>
      <c r="D36" s="653">
        <v>1</v>
      </c>
      <c r="E36" s="649">
        <v>7.0000000000000009</v>
      </c>
      <c r="F36" s="649">
        <v>4</v>
      </c>
      <c r="G36" s="653">
        <v>20</v>
      </c>
      <c r="H36" s="653">
        <v>50.000000000000007</v>
      </c>
      <c r="I36" s="653">
        <v>30</v>
      </c>
      <c r="J36" s="653">
        <v>15</v>
      </c>
      <c r="K36" s="653">
        <v>3.0000000000000004</v>
      </c>
      <c r="L36" s="649">
        <v>0.1</v>
      </c>
      <c r="M36" s="653">
        <v>0</v>
      </c>
      <c r="N36" s="654">
        <v>43</v>
      </c>
      <c r="O36" s="664"/>
      <c r="R36" s="653"/>
    </row>
    <row r="37" spans="1:18" x14ac:dyDescent="0.45">
      <c r="B37" s="662" t="s">
        <v>1758</v>
      </c>
      <c r="C37" s="653">
        <v>68</v>
      </c>
      <c r="D37" s="653">
        <v>1</v>
      </c>
      <c r="E37" s="649">
        <v>7.0000000000000009</v>
      </c>
      <c r="F37" s="649">
        <v>4</v>
      </c>
      <c r="G37" s="653">
        <v>20</v>
      </c>
      <c r="H37" s="653">
        <v>50.000000000000007</v>
      </c>
      <c r="I37" s="653">
        <v>30</v>
      </c>
      <c r="J37" s="653">
        <v>15</v>
      </c>
      <c r="K37" s="653">
        <v>3.0000000000000004</v>
      </c>
      <c r="L37" s="649">
        <v>0.1</v>
      </c>
      <c r="M37" s="653">
        <v>0</v>
      </c>
      <c r="N37" s="654">
        <v>43</v>
      </c>
      <c r="O37" s="664"/>
      <c r="R37" s="653"/>
    </row>
    <row r="38" spans="1:18" x14ac:dyDescent="0.45">
      <c r="B38" s="662" t="s">
        <v>1766</v>
      </c>
      <c r="C38" s="672">
        <v>66.3</v>
      </c>
      <c r="D38" s="672">
        <v>1.5</v>
      </c>
      <c r="E38" s="672">
        <v>7</v>
      </c>
      <c r="F38" s="672">
        <v>3.6</v>
      </c>
      <c r="G38" s="672">
        <v>20.3</v>
      </c>
      <c r="H38" s="672">
        <v>67</v>
      </c>
      <c r="I38" s="672">
        <v>53.3</v>
      </c>
      <c r="J38" s="672">
        <v>29.2</v>
      </c>
      <c r="K38" s="672">
        <v>0.08</v>
      </c>
      <c r="L38" s="672">
        <v>0.51</v>
      </c>
      <c r="M38" s="672">
        <v>1.9</v>
      </c>
      <c r="N38" s="654">
        <v>40</v>
      </c>
      <c r="O38" s="673"/>
      <c r="R38" s="653"/>
    </row>
    <row r="39" spans="1:18" x14ac:dyDescent="0.45">
      <c r="B39" s="654" t="s">
        <v>1692</v>
      </c>
      <c r="C39" s="672">
        <v>66</v>
      </c>
      <c r="D39" s="672">
        <v>1.4</v>
      </c>
      <c r="E39" s="672">
        <v>7.2</v>
      </c>
      <c r="F39" s="672">
        <v>3.5</v>
      </c>
      <c r="G39" s="672">
        <v>20</v>
      </c>
      <c r="H39" s="672">
        <v>65</v>
      </c>
      <c r="I39" s="672">
        <v>50</v>
      </c>
      <c r="J39" s="672">
        <v>30</v>
      </c>
      <c r="K39" s="672">
        <v>6</v>
      </c>
      <c r="L39" s="672">
        <v>0.78</v>
      </c>
      <c r="M39" s="672">
        <v>1.2</v>
      </c>
      <c r="N39" s="672">
        <v>42</v>
      </c>
      <c r="O39" s="672"/>
      <c r="R39" s="653"/>
    </row>
    <row r="40" spans="1:18" x14ac:dyDescent="0.45">
      <c r="B40" s="654" t="s">
        <v>1693</v>
      </c>
      <c r="C40" s="672">
        <v>70</v>
      </c>
      <c r="D40" s="672">
        <v>1.6</v>
      </c>
      <c r="E40" s="672">
        <v>9.1999999999999993</v>
      </c>
      <c r="F40" s="672">
        <v>2.9</v>
      </c>
      <c r="G40" s="672">
        <v>24</v>
      </c>
      <c r="H40" s="672">
        <v>83</v>
      </c>
      <c r="I40" s="672">
        <v>72</v>
      </c>
      <c r="J40" s="672">
        <v>53</v>
      </c>
      <c r="K40" s="672">
        <v>7.8</v>
      </c>
      <c r="L40" s="672">
        <v>1.1000000000000001</v>
      </c>
      <c r="M40" s="672">
        <v>1.3</v>
      </c>
      <c r="N40" s="672">
        <v>45</v>
      </c>
      <c r="O40" s="672"/>
      <c r="R40" s="653"/>
    </row>
    <row r="41" spans="1:18" x14ac:dyDescent="0.45">
      <c r="B41" s="654" t="s">
        <v>1694</v>
      </c>
      <c r="C41" s="672">
        <v>65</v>
      </c>
      <c r="D41" s="672">
        <v>1.4</v>
      </c>
      <c r="E41" s="672">
        <v>6.8</v>
      </c>
      <c r="F41" s="672">
        <v>3.5</v>
      </c>
      <c r="G41" s="672">
        <v>16</v>
      </c>
      <c r="H41" s="672">
        <v>60.1</v>
      </c>
      <c r="I41" s="672">
        <v>43.9</v>
      </c>
      <c r="J41" s="672">
        <v>26</v>
      </c>
      <c r="K41" s="672">
        <v>4</v>
      </c>
      <c r="L41" s="672">
        <v>0.4</v>
      </c>
      <c r="M41" s="672">
        <v>1.2</v>
      </c>
      <c r="N41" s="672">
        <v>40</v>
      </c>
      <c r="O41" s="672"/>
      <c r="R41" s="653"/>
    </row>
    <row r="42" spans="1:18" x14ac:dyDescent="0.45">
      <c r="B42" s="654" t="s">
        <v>1695</v>
      </c>
      <c r="C42" s="672">
        <v>62</v>
      </c>
      <c r="D42" s="672">
        <v>1.3</v>
      </c>
      <c r="E42" s="672">
        <v>6.4</v>
      </c>
      <c r="F42" s="672">
        <v>3.3</v>
      </c>
      <c r="G42" s="672">
        <v>15</v>
      </c>
      <c r="H42" s="672">
        <v>56.8</v>
      </c>
      <c r="I42" s="672">
        <v>41.6</v>
      </c>
      <c r="J42" s="672">
        <v>25</v>
      </c>
      <c r="K42" s="672">
        <v>3.79</v>
      </c>
      <c r="L42" s="672">
        <v>1</v>
      </c>
      <c r="M42" s="672">
        <v>1.1000000000000001</v>
      </c>
      <c r="N42" s="672">
        <v>37.9</v>
      </c>
      <c r="O42" s="672"/>
      <c r="R42" s="653"/>
    </row>
    <row r="43" spans="1:18" x14ac:dyDescent="0.45">
      <c r="A43" s="653"/>
      <c r="B43" s="654" t="s">
        <v>1767</v>
      </c>
      <c r="C43" s="672">
        <v>66</v>
      </c>
      <c r="D43" s="672">
        <v>2</v>
      </c>
      <c r="E43" s="672">
        <v>6.6</v>
      </c>
      <c r="F43" s="672">
        <v>3.5</v>
      </c>
      <c r="G43" s="672">
        <v>22</v>
      </c>
      <c r="H43" s="672">
        <v>69.3</v>
      </c>
      <c r="I43" s="672">
        <v>66.3</v>
      </c>
      <c r="J43" s="672">
        <v>39</v>
      </c>
      <c r="K43" s="672">
        <v>6.58</v>
      </c>
      <c r="L43" s="672">
        <v>0.87</v>
      </c>
      <c r="M43" s="672">
        <v>1.3</v>
      </c>
      <c r="N43" s="672">
        <v>45.2</v>
      </c>
      <c r="O43" s="672"/>
      <c r="R43" s="653"/>
    </row>
    <row r="44" spans="1:18" x14ac:dyDescent="0.45">
      <c r="B44" s="654" t="s">
        <v>1768</v>
      </c>
      <c r="C44" s="672">
        <v>79</v>
      </c>
      <c r="D44" s="672">
        <v>2.6</v>
      </c>
      <c r="E44" s="672">
        <v>8.3000000000000007</v>
      </c>
      <c r="F44" s="672">
        <v>4</v>
      </c>
      <c r="G44" s="672">
        <v>51</v>
      </c>
      <c r="H44" s="672">
        <v>88</v>
      </c>
      <c r="I44" s="672">
        <v>96</v>
      </c>
      <c r="J44" s="672">
        <v>54.4</v>
      </c>
      <c r="K44" s="672">
        <v>8.9</v>
      </c>
      <c r="L44" s="672">
        <v>1.8</v>
      </c>
      <c r="M44" s="672">
        <v>1.9</v>
      </c>
      <c r="N44" s="672">
        <v>76.8</v>
      </c>
      <c r="O44" s="672"/>
      <c r="R44" s="653"/>
    </row>
    <row r="45" spans="1:18" x14ac:dyDescent="0.45">
      <c r="B45" s="654"/>
      <c r="C45" s="672"/>
      <c r="D45" s="672"/>
      <c r="E45" s="672"/>
      <c r="F45" s="672"/>
      <c r="G45" s="672"/>
      <c r="H45" s="672"/>
      <c r="I45" s="672"/>
      <c r="J45" s="672"/>
      <c r="K45" s="672"/>
      <c r="L45" s="672"/>
      <c r="M45" s="672"/>
      <c r="N45" s="672"/>
      <c r="O45" s="672"/>
      <c r="R45" s="653"/>
    </row>
    <row r="46" spans="1:18" x14ac:dyDescent="0.45">
      <c r="B46" s="654"/>
      <c r="C46" s="672"/>
      <c r="D46" s="672"/>
      <c r="E46" s="672"/>
      <c r="F46" s="672"/>
      <c r="G46" s="672"/>
      <c r="H46" s="672"/>
      <c r="I46" s="672"/>
      <c r="J46" s="672"/>
      <c r="K46" s="672"/>
      <c r="L46" s="672"/>
      <c r="M46" s="672"/>
      <c r="N46" s="672"/>
      <c r="O46" s="672"/>
    </row>
    <row r="47" spans="1:18" x14ac:dyDescent="0.45">
      <c r="B47" s="654"/>
      <c r="C47" s="672"/>
      <c r="D47" s="672"/>
      <c r="E47" s="672"/>
      <c r="F47" s="672"/>
      <c r="G47" s="672"/>
      <c r="H47" s="672"/>
      <c r="I47" s="672"/>
      <c r="J47" s="672"/>
      <c r="K47" s="672"/>
      <c r="L47" s="672"/>
      <c r="M47" s="672"/>
      <c r="N47" s="672"/>
      <c r="O47" s="672"/>
    </row>
    <row r="48" spans="1:18" x14ac:dyDescent="0.45">
      <c r="A48" s="663" t="s">
        <v>1950</v>
      </c>
      <c r="B48" s="663" t="s">
        <v>1759</v>
      </c>
    </row>
    <row r="49" spans="1:15" x14ac:dyDescent="0.45">
      <c r="C49" s="663"/>
      <c r="D49" s="653" t="s">
        <v>62</v>
      </c>
      <c r="E49" s="653" t="s">
        <v>62</v>
      </c>
      <c r="F49" s="653" t="s">
        <v>62</v>
      </c>
      <c r="G49" s="653" t="s">
        <v>364</v>
      </c>
      <c r="H49" s="653" t="s">
        <v>364</v>
      </c>
      <c r="I49" s="653" t="s">
        <v>364</v>
      </c>
      <c r="J49" s="653" t="s">
        <v>364</v>
      </c>
      <c r="K49" s="653" t="s">
        <v>364</v>
      </c>
      <c r="L49" s="653" t="s">
        <v>364</v>
      </c>
      <c r="M49" s="653" t="s">
        <v>1684</v>
      </c>
      <c r="N49" s="653" t="s">
        <v>364</v>
      </c>
    </row>
    <row r="50" spans="1:15" x14ac:dyDescent="0.45">
      <c r="A50" s="647" t="s">
        <v>1764</v>
      </c>
      <c r="B50" s="653"/>
      <c r="C50" s="653" t="s">
        <v>479</v>
      </c>
      <c r="D50" s="653" t="s">
        <v>470</v>
      </c>
      <c r="E50" s="653" t="s">
        <v>1035</v>
      </c>
      <c r="F50" s="653" t="s">
        <v>1036</v>
      </c>
      <c r="G50" s="653" t="s">
        <v>472</v>
      </c>
      <c r="H50" s="653" t="s">
        <v>473</v>
      </c>
      <c r="I50" s="653" t="s">
        <v>474</v>
      </c>
      <c r="J50" s="653" t="s">
        <v>1034</v>
      </c>
      <c r="K50" s="653" t="s">
        <v>475</v>
      </c>
      <c r="L50" s="653" t="s">
        <v>1682</v>
      </c>
      <c r="M50" s="653" t="s">
        <v>1683</v>
      </c>
      <c r="N50" s="653" t="s">
        <v>1088</v>
      </c>
    </row>
    <row r="51" spans="1:15" x14ac:dyDescent="0.45">
      <c r="A51" s="653" t="s">
        <v>1765</v>
      </c>
      <c r="B51" s="653"/>
      <c r="C51" s="653" t="s">
        <v>479</v>
      </c>
      <c r="D51" s="653" t="s">
        <v>430</v>
      </c>
      <c r="E51" s="653" t="s">
        <v>480</v>
      </c>
      <c r="F51" s="653" t="s">
        <v>431</v>
      </c>
      <c r="G51" s="653" t="s">
        <v>472</v>
      </c>
      <c r="H51" s="653" t="s">
        <v>473</v>
      </c>
      <c r="I51" s="653" t="s">
        <v>474</v>
      </c>
      <c r="J51" s="653" t="s">
        <v>481</v>
      </c>
      <c r="K51" s="653" t="s">
        <v>475</v>
      </c>
      <c r="L51" s="653" t="s">
        <v>1682</v>
      </c>
      <c r="M51" s="653" t="s">
        <v>1683</v>
      </c>
      <c r="N51" s="653" t="s">
        <v>1088</v>
      </c>
    </row>
    <row r="52" spans="1:15" x14ac:dyDescent="0.45">
      <c r="A52" s="653"/>
      <c r="B52" s="653"/>
    </row>
    <row r="53" spans="1:15" x14ac:dyDescent="0.45">
      <c r="A53" s="653"/>
      <c r="B53" s="653" t="s">
        <v>1100</v>
      </c>
      <c r="C53" s="653">
        <v>347</v>
      </c>
      <c r="D53" s="653">
        <v>25.2</v>
      </c>
      <c r="E53" s="649">
        <v>62.2</v>
      </c>
      <c r="F53" s="649">
        <v>0</v>
      </c>
      <c r="G53" s="653">
        <v>803</v>
      </c>
      <c r="H53" s="653">
        <v>528</v>
      </c>
      <c r="I53" s="653">
        <v>1491</v>
      </c>
      <c r="J53" s="653">
        <v>872</v>
      </c>
      <c r="K53" s="653">
        <v>115</v>
      </c>
      <c r="L53" s="646">
        <v>0</v>
      </c>
      <c r="M53" s="654">
        <v>115</v>
      </c>
      <c r="N53" s="654">
        <v>573</v>
      </c>
      <c r="O53" s="664"/>
    </row>
    <row r="54" spans="1:15" x14ac:dyDescent="0.45">
      <c r="A54" s="653"/>
      <c r="B54" s="654" t="s">
        <v>1692</v>
      </c>
      <c r="C54" s="654">
        <v>509</v>
      </c>
      <c r="D54" s="654">
        <v>10</v>
      </c>
      <c r="E54" s="646">
        <v>56</v>
      </c>
      <c r="F54" s="646">
        <v>27</v>
      </c>
      <c r="G54" s="654">
        <v>120</v>
      </c>
      <c r="H54" s="654">
        <v>462</v>
      </c>
      <c r="I54" s="654">
        <v>338</v>
      </c>
      <c r="J54" s="654">
        <v>200</v>
      </c>
      <c r="K54" s="654">
        <v>30.8</v>
      </c>
      <c r="L54" s="674">
        <v>3.1</v>
      </c>
      <c r="M54" s="671">
        <v>9.1999999999999993</v>
      </c>
      <c r="N54" s="671">
        <v>308</v>
      </c>
      <c r="O54" s="668"/>
    </row>
    <row r="55" spans="1:15" x14ac:dyDescent="0.45">
      <c r="A55" s="653"/>
      <c r="B55" s="654" t="s">
        <v>1693</v>
      </c>
      <c r="C55" s="654">
        <v>470</v>
      </c>
      <c r="D55" s="654">
        <v>9.5</v>
      </c>
      <c r="E55" s="646">
        <v>64</v>
      </c>
      <c r="F55" s="646">
        <v>19</v>
      </c>
      <c r="G55" s="654">
        <v>160</v>
      </c>
      <c r="H55" s="654">
        <v>554</v>
      </c>
      <c r="I55" s="654">
        <v>405</v>
      </c>
      <c r="J55" s="654">
        <v>243</v>
      </c>
      <c r="K55" s="654">
        <v>52</v>
      </c>
      <c r="L55" s="674">
        <v>8.1999999999999993</v>
      </c>
      <c r="M55" s="671">
        <v>8.6</v>
      </c>
      <c r="N55" s="671">
        <v>297</v>
      </c>
      <c r="O55" s="668"/>
    </row>
    <row r="56" spans="1:15" x14ac:dyDescent="0.45">
      <c r="B56" s="654" t="s">
        <v>1694</v>
      </c>
      <c r="C56" s="654">
        <v>503</v>
      </c>
      <c r="D56" s="654">
        <v>11</v>
      </c>
      <c r="E56" s="646">
        <v>52</v>
      </c>
      <c r="F56" s="646">
        <v>27</v>
      </c>
      <c r="G56" s="654">
        <v>120</v>
      </c>
      <c r="H56" s="654">
        <v>462</v>
      </c>
      <c r="I56" s="654">
        <v>338</v>
      </c>
      <c r="J56" s="654">
        <v>200</v>
      </c>
      <c r="K56" s="648">
        <v>30.8</v>
      </c>
      <c r="L56" s="675">
        <v>3.1</v>
      </c>
      <c r="M56" s="676">
        <v>9.1999999999999993</v>
      </c>
      <c r="N56" s="676">
        <v>308</v>
      </c>
      <c r="O56" s="677"/>
    </row>
    <row r="57" spans="1:15" x14ac:dyDescent="0.45">
      <c r="B57" s="654" t="s">
        <v>1695</v>
      </c>
      <c r="C57" s="654">
        <v>503</v>
      </c>
      <c r="D57" s="654">
        <v>11</v>
      </c>
      <c r="E57" s="646">
        <v>52</v>
      </c>
      <c r="F57" s="646">
        <v>27</v>
      </c>
      <c r="G57" s="654">
        <v>120</v>
      </c>
      <c r="H57" s="654">
        <v>462</v>
      </c>
      <c r="I57" s="654">
        <v>338</v>
      </c>
      <c r="J57" s="654">
        <v>200</v>
      </c>
      <c r="K57" s="648">
        <v>30.8</v>
      </c>
      <c r="L57" s="675">
        <v>8.5</v>
      </c>
      <c r="M57" s="676">
        <v>9.1999999999999993</v>
      </c>
      <c r="N57" s="676">
        <v>308</v>
      </c>
      <c r="O57" s="677"/>
    </row>
    <row r="58" spans="1:15" x14ac:dyDescent="0.45">
      <c r="B58" s="654" t="s">
        <v>1696</v>
      </c>
      <c r="C58" s="654">
        <v>493</v>
      </c>
      <c r="D58" s="654">
        <v>13</v>
      </c>
      <c r="E58" s="646">
        <v>53</v>
      </c>
      <c r="F58" s="646">
        <v>26</v>
      </c>
      <c r="G58" s="654">
        <v>204</v>
      </c>
      <c r="H58" s="654">
        <v>550</v>
      </c>
      <c r="I58" s="654">
        <v>400</v>
      </c>
      <c r="J58" s="654">
        <v>230</v>
      </c>
      <c r="K58" s="654">
        <v>50</v>
      </c>
      <c r="L58" s="675">
        <v>3.5</v>
      </c>
      <c r="M58" s="676">
        <v>7.8</v>
      </c>
      <c r="N58" s="676">
        <v>315</v>
      </c>
      <c r="O58" s="677"/>
    </row>
    <row r="59" spans="1:15" x14ac:dyDescent="0.45">
      <c r="B59" s="654" t="s">
        <v>1697</v>
      </c>
      <c r="C59" s="654">
        <v>493</v>
      </c>
      <c r="D59" s="654">
        <v>13</v>
      </c>
      <c r="E59" s="646">
        <v>53</v>
      </c>
      <c r="F59" s="646">
        <v>26</v>
      </c>
      <c r="G59" s="654">
        <v>204</v>
      </c>
      <c r="H59" s="654">
        <v>550</v>
      </c>
      <c r="I59" s="654">
        <v>400</v>
      </c>
      <c r="J59" s="654">
        <v>230</v>
      </c>
      <c r="K59" s="654">
        <v>50</v>
      </c>
      <c r="L59" s="675">
        <v>7.1</v>
      </c>
      <c r="M59" s="676">
        <v>7.8</v>
      </c>
      <c r="N59" s="676">
        <v>315</v>
      </c>
      <c r="O59" s="677"/>
    </row>
    <row r="60" spans="1:15" x14ac:dyDescent="0.45">
      <c r="B60" s="654" t="s">
        <v>1698</v>
      </c>
      <c r="C60" s="653">
        <v>500</v>
      </c>
      <c r="D60" s="653">
        <v>14</v>
      </c>
      <c r="E60" s="649">
        <v>55</v>
      </c>
      <c r="F60" s="649">
        <v>25</v>
      </c>
      <c r="G60" s="653">
        <v>240</v>
      </c>
      <c r="H60" s="653">
        <v>610</v>
      </c>
      <c r="I60" s="653">
        <v>565</v>
      </c>
      <c r="J60" s="653">
        <v>390</v>
      </c>
      <c r="K60" s="653">
        <v>50</v>
      </c>
      <c r="L60" s="667">
        <v>9</v>
      </c>
      <c r="M60" s="666">
        <v>7.5</v>
      </c>
      <c r="N60" s="671">
        <v>480</v>
      </c>
      <c r="O60" s="678"/>
    </row>
    <row r="61" spans="1:15" x14ac:dyDescent="0.45">
      <c r="B61" s="654" t="s">
        <v>82</v>
      </c>
      <c r="C61" s="653">
        <v>466</v>
      </c>
      <c r="D61" s="653">
        <v>11.6</v>
      </c>
      <c r="E61" s="649">
        <v>59</v>
      </c>
      <c r="F61" s="649">
        <v>20</v>
      </c>
      <c r="G61" s="653">
        <v>172</v>
      </c>
      <c r="H61" s="653">
        <v>568</v>
      </c>
      <c r="I61" s="653">
        <v>638</v>
      </c>
      <c r="J61" s="653">
        <v>336</v>
      </c>
      <c r="K61" s="653">
        <v>47</v>
      </c>
      <c r="L61" s="667">
        <v>8.1999999999999993</v>
      </c>
      <c r="M61" s="666">
        <v>7.3</v>
      </c>
      <c r="N61" s="671">
        <v>373</v>
      </c>
      <c r="O61" s="678"/>
    </row>
    <row r="62" spans="1:15" x14ac:dyDescent="0.45">
      <c r="B62" s="654" t="s">
        <v>1699</v>
      </c>
      <c r="C62" s="653">
        <v>402</v>
      </c>
      <c r="D62" s="653">
        <v>14.7</v>
      </c>
      <c r="E62" s="649">
        <v>71</v>
      </c>
      <c r="F62" s="649">
        <v>6.7</v>
      </c>
      <c r="G62" s="653">
        <v>402</v>
      </c>
      <c r="H62" s="653">
        <v>603</v>
      </c>
      <c r="I62" s="653">
        <v>322</v>
      </c>
      <c r="J62" s="653">
        <v>267</v>
      </c>
      <c r="K62" s="653">
        <v>84</v>
      </c>
      <c r="L62" s="667">
        <v>6.4</v>
      </c>
      <c r="M62" s="666">
        <v>2.8</v>
      </c>
      <c r="N62" s="671">
        <v>503</v>
      </c>
      <c r="O62" s="678"/>
    </row>
    <row r="63" spans="1:15" x14ac:dyDescent="0.45">
      <c r="B63" s="654" t="s">
        <v>1700</v>
      </c>
      <c r="C63" s="653">
        <v>515</v>
      </c>
      <c r="D63" s="653">
        <v>14</v>
      </c>
      <c r="E63" s="649">
        <v>53.4</v>
      </c>
      <c r="F63" s="649">
        <v>27.3</v>
      </c>
      <c r="G63" s="653">
        <v>140</v>
      </c>
      <c r="H63" s="653">
        <v>507</v>
      </c>
      <c r="I63" s="653">
        <v>390</v>
      </c>
      <c r="J63" s="653">
        <v>218</v>
      </c>
      <c r="K63" s="653">
        <v>40</v>
      </c>
      <c r="L63" s="667">
        <v>6</v>
      </c>
      <c r="M63" s="666">
        <v>9.8000000000000007</v>
      </c>
      <c r="N63" s="671">
        <v>310</v>
      </c>
      <c r="O63" s="678"/>
    </row>
    <row r="64" spans="1:15" x14ac:dyDescent="0.45">
      <c r="B64" s="654" t="s">
        <v>1701</v>
      </c>
      <c r="C64" s="654">
        <v>474</v>
      </c>
      <c r="D64" s="654">
        <v>15.6</v>
      </c>
      <c r="E64" s="646">
        <v>22.9</v>
      </c>
      <c r="F64" s="646">
        <v>49.8</v>
      </c>
      <c r="G64" s="654">
        <v>415</v>
      </c>
      <c r="H64" s="654">
        <v>474</v>
      </c>
      <c r="I64" s="654">
        <v>593</v>
      </c>
      <c r="J64" s="654">
        <v>332</v>
      </c>
      <c r="K64" s="666">
        <v>47</v>
      </c>
      <c r="L64" s="646">
        <v>9.5</v>
      </c>
      <c r="M64" s="654">
        <v>18</v>
      </c>
      <c r="N64" s="654">
        <v>504</v>
      </c>
      <c r="O64" s="664"/>
    </row>
    <row r="65" spans="2:15" x14ac:dyDescent="0.45">
      <c r="B65" s="654" t="s">
        <v>1688</v>
      </c>
      <c r="C65" s="654">
        <v>491</v>
      </c>
      <c r="D65" s="654">
        <v>13.4</v>
      </c>
      <c r="E65" s="646">
        <v>49.1</v>
      </c>
      <c r="F65" s="646">
        <v>26</v>
      </c>
      <c r="G65" s="654">
        <v>183</v>
      </c>
      <c r="H65" s="654">
        <v>504</v>
      </c>
      <c r="I65" s="654">
        <v>569</v>
      </c>
      <c r="J65" s="654">
        <v>308</v>
      </c>
      <c r="K65" s="666">
        <v>46</v>
      </c>
      <c r="L65" s="646">
        <v>7.9</v>
      </c>
      <c r="M65" s="654">
        <v>11</v>
      </c>
      <c r="N65" s="654">
        <v>360</v>
      </c>
      <c r="O65" s="664"/>
    </row>
    <row r="66" spans="2:15" x14ac:dyDescent="0.45">
      <c r="B66" s="666" t="s">
        <v>1702</v>
      </c>
      <c r="C66" s="653">
        <v>338</v>
      </c>
      <c r="D66" s="653">
        <v>82.1</v>
      </c>
      <c r="E66" s="649">
        <v>2.2000000000000002</v>
      </c>
      <c r="F66" s="649">
        <v>0.1</v>
      </c>
      <c r="G66" s="653">
        <v>776</v>
      </c>
      <c r="H66" s="653">
        <v>1226</v>
      </c>
      <c r="I66" s="653">
        <v>524</v>
      </c>
      <c r="J66" s="653">
        <v>516</v>
      </c>
      <c r="K66" s="653">
        <v>46</v>
      </c>
      <c r="L66" s="646">
        <v>0</v>
      </c>
      <c r="M66" s="654">
        <v>0</v>
      </c>
      <c r="N66" s="654">
        <v>66</v>
      </c>
      <c r="O66" s="664"/>
    </row>
    <row r="67" spans="2:15" x14ac:dyDescent="0.45">
      <c r="B67" s="666" t="s">
        <v>1703</v>
      </c>
      <c r="C67" s="666">
        <v>450</v>
      </c>
      <c r="D67" s="666">
        <v>0</v>
      </c>
      <c r="E67" s="667">
        <v>0</v>
      </c>
      <c r="F67" s="667">
        <v>50</v>
      </c>
      <c r="G67" s="666">
        <v>7</v>
      </c>
      <c r="H67" s="666">
        <v>0</v>
      </c>
      <c r="I67" s="666">
        <v>0</v>
      </c>
      <c r="J67" s="666">
        <v>0</v>
      </c>
      <c r="K67" s="666">
        <v>0</v>
      </c>
      <c r="L67" s="667">
        <v>0</v>
      </c>
      <c r="M67" s="666">
        <v>0</v>
      </c>
      <c r="N67" s="671">
        <v>0.1</v>
      </c>
      <c r="O67" s="678"/>
    </row>
    <row r="68" spans="2:15" x14ac:dyDescent="0.45">
      <c r="B68" s="666" t="s">
        <v>1704</v>
      </c>
      <c r="C68" s="666">
        <v>450</v>
      </c>
      <c r="D68" s="666">
        <v>0</v>
      </c>
      <c r="E68" s="667">
        <v>0</v>
      </c>
      <c r="F68" s="667">
        <v>50</v>
      </c>
      <c r="G68" s="666">
        <v>5</v>
      </c>
      <c r="H68" s="666">
        <v>0.1</v>
      </c>
      <c r="I68" s="666">
        <v>0.3</v>
      </c>
      <c r="J68" s="666">
        <v>0</v>
      </c>
      <c r="K68" s="666">
        <v>0</v>
      </c>
      <c r="L68" s="667">
        <v>0</v>
      </c>
      <c r="M68" s="666">
        <v>0</v>
      </c>
      <c r="N68" s="671">
        <v>0.01</v>
      </c>
      <c r="O68" s="678"/>
    </row>
    <row r="69" spans="2:15" x14ac:dyDescent="0.45">
      <c r="B69" s="666" t="s">
        <v>1038</v>
      </c>
      <c r="C69" s="666">
        <v>384</v>
      </c>
      <c r="D69" s="666">
        <v>0</v>
      </c>
      <c r="E69" s="667">
        <v>96</v>
      </c>
      <c r="F69" s="667">
        <v>0</v>
      </c>
      <c r="G69" s="666">
        <v>2</v>
      </c>
      <c r="H69" s="666">
        <v>0</v>
      </c>
      <c r="I69" s="666">
        <v>0</v>
      </c>
      <c r="J69" s="666">
        <v>0</v>
      </c>
      <c r="K69" s="666">
        <v>0</v>
      </c>
      <c r="L69" s="667">
        <v>0</v>
      </c>
      <c r="M69" s="666">
        <v>0</v>
      </c>
      <c r="N69" s="671">
        <v>0</v>
      </c>
      <c r="O69" s="678"/>
    </row>
    <row r="70" spans="2:15" x14ac:dyDescent="0.45">
      <c r="B70" s="666" t="s">
        <v>1705</v>
      </c>
      <c r="C70" s="666">
        <v>493</v>
      </c>
      <c r="D70" s="666">
        <v>11.6</v>
      </c>
      <c r="E70" s="667">
        <v>51.8</v>
      </c>
      <c r="F70" s="679">
        <v>25.7</v>
      </c>
      <c r="G70" s="666">
        <v>150</v>
      </c>
      <c r="H70" s="666">
        <v>598</v>
      </c>
      <c r="I70" s="666">
        <v>346</v>
      </c>
      <c r="J70" s="666">
        <v>191</v>
      </c>
      <c r="K70" s="666">
        <v>39</v>
      </c>
      <c r="L70" s="667">
        <v>3.9</v>
      </c>
      <c r="M70" s="680">
        <v>9.4</v>
      </c>
      <c r="N70" s="676">
        <v>290</v>
      </c>
      <c r="O70" s="681"/>
    </row>
    <row r="71" spans="2:15" x14ac:dyDescent="0.45">
      <c r="B71" s="666" t="s">
        <v>1706</v>
      </c>
      <c r="C71" s="666">
        <v>483</v>
      </c>
      <c r="D71" s="666">
        <v>11</v>
      </c>
      <c r="E71" s="667">
        <v>52.5</v>
      </c>
      <c r="F71" s="667">
        <v>24.6</v>
      </c>
      <c r="G71" s="666">
        <v>181</v>
      </c>
      <c r="H71" s="666">
        <v>530</v>
      </c>
      <c r="I71" s="666">
        <v>339</v>
      </c>
      <c r="J71" s="666">
        <v>190</v>
      </c>
      <c r="K71" s="666">
        <v>37</v>
      </c>
      <c r="L71" s="667">
        <v>3.9</v>
      </c>
      <c r="M71" s="680">
        <v>8.8000000000000007</v>
      </c>
      <c r="N71" s="676">
        <v>302</v>
      </c>
      <c r="O71" s="681"/>
    </row>
    <row r="72" spans="2:15" x14ac:dyDescent="0.45">
      <c r="B72" s="666" t="s">
        <v>1707</v>
      </c>
      <c r="C72" s="666">
        <v>483</v>
      </c>
      <c r="D72" s="666">
        <v>13</v>
      </c>
      <c r="E72" s="667">
        <v>52.5</v>
      </c>
      <c r="F72" s="667">
        <v>24.5</v>
      </c>
      <c r="G72" s="666">
        <v>189</v>
      </c>
      <c r="H72" s="666">
        <v>525</v>
      </c>
      <c r="I72" s="666">
        <v>475</v>
      </c>
      <c r="J72" s="666">
        <v>341</v>
      </c>
      <c r="K72" s="666">
        <v>51</v>
      </c>
      <c r="L72" s="667">
        <v>7.25</v>
      </c>
      <c r="M72" s="680">
        <v>8.8000000000000007</v>
      </c>
      <c r="N72" s="676">
        <v>386</v>
      </c>
      <c r="O72" s="681"/>
    </row>
    <row r="73" spans="2:15" x14ac:dyDescent="0.45">
      <c r="B73" s="666" t="s">
        <v>1708</v>
      </c>
      <c r="C73" s="666">
        <v>475</v>
      </c>
      <c r="D73" s="666">
        <v>13.3</v>
      </c>
      <c r="E73" s="667">
        <v>56</v>
      </c>
      <c r="F73" s="667">
        <v>22</v>
      </c>
      <c r="G73" s="666">
        <v>285</v>
      </c>
      <c r="H73" s="666">
        <v>546</v>
      </c>
      <c r="I73" s="666">
        <v>428</v>
      </c>
      <c r="J73" s="666">
        <v>309</v>
      </c>
      <c r="K73" s="666">
        <v>66.5</v>
      </c>
      <c r="L73" s="667">
        <v>5.7</v>
      </c>
      <c r="M73" s="666">
        <v>6.2</v>
      </c>
      <c r="N73" s="671">
        <v>437</v>
      </c>
      <c r="O73" s="678"/>
    </row>
    <row r="74" spans="2:15" x14ac:dyDescent="0.45">
      <c r="B74" s="671" t="s">
        <v>1986</v>
      </c>
      <c r="C74" s="682">
        <v>484</v>
      </c>
      <c r="D74" s="682">
        <v>9.6999999999999993</v>
      </c>
      <c r="E74" s="682">
        <v>53.8</v>
      </c>
      <c r="F74" s="682">
        <v>24.7</v>
      </c>
      <c r="G74" s="682">
        <v>125</v>
      </c>
      <c r="H74" s="682">
        <v>501</v>
      </c>
      <c r="I74" s="682">
        <v>418</v>
      </c>
      <c r="J74" s="682">
        <v>237</v>
      </c>
      <c r="K74" s="682">
        <v>37</v>
      </c>
      <c r="L74" s="682">
        <v>3.9</v>
      </c>
      <c r="M74" s="682">
        <v>8.6999999999999993</v>
      </c>
      <c r="N74" s="672">
        <v>304</v>
      </c>
    </row>
    <row r="75" spans="2:15" x14ac:dyDescent="0.45">
      <c r="B75" s="671" t="s">
        <v>1762</v>
      </c>
      <c r="C75" s="682">
        <v>318</v>
      </c>
      <c r="D75" s="682">
        <v>0</v>
      </c>
      <c r="E75" s="682">
        <v>66.2</v>
      </c>
      <c r="F75" s="682">
        <v>0.3</v>
      </c>
      <c r="G75" s="682">
        <v>6</v>
      </c>
      <c r="H75" s="682">
        <v>91</v>
      </c>
      <c r="I75" s="682">
        <v>335</v>
      </c>
      <c r="J75" s="682">
        <v>12</v>
      </c>
      <c r="K75" s="682">
        <v>9.1</v>
      </c>
      <c r="L75" s="682">
        <v>8.8000000000000007</v>
      </c>
      <c r="M75" s="682">
        <v>0</v>
      </c>
      <c r="N75" s="672">
        <v>109</v>
      </c>
    </row>
    <row r="76" spans="2:15" x14ac:dyDescent="0.45">
      <c r="B76" s="671"/>
      <c r="C76" s="682"/>
      <c r="D76" s="682"/>
      <c r="E76" s="682"/>
      <c r="F76" s="682"/>
      <c r="G76" s="682"/>
      <c r="H76" s="682"/>
      <c r="I76" s="682"/>
      <c r="J76" s="682"/>
      <c r="K76" s="682"/>
      <c r="L76" s="682"/>
      <c r="M76" s="682"/>
      <c r="N76" s="672"/>
    </row>
  </sheetData>
  <sortState ref="C14:C46">
    <sortCondition ref="C13"/>
  </sortState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MedicatieNeo">
    <tabColor rgb="FF7030A0"/>
  </sheetPr>
  <dimension ref="A1:AG22"/>
  <sheetViews>
    <sheetView showGridLines="0" zoomScaleNormal="100" workbookViewId="0"/>
  </sheetViews>
  <sheetFormatPr defaultColWidth="9.1328125" defaultRowHeight="12.85" x14ac:dyDescent="0.35"/>
  <cols>
    <col min="1" max="1" width="7.1328125" style="517" customWidth="1"/>
    <col min="2" max="2" width="6" style="517" customWidth="1"/>
    <col min="3" max="3" width="26.3984375" style="517" customWidth="1"/>
    <col min="4" max="4" width="4.59765625" style="517" customWidth="1"/>
    <col min="5" max="5" width="9.1328125" style="517"/>
    <col min="6" max="6" width="4.265625" style="517" customWidth="1"/>
    <col min="7" max="7" width="11.73046875" style="517" customWidth="1"/>
    <col min="8" max="23" width="2.73046875" style="16" customWidth="1"/>
    <col min="24" max="33" width="2.73046875" style="517" customWidth="1"/>
    <col min="34" max="16384" width="9.1328125" style="517"/>
  </cols>
  <sheetData>
    <row r="1" spans="1:33" ht="19.55" customHeight="1" thickBot="1" x14ac:dyDescent="0.4">
      <c r="A1" s="577"/>
      <c r="B1" s="517" t="str">
        <f>"Naam: "&amp;_AchterNaam&amp;", "&amp;_VoorNaam</f>
        <v>Naam: Achternaam, Voornaam</v>
      </c>
      <c r="D1" s="517" t="str">
        <f>"Geboortedatum: "</f>
        <v xml:space="preserve">Geboortedatum: </v>
      </c>
      <c r="F1" s="895">
        <f>GebDatum</f>
        <v>42370</v>
      </c>
      <c r="G1" s="895"/>
      <c r="I1" s="9" t="str">
        <f>"Gewicht: "&amp;ROUND(Gewicht/10,1)&amp;"kg"</f>
        <v>Gewicht: 10kg</v>
      </c>
      <c r="P1" s="9" t="s">
        <v>397</v>
      </c>
      <c r="R1" s="893"/>
      <c r="S1" s="893"/>
      <c r="T1" s="893"/>
      <c r="U1" s="893"/>
      <c r="V1" s="893"/>
      <c r="W1" s="893"/>
      <c r="Y1" s="517" t="s">
        <v>623</v>
      </c>
      <c r="AB1" s="894">
        <f ca="1">TODAY()</f>
        <v>42722</v>
      </c>
      <c r="AC1" s="894"/>
      <c r="AD1" s="894"/>
      <c r="AE1" s="894"/>
      <c r="AF1" s="894"/>
    </row>
    <row r="2" spans="1:33" ht="26.1" customHeight="1" x14ac:dyDescent="0.35">
      <c r="B2" s="99"/>
      <c r="C2" s="100" t="s">
        <v>684</v>
      </c>
      <c r="D2" s="101" t="s">
        <v>685</v>
      </c>
      <c r="E2" s="101"/>
      <c r="F2" s="101"/>
      <c r="G2" s="102" t="s">
        <v>631</v>
      </c>
      <c r="H2" s="103">
        <v>9</v>
      </c>
      <c r="I2" s="103">
        <v>10</v>
      </c>
      <c r="J2" s="103">
        <v>11</v>
      </c>
      <c r="K2" s="103">
        <v>12</v>
      </c>
      <c r="L2" s="103">
        <v>13</v>
      </c>
      <c r="M2" s="103">
        <v>14</v>
      </c>
      <c r="N2" s="103">
        <v>15</v>
      </c>
      <c r="O2" s="103">
        <v>16</v>
      </c>
      <c r="P2" s="103">
        <v>17</v>
      </c>
      <c r="Q2" s="103">
        <v>18</v>
      </c>
      <c r="R2" s="103">
        <v>19</v>
      </c>
      <c r="S2" s="103">
        <v>20</v>
      </c>
      <c r="T2" s="103">
        <v>21</v>
      </c>
      <c r="U2" s="103">
        <v>22</v>
      </c>
      <c r="V2" s="103">
        <v>23</v>
      </c>
      <c r="W2" s="103">
        <v>24</v>
      </c>
      <c r="X2" s="103">
        <v>1</v>
      </c>
      <c r="Y2" s="103">
        <v>2</v>
      </c>
      <c r="Z2" s="103">
        <v>3</v>
      </c>
      <c r="AA2" s="103">
        <v>4</v>
      </c>
      <c r="AB2" s="103">
        <v>5</v>
      </c>
      <c r="AC2" s="103">
        <v>6</v>
      </c>
      <c r="AD2" s="103">
        <v>7</v>
      </c>
      <c r="AE2" s="103">
        <v>8</v>
      </c>
      <c r="AF2" s="105"/>
      <c r="AG2" s="105"/>
    </row>
    <row r="3" spans="1:33" ht="26.1" customHeight="1" x14ac:dyDescent="0.35">
      <c r="B3" s="107"/>
      <c r="C3" s="231" t="str">
        <f>IF(ber_Med_disc!C2&lt;&gt;"",IF(ber_Med_disc!C2&gt;1,TRIM(ber_Med_disc!C2)&amp;", "&amp;ber_Opm!C16&amp;" ("&amp;ber_Med_disc!M2&amp;" "&amp;ber_Med_disc!F2&amp;"/kg/dag)",TRIM(ber_Med_disc!C2)&amp;", "&amp;ber_Opm!C16),"")</f>
        <v/>
      </c>
      <c r="D3" s="232" t="str">
        <f>IF(Med_disc!H6&lt;&gt;"",Med_disc!H6,"")</f>
        <v/>
      </c>
      <c r="E3" s="233" t="str">
        <f>IF(AND(D3&lt;&gt;"",D3&lt;&gt;"STOP"),ber_Med_disc!H2&amp;" "&amp;ber_Med_disc!F2,"")</f>
        <v/>
      </c>
      <c r="F3" s="233" t="str">
        <f>IF(AND(D3&lt;&gt;"",D3&lt;&gt;"STOP"),ber_Med_disc!L2," ")</f>
        <v xml:space="preserve"> </v>
      </c>
      <c r="G3" s="233" t="str">
        <f>IF(Med_disc!L6&lt;&gt;"",Med_disc!L6&amp;" "&amp;Med_disc!M6&amp;" "&amp;INDEX(ber_Med_disc!$B$27:$B$30,ber_Med_disc!O2,1)&amp;" in "&amp;Med_disc!$O$6,"")</f>
        <v/>
      </c>
      <c r="H3" s="106" t="str">
        <f>IF(OR($D3="1 dd",$D3="2 dd",$D3="3 dd",$D3="4 dd",$D3="5 dd",$D3="6 dd",$D3="8 dd",$D3="12 dd",$D3="24 dd",$D3="an",$D3="zn"),VLOOKUP($D3,ber_tijden_Neo!$A$17:$Y$27,ber_tijden_Neo!B$15,FALSE),"")</f>
        <v/>
      </c>
      <c r="I3" s="611" t="str">
        <f>IF(OR($D3="1 dd",$D3="2 dd",$D3="3 dd",$D3="4 dd",$D3="5 dd",$D3="6 dd",$D3="8 dd",$D3="12 dd",$D3="24 dd",$D3="an",$D3="zn"),VLOOKUP($D3,ber_tijden_Neo!$A$17:$Y$27,ber_tijden_Neo!C$15,FALSE),"")</f>
        <v/>
      </c>
      <c r="J3" s="106" t="str">
        <f>IF(OR($D3="1 dd",$D3="2 dd",$D3="3 dd",$D3="4 dd",$D3="5 dd",$D3="6 dd",$D3="8 dd",$D3="12 dd",$D3="24 dd",$D3="an",$D3="zn"),VLOOKUP($D3,ber_tijden_Neo!$A$17:$Y$27,ber_tijden_Neo!D$15,FALSE),"")</f>
        <v/>
      </c>
      <c r="K3" s="611" t="str">
        <f>IF(OR($D3="1 dd",$D3="2 dd",$D3="3 dd",$D3="4 dd",$D3="5 dd",$D3="6 dd",$D3="8 dd",$D3="12 dd",$D3="24 dd",$D3="an",$D3="zn"),VLOOKUP($D3,ber_tijden_Neo!$A$17:$Y$27,ber_tijden_Neo!E$15,FALSE),"")</f>
        <v/>
      </c>
      <c r="L3" s="106" t="str">
        <f>IF(OR($D3="1 dd",$D3="2 dd",$D3="3 dd",$D3="4 dd",$D3="5 dd",$D3="6 dd",$D3="8 dd",$D3="12 dd",$D3="24 dd",$D3="an",$D3="zn"),VLOOKUP($D3,ber_tijden_Neo!$A$17:$Y$27,ber_tijden_Neo!F$15,FALSE),"")</f>
        <v/>
      </c>
      <c r="M3" s="611" t="str">
        <f>IF(OR($D3="1 dd",$D3="2 dd",$D3="3 dd",$D3="4 dd",$D3="5 dd",$D3="6 dd",$D3="8 dd",$D3="12 dd",$D3="24 dd",$D3="an",$D3="zn"),VLOOKUP($D3,ber_tijden_Neo!$A$17:$Y$27,ber_tijden_Neo!G$15,FALSE),"")</f>
        <v/>
      </c>
      <c r="N3" s="106" t="str">
        <f>IF(OR($D3="1 dd",$D3="2 dd",$D3="3 dd",$D3="4 dd",$D3="5 dd",$D3="6 dd",$D3="8 dd",$D3="12 dd",$D3="24 dd",$D3="an",$D3="zn"),VLOOKUP($D3,ber_tijden_Neo!$A$17:$Y$27,ber_tijden_Neo!H$15,FALSE),"")</f>
        <v/>
      </c>
      <c r="O3" s="611" t="str">
        <f>IF(OR($D3="1 dd",$D3="2 dd",$D3="3 dd",$D3="4 dd",$D3="5 dd",$D3="6 dd",$D3="8 dd",$D3="12 dd",$D3="24 dd",$D3="an",$D3="zn"),VLOOKUP($D3,ber_tijden_Neo!$A$17:$Y$27,ber_tijden_Neo!I$15,FALSE),"")</f>
        <v/>
      </c>
      <c r="P3" s="106" t="str">
        <f>IF(OR($D3="1 dd",$D3="2 dd",$D3="3 dd",$D3="4 dd",$D3="5 dd",$D3="6 dd",$D3="8 dd",$D3="12 dd",$D3="24 dd",$D3="an",$D3="zn"),VLOOKUP($D3,ber_tijden_Neo!$A$17:$Y$27,ber_tijden_Neo!J$15,FALSE),"")</f>
        <v/>
      </c>
      <c r="Q3" s="611" t="str">
        <f>IF(OR($D3="1 dd",$D3="2 dd",$D3="3 dd",$D3="4 dd",$D3="5 dd",$D3="6 dd",$D3="8 dd",$D3="12 dd",$D3="24 dd",$D3="an",$D3="zn"),VLOOKUP($D3,ber_tijden_Neo!$A$17:$Y$27,ber_tijden_Neo!K$15,FALSE),"")</f>
        <v/>
      </c>
      <c r="R3" s="106" t="str">
        <f>IF(OR($D3="1 dd",$D3="2 dd",$D3="3 dd",$D3="4 dd",$D3="5 dd",$D3="6 dd",$D3="8 dd",$D3="12 dd",$D3="24 dd",$D3="an",$D3="zn"),VLOOKUP($D3,ber_tijden_Neo!$A$17:$Y$27,ber_tijden_Neo!L$15,FALSE),"")</f>
        <v/>
      </c>
      <c r="S3" s="611" t="str">
        <f>IF(OR($D3="1 dd",$D3="2 dd",$D3="3 dd",$D3="4 dd",$D3="5 dd",$D3="6 dd",$D3="8 dd",$D3="12 dd",$D3="24 dd",$D3="an",$D3="zn"),VLOOKUP($D3,ber_tijden_Neo!$A$17:$Y$27,ber_tijden_Neo!M$15,FALSE),"")</f>
        <v/>
      </c>
      <c r="T3" s="106" t="str">
        <f>IF(OR($D3="1 dd",$D3="2 dd",$D3="3 dd",$D3="4 dd",$D3="5 dd",$D3="6 dd",$D3="8 dd",$D3="12 dd",$D3="24 dd",$D3="an",$D3="zn"),VLOOKUP($D3,ber_tijden_Neo!$A$17:$Y$27,ber_tijden_Neo!N$15,FALSE),"")</f>
        <v/>
      </c>
      <c r="U3" s="611" t="str">
        <f>IF(OR($D3="1 dd",$D3="2 dd",$D3="3 dd",$D3="4 dd",$D3="5 dd",$D3="6 dd",$D3="8 dd",$D3="12 dd",$D3="24 dd",$D3="an",$D3="zn"),VLOOKUP($D3,ber_tijden_Neo!$A$17:$Y$27,ber_tijden_Neo!O$15,FALSE),"")</f>
        <v/>
      </c>
      <c r="V3" s="106" t="str">
        <f>IF(OR($D3="1 dd",$D3="2 dd",$D3="3 dd",$D3="4 dd",$D3="5 dd",$D3="6 dd",$D3="8 dd",$D3="12 dd",$D3="24 dd",$D3="an",$D3="zn"),VLOOKUP($D3,ber_tijden_Neo!$A$17:$Y$27,ber_tijden_Neo!P$15,FALSE),"")</f>
        <v/>
      </c>
      <c r="W3" s="611" t="str">
        <f>IF(OR($D3="1 dd",$D3="2 dd",$D3="3 dd",$D3="4 dd",$D3="5 dd",$D3="6 dd",$D3="8 dd",$D3="12 dd",$D3="24 dd",$D3="an",$D3="zn"),VLOOKUP($D3,ber_tijden_Neo!$A$17:$Y$27,ber_tijden_Neo!Q$15,FALSE),"")</f>
        <v/>
      </c>
      <c r="X3" s="106" t="str">
        <f>IF(OR($D3="1 dd",$D3="2 dd",$D3="3 dd",$D3="4 dd",$D3="5 dd",$D3="6 dd",$D3="8 dd",$D3="12 dd",$D3="24 dd",$D3="an",$D3="zn"),VLOOKUP($D3,ber_tijden_Neo!$A$17:$Y$27,ber_tijden_Neo!R$15,FALSE),"")</f>
        <v/>
      </c>
      <c r="Y3" s="611" t="str">
        <f>IF(OR($D3="1 dd",$D3="2 dd",$D3="3 dd",$D3="4 dd",$D3="5 dd",$D3="6 dd",$D3="8 dd",$D3="12 dd",$D3="24 dd",$D3="an",$D3="zn"),VLOOKUP($D3,ber_tijden_Neo!$A$17:$Y$27,ber_tijden_Neo!S$15,FALSE),"")</f>
        <v/>
      </c>
      <c r="Z3" s="106" t="str">
        <f>IF(OR($D3="1 dd",$D3="2 dd",$D3="3 dd",$D3="4 dd",$D3="5 dd",$D3="6 dd",$D3="8 dd",$D3="12 dd",$D3="24 dd",$D3="an",$D3="zn"),VLOOKUP($D3,ber_tijden_Neo!$A$17:$Y$27,ber_tijden_Neo!T$15,FALSE),"")</f>
        <v/>
      </c>
      <c r="AA3" s="611" t="str">
        <f>IF(OR($D3="1 dd",$D3="2 dd",$D3="3 dd",$D3="4 dd",$D3="5 dd",$D3="6 dd",$D3="8 dd",$D3="12 dd",$D3="24 dd",$D3="an",$D3="zn"),VLOOKUP($D3,ber_tijden_Neo!$A$17:$Y$27,ber_tijden_Neo!U$15,FALSE),"")</f>
        <v/>
      </c>
      <c r="AB3" s="106" t="str">
        <f>IF(OR($D3="1 dd",$D3="2 dd",$D3="3 dd",$D3="4 dd",$D3="5 dd",$D3="6 dd",$D3="8 dd",$D3="12 dd",$D3="24 dd",$D3="an",$D3="zn"),VLOOKUP($D3,ber_tijden_Neo!$A$17:$Y$27,ber_tijden_Neo!V$15,FALSE),"")</f>
        <v/>
      </c>
      <c r="AC3" s="611" t="str">
        <f>IF(OR($D3="1 dd",$D3="2 dd",$D3="3 dd",$D3="4 dd",$D3="5 dd",$D3="6 dd",$D3="8 dd",$D3="12 dd",$D3="24 dd",$D3="an",$D3="zn"),VLOOKUP($D3,ber_tijden_Neo!$A$17:$Y$27,ber_tijden_Neo!W$15,FALSE),"")</f>
        <v/>
      </c>
      <c r="AD3" s="106" t="str">
        <f>IF(OR($D3="1 dd",$D3="2 dd",$D3="3 dd",$D3="4 dd",$D3="5 dd",$D3="6 dd",$D3="8 dd",$D3="12 dd",$D3="24 dd",$D3="an",$D3="zn"),VLOOKUP($D3,ber_tijden_Neo!$A$17:$Y$27,ber_tijden_Neo!X$15,FALSE),"")</f>
        <v/>
      </c>
      <c r="AE3" s="611" t="str">
        <f>IF(OR($D3="1 dd",$D3="2 dd",$D3="3 dd",$D3="4 dd",$D3="5 dd",$D3="6 dd",$D3="8 dd",$D3="12 dd",$D3="24 dd",$D3="an",$D3="zn"),VLOOKUP($D3,ber_tijden_Neo!$A$17:$Y$27,ber_tijden_Neo!Y$15,FALSE),"")</f>
        <v/>
      </c>
      <c r="AF3" s="105"/>
      <c r="AG3" s="17"/>
    </row>
    <row r="4" spans="1:33" ht="26.1" customHeight="1" x14ac:dyDescent="0.35">
      <c r="B4" s="107"/>
      <c r="C4" s="231" t="str">
        <f>IF(ber_Med_disc!C3&lt;&gt;"",IF(ber_Med_disc!C3&gt;1,TRIM(ber_Med_disc!C3)&amp;", "&amp;ber_Opm!C17&amp;" ("&amp;ber_Med_disc!M3&amp;" "&amp;ber_Med_disc!F3&amp;"/kg/dag)",TRIM(ber_Med_disc!C3)&amp;", "&amp;ber_Opm!C17),"")</f>
        <v/>
      </c>
      <c r="D4" s="232" t="str">
        <f>IF(Med_disc!H8&lt;&gt;"",Med_disc!H8,"")</f>
        <v/>
      </c>
      <c r="E4" s="233" t="str">
        <f>IF(AND(D4&lt;&gt;"",D4&lt;&gt;"STOP"),ber_Med_disc!H3&amp;" "&amp;ber_Med_disc!F3,"")</f>
        <v/>
      </c>
      <c r="F4" s="233" t="str">
        <f>IF(AND(D4&lt;&gt;"",D4&lt;&gt;"STOP"),ber_Med_disc!L3," ")</f>
        <v xml:space="preserve"> </v>
      </c>
      <c r="G4" s="233" t="str">
        <f>IF(Med_disc!L8&lt;&gt;"",Med_disc!L8&amp;" "&amp;Med_disc!M8&amp;" "&amp;INDEX(ber_Med_disc!$B$27:$B$30,ber_Med_disc!O3,1)&amp;" in "&amp;Med_disc!$O$8,"")</f>
        <v/>
      </c>
      <c r="H4" s="106" t="str">
        <f>IF(OR($D4="1 dd",$D4="2 dd",$D4="3 dd",$D4="4 dd",$D4="5 dd",$D4="6 dd",$D4="8 dd",$D4="12 dd",$D4="24 dd",$D4="an",$D4="zn"),VLOOKUP($D4,ber_tijden_Neo!$A$17:$Y$27,ber_tijden_Neo!B$15,FALSE),"")</f>
        <v/>
      </c>
      <c r="I4" s="611" t="str">
        <f>IF(OR($D4="1 dd",$D4="2 dd",$D4="3 dd",$D4="4 dd",$D4="5 dd",$D4="6 dd",$D4="8 dd",$D4="12 dd",$D4="24 dd",$D4="an",$D4="zn"),VLOOKUP($D4,ber_tijden_Neo!$A$17:$Y$27,ber_tijden_Neo!C$15,FALSE),"")</f>
        <v/>
      </c>
      <c r="J4" s="106" t="str">
        <f>IF(OR($D4="1 dd",$D4="2 dd",$D4="3 dd",$D4="4 dd",$D4="5 dd",$D4="6 dd",$D4="8 dd",$D4="12 dd",$D4="24 dd",$D4="an",$D4="zn"),VLOOKUP($D4,ber_tijden_Neo!$A$17:$Y$27,ber_tijden_Neo!D$15,FALSE),"")</f>
        <v/>
      </c>
      <c r="K4" s="611" t="str">
        <f>IF(OR($D4="1 dd",$D4="2 dd",$D4="3 dd",$D4="4 dd",$D4="5 dd",$D4="6 dd",$D4="8 dd",$D4="12 dd",$D4="24 dd",$D4="an",$D4="zn"),VLOOKUP($D4,ber_tijden_Neo!$A$17:$Y$27,ber_tijden_Neo!E$15,FALSE),"")</f>
        <v/>
      </c>
      <c r="L4" s="106" t="str">
        <f>IF(OR($D4="1 dd",$D4="2 dd",$D4="3 dd",$D4="4 dd",$D4="5 dd",$D4="6 dd",$D4="8 dd",$D4="12 dd",$D4="24 dd",$D4="an",$D4="zn"),VLOOKUP($D4,ber_tijden_Neo!$A$17:$Y$27,ber_tijden_Neo!F$15,FALSE),"")</f>
        <v/>
      </c>
      <c r="M4" s="611" t="str">
        <f>IF(OR($D4="1 dd",$D4="2 dd",$D4="3 dd",$D4="4 dd",$D4="5 dd",$D4="6 dd",$D4="8 dd",$D4="12 dd",$D4="24 dd",$D4="an",$D4="zn"),VLOOKUP($D4,ber_tijden_Neo!$A$17:$Y$27,ber_tijden_Neo!G$15,FALSE),"")</f>
        <v/>
      </c>
      <c r="N4" s="106" t="str">
        <f>IF(OR($D4="1 dd",$D4="2 dd",$D4="3 dd",$D4="4 dd",$D4="5 dd",$D4="6 dd",$D4="8 dd",$D4="12 dd",$D4="24 dd",$D4="an",$D4="zn"),VLOOKUP($D4,ber_tijden_Neo!$A$17:$Y$27,ber_tijden_Neo!H$15,FALSE),"")</f>
        <v/>
      </c>
      <c r="O4" s="611" t="str">
        <f>IF(OR($D4="1 dd",$D4="2 dd",$D4="3 dd",$D4="4 dd",$D4="5 dd",$D4="6 dd",$D4="8 dd",$D4="12 dd",$D4="24 dd",$D4="an",$D4="zn"),VLOOKUP($D4,ber_tijden_Neo!$A$17:$Y$27,ber_tijden_Neo!I$15,FALSE),"")</f>
        <v/>
      </c>
      <c r="P4" s="106" t="str">
        <f>IF(OR($D4="1 dd",$D4="2 dd",$D4="3 dd",$D4="4 dd",$D4="5 dd",$D4="6 dd",$D4="8 dd",$D4="12 dd",$D4="24 dd",$D4="an",$D4="zn"),VLOOKUP($D4,ber_tijden_Neo!$A$17:$Y$27,ber_tijden_Neo!J$15,FALSE),"")</f>
        <v/>
      </c>
      <c r="Q4" s="611" t="str">
        <f>IF(OR($D4="1 dd",$D4="2 dd",$D4="3 dd",$D4="4 dd",$D4="5 dd",$D4="6 dd",$D4="8 dd",$D4="12 dd",$D4="24 dd",$D4="an",$D4="zn"),VLOOKUP($D4,ber_tijden_Neo!$A$17:$Y$27,ber_tijden_Neo!K$15,FALSE),"")</f>
        <v/>
      </c>
      <c r="R4" s="106" t="str">
        <f>IF(OR($D4="1 dd",$D4="2 dd",$D4="3 dd",$D4="4 dd",$D4="5 dd",$D4="6 dd",$D4="8 dd",$D4="12 dd",$D4="24 dd",$D4="an",$D4="zn"),VLOOKUP($D4,ber_tijden_Neo!$A$17:$Y$27,ber_tijden_Neo!L$15,FALSE),"")</f>
        <v/>
      </c>
      <c r="S4" s="611" t="str">
        <f>IF(OR($D4="1 dd",$D4="2 dd",$D4="3 dd",$D4="4 dd",$D4="5 dd",$D4="6 dd",$D4="8 dd",$D4="12 dd",$D4="24 dd",$D4="an",$D4="zn"),VLOOKUP($D4,ber_tijden_Neo!$A$17:$Y$27,ber_tijden_Neo!M$15,FALSE),"")</f>
        <v/>
      </c>
      <c r="T4" s="106" t="str">
        <f>IF(OR($D4="1 dd",$D4="2 dd",$D4="3 dd",$D4="4 dd",$D4="5 dd",$D4="6 dd",$D4="8 dd",$D4="12 dd",$D4="24 dd",$D4="an",$D4="zn"),VLOOKUP($D4,ber_tijden_Neo!$A$17:$Y$27,ber_tijden_Neo!N$15,FALSE),"")</f>
        <v/>
      </c>
      <c r="U4" s="611" t="str">
        <f>IF(OR($D4="1 dd",$D4="2 dd",$D4="3 dd",$D4="4 dd",$D4="5 dd",$D4="6 dd",$D4="8 dd",$D4="12 dd",$D4="24 dd",$D4="an",$D4="zn"),VLOOKUP($D4,ber_tijden_Neo!$A$17:$Y$27,ber_tijden_Neo!O$15,FALSE),"")</f>
        <v/>
      </c>
      <c r="V4" s="106" t="str">
        <f>IF(OR($D4="1 dd",$D4="2 dd",$D4="3 dd",$D4="4 dd",$D4="5 dd",$D4="6 dd",$D4="8 dd",$D4="12 dd",$D4="24 dd",$D4="an",$D4="zn"),VLOOKUP($D4,ber_tijden_Neo!$A$17:$Y$27,ber_tijden_Neo!P$15,FALSE),"")</f>
        <v/>
      </c>
      <c r="W4" s="611" t="str">
        <f>IF(OR($D4="1 dd",$D4="2 dd",$D4="3 dd",$D4="4 dd",$D4="5 dd",$D4="6 dd",$D4="8 dd",$D4="12 dd",$D4="24 dd",$D4="an",$D4="zn"),VLOOKUP($D4,ber_tijden_Neo!$A$17:$Y$27,ber_tijden_Neo!Q$15,FALSE),"")</f>
        <v/>
      </c>
      <c r="X4" s="106" t="str">
        <f>IF(OR($D4="1 dd",$D4="2 dd",$D4="3 dd",$D4="4 dd",$D4="5 dd",$D4="6 dd",$D4="8 dd",$D4="12 dd",$D4="24 dd",$D4="an",$D4="zn"),VLOOKUP($D4,ber_tijden_Neo!$A$17:$Y$27,ber_tijden_Neo!R$15,FALSE),"")</f>
        <v/>
      </c>
      <c r="Y4" s="611" t="str">
        <f>IF(OR($D4="1 dd",$D4="2 dd",$D4="3 dd",$D4="4 dd",$D4="5 dd",$D4="6 dd",$D4="8 dd",$D4="12 dd",$D4="24 dd",$D4="an",$D4="zn"),VLOOKUP($D4,ber_tijden_Neo!$A$17:$Y$27,ber_tijden_Neo!S$15,FALSE),"")</f>
        <v/>
      </c>
      <c r="Z4" s="106" t="str">
        <f>IF(OR($D4="1 dd",$D4="2 dd",$D4="3 dd",$D4="4 dd",$D4="5 dd",$D4="6 dd",$D4="8 dd",$D4="12 dd",$D4="24 dd",$D4="an",$D4="zn"),VLOOKUP($D4,ber_tijden_Neo!$A$17:$Y$27,ber_tijden_Neo!T$15,FALSE),"")</f>
        <v/>
      </c>
      <c r="AA4" s="611" t="str">
        <f>IF(OR($D4="1 dd",$D4="2 dd",$D4="3 dd",$D4="4 dd",$D4="5 dd",$D4="6 dd",$D4="8 dd",$D4="12 dd",$D4="24 dd",$D4="an",$D4="zn"),VLOOKUP($D4,ber_tijden_Neo!$A$17:$Y$27,ber_tijden_Neo!U$15,FALSE),"")</f>
        <v/>
      </c>
      <c r="AB4" s="106" t="str">
        <f>IF(OR($D4="1 dd",$D4="2 dd",$D4="3 dd",$D4="4 dd",$D4="5 dd",$D4="6 dd",$D4="8 dd",$D4="12 dd",$D4="24 dd",$D4="an",$D4="zn"),VLOOKUP($D4,ber_tijden_Neo!$A$17:$Y$27,ber_tijden_Neo!V$15,FALSE),"")</f>
        <v/>
      </c>
      <c r="AC4" s="611" t="str">
        <f>IF(OR($D4="1 dd",$D4="2 dd",$D4="3 dd",$D4="4 dd",$D4="5 dd",$D4="6 dd",$D4="8 dd",$D4="12 dd",$D4="24 dd",$D4="an",$D4="zn"),VLOOKUP($D4,ber_tijden_Neo!$A$17:$Y$27,ber_tijden_Neo!W$15,FALSE),"")</f>
        <v/>
      </c>
      <c r="AD4" s="106" t="str">
        <f>IF(OR($D4="1 dd",$D4="2 dd",$D4="3 dd",$D4="4 dd",$D4="5 dd",$D4="6 dd",$D4="8 dd",$D4="12 dd",$D4="24 dd",$D4="an",$D4="zn"),VLOOKUP($D4,ber_tijden_Neo!$A$17:$Y$27,ber_tijden_Neo!X$15,FALSE),"")</f>
        <v/>
      </c>
      <c r="AE4" s="611" t="str">
        <f>IF(OR($D4="1 dd",$D4="2 dd",$D4="3 dd",$D4="4 dd",$D4="5 dd",$D4="6 dd",$D4="8 dd",$D4="12 dd",$D4="24 dd",$D4="an",$D4="zn"),VLOOKUP($D4,ber_tijden_Neo!$A$17:$Y$27,ber_tijden_Neo!Y$15,FALSE),"")</f>
        <v/>
      </c>
      <c r="AF4" s="105"/>
      <c r="AG4" s="17"/>
    </row>
    <row r="5" spans="1:33" ht="26.1" customHeight="1" x14ac:dyDescent="0.35">
      <c r="B5" s="107"/>
      <c r="C5" s="231" t="str">
        <f>IF(ber_Med_disc!C4&lt;&gt;"",IF(ber_Med_disc!C4&gt;1,TRIM(ber_Med_disc!C4)&amp;", "&amp;ber_Opm!C18&amp;" ("&amp;ber_Med_disc!M4&amp;" "&amp;ber_Med_disc!F4&amp;"/kg/dag)",TRIM(ber_Med_disc!C4)&amp;", "&amp;ber_Opm!C18),"")</f>
        <v/>
      </c>
      <c r="D5" s="232" t="str">
        <f>IF(Med_disc!H10&lt;&gt;"",Med_disc!H10,"")</f>
        <v/>
      </c>
      <c r="E5" s="233" t="str">
        <f>IF(AND(D5&lt;&gt;"",D5&lt;&gt;"STOP"),ber_Med_disc!H4&amp;" "&amp;ber_Med_disc!F4,"")</f>
        <v/>
      </c>
      <c r="F5" s="233" t="str">
        <f>IF(AND(D5&lt;&gt;"",D5&lt;&gt;"STOP"),ber_Med_disc!L4," ")</f>
        <v xml:space="preserve"> </v>
      </c>
      <c r="G5" s="233" t="str">
        <f>IF(Med_disc!L10&lt;&gt;"",Med_disc!L10&amp;" "&amp;Med_disc!M10&amp;" "&amp;INDEX(ber_Med_disc!$B$27:$B$30,ber_Med_disc!O4,1)&amp;" in "&amp;Med_disc!$O$10,"")</f>
        <v/>
      </c>
      <c r="H5" s="106" t="str">
        <f>IF(OR($D5="1 dd",$D5="2 dd",$D5="3 dd",$D5="4 dd",$D5="5 dd",$D5="6 dd",$D5="8 dd",$D5="12 dd",$D5="24 dd",$D5="an",$D5="zn"),VLOOKUP($D5,ber_tijden_Neo!$A$17:$Y$27,ber_tijden_Neo!B$15,FALSE),"")</f>
        <v/>
      </c>
      <c r="I5" s="611" t="str">
        <f>IF(OR($D5="1 dd",$D5="2 dd",$D5="3 dd",$D5="4 dd",$D5="5 dd",$D5="6 dd",$D5="8 dd",$D5="12 dd",$D5="24 dd",$D5="an",$D5="zn"),VLOOKUP($D5,ber_tijden_Neo!$A$17:$Y$27,ber_tijden_Neo!C$15,FALSE),"")</f>
        <v/>
      </c>
      <c r="J5" s="106" t="str">
        <f>IF(OR($D5="1 dd",$D5="2 dd",$D5="3 dd",$D5="4 dd",$D5="5 dd",$D5="6 dd",$D5="8 dd",$D5="12 dd",$D5="24 dd",$D5="an",$D5="zn"),VLOOKUP($D5,ber_tijden_Neo!$A$17:$Y$27,ber_tijden_Neo!D$15,FALSE),"")</f>
        <v/>
      </c>
      <c r="K5" s="611" t="str">
        <f>IF(OR($D5="1 dd",$D5="2 dd",$D5="3 dd",$D5="4 dd",$D5="5 dd",$D5="6 dd",$D5="8 dd",$D5="12 dd",$D5="24 dd",$D5="an",$D5="zn"),VLOOKUP($D5,ber_tijden_Neo!$A$17:$Y$27,ber_tijden_Neo!E$15,FALSE),"")</f>
        <v/>
      </c>
      <c r="L5" s="106" t="str">
        <f>IF(OR($D5="1 dd",$D5="2 dd",$D5="3 dd",$D5="4 dd",$D5="5 dd",$D5="6 dd",$D5="8 dd",$D5="12 dd",$D5="24 dd",$D5="an",$D5="zn"),VLOOKUP($D5,ber_tijden_Neo!$A$17:$Y$27,ber_tijden_Neo!F$15,FALSE),"")</f>
        <v/>
      </c>
      <c r="M5" s="611" t="str">
        <f>IF(OR($D5="1 dd",$D5="2 dd",$D5="3 dd",$D5="4 dd",$D5="5 dd",$D5="6 dd",$D5="8 dd",$D5="12 dd",$D5="24 dd",$D5="an",$D5="zn"),VLOOKUP($D5,ber_tijden_Neo!$A$17:$Y$27,ber_tijden_Neo!G$15,FALSE),"")</f>
        <v/>
      </c>
      <c r="N5" s="106" t="str">
        <f>IF(OR($D5="1 dd",$D5="2 dd",$D5="3 dd",$D5="4 dd",$D5="5 dd",$D5="6 dd",$D5="8 dd",$D5="12 dd",$D5="24 dd",$D5="an",$D5="zn"),VLOOKUP($D5,ber_tijden_Neo!$A$17:$Y$27,ber_tijden_Neo!H$15,FALSE),"")</f>
        <v/>
      </c>
      <c r="O5" s="611" t="str">
        <f>IF(OR($D5="1 dd",$D5="2 dd",$D5="3 dd",$D5="4 dd",$D5="5 dd",$D5="6 dd",$D5="8 dd",$D5="12 dd",$D5="24 dd",$D5="an",$D5="zn"),VLOOKUP($D5,ber_tijden_Neo!$A$17:$Y$27,ber_tijden_Neo!I$15,FALSE),"")</f>
        <v/>
      </c>
      <c r="P5" s="106" t="str">
        <f>IF(OR($D5="1 dd",$D5="2 dd",$D5="3 dd",$D5="4 dd",$D5="5 dd",$D5="6 dd",$D5="8 dd",$D5="12 dd",$D5="24 dd",$D5="an",$D5="zn"),VLOOKUP($D5,ber_tijden_Neo!$A$17:$Y$27,ber_tijden_Neo!J$15,FALSE),"")</f>
        <v/>
      </c>
      <c r="Q5" s="611" t="str">
        <f>IF(OR($D5="1 dd",$D5="2 dd",$D5="3 dd",$D5="4 dd",$D5="5 dd",$D5="6 dd",$D5="8 dd",$D5="12 dd",$D5="24 dd",$D5="an",$D5="zn"),VLOOKUP($D5,ber_tijden_Neo!$A$17:$Y$27,ber_tijden_Neo!K$15,FALSE),"")</f>
        <v/>
      </c>
      <c r="R5" s="106" t="str">
        <f>IF(OR($D5="1 dd",$D5="2 dd",$D5="3 dd",$D5="4 dd",$D5="5 dd",$D5="6 dd",$D5="8 dd",$D5="12 dd",$D5="24 dd",$D5="an",$D5="zn"),VLOOKUP($D5,ber_tijden_Neo!$A$17:$Y$27,ber_tijden_Neo!L$15,FALSE),"")</f>
        <v/>
      </c>
      <c r="S5" s="611" t="str">
        <f>IF(OR($D5="1 dd",$D5="2 dd",$D5="3 dd",$D5="4 dd",$D5="5 dd",$D5="6 dd",$D5="8 dd",$D5="12 dd",$D5="24 dd",$D5="an",$D5="zn"),VLOOKUP($D5,ber_tijden_Neo!$A$17:$Y$27,ber_tijden_Neo!M$15,FALSE),"")</f>
        <v/>
      </c>
      <c r="T5" s="106" t="str">
        <f>IF(OR($D5="1 dd",$D5="2 dd",$D5="3 dd",$D5="4 dd",$D5="5 dd",$D5="6 dd",$D5="8 dd",$D5="12 dd",$D5="24 dd",$D5="an",$D5="zn"),VLOOKUP($D5,ber_tijden_Neo!$A$17:$Y$27,ber_tijden_Neo!N$15,FALSE),"")</f>
        <v/>
      </c>
      <c r="U5" s="611" t="str">
        <f>IF(OR($D5="1 dd",$D5="2 dd",$D5="3 dd",$D5="4 dd",$D5="5 dd",$D5="6 dd",$D5="8 dd",$D5="12 dd",$D5="24 dd",$D5="an",$D5="zn"),VLOOKUP($D5,ber_tijden_Neo!$A$17:$Y$27,ber_tijden_Neo!O$15,FALSE),"")</f>
        <v/>
      </c>
      <c r="V5" s="106" t="str">
        <f>IF(OR($D5="1 dd",$D5="2 dd",$D5="3 dd",$D5="4 dd",$D5="5 dd",$D5="6 dd",$D5="8 dd",$D5="12 dd",$D5="24 dd",$D5="an",$D5="zn"),VLOOKUP($D5,ber_tijden_Neo!$A$17:$Y$27,ber_tijden_Neo!P$15,FALSE),"")</f>
        <v/>
      </c>
      <c r="W5" s="611" t="str">
        <f>IF(OR($D5="1 dd",$D5="2 dd",$D5="3 dd",$D5="4 dd",$D5="5 dd",$D5="6 dd",$D5="8 dd",$D5="12 dd",$D5="24 dd",$D5="an",$D5="zn"),VLOOKUP($D5,ber_tijden_Neo!$A$17:$Y$27,ber_tijden_Neo!Q$15,FALSE),"")</f>
        <v/>
      </c>
      <c r="X5" s="106" t="str">
        <f>IF(OR($D5="1 dd",$D5="2 dd",$D5="3 dd",$D5="4 dd",$D5="5 dd",$D5="6 dd",$D5="8 dd",$D5="12 dd",$D5="24 dd",$D5="an",$D5="zn"),VLOOKUP($D5,ber_tijden_Neo!$A$17:$Y$27,ber_tijden_Neo!R$15,FALSE),"")</f>
        <v/>
      </c>
      <c r="Y5" s="611" t="str">
        <f>IF(OR($D5="1 dd",$D5="2 dd",$D5="3 dd",$D5="4 dd",$D5="5 dd",$D5="6 dd",$D5="8 dd",$D5="12 dd",$D5="24 dd",$D5="an",$D5="zn"),VLOOKUP($D5,ber_tijden_Neo!$A$17:$Y$27,ber_tijden_Neo!S$15,FALSE),"")</f>
        <v/>
      </c>
      <c r="Z5" s="106" t="str">
        <f>IF(OR($D5="1 dd",$D5="2 dd",$D5="3 dd",$D5="4 dd",$D5="5 dd",$D5="6 dd",$D5="8 dd",$D5="12 dd",$D5="24 dd",$D5="an",$D5="zn"),VLOOKUP($D5,ber_tijden_Neo!$A$17:$Y$27,ber_tijden_Neo!T$15,FALSE),"")</f>
        <v/>
      </c>
      <c r="AA5" s="611" t="str">
        <f>IF(OR($D5="1 dd",$D5="2 dd",$D5="3 dd",$D5="4 dd",$D5="5 dd",$D5="6 dd",$D5="8 dd",$D5="12 dd",$D5="24 dd",$D5="an",$D5="zn"),VLOOKUP($D5,ber_tijden_Neo!$A$17:$Y$27,ber_tijden_Neo!U$15,FALSE),"")</f>
        <v/>
      </c>
      <c r="AB5" s="106" t="str">
        <f>IF(OR($D5="1 dd",$D5="2 dd",$D5="3 dd",$D5="4 dd",$D5="5 dd",$D5="6 dd",$D5="8 dd",$D5="12 dd",$D5="24 dd",$D5="an",$D5="zn"),VLOOKUP($D5,ber_tijden_Neo!$A$17:$Y$27,ber_tijden_Neo!V$15,FALSE),"")</f>
        <v/>
      </c>
      <c r="AC5" s="611" t="str">
        <f>IF(OR($D5="1 dd",$D5="2 dd",$D5="3 dd",$D5="4 dd",$D5="5 dd",$D5="6 dd",$D5="8 dd",$D5="12 dd",$D5="24 dd",$D5="an",$D5="zn"),VLOOKUP($D5,ber_tijden_Neo!$A$17:$Y$27,ber_tijden_Neo!W$15,FALSE),"")</f>
        <v/>
      </c>
      <c r="AD5" s="106" t="str">
        <f>IF(OR($D5="1 dd",$D5="2 dd",$D5="3 dd",$D5="4 dd",$D5="5 dd",$D5="6 dd",$D5="8 dd",$D5="12 dd",$D5="24 dd",$D5="an",$D5="zn"),VLOOKUP($D5,ber_tijden_Neo!$A$17:$Y$27,ber_tijden_Neo!X$15,FALSE),"")</f>
        <v/>
      </c>
      <c r="AE5" s="611" t="str">
        <f>IF(OR($D5="1 dd",$D5="2 dd",$D5="3 dd",$D5="4 dd",$D5="5 dd",$D5="6 dd",$D5="8 dd",$D5="12 dd",$D5="24 dd",$D5="an",$D5="zn"),VLOOKUP($D5,ber_tijden_Neo!$A$17:$Y$27,ber_tijden_Neo!Y$15,FALSE),"")</f>
        <v/>
      </c>
      <c r="AF5" s="105"/>
      <c r="AG5" s="17"/>
    </row>
    <row r="6" spans="1:33" ht="26.1" customHeight="1" x14ac:dyDescent="0.35">
      <c r="A6" s="577"/>
      <c r="B6" s="107"/>
      <c r="C6" s="231" t="str">
        <f>IF(ber_Med_disc!C5&lt;&gt;"",IF(ber_Med_disc!C5&gt;1,TRIM(ber_Med_disc!C5)&amp;", "&amp;ber_Opm!C19&amp;" ("&amp;ber_Med_disc!M5&amp;" "&amp;ber_Med_disc!F5&amp;"/kg/dag)",TRIM(ber_Med_disc!C5)&amp;", "&amp;ber_Opm!C19),"")</f>
        <v/>
      </c>
      <c r="D6" s="232" t="str">
        <f>IF(Med_disc!H12&lt;&gt;"",Med_disc!H12,"")</f>
        <v/>
      </c>
      <c r="E6" s="233" t="str">
        <f>IF(AND(D6&lt;&gt;"",D6&lt;&gt;"STOP"),ber_Med_disc!H5&amp;" "&amp;ber_Med_disc!F5,"")</f>
        <v/>
      </c>
      <c r="F6" s="233" t="str">
        <f>IF(AND(D6&lt;&gt;"",D6&lt;&gt;"STOP"),ber_Med_disc!L5," ")</f>
        <v xml:space="preserve"> </v>
      </c>
      <c r="G6" s="233" t="str">
        <f>IF(Med_disc!L12&lt;&gt;"",Med_disc!L12&amp;" "&amp;Med_disc!M12&amp;" "&amp;INDEX(ber_Med_disc!$B$27:$B$30,ber_Med_disc!O5,1)&amp;" in "&amp;Med_disc!$O$12,"")</f>
        <v/>
      </c>
      <c r="H6" s="106" t="str">
        <f>IF(OR($D6="1 dd",$D6="2 dd",$D6="3 dd",$D6="4 dd",$D6="5 dd",$D6="6 dd",$D6="8 dd",$D6="12 dd",$D6="24 dd",$D6="an",$D6="zn"),VLOOKUP($D6,ber_tijden_Neo!$A$17:$Y$27,ber_tijden_Neo!B$15,FALSE),"")</f>
        <v/>
      </c>
      <c r="I6" s="611" t="str">
        <f>IF(OR($D6="1 dd",$D6="2 dd",$D6="3 dd",$D6="4 dd",$D6="5 dd",$D6="6 dd",$D6="8 dd",$D6="12 dd",$D6="24 dd",$D6="an",$D6="zn"),VLOOKUP($D6,ber_tijden_Neo!$A$17:$Y$27,ber_tijden_Neo!C$15,FALSE),"")</f>
        <v/>
      </c>
      <c r="J6" s="106" t="str">
        <f>IF(OR($D6="1 dd",$D6="2 dd",$D6="3 dd",$D6="4 dd",$D6="5 dd",$D6="6 dd",$D6="8 dd",$D6="12 dd",$D6="24 dd",$D6="an",$D6="zn"),VLOOKUP($D6,ber_tijden_Neo!$A$17:$Y$27,ber_tijden_Neo!D$15,FALSE),"")</f>
        <v/>
      </c>
      <c r="K6" s="611" t="str">
        <f>IF(OR($D6="1 dd",$D6="2 dd",$D6="3 dd",$D6="4 dd",$D6="5 dd",$D6="6 dd",$D6="8 dd",$D6="12 dd",$D6="24 dd",$D6="an",$D6="zn"),VLOOKUP($D6,ber_tijden_Neo!$A$17:$Y$27,ber_tijden_Neo!E$15,FALSE),"")</f>
        <v/>
      </c>
      <c r="L6" s="106" t="str">
        <f>IF(OR($D6="1 dd",$D6="2 dd",$D6="3 dd",$D6="4 dd",$D6="5 dd",$D6="6 dd",$D6="8 dd",$D6="12 dd",$D6="24 dd",$D6="an",$D6="zn"),VLOOKUP($D6,ber_tijden_Neo!$A$17:$Y$27,ber_tijden_Neo!F$15,FALSE),"")</f>
        <v/>
      </c>
      <c r="M6" s="611" t="str">
        <f>IF(OR($D6="1 dd",$D6="2 dd",$D6="3 dd",$D6="4 dd",$D6="5 dd",$D6="6 dd",$D6="8 dd",$D6="12 dd",$D6="24 dd",$D6="an",$D6="zn"),VLOOKUP($D6,ber_tijden_Neo!$A$17:$Y$27,ber_tijden_Neo!G$15,FALSE),"")</f>
        <v/>
      </c>
      <c r="N6" s="106" t="str">
        <f>IF(OR($D6="1 dd",$D6="2 dd",$D6="3 dd",$D6="4 dd",$D6="5 dd",$D6="6 dd",$D6="8 dd",$D6="12 dd",$D6="24 dd",$D6="an",$D6="zn"),VLOOKUP($D6,ber_tijden_Neo!$A$17:$Y$27,ber_tijden_Neo!H$15,FALSE),"")</f>
        <v/>
      </c>
      <c r="O6" s="611" t="str">
        <f>IF(OR($D6="1 dd",$D6="2 dd",$D6="3 dd",$D6="4 dd",$D6="5 dd",$D6="6 dd",$D6="8 dd",$D6="12 dd",$D6="24 dd",$D6="an",$D6="zn"),VLOOKUP($D6,ber_tijden_Neo!$A$17:$Y$27,ber_tijden_Neo!I$15,FALSE),"")</f>
        <v/>
      </c>
      <c r="P6" s="106" t="str">
        <f>IF(OR($D6="1 dd",$D6="2 dd",$D6="3 dd",$D6="4 dd",$D6="5 dd",$D6="6 dd",$D6="8 dd",$D6="12 dd",$D6="24 dd",$D6="an",$D6="zn"),VLOOKUP($D6,ber_tijden_Neo!$A$17:$Y$27,ber_tijden_Neo!J$15,FALSE),"")</f>
        <v/>
      </c>
      <c r="Q6" s="611" t="str">
        <f>IF(OR($D6="1 dd",$D6="2 dd",$D6="3 dd",$D6="4 dd",$D6="5 dd",$D6="6 dd",$D6="8 dd",$D6="12 dd",$D6="24 dd",$D6="an",$D6="zn"),VLOOKUP($D6,ber_tijden_Neo!$A$17:$Y$27,ber_tijden_Neo!K$15,FALSE),"")</f>
        <v/>
      </c>
      <c r="R6" s="106" t="str">
        <f>IF(OR($D6="1 dd",$D6="2 dd",$D6="3 dd",$D6="4 dd",$D6="5 dd",$D6="6 dd",$D6="8 dd",$D6="12 dd",$D6="24 dd",$D6="an",$D6="zn"),VLOOKUP($D6,ber_tijden_Neo!$A$17:$Y$27,ber_tijden_Neo!L$15,FALSE),"")</f>
        <v/>
      </c>
      <c r="S6" s="611" t="str">
        <f>IF(OR($D6="1 dd",$D6="2 dd",$D6="3 dd",$D6="4 dd",$D6="5 dd",$D6="6 dd",$D6="8 dd",$D6="12 dd",$D6="24 dd",$D6="an",$D6="zn"),VLOOKUP($D6,ber_tijden_Neo!$A$17:$Y$27,ber_tijden_Neo!M$15,FALSE),"")</f>
        <v/>
      </c>
      <c r="T6" s="106" t="str">
        <f>IF(OR($D6="1 dd",$D6="2 dd",$D6="3 dd",$D6="4 dd",$D6="5 dd",$D6="6 dd",$D6="8 dd",$D6="12 dd",$D6="24 dd",$D6="an",$D6="zn"),VLOOKUP($D6,ber_tijden_Neo!$A$17:$Y$27,ber_tijden_Neo!N$15,FALSE),"")</f>
        <v/>
      </c>
      <c r="U6" s="611" t="str">
        <f>IF(OR($D6="1 dd",$D6="2 dd",$D6="3 dd",$D6="4 dd",$D6="5 dd",$D6="6 dd",$D6="8 dd",$D6="12 dd",$D6="24 dd",$D6="an",$D6="zn"),VLOOKUP($D6,ber_tijden_Neo!$A$17:$Y$27,ber_tijden_Neo!O$15,FALSE),"")</f>
        <v/>
      </c>
      <c r="V6" s="106" t="str">
        <f>IF(OR($D6="1 dd",$D6="2 dd",$D6="3 dd",$D6="4 dd",$D6="5 dd",$D6="6 dd",$D6="8 dd",$D6="12 dd",$D6="24 dd",$D6="an",$D6="zn"),VLOOKUP($D6,ber_tijden_Neo!$A$17:$Y$27,ber_tijden_Neo!P$15,FALSE),"")</f>
        <v/>
      </c>
      <c r="W6" s="611" t="str">
        <f>IF(OR($D6="1 dd",$D6="2 dd",$D6="3 dd",$D6="4 dd",$D6="5 dd",$D6="6 dd",$D6="8 dd",$D6="12 dd",$D6="24 dd",$D6="an",$D6="zn"),VLOOKUP($D6,ber_tijden_Neo!$A$17:$Y$27,ber_tijden_Neo!Q$15,FALSE),"")</f>
        <v/>
      </c>
      <c r="X6" s="106" t="str">
        <f>IF(OR($D6="1 dd",$D6="2 dd",$D6="3 dd",$D6="4 dd",$D6="5 dd",$D6="6 dd",$D6="8 dd",$D6="12 dd",$D6="24 dd",$D6="an",$D6="zn"),VLOOKUP($D6,ber_tijden_Neo!$A$17:$Y$27,ber_tijden_Neo!R$15,FALSE),"")</f>
        <v/>
      </c>
      <c r="Y6" s="611" t="str">
        <f>IF(OR($D6="1 dd",$D6="2 dd",$D6="3 dd",$D6="4 dd",$D6="5 dd",$D6="6 dd",$D6="8 dd",$D6="12 dd",$D6="24 dd",$D6="an",$D6="zn"),VLOOKUP($D6,ber_tijden_Neo!$A$17:$Y$27,ber_tijden_Neo!S$15,FALSE),"")</f>
        <v/>
      </c>
      <c r="Z6" s="106" t="str">
        <f>IF(OR($D6="1 dd",$D6="2 dd",$D6="3 dd",$D6="4 dd",$D6="5 dd",$D6="6 dd",$D6="8 dd",$D6="12 dd",$D6="24 dd",$D6="an",$D6="zn"),VLOOKUP($D6,ber_tijden_Neo!$A$17:$Y$27,ber_tijden_Neo!T$15,FALSE),"")</f>
        <v/>
      </c>
      <c r="AA6" s="611" t="str">
        <f>IF(OR($D6="1 dd",$D6="2 dd",$D6="3 dd",$D6="4 dd",$D6="5 dd",$D6="6 dd",$D6="8 dd",$D6="12 dd",$D6="24 dd",$D6="an",$D6="zn"),VLOOKUP($D6,ber_tijden_Neo!$A$17:$Y$27,ber_tijden_Neo!U$15,FALSE),"")</f>
        <v/>
      </c>
      <c r="AB6" s="106" t="str">
        <f>IF(OR($D6="1 dd",$D6="2 dd",$D6="3 dd",$D6="4 dd",$D6="5 dd",$D6="6 dd",$D6="8 dd",$D6="12 dd",$D6="24 dd",$D6="an",$D6="zn"),VLOOKUP($D6,ber_tijden_Neo!$A$17:$Y$27,ber_tijden_Neo!V$15,FALSE),"")</f>
        <v/>
      </c>
      <c r="AC6" s="611" t="str">
        <f>IF(OR($D6="1 dd",$D6="2 dd",$D6="3 dd",$D6="4 dd",$D6="5 dd",$D6="6 dd",$D6="8 dd",$D6="12 dd",$D6="24 dd",$D6="an",$D6="zn"),VLOOKUP($D6,ber_tijden_Neo!$A$17:$Y$27,ber_tijden_Neo!W$15,FALSE),"")</f>
        <v/>
      </c>
      <c r="AD6" s="106" t="str">
        <f>IF(OR($D6="1 dd",$D6="2 dd",$D6="3 dd",$D6="4 dd",$D6="5 dd",$D6="6 dd",$D6="8 dd",$D6="12 dd",$D6="24 dd",$D6="an",$D6="zn"),VLOOKUP($D6,ber_tijden_Neo!$A$17:$Y$27,ber_tijden_Neo!X$15,FALSE),"")</f>
        <v/>
      </c>
      <c r="AE6" s="611" t="str">
        <f>IF(OR($D6="1 dd",$D6="2 dd",$D6="3 dd",$D6="4 dd",$D6="5 dd",$D6="6 dd",$D6="8 dd",$D6="12 dd",$D6="24 dd",$D6="an",$D6="zn"),VLOOKUP($D6,ber_tijden_Neo!$A$17:$Y$27,ber_tijden_Neo!Y$15,FALSE),"")</f>
        <v/>
      </c>
      <c r="AF6" s="105"/>
      <c r="AG6" s="17"/>
    </row>
    <row r="7" spans="1:33" ht="26.1" customHeight="1" x14ac:dyDescent="0.35">
      <c r="B7" s="107"/>
      <c r="C7" s="231" t="str">
        <f>IF(ber_Med_disc!C6&lt;&gt;"",IF(ber_Med_disc!C6&gt;1,TRIM(ber_Med_disc!C6)&amp;", "&amp;ber_Opm!C20&amp;" ("&amp;ber_Med_disc!M6&amp;" "&amp;ber_Med_disc!F6&amp;"/kg/dag)",TRIM(ber_Med_disc!C6)&amp;", "&amp;ber_Opm!C20),"")</f>
        <v/>
      </c>
      <c r="D7" s="232" t="str">
        <f>IF(Med_disc!H14&lt;&gt;"",Med_disc!H14,"")</f>
        <v/>
      </c>
      <c r="E7" s="233" t="str">
        <f>IF(AND(D7&lt;&gt;"",D7&lt;&gt;"STOP"),ber_Med_disc!H6&amp;" "&amp;ber_Med_disc!F6,"")</f>
        <v/>
      </c>
      <c r="F7" s="233" t="str">
        <f>IF(AND(D7&lt;&gt;"",D7&lt;&gt;"STOP"),ber_Med_disc!L6," ")</f>
        <v xml:space="preserve"> </v>
      </c>
      <c r="G7" s="233" t="str">
        <f>IF(Med_disc!L14&lt;&gt;"",Med_disc!L14&amp;" "&amp;Med_disc!M14&amp;" "&amp;INDEX(ber_Med_disc!$B$27:$B$30,ber_Med_disc!O6,1)&amp;" in "&amp;Med_disc!$O$14,"")</f>
        <v/>
      </c>
      <c r="H7" s="106" t="str">
        <f>IF(OR($D7="1 dd",$D7="2 dd",$D7="3 dd",$D7="4 dd",$D7="5 dd",$D7="6 dd",$D7="8 dd",$D7="12 dd",$D7="24 dd",$D7="an",$D7="zn"),VLOOKUP($D7,ber_tijden_Neo!$A$17:$Y$27,ber_tijden_Neo!B$15,FALSE),"")</f>
        <v/>
      </c>
      <c r="I7" s="611" t="str">
        <f>IF(OR($D7="1 dd",$D7="2 dd",$D7="3 dd",$D7="4 dd",$D7="5 dd",$D7="6 dd",$D7="8 dd",$D7="12 dd",$D7="24 dd",$D7="an",$D7="zn"),VLOOKUP($D7,ber_tijden_Neo!$A$17:$Y$27,ber_tijden_Neo!C$15,FALSE),"")</f>
        <v/>
      </c>
      <c r="J7" s="106" t="str">
        <f>IF(OR($D7="1 dd",$D7="2 dd",$D7="3 dd",$D7="4 dd",$D7="5 dd",$D7="6 dd",$D7="8 dd",$D7="12 dd",$D7="24 dd",$D7="an",$D7="zn"),VLOOKUP($D7,ber_tijden_Neo!$A$17:$Y$27,ber_tijden_Neo!D$15,FALSE),"")</f>
        <v/>
      </c>
      <c r="K7" s="611" t="str">
        <f>IF(OR($D7="1 dd",$D7="2 dd",$D7="3 dd",$D7="4 dd",$D7="5 dd",$D7="6 dd",$D7="8 dd",$D7="12 dd",$D7="24 dd",$D7="an",$D7="zn"),VLOOKUP($D7,ber_tijden_Neo!$A$17:$Y$27,ber_tijden_Neo!E$15,FALSE),"")</f>
        <v/>
      </c>
      <c r="L7" s="106" t="str">
        <f>IF(OR($D7="1 dd",$D7="2 dd",$D7="3 dd",$D7="4 dd",$D7="5 dd",$D7="6 dd",$D7="8 dd",$D7="12 dd",$D7="24 dd",$D7="an",$D7="zn"),VLOOKUP($D7,ber_tijden_Neo!$A$17:$Y$27,ber_tijden_Neo!F$15,FALSE),"")</f>
        <v/>
      </c>
      <c r="M7" s="611" t="str">
        <f>IF(OR($D7="1 dd",$D7="2 dd",$D7="3 dd",$D7="4 dd",$D7="5 dd",$D7="6 dd",$D7="8 dd",$D7="12 dd",$D7="24 dd",$D7="an",$D7="zn"),VLOOKUP($D7,ber_tijden_Neo!$A$17:$Y$27,ber_tijden_Neo!G$15,FALSE),"")</f>
        <v/>
      </c>
      <c r="N7" s="106" t="str">
        <f>IF(OR($D7="1 dd",$D7="2 dd",$D7="3 dd",$D7="4 dd",$D7="5 dd",$D7="6 dd",$D7="8 dd",$D7="12 dd",$D7="24 dd",$D7="an",$D7="zn"),VLOOKUP($D7,ber_tijden_Neo!$A$17:$Y$27,ber_tijden_Neo!H$15,FALSE),"")</f>
        <v/>
      </c>
      <c r="O7" s="611" t="str">
        <f>IF(OR($D7="1 dd",$D7="2 dd",$D7="3 dd",$D7="4 dd",$D7="5 dd",$D7="6 dd",$D7="8 dd",$D7="12 dd",$D7="24 dd",$D7="an",$D7="zn"),VLOOKUP($D7,ber_tijden_Neo!$A$17:$Y$27,ber_tijden_Neo!I$15,FALSE),"")</f>
        <v/>
      </c>
      <c r="P7" s="106" t="str">
        <f>IF(OR($D7="1 dd",$D7="2 dd",$D7="3 dd",$D7="4 dd",$D7="5 dd",$D7="6 dd",$D7="8 dd",$D7="12 dd",$D7="24 dd",$D7="an",$D7="zn"),VLOOKUP($D7,ber_tijden_Neo!$A$17:$Y$27,ber_tijden_Neo!J$15,FALSE),"")</f>
        <v/>
      </c>
      <c r="Q7" s="611" t="str">
        <f>IF(OR($D7="1 dd",$D7="2 dd",$D7="3 dd",$D7="4 dd",$D7="5 dd",$D7="6 dd",$D7="8 dd",$D7="12 dd",$D7="24 dd",$D7="an",$D7="zn"),VLOOKUP($D7,ber_tijden_Neo!$A$17:$Y$27,ber_tijden_Neo!K$15,FALSE),"")</f>
        <v/>
      </c>
      <c r="R7" s="106" t="str">
        <f>IF(OR($D7="1 dd",$D7="2 dd",$D7="3 dd",$D7="4 dd",$D7="5 dd",$D7="6 dd",$D7="8 dd",$D7="12 dd",$D7="24 dd",$D7="an",$D7="zn"),VLOOKUP($D7,ber_tijden_Neo!$A$17:$Y$27,ber_tijden_Neo!L$15,FALSE),"")</f>
        <v/>
      </c>
      <c r="S7" s="611" t="str">
        <f>IF(OR($D7="1 dd",$D7="2 dd",$D7="3 dd",$D7="4 dd",$D7="5 dd",$D7="6 dd",$D7="8 dd",$D7="12 dd",$D7="24 dd",$D7="an",$D7="zn"),VLOOKUP($D7,ber_tijden_Neo!$A$17:$Y$27,ber_tijden_Neo!M$15,FALSE),"")</f>
        <v/>
      </c>
      <c r="T7" s="106" t="str">
        <f>IF(OR($D7="1 dd",$D7="2 dd",$D7="3 dd",$D7="4 dd",$D7="5 dd",$D7="6 dd",$D7="8 dd",$D7="12 dd",$D7="24 dd",$D7="an",$D7="zn"),VLOOKUP($D7,ber_tijden_Neo!$A$17:$Y$27,ber_tijden_Neo!N$15,FALSE),"")</f>
        <v/>
      </c>
      <c r="U7" s="611" t="str">
        <f>IF(OR($D7="1 dd",$D7="2 dd",$D7="3 dd",$D7="4 dd",$D7="5 dd",$D7="6 dd",$D7="8 dd",$D7="12 dd",$D7="24 dd",$D7="an",$D7="zn"),VLOOKUP($D7,ber_tijden_Neo!$A$17:$Y$27,ber_tijden_Neo!O$15,FALSE),"")</f>
        <v/>
      </c>
      <c r="V7" s="106" t="str">
        <f>IF(OR($D7="1 dd",$D7="2 dd",$D7="3 dd",$D7="4 dd",$D7="5 dd",$D7="6 dd",$D7="8 dd",$D7="12 dd",$D7="24 dd",$D7="an",$D7="zn"),VLOOKUP($D7,ber_tijden_Neo!$A$17:$Y$27,ber_tijden_Neo!P$15,FALSE),"")</f>
        <v/>
      </c>
      <c r="W7" s="611" t="str">
        <f>IF(OR($D7="1 dd",$D7="2 dd",$D7="3 dd",$D7="4 dd",$D7="5 dd",$D7="6 dd",$D7="8 dd",$D7="12 dd",$D7="24 dd",$D7="an",$D7="zn"),VLOOKUP($D7,ber_tijden_Neo!$A$17:$Y$27,ber_tijden_Neo!Q$15,FALSE),"")</f>
        <v/>
      </c>
      <c r="X7" s="106" t="str">
        <f>IF(OR($D7="1 dd",$D7="2 dd",$D7="3 dd",$D7="4 dd",$D7="5 dd",$D7="6 dd",$D7="8 dd",$D7="12 dd",$D7="24 dd",$D7="an",$D7="zn"),VLOOKUP($D7,ber_tijden_Neo!$A$17:$Y$27,ber_tijden_Neo!R$15,FALSE),"")</f>
        <v/>
      </c>
      <c r="Y7" s="611" t="str">
        <f>IF(OR($D7="1 dd",$D7="2 dd",$D7="3 dd",$D7="4 dd",$D7="5 dd",$D7="6 dd",$D7="8 dd",$D7="12 dd",$D7="24 dd",$D7="an",$D7="zn"),VLOOKUP($D7,ber_tijden_Neo!$A$17:$Y$27,ber_tijden_Neo!S$15,FALSE),"")</f>
        <v/>
      </c>
      <c r="Z7" s="106" t="str">
        <f>IF(OR($D7="1 dd",$D7="2 dd",$D7="3 dd",$D7="4 dd",$D7="5 dd",$D7="6 dd",$D7="8 dd",$D7="12 dd",$D7="24 dd",$D7="an",$D7="zn"),VLOOKUP($D7,ber_tijden_Neo!$A$17:$Y$27,ber_tijden_Neo!T$15,FALSE),"")</f>
        <v/>
      </c>
      <c r="AA7" s="611" t="str">
        <f>IF(OR($D7="1 dd",$D7="2 dd",$D7="3 dd",$D7="4 dd",$D7="5 dd",$D7="6 dd",$D7="8 dd",$D7="12 dd",$D7="24 dd",$D7="an",$D7="zn"),VLOOKUP($D7,ber_tijden_Neo!$A$17:$Y$27,ber_tijden_Neo!U$15,FALSE),"")</f>
        <v/>
      </c>
      <c r="AB7" s="106" t="str">
        <f>IF(OR($D7="1 dd",$D7="2 dd",$D7="3 dd",$D7="4 dd",$D7="5 dd",$D7="6 dd",$D7="8 dd",$D7="12 dd",$D7="24 dd",$D7="an",$D7="zn"),VLOOKUP($D7,ber_tijden_Neo!$A$17:$Y$27,ber_tijden_Neo!V$15,FALSE),"")</f>
        <v/>
      </c>
      <c r="AC7" s="611" t="str">
        <f>IF(OR($D7="1 dd",$D7="2 dd",$D7="3 dd",$D7="4 dd",$D7="5 dd",$D7="6 dd",$D7="8 dd",$D7="12 dd",$D7="24 dd",$D7="an",$D7="zn"),VLOOKUP($D7,ber_tijden_Neo!$A$17:$Y$27,ber_tijden_Neo!W$15,FALSE),"")</f>
        <v/>
      </c>
      <c r="AD7" s="106" t="str">
        <f>IF(OR($D7="1 dd",$D7="2 dd",$D7="3 dd",$D7="4 dd",$D7="5 dd",$D7="6 dd",$D7="8 dd",$D7="12 dd",$D7="24 dd",$D7="an",$D7="zn"),VLOOKUP($D7,ber_tijden_Neo!$A$17:$Y$27,ber_tijden_Neo!X$15,FALSE),"")</f>
        <v/>
      </c>
      <c r="AE7" s="611" t="str">
        <f>IF(OR($D7="1 dd",$D7="2 dd",$D7="3 dd",$D7="4 dd",$D7="5 dd",$D7="6 dd",$D7="8 dd",$D7="12 dd",$D7="24 dd",$D7="an",$D7="zn"),VLOOKUP($D7,ber_tijden_Neo!$A$17:$Y$27,ber_tijden_Neo!Y$15,FALSE),"")</f>
        <v/>
      </c>
      <c r="AF7" s="105"/>
      <c r="AG7" s="17"/>
    </row>
    <row r="8" spans="1:33" ht="26.1" customHeight="1" x14ac:dyDescent="0.35">
      <c r="B8" s="107"/>
      <c r="C8" s="231" t="str">
        <f>IF(ber_Med_disc!C7&lt;&gt;"",IF(ber_Med_disc!C7&gt;1,TRIM(ber_Med_disc!C7)&amp;", "&amp;ber_Opm!C21&amp;" ("&amp;ber_Med_disc!M7&amp;" "&amp;ber_Med_disc!F7&amp;"/kg/dag)",TRIM(ber_Med_disc!C7)&amp;", "&amp;ber_Opm!C21),"")</f>
        <v/>
      </c>
      <c r="D8" s="232" t="str">
        <f>IF(Med_disc!H16&lt;&gt;"",Med_disc!H16,"")</f>
        <v/>
      </c>
      <c r="E8" s="233" t="str">
        <f>IF(AND(D8&lt;&gt;"",D8&lt;&gt;"STOP"),ber_Med_disc!H7&amp;" "&amp;ber_Med_disc!F7,"")</f>
        <v/>
      </c>
      <c r="F8" s="233" t="str">
        <f>IF(AND(D8&lt;&gt;"",D8&lt;&gt;"STOP"),ber_Med_disc!L7," ")</f>
        <v xml:space="preserve"> </v>
      </c>
      <c r="G8" s="233" t="str">
        <f>IF(Med_disc!L16&lt;&gt;"",Med_disc!L16&amp;" "&amp;Med_disc!M16&amp;" "&amp;INDEX(ber_Med_disc!$B$27:$B$30,ber_Med_disc!O7,1)&amp;" in "&amp;Med_disc!$O$16,"")</f>
        <v/>
      </c>
      <c r="H8" s="106" t="str">
        <f>IF(OR($D8="1 dd",$D8="2 dd",$D8="3 dd",$D8="4 dd",$D8="5 dd",$D8="6 dd",$D8="8 dd",$D8="12 dd",$D8="24 dd",$D8="an",$D8="zn"),VLOOKUP($D8,ber_tijden_Neo!$A$17:$Y$27,ber_tijden_Neo!B$15,FALSE),"")</f>
        <v/>
      </c>
      <c r="I8" s="611" t="str">
        <f>IF(OR($D8="1 dd",$D8="2 dd",$D8="3 dd",$D8="4 dd",$D8="5 dd",$D8="6 dd",$D8="8 dd",$D8="12 dd",$D8="24 dd",$D8="an",$D8="zn"),VLOOKUP($D8,ber_tijden_Neo!$A$17:$Y$27,ber_tijden_Neo!C$15,FALSE),"")</f>
        <v/>
      </c>
      <c r="J8" s="106" t="str">
        <f>IF(OR($D8="1 dd",$D8="2 dd",$D8="3 dd",$D8="4 dd",$D8="5 dd",$D8="6 dd",$D8="8 dd",$D8="12 dd",$D8="24 dd",$D8="an",$D8="zn"),VLOOKUP($D8,ber_tijden_Neo!$A$17:$Y$27,ber_tijden_Neo!D$15,FALSE),"")</f>
        <v/>
      </c>
      <c r="K8" s="611" t="str">
        <f>IF(OR($D8="1 dd",$D8="2 dd",$D8="3 dd",$D8="4 dd",$D8="5 dd",$D8="6 dd",$D8="8 dd",$D8="12 dd",$D8="24 dd",$D8="an",$D8="zn"),VLOOKUP($D8,ber_tijden_Neo!$A$17:$Y$27,ber_tijden_Neo!E$15,FALSE),"")</f>
        <v/>
      </c>
      <c r="L8" s="106" t="str">
        <f>IF(OR($D8="1 dd",$D8="2 dd",$D8="3 dd",$D8="4 dd",$D8="5 dd",$D8="6 dd",$D8="8 dd",$D8="12 dd",$D8="24 dd",$D8="an",$D8="zn"),VLOOKUP($D8,ber_tijden_Neo!$A$17:$Y$27,ber_tijden_Neo!F$15,FALSE),"")</f>
        <v/>
      </c>
      <c r="M8" s="611" t="str">
        <f>IF(OR($D8="1 dd",$D8="2 dd",$D8="3 dd",$D8="4 dd",$D8="5 dd",$D8="6 dd",$D8="8 dd",$D8="12 dd",$D8="24 dd",$D8="an",$D8="zn"),VLOOKUP($D8,ber_tijden_Neo!$A$17:$Y$27,ber_tijden_Neo!G$15,FALSE),"")</f>
        <v/>
      </c>
      <c r="N8" s="106" t="str">
        <f>IF(OR($D8="1 dd",$D8="2 dd",$D8="3 dd",$D8="4 dd",$D8="5 dd",$D8="6 dd",$D8="8 dd",$D8="12 dd",$D8="24 dd",$D8="an",$D8="zn"),VLOOKUP($D8,ber_tijden_Neo!$A$17:$Y$27,ber_tijden_Neo!H$15,FALSE),"")</f>
        <v/>
      </c>
      <c r="O8" s="611" t="str">
        <f>IF(OR($D8="1 dd",$D8="2 dd",$D8="3 dd",$D8="4 dd",$D8="5 dd",$D8="6 dd",$D8="8 dd",$D8="12 dd",$D8="24 dd",$D8="an",$D8="zn"),VLOOKUP($D8,ber_tijden_Neo!$A$17:$Y$27,ber_tijden_Neo!I$15,FALSE),"")</f>
        <v/>
      </c>
      <c r="P8" s="106" t="str">
        <f>IF(OR($D8="1 dd",$D8="2 dd",$D8="3 dd",$D8="4 dd",$D8="5 dd",$D8="6 dd",$D8="8 dd",$D8="12 dd",$D8="24 dd",$D8="an",$D8="zn"),VLOOKUP($D8,ber_tijden_Neo!$A$17:$Y$27,ber_tijden_Neo!J$15,FALSE),"")</f>
        <v/>
      </c>
      <c r="Q8" s="611" t="str">
        <f>IF(OR($D8="1 dd",$D8="2 dd",$D8="3 dd",$D8="4 dd",$D8="5 dd",$D8="6 dd",$D8="8 dd",$D8="12 dd",$D8="24 dd",$D8="an",$D8="zn"),VLOOKUP($D8,ber_tijden_Neo!$A$17:$Y$27,ber_tijden_Neo!K$15,FALSE),"")</f>
        <v/>
      </c>
      <c r="R8" s="106" t="str">
        <f>IF(OR($D8="1 dd",$D8="2 dd",$D8="3 dd",$D8="4 dd",$D8="5 dd",$D8="6 dd",$D8="8 dd",$D8="12 dd",$D8="24 dd",$D8="an",$D8="zn"),VLOOKUP($D8,ber_tijden_Neo!$A$17:$Y$27,ber_tijden_Neo!L$15,FALSE),"")</f>
        <v/>
      </c>
      <c r="S8" s="611" t="str">
        <f>IF(OR($D8="1 dd",$D8="2 dd",$D8="3 dd",$D8="4 dd",$D8="5 dd",$D8="6 dd",$D8="8 dd",$D8="12 dd",$D8="24 dd",$D8="an",$D8="zn"),VLOOKUP($D8,ber_tijden_Neo!$A$17:$Y$27,ber_tijden_Neo!M$15,FALSE),"")</f>
        <v/>
      </c>
      <c r="T8" s="106" t="str">
        <f>IF(OR($D8="1 dd",$D8="2 dd",$D8="3 dd",$D8="4 dd",$D8="5 dd",$D8="6 dd",$D8="8 dd",$D8="12 dd",$D8="24 dd",$D8="an",$D8="zn"),VLOOKUP($D8,ber_tijden_Neo!$A$17:$Y$27,ber_tijden_Neo!N$15,FALSE),"")</f>
        <v/>
      </c>
      <c r="U8" s="611" t="str">
        <f>IF(OR($D8="1 dd",$D8="2 dd",$D8="3 dd",$D8="4 dd",$D8="5 dd",$D8="6 dd",$D8="8 dd",$D8="12 dd",$D8="24 dd",$D8="an",$D8="zn"),VLOOKUP($D8,ber_tijden_Neo!$A$17:$Y$27,ber_tijden_Neo!O$15,FALSE),"")</f>
        <v/>
      </c>
      <c r="V8" s="106" t="str">
        <f>IF(OR($D8="1 dd",$D8="2 dd",$D8="3 dd",$D8="4 dd",$D8="5 dd",$D8="6 dd",$D8="8 dd",$D8="12 dd",$D8="24 dd",$D8="an",$D8="zn"),VLOOKUP($D8,ber_tijden_Neo!$A$17:$Y$27,ber_tijden_Neo!P$15,FALSE),"")</f>
        <v/>
      </c>
      <c r="W8" s="611" t="str">
        <f>IF(OR($D8="1 dd",$D8="2 dd",$D8="3 dd",$D8="4 dd",$D8="5 dd",$D8="6 dd",$D8="8 dd",$D8="12 dd",$D8="24 dd",$D8="an",$D8="zn"),VLOOKUP($D8,ber_tijden_Neo!$A$17:$Y$27,ber_tijden_Neo!Q$15,FALSE),"")</f>
        <v/>
      </c>
      <c r="X8" s="106" t="str">
        <f>IF(OR($D8="1 dd",$D8="2 dd",$D8="3 dd",$D8="4 dd",$D8="5 dd",$D8="6 dd",$D8="8 dd",$D8="12 dd",$D8="24 dd",$D8="an",$D8="zn"),VLOOKUP($D8,ber_tijden_Neo!$A$17:$Y$27,ber_tijden_Neo!R$15,FALSE),"")</f>
        <v/>
      </c>
      <c r="Y8" s="611" t="str">
        <f>IF(OR($D8="1 dd",$D8="2 dd",$D8="3 dd",$D8="4 dd",$D8="5 dd",$D8="6 dd",$D8="8 dd",$D8="12 dd",$D8="24 dd",$D8="an",$D8="zn"),VLOOKUP($D8,ber_tijden_Neo!$A$17:$Y$27,ber_tijden_Neo!S$15,FALSE),"")</f>
        <v/>
      </c>
      <c r="Z8" s="106" t="str">
        <f>IF(OR($D8="1 dd",$D8="2 dd",$D8="3 dd",$D8="4 dd",$D8="5 dd",$D8="6 dd",$D8="8 dd",$D8="12 dd",$D8="24 dd",$D8="an",$D8="zn"),VLOOKUP($D8,ber_tijden_Neo!$A$17:$Y$27,ber_tijden_Neo!T$15,FALSE),"")</f>
        <v/>
      </c>
      <c r="AA8" s="611" t="str">
        <f>IF(OR($D8="1 dd",$D8="2 dd",$D8="3 dd",$D8="4 dd",$D8="5 dd",$D8="6 dd",$D8="8 dd",$D8="12 dd",$D8="24 dd",$D8="an",$D8="zn"),VLOOKUP($D8,ber_tijden_Neo!$A$17:$Y$27,ber_tijden_Neo!U$15,FALSE),"")</f>
        <v/>
      </c>
      <c r="AB8" s="106" t="str">
        <f>IF(OR($D8="1 dd",$D8="2 dd",$D8="3 dd",$D8="4 dd",$D8="5 dd",$D8="6 dd",$D8="8 dd",$D8="12 dd",$D8="24 dd",$D8="an",$D8="zn"),VLOOKUP($D8,ber_tijden_Neo!$A$17:$Y$27,ber_tijden_Neo!V$15,FALSE),"")</f>
        <v/>
      </c>
      <c r="AC8" s="611" t="str">
        <f>IF(OR($D8="1 dd",$D8="2 dd",$D8="3 dd",$D8="4 dd",$D8="5 dd",$D8="6 dd",$D8="8 dd",$D8="12 dd",$D8="24 dd",$D8="an",$D8="zn"),VLOOKUP($D8,ber_tijden_Neo!$A$17:$Y$27,ber_tijden_Neo!W$15,FALSE),"")</f>
        <v/>
      </c>
      <c r="AD8" s="106" t="str">
        <f>IF(OR($D8="1 dd",$D8="2 dd",$D8="3 dd",$D8="4 dd",$D8="5 dd",$D8="6 dd",$D8="8 dd",$D8="12 dd",$D8="24 dd",$D8="an",$D8="zn"),VLOOKUP($D8,ber_tijden_Neo!$A$17:$Y$27,ber_tijden_Neo!X$15,FALSE),"")</f>
        <v/>
      </c>
      <c r="AE8" s="611" t="str">
        <f>IF(OR($D8="1 dd",$D8="2 dd",$D8="3 dd",$D8="4 dd",$D8="5 dd",$D8="6 dd",$D8="8 dd",$D8="12 dd",$D8="24 dd",$D8="an",$D8="zn"),VLOOKUP($D8,ber_tijden_Neo!$A$17:$Y$27,ber_tijden_Neo!Y$15,FALSE),"")</f>
        <v/>
      </c>
      <c r="AF8" s="105"/>
      <c r="AG8" s="17"/>
    </row>
    <row r="9" spans="1:33" ht="26.1" customHeight="1" x14ac:dyDescent="0.35">
      <c r="B9" s="107"/>
      <c r="C9" s="231" t="str">
        <f>IF(ber_Med_disc!C8&lt;&gt;"",IF(ber_Med_disc!C8&gt;1,TRIM(ber_Med_disc!C8)&amp;", "&amp;ber_Opm!C22&amp;" ("&amp;ber_Med_disc!M8&amp;" "&amp;ber_Med_disc!F8&amp;"/kg/dag)",TRIM(ber_Med_disc!C8)&amp;", "&amp;ber_Opm!C22),"")</f>
        <v/>
      </c>
      <c r="D9" s="232" t="str">
        <f>IF(Med_disc!H18&lt;&gt;"",Med_disc!H18,"")</f>
        <v/>
      </c>
      <c r="E9" s="233" t="str">
        <f>IF(AND(D9&lt;&gt;"",D9&lt;&gt;"STOP"),ber_Med_disc!H8&amp;" "&amp;ber_Med_disc!F8,"")</f>
        <v/>
      </c>
      <c r="F9" s="233" t="str">
        <f>IF(AND(D9&lt;&gt;"",D9&lt;&gt;"STOP"),ber_Med_disc!L8," ")</f>
        <v xml:space="preserve"> </v>
      </c>
      <c r="G9" s="233" t="str">
        <f>IF(Med_disc!L18&lt;&gt;"",Med_disc!L18&amp;" "&amp;Med_disc!M18&amp;" "&amp;INDEX(ber_Med_disc!$B$27:$B$30,ber_Med_disc!O8,1)&amp;" in "&amp;Med_disc!$O$18,"")</f>
        <v/>
      </c>
      <c r="H9" s="106" t="str">
        <f>IF(OR($D9="1 dd",$D9="2 dd",$D9="3 dd",$D9="4 dd",$D9="5 dd",$D9="6 dd",$D9="8 dd",$D9="12 dd",$D9="24 dd",$D9="an",$D9="zn"),VLOOKUP($D9,ber_tijden_Neo!$A$17:$Y$27,ber_tijden_Neo!B$15,FALSE),"")</f>
        <v/>
      </c>
      <c r="I9" s="611" t="str">
        <f>IF(OR($D9="1 dd",$D9="2 dd",$D9="3 dd",$D9="4 dd",$D9="5 dd",$D9="6 dd",$D9="8 dd",$D9="12 dd",$D9="24 dd",$D9="an",$D9="zn"),VLOOKUP($D9,ber_tijden_Neo!$A$17:$Y$27,ber_tijden_Neo!C$15,FALSE),"")</f>
        <v/>
      </c>
      <c r="J9" s="106" t="str">
        <f>IF(OR($D9="1 dd",$D9="2 dd",$D9="3 dd",$D9="4 dd",$D9="5 dd",$D9="6 dd",$D9="8 dd",$D9="12 dd",$D9="24 dd",$D9="an",$D9="zn"),VLOOKUP($D9,ber_tijden_Neo!$A$17:$Y$27,ber_tijden_Neo!D$15,FALSE),"")</f>
        <v/>
      </c>
      <c r="K9" s="611" t="str">
        <f>IF(OR($D9="1 dd",$D9="2 dd",$D9="3 dd",$D9="4 dd",$D9="5 dd",$D9="6 dd",$D9="8 dd",$D9="12 dd",$D9="24 dd",$D9="an",$D9="zn"),VLOOKUP($D9,ber_tijden_Neo!$A$17:$Y$27,ber_tijden_Neo!E$15,FALSE),"")</f>
        <v/>
      </c>
      <c r="L9" s="106" t="str">
        <f>IF(OR($D9="1 dd",$D9="2 dd",$D9="3 dd",$D9="4 dd",$D9="5 dd",$D9="6 dd",$D9="8 dd",$D9="12 dd",$D9="24 dd",$D9="an",$D9="zn"),VLOOKUP($D9,ber_tijden_Neo!$A$17:$Y$27,ber_tijden_Neo!F$15,FALSE),"")</f>
        <v/>
      </c>
      <c r="M9" s="611" t="str">
        <f>IF(OR($D9="1 dd",$D9="2 dd",$D9="3 dd",$D9="4 dd",$D9="5 dd",$D9="6 dd",$D9="8 dd",$D9="12 dd",$D9="24 dd",$D9="an",$D9="zn"),VLOOKUP($D9,ber_tijden_Neo!$A$17:$Y$27,ber_tijden_Neo!G$15,FALSE),"")</f>
        <v/>
      </c>
      <c r="N9" s="106" t="str">
        <f>IF(OR($D9="1 dd",$D9="2 dd",$D9="3 dd",$D9="4 dd",$D9="5 dd",$D9="6 dd",$D9="8 dd",$D9="12 dd",$D9="24 dd",$D9="an",$D9="zn"),VLOOKUP($D9,ber_tijden_Neo!$A$17:$Y$27,ber_tijden_Neo!H$15,FALSE),"")</f>
        <v/>
      </c>
      <c r="O9" s="611" t="str">
        <f>IF(OR($D9="1 dd",$D9="2 dd",$D9="3 dd",$D9="4 dd",$D9="5 dd",$D9="6 dd",$D9="8 dd",$D9="12 dd",$D9="24 dd",$D9="an",$D9="zn"),VLOOKUP($D9,ber_tijden_Neo!$A$17:$Y$27,ber_tijden_Neo!I$15,FALSE),"")</f>
        <v/>
      </c>
      <c r="P9" s="106" t="str">
        <f>IF(OR($D9="1 dd",$D9="2 dd",$D9="3 dd",$D9="4 dd",$D9="5 dd",$D9="6 dd",$D9="8 dd",$D9="12 dd",$D9="24 dd",$D9="an",$D9="zn"),VLOOKUP($D9,ber_tijden_Neo!$A$17:$Y$27,ber_tijden_Neo!J$15,FALSE),"")</f>
        <v/>
      </c>
      <c r="Q9" s="611" t="str">
        <f>IF(OR($D9="1 dd",$D9="2 dd",$D9="3 dd",$D9="4 dd",$D9="5 dd",$D9="6 dd",$D9="8 dd",$D9="12 dd",$D9="24 dd",$D9="an",$D9="zn"),VLOOKUP($D9,ber_tijden_Neo!$A$17:$Y$27,ber_tijden_Neo!K$15,FALSE),"")</f>
        <v/>
      </c>
      <c r="R9" s="106" t="str">
        <f>IF(OR($D9="1 dd",$D9="2 dd",$D9="3 dd",$D9="4 dd",$D9="5 dd",$D9="6 dd",$D9="8 dd",$D9="12 dd",$D9="24 dd",$D9="an",$D9="zn"),VLOOKUP($D9,ber_tijden_Neo!$A$17:$Y$27,ber_tijden_Neo!L$15,FALSE),"")</f>
        <v/>
      </c>
      <c r="S9" s="611" t="str">
        <f>IF(OR($D9="1 dd",$D9="2 dd",$D9="3 dd",$D9="4 dd",$D9="5 dd",$D9="6 dd",$D9="8 dd",$D9="12 dd",$D9="24 dd",$D9="an",$D9="zn"),VLOOKUP($D9,ber_tijden_Neo!$A$17:$Y$27,ber_tijden_Neo!M$15,FALSE),"")</f>
        <v/>
      </c>
      <c r="T9" s="106" t="str">
        <f>IF(OR($D9="1 dd",$D9="2 dd",$D9="3 dd",$D9="4 dd",$D9="5 dd",$D9="6 dd",$D9="8 dd",$D9="12 dd",$D9="24 dd",$D9="an",$D9="zn"),VLOOKUP($D9,ber_tijden_Neo!$A$17:$Y$27,ber_tijden_Neo!N$15,FALSE),"")</f>
        <v/>
      </c>
      <c r="U9" s="611" t="str">
        <f>IF(OR($D9="1 dd",$D9="2 dd",$D9="3 dd",$D9="4 dd",$D9="5 dd",$D9="6 dd",$D9="8 dd",$D9="12 dd",$D9="24 dd",$D9="an",$D9="zn"),VLOOKUP($D9,ber_tijden_Neo!$A$17:$Y$27,ber_tijden_Neo!O$15,FALSE),"")</f>
        <v/>
      </c>
      <c r="V9" s="106" t="str">
        <f>IF(OR($D9="1 dd",$D9="2 dd",$D9="3 dd",$D9="4 dd",$D9="5 dd",$D9="6 dd",$D9="8 dd",$D9="12 dd",$D9="24 dd",$D9="an",$D9="zn"),VLOOKUP($D9,ber_tijden_Neo!$A$17:$Y$27,ber_tijden_Neo!P$15,FALSE),"")</f>
        <v/>
      </c>
      <c r="W9" s="611" t="str">
        <f>IF(OR($D9="1 dd",$D9="2 dd",$D9="3 dd",$D9="4 dd",$D9="5 dd",$D9="6 dd",$D9="8 dd",$D9="12 dd",$D9="24 dd",$D9="an",$D9="zn"),VLOOKUP($D9,ber_tijden_Neo!$A$17:$Y$27,ber_tijden_Neo!Q$15,FALSE),"")</f>
        <v/>
      </c>
      <c r="X9" s="106" t="str">
        <f>IF(OR($D9="1 dd",$D9="2 dd",$D9="3 dd",$D9="4 dd",$D9="5 dd",$D9="6 dd",$D9="8 dd",$D9="12 dd",$D9="24 dd",$D9="an",$D9="zn"),VLOOKUP($D9,ber_tijden_Neo!$A$17:$Y$27,ber_tijden_Neo!R$15,FALSE),"")</f>
        <v/>
      </c>
      <c r="Y9" s="611" t="str">
        <f>IF(OR($D9="1 dd",$D9="2 dd",$D9="3 dd",$D9="4 dd",$D9="5 dd",$D9="6 dd",$D9="8 dd",$D9="12 dd",$D9="24 dd",$D9="an",$D9="zn"),VLOOKUP($D9,ber_tijden_Neo!$A$17:$Y$27,ber_tijden_Neo!S$15,FALSE),"")</f>
        <v/>
      </c>
      <c r="Z9" s="106" t="str">
        <f>IF(OR($D9="1 dd",$D9="2 dd",$D9="3 dd",$D9="4 dd",$D9="5 dd",$D9="6 dd",$D9="8 dd",$D9="12 dd",$D9="24 dd",$D9="an",$D9="zn"),VLOOKUP($D9,ber_tijden_Neo!$A$17:$Y$27,ber_tijden_Neo!T$15,FALSE),"")</f>
        <v/>
      </c>
      <c r="AA9" s="611" t="str">
        <f>IF(OR($D9="1 dd",$D9="2 dd",$D9="3 dd",$D9="4 dd",$D9="5 dd",$D9="6 dd",$D9="8 dd",$D9="12 dd",$D9="24 dd",$D9="an",$D9="zn"),VLOOKUP($D9,ber_tijden_Neo!$A$17:$Y$27,ber_tijden_Neo!U$15,FALSE),"")</f>
        <v/>
      </c>
      <c r="AB9" s="106" t="str">
        <f>IF(OR($D9="1 dd",$D9="2 dd",$D9="3 dd",$D9="4 dd",$D9="5 dd",$D9="6 dd",$D9="8 dd",$D9="12 dd",$D9="24 dd",$D9="an",$D9="zn"),VLOOKUP($D9,ber_tijden_Neo!$A$17:$Y$27,ber_tijden_Neo!V$15,FALSE),"")</f>
        <v/>
      </c>
      <c r="AC9" s="611" t="str">
        <f>IF(OR($D9="1 dd",$D9="2 dd",$D9="3 dd",$D9="4 dd",$D9="5 dd",$D9="6 dd",$D9="8 dd",$D9="12 dd",$D9="24 dd",$D9="an",$D9="zn"),VLOOKUP($D9,ber_tijden_Neo!$A$17:$Y$27,ber_tijden_Neo!W$15,FALSE),"")</f>
        <v/>
      </c>
      <c r="AD9" s="106" t="str">
        <f>IF(OR($D9="1 dd",$D9="2 dd",$D9="3 dd",$D9="4 dd",$D9="5 dd",$D9="6 dd",$D9="8 dd",$D9="12 dd",$D9="24 dd",$D9="an",$D9="zn"),VLOOKUP($D9,ber_tijden_Neo!$A$17:$Y$27,ber_tijden_Neo!X$15,FALSE),"")</f>
        <v/>
      </c>
      <c r="AE9" s="611" t="str">
        <f>IF(OR($D9="1 dd",$D9="2 dd",$D9="3 dd",$D9="4 dd",$D9="5 dd",$D9="6 dd",$D9="8 dd",$D9="12 dd",$D9="24 dd",$D9="an",$D9="zn"),VLOOKUP($D9,ber_tijden_Neo!$A$17:$Y$27,ber_tijden_Neo!Y$15,FALSE),"")</f>
        <v/>
      </c>
      <c r="AF9" s="105"/>
      <c r="AG9" s="17"/>
    </row>
    <row r="10" spans="1:33" ht="26.1" customHeight="1" x14ac:dyDescent="0.35">
      <c r="B10" s="107"/>
      <c r="C10" s="231" t="str">
        <f>IF(ber_Med_disc!C9&lt;&gt;"",IF(ber_Med_disc!C9&gt;1,TRIM(ber_Med_disc!C9)&amp;", "&amp;ber_Opm!C23&amp;" ("&amp;ber_Med_disc!M9&amp;" "&amp;ber_Med_disc!F9&amp;"/kg/dag)",TRIM(ber_Med_disc!C9)&amp;", "&amp;ber_Opm!C23),"")</f>
        <v/>
      </c>
      <c r="D10" s="232" t="str">
        <f>IF(Med_disc!H20&lt;&gt;"",Med_disc!H20,"")</f>
        <v/>
      </c>
      <c r="E10" s="233" t="str">
        <f>IF(AND(D10&lt;&gt;"",D10&lt;&gt;"STOP"),ber_Med_disc!H9&amp;" "&amp;ber_Med_disc!F9,"")</f>
        <v/>
      </c>
      <c r="F10" s="233" t="str">
        <f>IF(AND(D10&lt;&gt;"",D10&lt;&gt;"STOP"),ber_Med_disc!L9," ")</f>
        <v xml:space="preserve"> </v>
      </c>
      <c r="G10" s="233" t="str">
        <f>IF(Med_disc!L20&lt;&gt;"",Med_disc!L20&amp;" "&amp;Med_disc!M20&amp;" "&amp;INDEX(ber_Med_disc!$B$27:$B$30,ber_Med_disc!O9,1)&amp;" in "&amp;Med_disc!$O$20,"")</f>
        <v/>
      </c>
      <c r="H10" s="106" t="str">
        <f>IF(OR($D10="1 dd",$D10="2 dd",$D10="3 dd",$D10="4 dd",$D10="5 dd",$D10="6 dd",$D10="8 dd",$D10="12 dd",$D10="24 dd",$D10="an",$D10="zn"),VLOOKUP($D10,ber_tijden_Neo!$A$17:$Y$27,ber_tijden_Neo!B$15,FALSE),"")</f>
        <v/>
      </c>
      <c r="I10" s="611" t="str">
        <f>IF(OR($D10="1 dd",$D10="2 dd",$D10="3 dd",$D10="4 dd",$D10="5 dd",$D10="6 dd",$D10="8 dd",$D10="12 dd",$D10="24 dd",$D10="an",$D10="zn"),VLOOKUP($D10,ber_tijden_Neo!$A$17:$Y$27,ber_tijden_Neo!C$15,FALSE),"")</f>
        <v/>
      </c>
      <c r="J10" s="106" t="str">
        <f>IF(OR($D10="1 dd",$D10="2 dd",$D10="3 dd",$D10="4 dd",$D10="5 dd",$D10="6 dd",$D10="8 dd",$D10="12 dd",$D10="24 dd",$D10="an",$D10="zn"),VLOOKUP($D10,ber_tijden_Neo!$A$17:$Y$27,ber_tijden_Neo!D$15,FALSE),"")</f>
        <v/>
      </c>
      <c r="K10" s="611" t="str">
        <f>IF(OR($D10="1 dd",$D10="2 dd",$D10="3 dd",$D10="4 dd",$D10="5 dd",$D10="6 dd",$D10="8 dd",$D10="12 dd",$D10="24 dd",$D10="an",$D10="zn"),VLOOKUP($D10,ber_tijden_Neo!$A$17:$Y$27,ber_tijden_Neo!E$15,FALSE),"")</f>
        <v/>
      </c>
      <c r="L10" s="106" t="str">
        <f>IF(OR($D10="1 dd",$D10="2 dd",$D10="3 dd",$D10="4 dd",$D10="5 dd",$D10="6 dd",$D10="8 dd",$D10="12 dd",$D10="24 dd",$D10="an",$D10="zn"),VLOOKUP($D10,ber_tijden_Neo!$A$17:$Y$27,ber_tijden_Neo!F$15,FALSE),"")</f>
        <v/>
      </c>
      <c r="M10" s="611" t="str">
        <f>IF(OR($D10="1 dd",$D10="2 dd",$D10="3 dd",$D10="4 dd",$D10="5 dd",$D10="6 dd",$D10="8 dd",$D10="12 dd",$D10="24 dd",$D10="an",$D10="zn"),VLOOKUP($D10,ber_tijden_Neo!$A$17:$Y$27,ber_tijden_Neo!G$15,FALSE),"")</f>
        <v/>
      </c>
      <c r="N10" s="106" t="str">
        <f>IF(OR($D10="1 dd",$D10="2 dd",$D10="3 dd",$D10="4 dd",$D10="5 dd",$D10="6 dd",$D10="8 dd",$D10="12 dd",$D10="24 dd",$D10="an",$D10="zn"),VLOOKUP($D10,ber_tijden_Neo!$A$17:$Y$27,ber_tijden_Neo!H$15,FALSE),"")</f>
        <v/>
      </c>
      <c r="O10" s="611" t="str">
        <f>IF(OR($D10="1 dd",$D10="2 dd",$D10="3 dd",$D10="4 dd",$D10="5 dd",$D10="6 dd",$D10="8 dd",$D10="12 dd",$D10="24 dd",$D10="an",$D10="zn"),VLOOKUP($D10,ber_tijden_Neo!$A$17:$Y$27,ber_tijden_Neo!I$15,FALSE),"")</f>
        <v/>
      </c>
      <c r="P10" s="106" t="str">
        <f>IF(OR($D10="1 dd",$D10="2 dd",$D10="3 dd",$D10="4 dd",$D10="5 dd",$D10="6 dd",$D10="8 dd",$D10="12 dd",$D10="24 dd",$D10="an",$D10="zn"),VLOOKUP($D10,ber_tijden_Neo!$A$17:$Y$27,ber_tijden_Neo!J$15,FALSE),"")</f>
        <v/>
      </c>
      <c r="Q10" s="611" t="str">
        <f>IF(OR($D10="1 dd",$D10="2 dd",$D10="3 dd",$D10="4 dd",$D10="5 dd",$D10="6 dd",$D10="8 dd",$D10="12 dd",$D10="24 dd",$D10="an",$D10="zn"),VLOOKUP($D10,ber_tijden_Neo!$A$17:$Y$27,ber_tijden_Neo!K$15,FALSE),"")</f>
        <v/>
      </c>
      <c r="R10" s="106" t="str">
        <f>IF(OR($D10="1 dd",$D10="2 dd",$D10="3 dd",$D10="4 dd",$D10="5 dd",$D10="6 dd",$D10="8 dd",$D10="12 dd",$D10="24 dd",$D10="an",$D10="zn"),VLOOKUP($D10,ber_tijden_Neo!$A$17:$Y$27,ber_tijden_Neo!L$15,FALSE),"")</f>
        <v/>
      </c>
      <c r="S10" s="611" t="str">
        <f>IF(OR($D10="1 dd",$D10="2 dd",$D10="3 dd",$D10="4 dd",$D10="5 dd",$D10="6 dd",$D10="8 dd",$D10="12 dd",$D10="24 dd",$D10="an",$D10="zn"),VLOOKUP($D10,ber_tijden_Neo!$A$17:$Y$27,ber_tijden_Neo!M$15,FALSE),"")</f>
        <v/>
      </c>
      <c r="T10" s="106" t="str">
        <f>IF(OR($D10="1 dd",$D10="2 dd",$D10="3 dd",$D10="4 dd",$D10="5 dd",$D10="6 dd",$D10="8 dd",$D10="12 dd",$D10="24 dd",$D10="an",$D10="zn"),VLOOKUP($D10,ber_tijden_Neo!$A$17:$Y$27,ber_tijden_Neo!N$15,FALSE),"")</f>
        <v/>
      </c>
      <c r="U10" s="611" t="str">
        <f>IF(OR($D10="1 dd",$D10="2 dd",$D10="3 dd",$D10="4 dd",$D10="5 dd",$D10="6 dd",$D10="8 dd",$D10="12 dd",$D10="24 dd",$D10="an",$D10="zn"),VLOOKUP($D10,ber_tijden_Neo!$A$17:$Y$27,ber_tijden_Neo!O$15,FALSE),"")</f>
        <v/>
      </c>
      <c r="V10" s="106" t="str">
        <f>IF(OR($D10="1 dd",$D10="2 dd",$D10="3 dd",$D10="4 dd",$D10="5 dd",$D10="6 dd",$D10="8 dd",$D10="12 dd",$D10="24 dd",$D10="an",$D10="zn"),VLOOKUP($D10,ber_tijden_Neo!$A$17:$Y$27,ber_tijden_Neo!P$15,FALSE),"")</f>
        <v/>
      </c>
      <c r="W10" s="611" t="str">
        <f>IF(OR($D10="1 dd",$D10="2 dd",$D10="3 dd",$D10="4 dd",$D10="5 dd",$D10="6 dd",$D10="8 dd",$D10="12 dd",$D10="24 dd",$D10="an",$D10="zn"),VLOOKUP($D10,ber_tijden_Neo!$A$17:$Y$27,ber_tijden_Neo!Q$15,FALSE),"")</f>
        <v/>
      </c>
      <c r="X10" s="106" t="str">
        <f>IF(OR($D10="1 dd",$D10="2 dd",$D10="3 dd",$D10="4 dd",$D10="5 dd",$D10="6 dd",$D10="8 dd",$D10="12 dd",$D10="24 dd",$D10="an",$D10="zn"),VLOOKUP($D10,ber_tijden_Neo!$A$17:$Y$27,ber_tijden_Neo!R$15,FALSE),"")</f>
        <v/>
      </c>
      <c r="Y10" s="611" t="str">
        <f>IF(OR($D10="1 dd",$D10="2 dd",$D10="3 dd",$D10="4 dd",$D10="5 dd",$D10="6 dd",$D10="8 dd",$D10="12 dd",$D10="24 dd",$D10="an",$D10="zn"),VLOOKUP($D10,ber_tijden_Neo!$A$17:$Y$27,ber_tijden_Neo!S$15,FALSE),"")</f>
        <v/>
      </c>
      <c r="Z10" s="106" t="str">
        <f>IF(OR($D10="1 dd",$D10="2 dd",$D10="3 dd",$D10="4 dd",$D10="5 dd",$D10="6 dd",$D10="8 dd",$D10="12 dd",$D10="24 dd",$D10="an",$D10="zn"),VLOOKUP($D10,ber_tijden_Neo!$A$17:$Y$27,ber_tijden_Neo!T$15,FALSE),"")</f>
        <v/>
      </c>
      <c r="AA10" s="611" t="str">
        <f>IF(OR($D10="1 dd",$D10="2 dd",$D10="3 dd",$D10="4 dd",$D10="5 dd",$D10="6 dd",$D10="8 dd",$D10="12 dd",$D10="24 dd",$D10="an",$D10="zn"),VLOOKUP($D10,ber_tijden_Neo!$A$17:$Y$27,ber_tijden_Neo!U$15,FALSE),"")</f>
        <v/>
      </c>
      <c r="AB10" s="106" t="str">
        <f>IF(OR($D10="1 dd",$D10="2 dd",$D10="3 dd",$D10="4 dd",$D10="5 dd",$D10="6 dd",$D10="8 dd",$D10="12 dd",$D10="24 dd",$D10="an",$D10="zn"),VLOOKUP($D10,ber_tijden_Neo!$A$17:$Y$27,ber_tijden_Neo!V$15,FALSE),"")</f>
        <v/>
      </c>
      <c r="AC10" s="611" t="str">
        <f>IF(OR($D10="1 dd",$D10="2 dd",$D10="3 dd",$D10="4 dd",$D10="5 dd",$D10="6 dd",$D10="8 dd",$D10="12 dd",$D10="24 dd",$D10="an",$D10="zn"),VLOOKUP($D10,ber_tijden_Neo!$A$17:$Y$27,ber_tijden_Neo!W$15,FALSE),"")</f>
        <v/>
      </c>
      <c r="AD10" s="106" t="str">
        <f>IF(OR($D10="1 dd",$D10="2 dd",$D10="3 dd",$D10="4 dd",$D10="5 dd",$D10="6 dd",$D10="8 dd",$D10="12 dd",$D10="24 dd",$D10="an",$D10="zn"),VLOOKUP($D10,ber_tijden_Neo!$A$17:$Y$27,ber_tijden_Neo!X$15,FALSE),"")</f>
        <v/>
      </c>
      <c r="AE10" s="611" t="str">
        <f>IF(OR($D10="1 dd",$D10="2 dd",$D10="3 dd",$D10="4 dd",$D10="5 dd",$D10="6 dd",$D10="8 dd",$D10="12 dd",$D10="24 dd",$D10="an",$D10="zn"),VLOOKUP($D10,ber_tijden_Neo!$A$17:$Y$27,ber_tijden_Neo!Y$15,FALSE),"")</f>
        <v/>
      </c>
      <c r="AF10" s="105"/>
      <c r="AG10" s="17"/>
    </row>
    <row r="11" spans="1:33" ht="26.1" customHeight="1" x14ac:dyDescent="0.35">
      <c r="B11" s="107"/>
      <c r="C11" s="231" t="str">
        <f>IF(ber_Med_disc!C10&lt;&gt;"",IF(ber_Med_disc!C10&gt;1,TRIM(ber_Med_disc!C10)&amp;", "&amp;ber_Opm!C24&amp;" ("&amp;ber_Med_disc!M10&amp;" "&amp;ber_Med_disc!F10&amp;"/kg/dag)",TRIM(ber_Med_disc!C10)&amp;", "&amp;ber_Opm!C24),"")</f>
        <v/>
      </c>
      <c r="D11" s="232" t="str">
        <f>IF(Med_disc!H22&lt;&gt;"",Med_disc!H22,"")</f>
        <v/>
      </c>
      <c r="E11" s="233" t="str">
        <f>IF(AND(D11&lt;&gt;"",D11&lt;&gt;"STOP"),ber_Med_disc!H10&amp;" "&amp;ber_Med_disc!F10,"")</f>
        <v/>
      </c>
      <c r="F11" s="233" t="str">
        <f>IF(AND(D11&lt;&gt;"",D11&lt;&gt;"STOP"),ber_Med_disc!L10," ")</f>
        <v xml:space="preserve"> </v>
      </c>
      <c r="G11" s="233" t="str">
        <f>IF(Med_disc!L22&lt;&gt;"",Med_disc!L22&amp;" "&amp;Med_disc!M22&amp;" "&amp;INDEX(ber_Med_disc!$B$27:$B$30,ber_Med_disc!O10,1)&amp;" in "&amp;Med_disc!$O$22,"")</f>
        <v/>
      </c>
      <c r="H11" s="106" t="str">
        <f>IF(OR($D11="1 dd",$D11="2 dd",$D11="3 dd",$D11="4 dd",$D11="5 dd",$D11="6 dd",$D11="8 dd",$D11="12 dd",$D11="24 dd",$D11="an",$D11="zn"),VLOOKUP($D11,ber_tijden_Neo!$A$17:$Y$27,ber_tijden_Neo!B$15,FALSE),"")</f>
        <v/>
      </c>
      <c r="I11" s="611" t="str">
        <f>IF(OR($D11="1 dd",$D11="2 dd",$D11="3 dd",$D11="4 dd",$D11="5 dd",$D11="6 dd",$D11="8 dd",$D11="12 dd",$D11="24 dd",$D11="an",$D11="zn"),VLOOKUP($D11,ber_tijden_Neo!$A$17:$Y$27,ber_tijden_Neo!C$15,FALSE),"")</f>
        <v/>
      </c>
      <c r="J11" s="106" t="str">
        <f>IF(OR($D11="1 dd",$D11="2 dd",$D11="3 dd",$D11="4 dd",$D11="5 dd",$D11="6 dd",$D11="8 dd",$D11="12 dd",$D11="24 dd",$D11="an",$D11="zn"),VLOOKUP($D11,ber_tijden_Neo!$A$17:$Y$27,ber_tijden_Neo!D$15,FALSE),"")</f>
        <v/>
      </c>
      <c r="K11" s="611" t="str">
        <f>IF(OR($D11="1 dd",$D11="2 dd",$D11="3 dd",$D11="4 dd",$D11="5 dd",$D11="6 dd",$D11="8 dd",$D11="12 dd",$D11="24 dd",$D11="an",$D11="zn"),VLOOKUP($D11,ber_tijden_Neo!$A$17:$Y$27,ber_tijden_Neo!E$15,FALSE),"")</f>
        <v/>
      </c>
      <c r="L11" s="106" t="str">
        <f>IF(OR($D11="1 dd",$D11="2 dd",$D11="3 dd",$D11="4 dd",$D11="5 dd",$D11="6 dd",$D11="8 dd",$D11="12 dd",$D11="24 dd",$D11="an",$D11="zn"),VLOOKUP($D11,ber_tijden_Neo!$A$17:$Y$27,ber_tijden_Neo!F$15,FALSE),"")</f>
        <v/>
      </c>
      <c r="M11" s="611" t="str">
        <f>IF(OR($D11="1 dd",$D11="2 dd",$D11="3 dd",$D11="4 dd",$D11="5 dd",$D11="6 dd",$D11="8 dd",$D11="12 dd",$D11="24 dd",$D11="an",$D11="zn"),VLOOKUP($D11,ber_tijden_Neo!$A$17:$Y$27,ber_tijden_Neo!G$15,FALSE),"")</f>
        <v/>
      </c>
      <c r="N11" s="106" t="str">
        <f>IF(OR($D11="1 dd",$D11="2 dd",$D11="3 dd",$D11="4 dd",$D11="5 dd",$D11="6 dd",$D11="8 dd",$D11="12 dd",$D11="24 dd",$D11="an",$D11="zn"),VLOOKUP($D11,ber_tijden_Neo!$A$17:$Y$27,ber_tijden_Neo!H$15,FALSE),"")</f>
        <v/>
      </c>
      <c r="O11" s="611" t="str">
        <f>IF(OR($D11="1 dd",$D11="2 dd",$D11="3 dd",$D11="4 dd",$D11="5 dd",$D11="6 dd",$D11="8 dd",$D11="12 dd",$D11="24 dd",$D11="an",$D11="zn"),VLOOKUP($D11,ber_tijden_Neo!$A$17:$Y$27,ber_tijden_Neo!I$15,FALSE),"")</f>
        <v/>
      </c>
      <c r="P11" s="106" t="str">
        <f>IF(OR($D11="1 dd",$D11="2 dd",$D11="3 dd",$D11="4 dd",$D11="5 dd",$D11="6 dd",$D11="8 dd",$D11="12 dd",$D11="24 dd",$D11="an",$D11="zn"),VLOOKUP($D11,ber_tijden_Neo!$A$17:$Y$27,ber_tijden_Neo!J$15,FALSE),"")</f>
        <v/>
      </c>
      <c r="Q11" s="611" t="str">
        <f>IF(OR($D11="1 dd",$D11="2 dd",$D11="3 dd",$D11="4 dd",$D11="5 dd",$D11="6 dd",$D11="8 dd",$D11="12 dd",$D11="24 dd",$D11="an",$D11="zn"),VLOOKUP($D11,ber_tijden_Neo!$A$17:$Y$27,ber_tijden_Neo!K$15,FALSE),"")</f>
        <v/>
      </c>
      <c r="R11" s="106" t="str">
        <f>IF(OR($D11="1 dd",$D11="2 dd",$D11="3 dd",$D11="4 dd",$D11="5 dd",$D11="6 dd",$D11="8 dd",$D11="12 dd",$D11="24 dd",$D11="an",$D11="zn"),VLOOKUP($D11,ber_tijden_Neo!$A$17:$Y$27,ber_tijden_Neo!L$15,FALSE),"")</f>
        <v/>
      </c>
      <c r="S11" s="611" t="str">
        <f>IF(OR($D11="1 dd",$D11="2 dd",$D11="3 dd",$D11="4 dd",$D11="5 dd",$D11="6 dd",$D11="8 dd",$D11="12 dd",$D11="24 dd",$D11="an",$D11="zn"),VLOOKUP($D11,ber_tijden_Neo!$A$17:$Y$27,ber_tijden_Neo!M$15,FALSE),"")</f>
        <v/>
      </c>
      <c r="T11" s="106" t="str">
        <f>IF(OR($D11="1 dd",$D11="2 dd",$D11="3 dd",$D11="4 dd",$D11="5 dd",$D11="6 dd",$D11="8 dd",$D11="12 dd",$D11="24 dd",$D11="an",$D11="zn"),VLOOKUP($D11,ber_tijden_Neo!$A$17:$Y$27,ber_tijden_Neo!N$15,FALSE),"")</f>
        <v/>
      </c>
      <c r="U11" s="611" t="str">
        <f>IF(OR($D11="1 dd",$D11="2 dd",$D11="3 dd",$D11="4 dd",$D11="5 dd",$D11="6 dd",$D11="8 dd",$D11="12 dd",$D11="24 dd",$D11="an",$D11="zn"),VLOOKUP($D11,ber_tijden_Neo!$A$17:$Y$27,ber_tijden_Neo!O$15,FALSE),"")</f>
        <v/>
      </c>
      <c r="V11" s="106" t="str">
        <f>IF(OR($D11="1 dd",$D11="2 dd",$D11="3 dd",$D11="4 dd",$D11="5 dd",$D11="6 dd",$D11="8 dd",$D11="12 dd",$D11="24 dd",$D11="an",$D11="zn"),VLOOKUP($D11,ber_tijden_Neo!$A$17:$Y$27,ber_tijden_Neo!P$15,FALSE),"")</f>
        <v/>
      </c>
      <c r="W11" s="611" t="str">
        <f>IF(OR($D11="1 dd",$D11="2 dd",$D11="3 dd",$D11="4 dd",$D11="5 dd",$D11="6 dd",$D11="8 dd",$D11="12 dd",$D11="24 dd",$D11="an",$D11="zn"),VLOOKUP($D11,ber_tijden_Neo!$A$17:$Y$27,ber_tijden_Neo!Q$15,FALSE),"")</f>
        <v/>
      </c>
      <c r="X11" s="106" t="str">
        <f>IF(OR($D11="1 dd",$D11="2 dd",$D11="3 dd",$D11="4 dd",$D11="5 dd",$D11="6 dd",$D11="8 dd",$D11="12 dd",$D11="24 dd",$D11="an",$D11="zn"),VLOOKUP($D11,ber_tijden_Neo!$A$17:$Y$27,ber_tijden_Neo!R$15,FALSE),"")</f>
        <v/>
      </c>
      <c r="Y11" s="611" t="str">
        <f>IF(OR($D11="1 dd",$D11="2 dd",$D11="3 dd",$D11="4 dd",$D11="5 dd",$D11="6 dd",$D11="8 dd",$D11="12 dd",$D11="24 dd",$D11="an",$D11="zn"),VLOOKUP($D11,ber_tijden_Neo!$A$17:$Y$27,ber_tijden_Neo!S$15,FALSE),"")</f>
        <v/>
      </c>
      <c r="Z11" s="106" t="str">
        <f>IF(OR($D11="1 dd",$D11="2 dd",$D11="3 dd",$D11="4 dd",$D11="5 dd",$D11="6 dd",$D11="8 dd",$D11="12 dd",$D11="24 dd",$D11="an",$D11="zn"),VLOOKUP($D11,ber_tijden_Neo!$A$17:$Y$27,ber_tijden_Neo!T$15,FALSE),"")</f>
        <v/>
      </c>
      <c r="AA11" s="611" t="str">
        <f>IF(OR($D11="1 dd",$D11="2 dd",$D11="3 dd",$D11="4 dd",$D11="5 dd",$D11="6 dd",$D11="8 dd",$D11="12 dd",$D11="24 dd",$D11="an",$D11="zn"),VLOOKUP($D11,ber_tijden_Neo!$A$17:$Y$27,ber_tijden_Neo!U$15,FALSE),"")</f>
        <v/>
      </c>
      <c r="AB11" s="106" t="str">
        <f>IF(OR($D11="1 dd",$D11="2 dd",$D11="3 dd",$D11="4 dd",$D11="5 dd",$D11="6 dd",$D11="8 dd",$D11="12 dd",$D11="24 dd",$D11="an",$D11="zn"),VLOOKUP($D11,ber_tijden_Neo!$A$17:$Y$27,ber_tijden_Neo!V$15,FALSE),"")</f>
        <v/>
      </c>
      <c r="AC11" s="611" t="str">
        <f>IF(OR($D11="1 dd",$D11="2 dd",$D11="3 dd",$D11="4 dd",$D11="5 dd",$D11="6 dd",$D11="8 dd",$D11="12 dd",$D11="24 dd",$D11="an",$D11="zn"),VLOOKUP($D11,ber_tijden_Neo!$A$17:$Y$27,ber_tijden_Neo!W$15,FALSE),"")</f>
        <v/>
      </c>
      <c r="AD11" s="106" t="str">
        <f>IF(OR($D11="1 dd",$D11="2 dd",$D11="3 dd",$D11="4 dd",$D11="5 dd",$D11="6 dd",$D11="8 dd",$D11="12 dd",$D11="24 dd",$D11="an",$D11="zn"),VLOOKUP($D11,ber_tijden_Neo!$A$17:$Y$27,ber_tijden_Neo!X$15,FALSE),"")</f>
        <v/>
      </c>
      <c r="AE11" s="611" t="str">
        <f>IF(OR($D11="1 dd",$D11="2 dd",$D11="3 dd",$D11="4 dd",$D11="5 dd",$D11="6 dd",$D11="8 dd",$D11="12 dd",$D11="24 dd",$D11="an",$D11="zn"),VLOOKUP($D11,ber_tijden_Neo!$A$17:$Y$27,ber_tijden_Neo!Y$15,FALSE),"")</f>
        <v/>
      </c>
      <c r="AF11" s="105"/>
      <c r="AG11" s="17"/>
    </row>
    <row r="12" spans="1:33" ht="26.1" customHeight="1" x14ac:dyDescent="0.35">
      <c r="B12" s="107"/>
      <c r="C12" s="231" t="str">
        <f>IF(ber_Med_disc!C11&lt;&gt;"",IF(ber_Med_disc!C11&gt;1,TRIM(ber_Med_disc!C11)&amp;", "&amp;ber_Opm!C25&amp;" ("&amp;ber_Med_disc!M11&amp;" "&amp;ber_Med_disc!F11&amp;"/kg/dag)",TRIM(ber_Med_disc!C11)&amp;", "&amp;ber_Opm!C25),"")</f>
        <v/>
      </c>
      <c r="D12" s="232" t="str">
        <f>IF(Med_disc!H24&lt;&gt;"",Med_disc!H24,"")</f>
        <v/>
      </c>
      <c r="E12" s="233" t="str">
        <f>IF(AND(D12&lt;&gt;"",D12&lt;&gt;"STOP"),ber_Med_disc!H11&amp;" "&amp;ber_Med_disc!F11,"")</f>
        <v/>
      </c>
      <c r="F12" s="233" t="str">
        <f>IF(AND(D12&lt;&gt;"",D12&lt;&gt;"STOP"),ber_Med_disc!L11," ")</f>
        <v xml:space="preserve"> </v>
      </c>
      <c r="G12" s="233" t="str">
        <f>IF(Med_disc!L24&lt;&gt;"",Med_disc!L24&amp;" "&amp;Med_disc!M24&amp;" "&amp;INDEX(ber_Med_disc!$B$27:$B$30,ber_Med_disc!O11,1)&amp;" in "&amp;Med_disc!$O$1404,"")</f>
        <v/>
      </c>
      <c r="H12" s="106" t="str">
        <f>IF(OR($D12="1 dd",$D12="2 dd",$D12="3 dd",$D12="4 dd",$D12="5 dd",$D12="6 dd",$D12="8 dd",$D12="12 dd",$D12="24 dd",$D12="an",$D12="zn"),VLOOKUP($D12,ber_tijden_Neo!$A$17:$Y$27,ber_tijden_Neo!B$15,FALSE),"")</f>
        <v/>
      </c>
      <c r="I12" s="611" t="str">
        <f>IF(OR($D12="1 dd",$D12="2 dd",$D12="3 dd",$D12="4 dd",$D12="5 dd",$D12="6 dd",$D12="8 dd",$D12="12 dd",$D12="24 dd",$D12="an",$D12="zn"),VLOOKUP($D12,ber_tijden_Neo!$A$17:$Y$27,ber_tijden_Neo!C$15,FALSE),"")</f>
        <v/>
      </c>
      <c r="J12" s="106" t="str">
        <f>IF(OR($D12="1 dd",$D12="2 dd",$D12="3 dd",$D12="4 dd",$D12="5 dd",$D12="6 dd",$D12="8 dd",$D12="12 dd",$D12="24 dd",$D12="an",$D12="zn"),VLOOKUP($D12,ber_tijden_Neo!$A$17:$Y$27,ber_tijden_Neo!D$15,FALSE),"")</f>
        <v/>
      </c>
      <c r="K12" s="611" t="str">
        <f>IF(OR($D12="1 dd",$D12="2 dd",$D12="3 dd",$D12="4 dd",$D12="5 dd",$D12="6 dd",$D12="8 dd",$D12="12 dd",$D12="24 dd",$D12="an",$D12="zn"),VLOOKUP($D12,ber_tijden_Neo!$A$17:$Y$27,ber_tijden_Neo!E$15,FALSE),"")</f>
        <v/>
      </c>
      <c r="L12" s="106" t="str">
        <f>IF(OR($D12="1 dd",$D12="2 dd",$D12="3 dd",$D12="4 dd",$D12="5 dd",$D12="6 dd",$D12="8 dd",$D12="12 dd",$D12="24 dd",$D12="an",$D12="zn"),VLOOKUP($D12,ber_tijden_Neo!$A$17:$Y$27,ber_tijden_Neo!F$15,FALSE),"")</f>
        <v/>
      </c>
      <c r="M12" s="611" t="str">
        <f>IF(OR($D12="1 dd",$D12="2 dd",$D12="3 dd",$D12="4 dd",$D12="5 dd",$D12="6 dd",$D12="8 dd",$D12="12 dd",$D12="24 dd",$D12="an",$D12="zn"),VLOOKUP($D12,ber_tijden_Neo!$A$17:$Y$27,ber_tijden_Neo!G$15,FALSE),"")</f>
        <v/>
      </c>
      <c r="N12" s="106" t="str">
        <f>IF(OR($D12="1 dd",$D12="2 dd",$D12="3 dd",$D12="4 dd",$D12="5 dd",$D12="6 dd",$D12="8 dd",$D12="12 dd",$D12="24 dd",$D12="an",$D12="zn"),VLOOKUP($D12,ber_tijden_Neo!$A$17:$Y$27,ber_tijden_Neo!H$15,FALSE),"")</f>
        <v/>
      </c>
      <c r="O12" s="611" t="str">
        <f>IF(OR($D12="1 dd",$D12="2 dd",$D12="3 dd",$D12="4 dd",$D12="5 dd",$D12="6 dd",$D12="8 dd",$D12="12 dd",$D12="24 dd",$D12="an",$D12="zn"),VLOOKUP($D12,ber_tijden_Neo!$A$17:$Y$27,ber_tijden_Neo!I$15,FALSE),"")</f>
        <v/>
      </c>
      <c r="P12" s="106" t="str">
        <f>IF(OR($D12="1 dd",$D12="2 dd",$D12="3 dd",$D12="4 dd",$D12="5 dd",$D12="6 dd",$D12="8 dd",$D12="12 dd",$D12="24 dd",$D12="an",$D12="zn"),VLOOKUP($D12,ber_tijden_Neo!$A$17:$Y$27,ber_tijden_Neo!J$15,FALSE),"")</f>
        <v/>
      </c>
      <c r="Q12" s="611" t="str">
        <f>IF(OR($D12="1 dd",$D12="2 dd",$D12="3 dd",$D12="4 dd",$D12="5 dd",$D12="6 dd",$D12="8 dd",$D12="12 dd",$D12="24 dd",$D12="an",$D12="zn"),VLOOKUP($D12,ber_tijden_Neo!$A$17:$Y$27,ber_tijden_Neo!K$15,FALSE),"")</f>
        <v/>
      </c>
      <c r="R12" s="106" t="str">
        <f>IF(OR($D12="1 dd",$D12="2 dd",$D12="3 dd",$D12="4 dd",$D12="5 dd",$D12="6 dd",$D12="8 dd",$D12="12 dd",$D12="24 dd",$D12="an",$D12="zn"),VLOOKUP($D12,ber_tijden_Neo!$A$17:$Y$27,ber_tijden_Neo!L$15,FALSE),"")</f>
        <v/>
      </c>
      <c r="S12" s="611" t="str">
        <f>IF(OR($D12="1 dd",$D12="2 dd",$D12="3 dd",$D12="4 dd",$D12="5 dd",$D12="6 dd",$D12="8 dd",$D12="12 dd",$D12="24 dd",$D12="an",$D12="zn"),VLOOKUP($D12,ber_tijden_Neo!$A$17:$Y$27,ber_tijden_Neo!M$15,FALSE),"")</f>
        <v/>
      </c>
      <c r="T12" s="106" t="str">
        <f>IF(OR($D12="1 dd",$D12="2 dd",$D12="3 dd",$D12="4 dd",$D12="5 dd",$D12="6 dd",$D12="8 dd",$D12="12 dd",$D12="24 dd",$D12="an",$D12="zn"),VLOOKUP($D12,ber_tijden_Neo!$A$17:$Y$27,ber_tijden_Neo!N$15,FALSE),"")</f>
        <v/>
      </c>
      <c r="U12" s="611" t="str">
        <f>IF(OR($D12="1 dd",$D12="2 dd",$D12="3 dd",$D12="4 dd",$D12="5 dd",$D12="6 dd",$D12="8 dd",$D12="12 dd",$D12="24 dd",$D12="an",$D12="zn"),VLOOKUP($D12,ber_tijden_Neo!$A$17:$Y$27,ber_tijden_Neo!O$15,FALSE),"")</f>
        <v/>
      </c>
      <c r="V12" s="106" t="str">
        <f>IF(OR($D12="1 dd",$D12="2 dd",$D12="3 dd",$D12="4 dd",$D12="5 dd",$D12="6 dd",$D12="8 dd",$D12="12 dd",$D12="24 dd",$D12="an",$D12="zn"),VLOOKUP($D12,ber_tijden_Neo!$A$17:$Y$27,ber_tijden_Neo!P$15,FALSE),"")</f>
        <v/>
      </c>
      <c r="W12" s="611" t="str">
        <f>IF(OR($D12="1 dd",$D12="2 dd",$D12="3 dd",$D12="4 dd",$D12="5 dd",$D12="6 dd",$D12="8 dd",$D12="12 dd",$D12="24 dd",$D12="an",$D12="zn"),VLOOKUP($D12,ber_tijden_Neo!$A$17:$Y$27,ber_tijden_Neo!Q$15,FALSE),"")</f>
        <v/>
      </c>
      <c r="X12" s="106" t="str">
        <f>IF(OR($D12="1 dd",$D12="2 dd",$D12="3 dd",$D12="4 dd",$D12="5 dd",$D12="6 dd",$D12="8 dd",$D12="12 dd",$D12="24 dd",$D12="an",$D12="zn"),VLOOKUP($D12,ber_tijden_Neo!$A$17:$Y$27,ber_tijden_Neo!R$15,FALSE),"")</f>
        <v/>
      </c>
      <c r="Y12" s="611" t="str">
        <f>IF(OR($D12="1 dd",$D12="2 dd",$D12="3 dd",$D12="4 dd",$D12="5 dd",$D12="6 dd",$D12="8 dd",$D12="12 dd",$D12="24 dd",$D12="an",$D12="zn"),VLOOKUP($D12,ber_tijden_Neo!$A$17:$Y$27,ber_tijden_Neo!S$15,FALSE),"")</f>
        <v/>
      </c>
      <c r="Z12" s="106" t="str">
        <f>IF(OR($D12="1 dd",$D12="2 dd",$D12="3 dd",$D12="4 dd",$D12="5 dd",$D12="6 dd",$D12="8 dd",$D12="12 dd",$D12="24 dd",$D12="an",$D12="zn"),VLOOKUP($D12,ber_tijden_Neo!$A$17:$Y$27,ber_tijden_Neo!T$15,FALSE),"")</f>
        <v/>
      </c>
      <c r="AA12" s="611" t="str">
        <f>IF(OR($D12="1 dd",$D12="2 dd",$D12="3 dd",$D12="4 dd",$D12="5 dd",$D12="6 dd",$D12="8 dd",$D12="12 dd",$D12="24 dd",$D12="an",$D12="zn"),VLOOKUP($D12,ber_tijden_Neo!$A$17:$Y$27,ber_tijden_Neo!U$15,FALSE),"")</f>
        <v/>
      </c>
      <c r="AB12" s="106" t="str">
        <f>IF(OR($D12="1 dd",$D12="2 dd",$D12="3 dd",$D12="4 dd",$D12="5 dd",$D12="6 dd",$D12="8 dd",$D12="12 dd",$D12="24 dd",$D12="an",$D12="zn"),VLOOKUP($D12,ber_tijden_Neo!$A$17:$Y$27,ber_tijden_Neo!V$15,FALSE),"")</f>
        <v/>
      </c>
      <c r="AC12" s="611" t="str">
        <f>IF(OR($D12="1 dd",$D12="2 dd",$D12="3 dd",$D12="4 dd",$D12="5 dd",$D12="6 dd",$D12="8 dd",$D12="12 dd",$D12="24 dd",$D12="an",$D12="zn"),VLOOKUP($D12,ber_tijden_Neo!$A$17:$Y$27,ber_tijden_Neo!W$15,FALSE),"")</f>
        <v/>
      </c>
      <c r="AD12" s="106" t="str">
        <f>IF(OR($D12="1 dd",$D12="2 dd",$D12="3 dd",$D12="4 dd",$D12="5 dd",$D12="6 dd",$D12="8 dd",$D12="12 dd",$D12="24 dd",$D12="an",$D12="zn"),VLOOKUP($D12,ber_tijden_Neo!$A$17:$Y$27,ber_tijden_Neo!X$15,FALSE),"")</f>
        <v/>
      </c>
      <c r="AE12" s="611" t="str">
        <f>IF(OR($D12="1 dd",$D12="2 dd",$D12="3 dd",$D12="4 dd",$D12="5 dd",$D12="6 dd",$D12="8 dd",$D12="12 dd",$D12="24 dd",$D12="an",$D12="zn"),VLOOKUP($D12,ber_tijden_Neo!$A$17:$Y$27,ber_tijden_Neo!Y$15,FALSE),"")</f>
        <v/>
      </c>
      <c r="AF12" s="105"/>
      <c r="AG12" s="17"/>
    </row>
    <row r="13" spans="1:33" ht="26.1" customHeight="1" x14ac:dyDescent="0.35">
      <c r="B13" s="107"/>
      <c r="C13" s="231" t="str">
        <f>IF(ber_Med_disc!C12&lt;&gt;"",IF(ber_Med_disc!C12&gt;1,TRIM(ber_Med_disc!C12)&amp;", "&amp;ber_Opm!C26&amp;" ("&amp;ber_Med_disc!M12&amp;" "&amp;ber_Med_disc!F12&amp;"/kg/dag)",TRIM(ber_Med_disc!C12)&amp;", "&amp;ber_Opm!C26),"")</f>
        <v/>
      </c>
      <c r="D13" s="232" t="str">
        <f>IF(Med_disc!H26&lt;&gt;"",Med_disc!H26,"")</f>
        <v/>
      </c>
      <c r="E13" s="233" t="str">
        <f>IF(AND(D13&lt;&gt;"",D13&lt;&gt;"STOP"),ber_Med_disc!H12&amp;" "&amp;ber_Med_disc!F12,"")</f>
        <v/>
      </c>
      <c r="F13" s="233" t="str">
        <f>IF(AND(D13&lt;&gt;"",D13&lt;&gt;"STOP"),ber_Med_disc!L12," ")</f>
        <v xml:space="preserve"> </v>
      </c>
      <c r="G13" s="233" t="str">
        <f>IF(Med_disc!L26&lt;&gt;"",Med_disc!L26&amp;" "&amp;Med_disc!M26&amp;" "&amp;INDEX(ber_Med_disc!$B$27:$B$30,ber_Med_disc!O12,1)&amp;" in "&amp;Med_disc!$O$26,"")</f>
        <v/>
      </c>
      <c r="H13" s="106" t="str">
        <f>IF(OR($D13="1 dd",$D13="2 dd",$D13="3 dd",$D13="4 dd",$D13="5 dd",$D13="6 dd",$D13="8 dd",$D13="12 dd",$D13="24 dd",$D13="an",$D13="zn"),VLOOKUP($D13,ber_tijden_Neo!$A$17:$Y$27,ber_tijden_Neo!B$15,FALSE),"")</f>
        <v/>
      </c>
      <c r="I13" s="611" t="str">
        <f>IF(OR($D13="1 dd",$D13="2 dd",$D13="3 dd",$D13="4 dd",$D13="5 dd",$D13="6 dd",$D13="8 dd",$D13="12 dd",$D13="24 dd",$D13="an",$D13="zn"),VLOOKUP($D13,ber_tijden_Neo!$A$17:$Y$27,ber_tijden_Neo!C$15,FALSE),"")</f>
        <v/>
      </c>
      <c r="J13" s="106" t="str">
        <f>IF(OR($D13="1 dd",$D13="2 dd",$D13="3 dd",$D13="4 dd",$D13="5 dd",$D13="6 dd",$D13="8 dd",$D13="12 dd",$D13="24 dd",$D13="an",$D13="zn"),VLOOKUP($D13,ber_tijden_Neo!$A$17:$Y$27,ber_tijden_Neo!D$15,FALSE),"")</f>
        <v/>
      </c>
      <c r="K13" s="611" t="str">
        <f>IF(OR($D13="1 dd",$D13="2 dd",$D13="3 dd",$D13="4 dd",$D13="5 dd",$D13="6 dd",$D13="8 dd",$D13="12 dd",$D13="24 dd",$D13="an",$D13="zn"),VLOOKUP($D13,ber_tijden_Neo!$A$17:$Y$27,ber_tijden_Neo!E$15,FALSE),"")</f>
        <v/>
      </c>
      <c r="L13" s="106" t="str">
        <f>IF(OR($D13="1 dd",$D13="2 dd",$D13="3 dd",$D13="4 dd",$D13="5 dd",$D13="6 dd",$D13="8 dd",$D13="12 dd",$D13="24 dd",$D13="an",$D13="zn"),VLOOKUP($D13,ber_tijden_Neo!$A$17:$Y$27,ber_tijden_Neo!F$15,FALSE),"")</f>
        <v/>
      </c>
      <c r="M13" s="611" t="str">
        <f>IF(OR($D13="1 dd",$D13="2 dd",$D13="3 dd",$D13="4 dd",$D13="5 dd",$D13="6 dd",$D13="8 dd",$D13="12 dd",$D13="24 dd",$D13="an",$D13="zn"),VLOOKUP($D13,ber_tijden_Neo!$A$17:$Y$27,ber_tijden_Neo!G$15,FALSE),"")</f>
        <v/>
      </c>
      <c r="N13" s="106" t="str">
        <f>IF(OR($D13="1 dd",$D13="2 dd",$D13="3 dd",$D13="4 dd",$D13="5 dd",$D13="6 dd",$D13="8 dd",$D13="12 dd",$D13="24 dd",$D13="an",$D13="zn"),VLOOKUP($D13,ber_tijden_Neo!$A$17:$Y$27,ber_tijden_Neo!H$15,FALSE),"")</f>
        <v/>
      </c>
      <c r="O13" s="611" t="str">
        <f>IF(OR($D13="1 dd",$D13="2 dd",$D13="3 dd",$D13="4 dd",$D13="5 dd",$D13="6 dd",$D13="8 dd",$D13="12 dd",$D13="24 dd",$D13="an",$D13="zn"),VLOOKUP($D13,ber_tijden_Neo!$A$17:$Y$27,ber_tijden_Neo!I$15,FALSE),"")</f>
        <v/>
      </c>
      <c r="P13" s="106" t="str">
        <f>IF(OR($D13="1 dd",$D13="2 dd",$D13="3 dd",$D13="4 dd",$D13="5 dd",$D13="6 dd",$D13="8 dd",$D13="12 dd",$D13="24 dd",$D13="an",$D13="zn"),VLOOKUP($D13,ber_tijden_Neo!$A$17:$Y$27,ber_tijden_Neo!J$15,FALSE),"")</f>
        <v/>
      </c>
      <c r="Q13" s="611" t="str">
        <f>IF(OR($D13="1 dd",$D13="2 dd",$D13="3 dd",$D13="4 dd",$D13="5 dd",$D13="6 dd",$D13="8 dd",$D13="12 dd",$D13="24 dd",$D13="an",$D13="zn"),VLOOKUP($D13,ber_tijden_Neo!$A$17:$Y$27,ber_tijden_Neo!K$15,FALSE),"")</f>
        <v/>
      </c>
      <c r="R13" s="106" t="str">
        <f>IF(OR($D13="1 dd",$D13="2 dd",$D13="3 dd",$D13="4 dd",$D13="5 dd",$D13="6 dd",$D13="8 dd",$D13="12 dd",$D13="24 dd",$D13="an",$D13="zn"),VLOOKUP($D13,ber_tijden_Neo!$A$17:$Y$27,ber_tijden_Neo!L$15,FALSE),"")</f>
        <v/>
      </c>
      <c r="S13" s="611" t="str">
        <f>IF(OR($D13="1 dd",$D13="2 dd",$D13="3 dd",$D13="4 dd",$D13="5 dd",$D13="6 dd",$D13="8 dd",$D13="12 dd",$D13="24 dd",$D13="an",$D13="zn"),VLOOKUP($D13,ber_tijden_Neo!$A$17:$Y$27,ber_tijden_Neo!M$15,FALSE),"")</f>
        <v/>
      </c>
      <c r="T13" s="106" t="str">
        <f>IF(OR($D13="1 dd",$D13="2 dd",$D13="3 dd",$D13="4 dd",$D13="5 dd",$D13="6 dd",$D13="8 dd",$D13="12 dd",$D13="24 dd",$D13="an",$D13="zn"),VLOOKUP($D13,ber_tijden_Neo!$A$17:$Y$27,ber_tijden_Neo!N$15,FALSE),"")</f>
        <v/>
      </c>
      <c r="U13" s="611" t="str">
        <f>IF(OR($D13="1 dd",$D13="2 dd",$D13="3 dd",$D13="4 dd",$D13="5 dd",$D13="6 dd",$D13="8 dd",$D13="12 dd",$D13="24 dd",$D13="an",$D13="zn"),VLOOKUP($D13,ber_tijden_Neo!$A$17:$Y$27,ber_tijden_Neo!O$15,FALSE),"")</f>
        <v/>
      </c>
      <c r="V13" s="106" t="str">
        <f>IF(OR($D13="1 dd",$D13="2 dd",$D13="3 dd",$D13="4 dd",$D13="5 dd",$D13="6 dd",$D13="8 dd",$D13="12 dd",$D13="24 dd",$D13="an",$D13="zn"),VLOOKUP($D13,ber_tijden_Neo!$A$17:$Y$27,ber_tijden_Neo!P$15,FALSE),"")</f>
        <v/>
      </c>
      <c r="W13" s="611" t="str">
        <f>IF(OR($D13="1 dd",$D13="2 dd",$D13="3 dd",$D13="4 dd",$D13="5 dd",$D13="6 dd",$D13="8 dd",$D13="12 dd",$D13="24 dd",$D13="an",$D13="zn"),VLOOKUP($D13,ber_tijden_Neo!$A$17:$Y$27,ber_tijden_Neo!Q$15,FALSE),"")</f>
        <v/>
      </c>
      <c r="X13" s="106" t="str">
        <f>IF(OR($D13="1 dd",$D13="2 dd",$D13="3 dd",$D13="4 dd",$D13="5 dd",$D13="6 dd",$D13="8 dd",$D13="12 dd",$D13="24 dd",$D13="an",$D13="zn"),VLOOKUP($D13,ber_tijden_Neo!$A$17:$Y$27,ber_tijden_Neo!R$15,FALSE),"")</f>
        <v/>
      </c>
      <c r="Y13" s="611" t="str">
        <f>IF(OR($D13="1 dd",$D13="2 dd",$D13="3 dd",$D13="4 dd",$D13="5 dd",$D13="6 dd",$D13="8 dd",$D13="12 dd",$D13="24 dd",$D13="an",$D13="zn"),VLOOKUP($D13,ber_tijden_Neo!$A$17:$Y$27,ber_tijden_Neo!S$15,FALSE),"")</f>
        <v/>
      </c>
      <c r="Z13" s="106" t="str">
        <f>IF(OR($D13="1 dd",$D13="2 dd",$D13="3 dd",$D13="4 dd",$D13="5 dd",$D13="6 dd",$D13="8 dd",$D13="12 dd",$D13="24 dd",$D13="an",$D13="zn"),VLOOKUP($D13,ber_tijden_Neo!$A$17:$Y$27,ber_tijden_Neo!T$15,FALSE),"")</f>
        <v/>
      </c>
      <c r="AA13" s="611" t="str">
        <f>IF(OR($D13="1 dd",$D13="2 dd",$D13="3 dd",$D13="4 dd",$D13="5 dd",$D13="6 dd",$D13="8 dd",$D13="12 dd",$D13="24 dd",$D13="an",$D13="zn"),VLOOKUP($D13,ber_tijden_Neo!$A$17:$Y$27,ber_tijden_Neo!U$15,FALSE),"")</f>
        <v/>
      </c>
      <c r="AB13" s="106" t="str">
        <f>IF(OR($D13="1 dd",$D13="2 dd",$D13="3 dd",$D13="4 dd",$D13="5 dd",$D13="6 dd",$D13="8 dd",$D13="12 dd",$D13="24 dd",$D13="an",$D13="zn"),VLOOKUP($D13,ber_tijden_Neo!$A$17:$Y$27,ber_tijden_Neo!V$15,FALSE),"")</f>
        <v/>
      </c>
      <c r="AC13" s="611" t="str">
        <f>IF(OR($D13="1 dd",$D13="2 dd",$D13="3 dd",$D13="4 dd",$D13="5 dd",$D13="6 dd",$D13="8 dd",$D13="12 dd",$D13="24 dd",$D13="an",$D13="zn"),VLOOKUP($D13,ber_tijden_Neo!$A$17:$Y$27,ber_tijden_Neo!W$15,FALSE),"")</f>
        <v/>
      </c>
      <c r="AD13" s="106" t="str">
        <f>IF(OR($D13="1 dd",$D13="2 dd",$D13="3 dd",$D13="4 dd",$D13="5 dd",$D13="6 dd",$D13="8 dd",$D13="12 dd",$D13="24 dd",$D13="an",$D13="zn"),VLOOKUP($D13,ber_tijden_Neo!$A$17:$Y$27,ber_tijden_Neo!X$15,FALSE),"")</f>
        <v/>
      </c>
      <c r="AE13" s="611" t="str">
        <f>IF(OR($D13="1 dd",$D13="2 dd",$D13="3 dd",$D13="4 dd",$D13="5 dd",$D13="6 dd",$D13="8 dd",$D13="12 dd",$D13="24 dd",$D13="an",$D13="zn"),VLOOKUP($D13,ber_tijden_Neo!$A$17:$Y$27,ber_tijden_Neo!Y$15,FALSE),"")</f>
        <v/>
      </c>
      <c r="AF13" s="105"/>
      <c r="AG13" s="17"/>
    </row>
    <row r="14" spans="1:33" ht="26.1" customHeight="1" x14ac:dyDescent="0.35">
      <c r="B14" s="107"/>
      <c r="C14" s="231" t="str">
        <f>IF(ber_Med_disc!C13&lt;&gt;"",IF(ber_Med_disc!C13&gt;1,TRIM(ber_Med_disc!C13)&amp;", "&amp;ber_Opm!C27&amp;" ("&amp;ber_Med_disc!M13&amp;" "&amp;ber_Med_disc!F13&amp;"/kg/dag)",TRIM(ber_Med_disc!C13)&amp;", "&amp;ber_Opm!C27),"")</f>
        <v/>
      </c>
      <c r="D14" s="232" t="str">
        <f>IF(Med_disc!H28&lt;&gt;"",Med_disc!H28,"")</f>
        <v/>
      </c>
      <c r="E14" s="233" t="str">
        <f>IF(AND(D14&lt;&gt;"",D14&lt;&gt;"STOP"),ber_Med_disc!H13&amp;" "&amp;ber_Med_disc!F13,"")</f>
        <v/>
      </c>
      <c r="F14" s="233" t="str">
        <f>IF(AND(D14&lt;&gt;"",D14&lt;&gt;"STOP"),ber_Med_disc!L13," ")</f>
        <v xml:space="preserve"> </v>
      </c>
      <c r="G14" s="233" t="str">
        <f>IF(Med_disc!L28&lt;&gt;"",Med_disc!L28&amp;" "&amp;Med_disc!M28&amp;" "&amp;INDEX(ber_Med_disc!$B$27:$B$30,ber_Med_disc!O13,1)&amp;" in "&amp;Med_disc!$O$28,"")</f>
        <v/>
      </c>
      <c r="H14" s="106" t="str">
        <f>IF(OR($D14="1 dd",$D14="2 dd",$D14="3 dd",$D14="4 dd",$D14="6 dd",$D14="8 dd",$D14="12 dd",$D14="an",$D14="1 X"),VLOOKUP($D14,ber_tijden!$A$16:$X$26,ber_tijden!B$14,FALSE),"")</f>
        <v/>
      </c>
      <c r="I14" s="15" t="str">
        <f>IF(OR($D14="1 dd",$D14="2 dd",$D14="3 dd",$D14="4 dd",$D14="6 dd",$D14="8 dd",$D14="12 dd",$D14="an",$D14="1 X"),VLOOKUP($D14,ber_tijden!$A$16:$X$26,ber_tijden!C$14,FALSE),"")</f>
        <v/>
      </c>
      <c r="J14" s="106" t="str">
        <f>IF(OR($D14="1 dd",$D14="2 dd",$D14="3 dd",$D14="4 dd",$D14="6 dd",$D14="8 dd",$D14="12 dd",$D14="an",$D14="1 X"),VLOOKUP($D14,ber_tijden!$A$16:$X$26,ber_tijden!D$14,FALSE),"")</f>
        <v/>
      </c>
      <c r="K14" s="15" t="str">
        <f>IF(OR($D14="1 dd",$D14="2 dd",$D14="3 dd",$D14="4 dd",$D14="6 dd",$D14="8 dd",$D14="12 dd",$D14="an",$D14="1 X"),VLOOKUP($D14,ber_tijden!$A$16:$X$26,ber_tijden!E$14,FALSE),"")</f>
        <v/>
      </c>
      <c r="L14" s="106" t="str">
        <f>IF(OR($D14="1 dd",$D14="2 dd",$D14="3 dd",$D14="4 dd",$D14="6 dd",$D14="8 dd",$D14="12 dd",$D14="an",$D14="1 X"),VLOOKUP($D14,ber_tijden!$A$16:$X$26,ber_tijden!F$14,FALSE),"")</f>
        <v/>
      </c>
      <c r="M14" s="15" t="str">
        <f>IF(OR($D14="1 dd",$D14="2 dd",$D14="3 dd",$D14="4 dd",$D14="6 dd",$D14="8 dd",$D14="12 dd",$D14="an",$D14="1 X"),VLOOKUP($D14,ber_tijden!$A$16:$X$26,ber_tijden!G$14,FALSE),"")</f>
        <v/>
      </c>
      <c r="N14" s="106" t="str">
        <f>IF(OR($D14="1 dd",$D14="2 dd",$D14="3 dd",$D14="4 dd",$D14="6 dd",$D14="8 dd",$D14="12 dd",$D14="an",$D14="1 X"),VLOOKUP($D14,ber_tijden!$A$16:$X$26,ber_tijden!H$14,FALSE),"")</f>
        <v/>
      </c>
      <c r="O14" s="15" t="str">
        <f>IF(OR($D14="1 dd",$D14="2 dd",$D14="3 dd",$D14="4 dd",$D14="6 dd",$D14="8 dd",$D14="12 dd",$D14="an",$D14="1 X"),VLOOKUP($D14,ber_tijden!$A$16:$X$26,ber_tijden!I$14,FALSE),"")</f>
        <v/>
      </c>
      <c r="P14" s="106" t="str">
        <f>IF(OR($D14="1 dd",$D14="2 dd",$D14="3 dd",$D14="4 dd",$D14="6 dd",$D14="8 dd",$D14="12 dd",$D14="an",$D14="1 X"),VLOOKUP($D14,ber_tijden!$A$16:$X$26,ber_tijden!J$14,FALSE),"")</f>
        <v/>
      </c>
      <c r="Q14" s="15" t="str">
        <f>IF(OR($D14="1 dd",$D14="2 dd",$D14="3 dd",$D14="4 dd",$D14="6 dd",$D14="8 dd",$D14="12 dd",$D14="an",$D14="1 X"),VLOOKUP($D14,ber_tijden!$A$16:$X$26,ber_tijden!K$14,FALSE),"")</f>
        <v/>
      </c>
      <c r="R14" s="106" t="str">
        <f>IF(OR($D14="1 dd",$D14="2 dd",$D14="3 dd",$D14="4 dd",$D14="6 dd",$D14="8 dd",$D14="12 dd",$D14="an",$D14="1 X"),VLOOKUP($D14,ber_tijden!$A$16:$X$26,ber_tijden!L$14,FALSE),"")</f>
        <v/>
      </c>
      <c r="S14" s="15" t="str">
        <f>IF(OR($D14="1 dd",$D14="2 dd",$D14="3 dd",$D14="4 dd",$D14="6 dd",$D14="8 dd",$D14="12 dd",$D14="an",$D14="1 X"),VLOOKUP($D14,ber_tijden!$A$16:$X$26,ber_tijden!M$14,FALSE),"")</f>
        <v/>
      </c>
      <c r="T14" s="106" t="str">
        <f>IF(OR($D14="1 dd",$D14="2 dd",$D14="3 dd",$D14="4 dd",$D14="6 dd",$D14="8 dd",$D14="12 dd",$D14="an",$D14="1 X"),VLOOKUP($D14,ber_tijden!$A$16:$X$26,ber_tijden!N$14,FALSE),"")</f>
        <v/>
      </c>
      <c r="U14" s="15" t="str">
        <f>IF(OR($D14="1 dd",$D14="2 dd",$D14="3 dd",$D14="4 dd",$D14="6 dd",$D14="8 dd",$D14="12 dd",$D14="an",$D14="1 X"),VLOOKUP($D14,ber_tijden!$A$16:$X$26,ber_tijden!O$14,FALSE),"")</f>
        <v/>
      </c>
      <c r="V14" s="106" t="str">
        <f>IF(OR($D14="1 dd",$D14="2 dd",$D14="3 dd",$D14="4 dd",$D14="6 dd",$D14="8 dd",$D14="12 dd",$D14="an",$D14="1 X"),VLOOKUP($D14,ber_tijden!$A$16:$X$26,ber_tijden!P$14,FALSE),"")</f>
        <v/>
      </c>
      <c r="W14" s="15" t="str">
        <f>IF(OR($D14="1 dd",$D14="2 dd",$D14="3 dd",$D14="4 dd",$D14="6 dd",$D14="8 dd",$D14="12 dd",$D14="an",$D14="1 X"),VLOOKUP($D14,ber_tijden!$A$16:$X$26,ber_tijden!Q$14,FALSE),"")</f>
        <v/>
      </c>
      <c r="X14" s="106" t="str">
        <f>IF(OR($D14="1 dd",$D14="2 dd",$D14="3 dd",$D14="4 dd",$D14="6 dd",$D14="8 dd",$D14="12 dd",$D14="an",$D14="1 X"),VLOOKUP($D14,ber_tijden!$A$16:$X$26,ber_tijden!R$14,FALSE),"")</f>
        <v/>
      </c>
      <c r="Y14" s="15" t="str">
        <f>IF(OR($D14="1 dd",$D14="2 dd",$D14="3 dd",$D14="4 dd",$D14="6 dd",$D14="8 dd",$D14="12 dd",$D14="an",$D14="1 X"),VLOOKUP($D14,ber_tijden!$A$16:$X$26,ber_tijden!S$14,FALSE),"")</f>
        <v/>
      </c>
      <c r="Z14" s="106" t="str">
        <f>IF(OR($D14="1 dd",$D14="2 dd",$D14="3 dd",$D14="4 dd",$D14="6 dd",$D14="8 dd",$D14="12 dd",$D14="an",$D14="1 X"),VLOOKUP($D14,ber_tijden!$A$16:$X$26,ber_tijden!T$14,FALSE),"")</f>
        <v/>
      </c>
      <c r="AA14" s="15" t="str">
        <f>IF(OR($D14="1 dd",$D14="2 dd",$D14="3 dd",$D14="4 dd",$D14="6 dd",$D14="8 dd",$D14="12 dd",$D14="an",$D14="1 X"),VLOOKUP($D14,ber_tijden!$A$16:$X$26,ber_tijden!U$14,FALSE),"")</f>
        <v/>
      </c>
      <c r="AB14" s="106" t="str">
        <f>IF(OR($D14="1 dd",$D14="2 dd",$D14="3 dd",$D14="4 dd",$D14="6 dd",$D14="8 dd",$D14="12 dd",$D14="an",$D14="1 X"),VLOOKUP($D14,ber_tijden!$A$16:$X$26,ber_tijden!V$14,FALSE),"")</f>
        <v/>
      </c>
      <c r="AC14" s="15" t="str">
        <f>IF(OR($D14="1 dd",$D14="2 dd",$D14="3 dd",$D14="4 dd",$D14="6 dd",$D14="8 dd",$D14="12 dd",$D14="an",$D14="1 X"),VLOOKUP($D14,ber_tijden!$A$16:$X$26,ber_tijden!W$14,FALSE),"")</f>
        <v/>
      </c>
      <c r="AD14" s="106" t="str">
        <f>IF(OR($D14="1 dd",$D14="2 dd",$D14="3 dd",$D14="4 dd",$D14="6 dd",$D14="8 dd",$D14="12 dd",$D14="an",$D14="1 X"),VLOOKUP($D14,ber_tijden!$A$16:$X$26,ber_tijden!X$14,FALSE),"")</f>
        <v/>
      </c>
      <c r="AE14" s="17"/>
      <c r="AF14" s="105"/>
      <c r="AG14" s="17"/>
    </row>
    <row r="15" spans="1:33" ht="26.1" customHeight="1" x14ac:dyDescent="0.35">
      <c r="B15" s="107"/>
      <c r="C15" s="231" t="str">
        <f>IF(ber_Med_disc!C14&lt;&gt;"",IF(ber_Med_disc!C14&gt;1,TRIM(ber_Med_disc!C14)&amp;", "&amp;ber_Opm!C28&amp;" ("&amp;ber_Med_disc!M14&amp;" "&amp;ber_Med_disc!F14&amp;"/kg/dag)",TRIM(ber_Med_disc!C14)&amp;", "&amp;ber_Opm!C28),"")</f>
        <v/>
      </c>
      <c r="D15" s="232" t="str">
        <f>IF(Med_disc!H30&lt;&gt;"",Med_disc!H30,"")</f>
        <v/>
      </c>
      <c r="E15" s="233" t="str">
        <f>IF(AND(D15&lt;&gt;"",D15&lt;&gt;"STOP"),ber_Med_disc!H14&amp;" "&amp;ber_Med_disc!F14,"")</f>
        <v/>
      </c>
      <c r="F15" s="233" t="str">
        <f>IF(AND(D15&lt;&gt;"",D15&lt;&gt;"STOP"),ber_Med_disc!L14," ")</f>
        <v xml:space="preserve"> </v>
      </c>
      <c r="G15" s="233" t="str">
        <f>IF(Med_disc!L30&lt;&gt;"",Med_disc!L30&amp;" "&amp;Med_disc!M30&amp;" "&amp;INDEX(ber_Med_disc!$B$27:$B$30,ber_Med_disc!O14,1)&amp;" in "&amp;Med_disc!$O$30,"")</f>
        <v/>
      </c>
      <c r="H15" s="106" t="str">
        <f>IF(OR($D15="1 dd",$D15="2 dd",$D15="3 dd",$D15="4 dd",$D15="6 dd",$D15="8 dd",$D15="12 dd",$D15="an",$D15="1 X"),VLOOKUP($D15,ber_tijden!$A$16:$X$26,ber_tijden!B$14,FALSE),"")</f>
        <v/>
      </c>
      <c r="I15" s="15" t="str">
        <f>IF(OR($D15="1 dd",$D15="2 dd",$D15="3 dd",$D15="4 dd",$D15="6 dd",$D15="8 dd",$D15="12 dd",$D15="an",$D15="1 X"),VLOOKUP($D15,ber_tijden!$A$16:$X$26,ber_tijden!C$14,FALSE),"")</f>
        <v/>
      </c>
      <c r="J15" s="106" t="str">
        <f>IF(OR($D15="1 dd",$D15="2 dd",$D15="3 dd",$D15="4 dd",$D15="6 dd",$D15="8 dd",$D15="12 dd",$D15="an",$D15="1 X"),VLOOKUP($D15,ber_tijden!$A$16:$X$26,ber_tijden!D$14,FALSE),"")</f>
        <v/>
      </c>
      <c r="K15" s="15" t="str">
        <f>IF(OR($D15="1 dd",$D15="2 dd",$D15="3 dd",$D15="4 dd",$D15="6 dd",$D15="8 dd",$D15="12 dd",$D15="an",$D15="1 X"),VLOOKUP($D15,ber_tijden!$A$16:$X$26,ber_tijden!E$14,FALSE),"")</f>
        <v/>
      </c>
      <c r="L15" s="106" t="str">
        <f>IF(OR($D15="1 dd",$D15="2 dd",$D15="3 dd",$D15="4 dd",$D15="6 dd",$D15="8 dd",$D15="12 dd",$D15="an",$D15="1 X"),VLOOKUP($D15,ber_tijden!$A$16:$X$26,ber_tijden!F$14,FALSE),"")</f>
        <v/>
      </c>
      <c r="M15" s="15" t="str">
        <f>IF(OR($D15="1 dd",$D15="2 dd",$D15="3 dd",$D15="4 dd",$D15="6 dd",$D15="8 dd",$D15="12 dd",$D15="an",$D15="1 X"),VLOOKUP($D15,ber_tijden!$A$16:$X$26,ber_tijden!G$14,FALSE),"")</f>
        <v/>
      </c>
      <c r="N15" s="106" t="str">
        <f>IF(OR($D15="1 dd",$D15="2 dd",$D15="3 dd",$D15="4 dd",$D15="6 dd",$D15="8 dd",$D15="12 dd",$D15="an",$D15="1 X"),VLOOKUP($D15,ber_tijden!$A$16:$X$26,ber_tijden!H$14,FALSE),"")</f>
        <v/>
      </c>
      <c r="O15" s="15" t="str">
        <f>IF(OR($D15="1 dd",$D15="2 dd",$D15="3 dd",$D15="4 dd",$D15="6 dd",$D15="8 dd",$D15="12 dd",$D15="an",$D15="1 X"),VLOOKUP($D15,ber_tijden!$A$16:$X$26,ber_tijden!I$14,FALSE),"")</f>
        <v/>
      </c>
      <c r="P15" s="106" t="str">
        <f>IF(OR($D15="1 dd",$D15="2 dd",$D15="3 dd",$D15="4 dd",$D15="6 dd",$D15="8 dd",$D15="12 dd",$D15="an",$D15="1 X"),VLOOKUP($D15,ber_tijden!$A$16:$X$26,ber_tijden!J$14,FALSE),"")</f>
        <v/>
      </c>
      <c r="Q15" s="15" t="str">
        <f>IF(OR($D15="1 dd",$D15="2 dd",$D15="3 dd",$D15="4 dd",$D15="6 dd",$D15="8 dd",$D15="12 dd",$D15="an",$D15="1 X"),VLOOKUP($D15,ber_tijden!$A$16:$X$26,ber_tijden!K$14,FALSE),"")</f>
        <v/>
      </c>
      <c r="R15" s="106" t="str">
        <f>IF(OR($D15="1 dd",$D15="2 dd",$D15="3 dd",$D15="4 dd",$D15="6 dd",$D15="8 dd",$D15="12 dd",$D15="an",$D15="1 X"),VLOOKUP($D15,ber_tijden!$A$16:$X$26,ber_tijden!L$14,FALSE),"")</f>
        <v/>
      </c>
      <c r="S15" s="15" t="str">
        <f>IF(OR($D15="1 dd",$D15="2 dd",$D15="3 dd",$D15="4 dd",$D15="6 dd",$D15="8 dd",$D15="12 dd",$D15="an",$D15="1 X"),VLOOKUP($D15,ber_tijden!$A$16:$X$26,ber_tijden!M$14,FALSE),"")</f>
        <v/>
      </c>
      <c r="T15" s="106" t="str">
        <f>IF(OR($D15="1 dd",$D15="2 dd",$D15="3 dd",$D15="4 dd",$D15="6 dd",$D15="8 dd",$D15="12 dd",$D15="an",$D15="1 X"),VLOOKUP($D15,ber_tijden!$A$16:$X$26,ber_tijden!N$14,FALSE),"")</f>
        <v/>
      </c>
      <c r="U15" s="15" t="str">
        <f>IF(OR($D15="1 dd",$D15="2 dd",$D15="3 dd",$D15="4 dd",$D15="6 dd",$D15="8 dd",$D15="12 dd",$D15="an",$D15="1 X"),VLOOKUP($D15,ber_tijden!$A$16:$X$26,ber_tijden!O$14,FALSE),"")</f>
        <v/>
      </c>
      <c r="V15" s="106" t="str">
        <f>IF(OR($D15="1 dd",$D15="2 dd",$D15="3 dd",$D15="4 dd",$D15="6 dd",$D15="8 dd",$D15="12 dd",$D15="an",$D15="1 X"),VLOOKUP($D15,ber_tijden!$A$16:$X$26,ber_tijden!P$14,FALSE),"")</f>
        <v/>
      </c>
      <c r="W15" s="15" t="str">
        <f>IF(OR($D15="1 dd",$D15="2 dd",$D15="3 dd",$D15="4 dd",$D15="6 dd",$D15="8 dd",$D15="12 dd",$D15="an",$D15="1 X"),VLOOKUP($D15,ber_tijden!$A$16:$X$26,ber_tijden!Q$14,FALSE),"")</f>
        <v/>
      </c>
      <c r="X15" s="106" t="str">
        <f>IF(OR($D15="1 dd",$D15="2 dd",$D15="3 dd",$D15="4 dd",$D15="6 dd",$D15="8 dd",$D15="12 dd",$D15="an",$D15="1 X"),VLOOKUP($D15,ber_tijden!$A$16:$X$26,ber_tijden!R$14,FALSE),"")</f>
        <v/>
      </c>
      <c r="Y15" s="15" t="str">
        <f>IF(OR($D15="1 dd",$D15="2 dd",$D15="3 dd",$D15="4 dd",$D15="6 dd",$D15="8 dd",$D15="12 dd",$D15="an",$D15="1 X"),VLOOKUP($D15,ber_tijden!$A$16:$X$26,ber_tijden!S$14,FALSE),"")</f>
        <v/>
      </c>
      <c r="Z15" s="106" t="str">
        <f>IF(OR($D15="1 dd",$D15="2 dd",$D15="3 dd",$D15="4 dd",$D15="6 dd",$D15="8 dd",$D15="12 dd",$D15="an",$D15="1 X"),VLOOKUP($D15,ber_tijden!$A$16:$X$26,ber_tijden!T$14,FALSE),"")</f>
        <v/>
      </c>
      <c r="AA15" s="15" t="str">
        <f>IF(OR($D15="1 dd",$D15="2 dd",$D15="3 dd",$D15="4 dd",$D15="6 dd",$D15="8 dd",$D15="12 dd",$D15="an",$D15="1 X"),VLOOKUP($D15,ber_tijden!$A$16:$X$26,ber_tijden!U$14,FALSE),"")</f>
        <v/>
      </c>
      <c r="AB15" s="106" t="str">
        <f>IF(OR($D15="1 dd",$D15="2 dd",$D15="3 dd",$D15="4 dd",$D15="6 dd",$D15="8 dd",$D15="12 dd",$D15="an",$D15="1 X"),VLOOKUP($D15,ber_tijden!$A$16:$X$26,ber_tijden!V$14,FALSE),"")</f>
        <v/>
      </c>
      <c r="AC15" s="15" t="str">
        <f>IF(OR($D15="1 dd",$D15="2 dd",$D15="3 dd",$D15="4 dd",$D15="6 dd",$D15="8 dd",$D15="12 dd",$D15="an",$D15="1 X"),VLOOKUP($D15,ber_tijden!$A$16:$X$26,ber_tijden!W$14,FALSE),"")</f>
        <v/>
      </c>
      <c r="AD15" s="106" t="str">
        <f>IF(OR($D15="1 dd",$D15="2 dd",$D15="3 dd",$D15="4 dd",$D15="6 dd",$D15="8 dd",$D15="12 dd",$D15="an",$D15="1 X"),VLOOKUP($D15,ber_tijden!$A$16:$X$26,ber_tijden!X$14,FALSE),"")</f>
        <v/>
      </c>
      <c r="AE15" s="17"/>
      <c r="AF15" s="105"/>
      <c r="AG15" s="17"/>
    </row>
    <row r="16" spans="1:33" ht="26.1" customHeight="1" x14ac:dyDescent="0.35">
      <c r="B16" s="107"/>
      <c r="C16" s="231" t="str">
        <f>IF(ber_Med_disc!C15&lt;&gt;"",IF(ber_Med_disc!C15&gt;1,TRIM(ber_Med_disc!C15)&amp;", "&amp;ber_Opm!C29&amp;" ("&amp;ber_Med_disc!M15&amp;" "&amp;ber_Med_disc!F15&amp;"/kg/dag)",TRIM(ber_Med_disc!C15)&amp;", "&amp;ber_Opm!C29),"")</f>
        <v/>
      </c>
      <c r="D16" s="232" t="str">
        <f>IF(Med_disc!H32&lt;&gt;"",Med_disc!H32,"")</f>
        <v/>
      </c>
      <c r="E16" s="233" t="str">
        <f>IF(AND(D16&lt;&gt;"",D16&lt;&gt;"STOP"),ber_Med_disc!H15&amp;" "&amp;ber_Med_disc!F15,"")</f>
        <v/>
      </c>
      <c r="F16" s="233" t="str">
        <f>IF(AND(D16&lt;&gt;"",D16&lt;&gt;"STOP"),ber_Med_disc!L15," ")</f>
        <v xml:space="preserve"> </v>
      </c>
      <c r="G16" s="233" t="str">
        <f>IF(Med_disc!L32&lt;&gt;"",Med_disc!L32&amp;" "&amp;Med_disc!M32&amp;" "&amp;INDEX(ber_Med_disc!$B$27:$B$30,ber_Med_disc!O15,1)&amp;" in "&amp;Med_disc!$O$32,"")</f>
        <v/>
      </c>
      <c r="H16" s="106" t="str">
        <f>IF(OR($D16="1 dd",$D16="2 dd",$D16="3 dd",$D16="4 dd",$D16="6 dd",$D16="8 dd",$D16="12 dd",$D16="an",$D16="1 X"),VLOOKUP($D16,ber_tijden!$A$16:$X$26,ber_tijden!B$14,FALSE),"")</f>
        <v/>
      </c>
      <c r="I16" s="15" t="str">
        <f>IF(OR($D16="1 dd",$D16="2 dd",$D16="3 dd",$D16="4 dd",$D16="6 dd",$D16="8 dd",$D16="12 dd",$D16="an",$D16="1 X"),VLOOKUP($D16,ber_tijden!$A$16:$X$26,ber_tijden!C$14,FALSE),"")</f>
        <v/>
      </c>
      <c r="J16" s="106" t="str">
        <f>IF(OR($D16="1 dd",$D16="2 dd",$D16="3 dd",$D16="4 dd",$D16="6 dd",$D16="8 dd",$D16="12 dd",$D16="an",$D16="1 X"),VLOOKUP($D16,ber_tijden!$A$16:$X$26,ber_tijden!D$14,FALSE),"")</f>
        <v/>
      </c>
      <c r="K16" s="15" t="str">
        <f>IF(OR($D16="1 dd",$D16="2 dd",$D16="3 dd",$D16="4 dd",$D16="6 dd",$D16="8 dd",$D16="12 dd",$D16="an",$D16="1 X"),VLOOKUP($D16,ber_tijden!$A$16:$X$26,ber_tijden!E$14,FALSE),"")</f>
        <v/>
      </c>
      <c r="L16" s="106" t="str">
        <f>IF(OR($D16="1 dd",$D16="2 dd",$D16="3 dd",$D16="4 dd",$D16="6 dd",$D16="8 dd",$D16="12 dd",$D16="an",$D16="1 X"),VLOOKUP($D16,ber_tijden!$A$16:$X$26,ber_tijden!F$14,FALSE),"")</f>
        <v/>
      </c>
      <c r="M16" s="15" t="str">
        <f>IF(OR($D16="1 dd",$D16="2 dd",$D16="3 dd",$D16="4 dd",$D16="6 dd",$D16="8 dd",$D16="12 dd",$D16="an",$D16="1 X"),VLOOKUP($D16,ber_tijden!$A$16:$X$26,ber_tijden!G$14,FALSE),"")</f>
        <v/>
      </c>
      <c r="N16" s="106" t="str">
        <f>IF(OR($D16="1 dd",$D16="2 dd",$D16="3 dd",$D16="4 dd",$D16="6 dd",$D16="8 dd",$D16="12 dd",$D16="an",$D16="1 X"),VLOOKUP($D16,ber_tijden!$A$16:$X$26,ber_tijden!H$14,FALSE),"")</f>
        <v/>
      </c>
      <c r="O16" s="15" t="str">
        <f>IF(OR($D16="1 dd",$D16="2 dd",$D16="3 dd",$D16="4 dd",$D16="6 dd",$D16="8 dd",$D16="12 dd",$D16="an",$D16="1 X"),VLOOKUP($D16,ber_tijden!$A$16:$X$26,ber_tijden!I$14,FALSE),"")</f>
        <v/>
      </c>
      <c r="P16" s="106" t="str">
        <f>IF(OR($D16="1 dd",$D16="2 dd",$D16="3 dd",$D16="4 dd",$D16="6 dd",$D16="8 dd",$D16="12 dd",$D16="an",$D16="1 X"),VLOOKUP($D16,ber_tijden!$A$16:$X$26,ber_tijden!J$14,FALSE),"")</f>
        <v/>
      </c>
      <c r="Q16" s="15" t="str">
        <f>IF(OR($D16="1 dd",$D16="2 dd",$D16="3 dd",$D16="4 dd",$D16="6 dd",$D16="8 dd",$D16="12 dd",$D16="an",$D16="1 X"),VLOOKUP($D16,ber_tijden!$A$16:$X$26,ber_tijden!K$14,FALSE),"")</f>
        <v/>
      </c>
      <c r="R16" s="106" t="str">
        <f>IF(OR($D16="1 dd",$D16="2 dd",$D16="3 dd",$D16="4 dd",$D16="6 dd",$D16="8 dd",$D16="12 dd",$D16="an",$D16="1 X"),VLOOKUP($D16,ber_tijden!$A$16:$X$26,ber_tijden!L$14,FALSE),"")</f>
        <v/>
      </c>
      <c r="S16" s="15" t="str">
        <f>IF(OR($D16="1 dd",$D16="2 dd",$D16="3 dd",$D16="4 dd",$D16="6 dd",$D16="8 dd",$D16="12 dd",$D16="an",$D16="1 X"),VLOOKUP($D16,ber_tijden!$A$16:$X$26,ber_tijden!M$14,FALSE),"")</f>
        <v/>
      </c>
      <c r="T16" s="106" t="str">
        <f>IF(OR($D16="1 dd",$D16="2 dd",$D16="3 dd",$D16="4 dd",$D16="6 dd",$D16="8 dd",$D16="12 dd",$D16="an",$D16="1 X"),VLOOKUP($D16,ber_tijden!$A$16:$X$26,ber_tijden!N$14,FALSE),"")</f>
        <v/>
      </c>
      <c r="U16" s="15" t="str">
        <f>IF(OR($D16="1 dd",$D16="2 dd",$D16="3 dd",$D16="4 dd",$D16="6 dd",$D16="8 dd",$D16="12 dd",$D16="an",$D16="1 X"),VLOOKUP($D16,ber_tijden!$A$16:$X$26,ber_tijden!O$14,FALSE),"")</f>
        <v/>
      </c>
      <c r="V16" s="106" t="str">
        <f>IF(OR($D16="1 dd",$D16="2 dd",$D16="3 dd",$D16="4 dd",$D16="6 dd",$D16="8 dd",$D16="12 dd",$D16="an",$D16="1 X"),VLOOKUP($D16,ber_tijden!$A$16:$X$26,ber_tijden!P$14,FALSE),"")</f>
        <v/>
      </c>
      <c r="W16" s="15" t="str">
        <f>IF(OR($D16="1 dd",$D16="2 dd",$D16="3 dd",$D16="4 dd",$D16="6 dd",$D16="8 dd",$D16="12 dd",$D16="an",$D16="1 X"),VLOOKUP($D16,ber_tijden!$A$16:$X$26,ber_tijden!Q$14,FALSE),"")</f>
        <v/>
      </c>
      <c r="X16" s="106" t="str">
        <f>IF(OR($D16="1 dd",$D16="2 dd",$D16="3 dd",$D16="4 dd",$D16="6 dd",$D16="8 dd",$D16="12 dd",$D16="an",$D16="1 X"),VLOOKUP($D16,ber_tijden!$A$16:$X$26,ber_tijden!R$14,FALSE),"")</f>
        <v/>
      </c>
      <c r="Y16" s="15" t="str">
        <f>IF(OR($D16="1 dd",$D16="2 dd",$D16="3 dd",$D16="4 dd",$D16="6 dd",$D16="8 dd",$D16="12 dd",$D16="an",$D16="1 X"),VLOOKUP($D16,ber_tijden!$A$16:$X$26,ber_tijden!S$14,FALSE),"")</f>
        <v/>
      </c>
      <c r="Z16" s="106" t="str">
        <f>IF(OR($D16="1 dd",$D16="2 dd",$D16="3 dd",$D16="4 dd",$D16="6 dd",$D16="8 dd",$D16="12 dd",$D16="an",$D16="1 X"),VLOOKUP($D16,ber_tijden!$A$16:$X$26,ber_tijden!T$14,FALSE),"")</f>
        <v/>
      </c>
      <c r="AA16" s="15" t="str">
        <f>IF(OR($D16="1 dd",$D16="2 dd",$D16="3 dd",$D16="4 dd",$D16="6 dd",$D16="8 dd",$D16="12 dd",$D16="an",$D16="1 X"),VLOOKUP($D16,ber_tijden!$A$16:$X$26,ber_tijden!U$14,FALSE),"")</f>
        <v/>
      </c>
      <c r="AB16" s="106" t="str">
        <f>IF(OR($D16="1 dd",$D16="2 dd",$D16="3 dd",$D16="4 dd",$D16="6 dd",$D16="8 dd",$D16="12 dd",$D16="an",$D16="1 X"),VLOOKUP($D16,ber_tijden!$A$16:$X$26,ber_tijden!V$14,FALSE),"")</f>
        <v/>
      </c>
      <c r="AC16" s="15" t="str">
        <f>IF(OR($D16="1 dd",$D16="2 dd",$D16="3 dd",$D16="4 dd",$D16="6 dd",$D16="8 dd",$D16="12 dd",$D16="an",$D16="1 X"),VLOOKUP($D16,ber_tijden!$A$16:$X$26,ber_tijden!W$14,FALSE),"")</f>
        <v/>
      </c>
      <c r="AD16" s="106" t="str">
        <f>IF(OR($D16="1 dd",$D16="2 dd",$D16="3 dd",$D16="4 dd",$D16="6 dd",$D16="8 dd",$D16="12 dd",$D16="an",$D16="1 X"),VLOOKUP($D16,ber_tijden!$A$16:$X$26,ber_tijden!X$14,FALSE),"")</f>
        <v/>
      </c>
      <c r="AE16" s="17"/>
      <c r="AF16" s="105"/>
      <c r="AG16" s="17"/>
    </row>
    <row r="17" spans="2:33" ht="26.1" customHeight="1" x14ac:dyDescent="0.35">
      <c r="B17" s="107"/>
      <c r="C17" s="231" t="str">
        <f>IF(ber_Med_disc!C16&lt;&gt;"",IF(ber_Med_disc!C16&gt;1,TRIM(ber_Med_disc!C16)&amp;", "&amp;ber_Opm!C30&amp;" ("&amp;ber_Med_disc!M16&amp;" "&amp;ber_Med_disc!F16&amp;"/kg/dag)",TRIM(ber_Med_disc!C16)&amp;", "&amp;ber_Opm!C30),"")</f>
        <v/>
      </c>
      <c r="D17" s="232" t="str">
        <f>IF(Med_disc!H34&lt;&gt;"",Med_disc!H34,"")</f>
        <v/>
      </c>
      <c r="E17" s="233" t="str">
        <f>IF(AND(D17&lt;&gt;"",D17&lt;&gt;"STOP"),ber_Med_disc!H16&amp;" "&amp;ber_Med_disc!F16,"")</f>
        <v/>
      </c>
      <c r="F17" s="233" t="str">
        <f>IF(AND(D17&lt;&gt;"",D17&lt;&gt;"STOP"),ber_Med_disc!L16," ")</f>
        <v xml:space="preserve"> </v>
      </c>
      <c r="G17" s="233" t="str">
        <f>IF(Med_disc!L34&lt;&gt;"",Med_disc!L34&amp;" "&amp;Med_disc!M34&amp;" "&amp;INDEX(ber_Med_disc!$B$27:$B$30,ber_Med_disc!O16,1)&amp;" in "&amp;Med_disc!$O$34,"")</f>
        <v/>
      </c>
      <c r="H17" s="106" t="str">
        <f>IF(OR($D17="1 dd",$D17="2 dd",$D17="3 dd",$D17="4 dd",$D17="6 dd",$D17="8 dd",$D17="12 dd",$D17="an",$D17="1 X"),VLOOKUP($D17,ber_tijden!$A$16:$X$26,ber_tijden!B$14,FALSE),"")</f>
        <v/>
      </c>
      <c r="I17" s="15" t="str">
        <f>IF(OR($D17="1 dd",$D17="2 dd",$D17="3 dd",$D17="4 dd",$D17="6 dd",$D17="8 dd",$D17="12 dd",$D17="an",$D17="1 X"),VLOOKUP($D17,ber_tijden!$A$16:$X$26,ber_tijden!C$14,FALSE),"")</f>
        <v/>
      </c>
      <c r="J17" s="106" t="str">
        <f>IF(OR($D17="1 dd",$D17="2 dd",$D17="3 dd",$D17="4 dd",$D17="6 dd",$D17="8 dd",$D17="12 dd",$D17="an",$D17="1 X"),VLOOKUP($D17,ber_tijden!$A$16:$X$26,ber_tijden!D$14,FALSE),"")</f>
        <v/>
      </c>
      <c r="K17" s="15" t="str">
        <f>IF(OR($D17="1 dd",$D17="2 dd",$D17="3 dd",$D17="4 dd",$D17="6 dd",$D17="8 dd",$D17="12 dd",$D17="an",$D17="1 X"),VLOOKUP($D17,ber_tijden!$A$16:$X$26,ber_tijden!E$14,FALSE),"")</f>
        <v/>
      </c>
      <c r="L17" s="106" t="str">
        <f>IF(OR($D17="1 dd",$D17="2 dd",$D17="3 dd",$D17="4 dd",$D17="6 dd",$D17="8 dd",$D17="12 dd",$D17="an",$D17="1 X"),VLOOKUP($D17,ber_tijden!$A$16:$X$26,ber_tijden!F$14,FALSE),"")</f>
        <v/>
      </c>
      <c r="M17" s="15" t="str">
        <f>IF(OR($D17="1 dd",$D17="2 dd",$D17="3 dd",$D17="4 dd",$D17="6 dd",$D17="8 dd",$D17="12 dd",$D17="an",$D17="1 X"),VLOOKUP($D17,ber_tijden!$A$16:$X$26,ber_tijden!G$14,FALSE),"")</f>
        <v/>
      </c>
      <c r="N17" s="106" t="str">
        <f>IF(OR($D17="1 dd",$D17="2 dd",$D17="3 dd",$D17="4 dd",$D17="6 dd",$D17="8 dd",$D17="12 dd",$D17="an",$D17="1 X"),VLOOKUP($D17,ber_tijden!$A$16:$X$26,ber_tijden!H$14,FALSE),"")</f>
        <v/>
      </c>
      <c r="O17" s="15" t="str">
        <f>IF(OR($D17="1 dd",$D17="2 dd",$D17="3 dd",$D17="4 dd",$D17="6 dd",$D17="8 dd",$D17="12 dd",$D17="an",$D17="1 X"),VLOOKUP($D17,ber_tijden!$A$16:$X$26,ber_tijden!I$14,FALSE),"")</f>
        <v/>
      </c>
      <c r="P17" s="106" t="str">
        <f>IF(OR($D17="1 dd",$D17="2 dd",$D17="3 dd",$D17="4 dd",$D17="6 dd",$D17="8 dd",$D17="12 dd",$D17="an",$D17="1 X"),VLOOKUP($D17,ber_tijden!$A$16:$X$26,ber_tijden!J$14,FALSE),"")</f>
        <v/>
      </c>
      <c r="Q17" s="15" t="str">
        <f>IF(OR($D17="1 dd",$D17="2 dd",$D17="3 dd",$D17="4 dd",$D17="6 dd",$D17="8 dd",$D17="12 dd",$D17="an",$D17="1 X"),VLOOKUP($D17,ber_tijden!$A$16:$X$26,ber_tijden!K$14,FALSE),"")</f>
        <v/>
      </c>
      <c r="R17" s="106" t="str">
        <f>IF(OR($D17="1 dd",$D17="2 dd",$D17="3 dd",$D17="4 dd",$D17="6 dd",$D17="8 dd",$D17="12 dd",$D17="an",$D17="1 X"),VLOOKUP($D17,ber_tijden!$A$16:$X$26,ber_tijden!L$14,FALSE),"")</f>
        <v/>
      </c>
      <c r="S17" s="15" t="str">
        <f>IF(OR($D17="1 dd",$D17="2 dd",$D17="3 dd",$D17="4 dd",$D17="6 dd",$D17="8 dd",$D17="12 dd",$D17="an",$D17="1 X"),VLOOKUP($D17,ber_tijden!$A$16:$X$26,ber_tijden!M$14,FALSE),"")</f>
        <v/>
      </c>
      <c r="T17" s="106" t="str">
        <f>IF(OR($D17="1 dd",$D17="2 dd",$D17="3 dd",$D17="4 dd",$D17="6 dd",$D17="8 dd",$D17="12 dd",$D17="an",$D17="1 X"),VLOOKUP($D17,ber_tijden!$A$16:$X$26,ber_tijden!N$14,FALSE),"")</f>
        <v/>
      </c>
      <c r="U17" s="15" t="str">
        <f>IF(OR($D17="1 dd",$D17="2 dd",$D17="3 dd",$D17="4 dd",$D17="6 dd",$D17="8 dd",$D17="12 dd",$D17="an",$D17="1 X"),VLOOKUP($D17,ber_tijden!$A$16:$X$26,ber_tijden!O$14,FALSE),"")</f>
        <v/>
      </c>
      <c r="V17" s="106" t="str">
        <f>IF(OR($D17="1 dd",$D17="2 dd",$D17="3 dd",$D17="4 dd",$D17="6 dd",$D17="8 dd",$D17="12 dd",$D17="an",$D17="1 X"),VLOOKUP($D17,ber_tijden!$A$16:$X$26,ber_tijden!P$14,FALSE),"")</f>
        <v/>
      </c>
      <c r="W17" s="15" t="str">
        <f>IF(OR($D17="1 dd",$D17="2 dd",$D17="3 dd",$D17="4 dd",$D17="6 dd",$D17="8 dd",$D17="12 dd",$D17="an",$D17="1 X"),VLOOKUP($D17,ber_tijden!$A$16:$X$26,ber_tijden!Q$14,FALSE),"")</f>
        <v/>
      </c>
      <c r="X17" s="106" t="str">
        <f>IF(OR($D17="1 dd",$D17="2 dd",$D17="3 dd",$D17="4 dd",$D17="6 dd",$D17="8 dd",$D17="12 dd",$D17="an",$D17="1 X"),VLOOKUP($D17,ber_tijden!$A$16:$X$26,ber_tijden!R$14,FALSE),"")</f>
        <v/>
      </c>
      <c r="Y17" s="15" t="str">
        <f>IF(OR($D17="1 dd",$D17="2 dd",$D17="3 dd",$D17="4 dd",$D17="6 dd",$D17="8 dd",$D17="12 dd",$D17="an",$D17="1 X"),VLOOKUP($D17,ber_tijden!$A$16:$X$26,ber_tijden!S$14,FALSE),"")</f>
        <v/>
      </c>
      <c r="Z17" s="106" t="str">
        <f>IF(OR($D17="1 dd",$D17="2 dd",$D17="3 dd",$D17="4 dd",$D17="6 dd",$D17="8 dd",$D17="12 dd",$D17="an",$D17="1 X"),VLOOKUP($D17,ber_tijden!$A$16:$X$26,ber_tijden!T$14,FALSE),"")</f>
        <v/>
      </c>
      <c r="AA17" s="15" t="str">
        <f>IF(OR($D17="1 dd",$D17="2 dd",$D17="3 dd",$D17="4 dd",$D17="6 dd",$D17="8 dd",$D17="12 dd",$D17="an",$D17="1 X"),VLOOKUP($D17,ber_tijden!$A$16:$X$26,ber_tijden!U$14,FALSE),"")</f>
        <v/>
      </c>
      <c r="AB17" s="106" t="str">
        <f>IF(OR($D17="1 dd",$D17="2 dd",$D17="3 dd",$D17="4 dd",$D17="6 dd",$D17="8 dd",$D17="12 dd",$D17="an",$D17="1 X"),VLOOKUP($D17,ber_tijden!$A$16:$X$26,ber_tijden!V$14,FALSE),"")</f>
        <v/>
      </c>
      <c r="AC17" s="15" t="str">
        <f>IF(OR($D17="1 dd",$D17="2 dd",$D17="3 dd",$D17="4 dd",$D17="6 dd",$D17="8 dd",$D17="12 dd",$D17="an",$D17="1 X"),VLOOKUP($D17,ber_tijden!$A$16:$X$26,ber_tijden!W$14,FALSE),"")</f>
        <v/>
      </c>
      <c r="AD17" s="106" t="str">
        <f>IF(OR($D17="1 dd",$D17="2 dd",$D17="3 dd",$D17="4 dd",$D17="6 dd",$D17="8 dd",$D17="12 dd",$D17="an",$D17="1 X"),VLOOKUP($D17,ber_tijden!$A$16:$X$26,ber_tijden!X$14,FALSE),"")</f>
        <v/>
      </c>
      <c r="AE17" s="17"/>
      <c r="AF17" s="105"/>
      <c r="AG17" s="17"/>
    </row>
    <row r="18" spans="2:33" ht="26.1" customHeight="1" x14ac:dyDescent="0.35">
      <c r="B18" s="107"/>
      <c r="C18" s="231" t="str">
        <f>IF(ber_Med_disc!C17&lt;&gt;"",IF(ber_Med_disc!C17&gt;1,TRIM(ber_Med_disc!C17)&amp;", "&amp;ber_Opm!C31&amp;" ("&amp;ber_Med_disc!M17&amp;" "&amp;ber_Med_disc!F17&amp;"/kg/dag)",TRIM(ber_Med_disc!C17)&amp;", "&amp;ber_Opm!C31),"")</f>
        <v/>
      </c>
      <c r="D18" s="232" t="str">
        <f>IF(Med_disc!H36&lt;&gt;"",Med_disc!H36,"")</f>
        <v/>
      </c>
      <c r="E18" s="233" t="str">
        <f>IF(AND(D18&lt;&gt;"",D18&lt;&gt;"STOP"),ber_Med_disc!H17&amp;" "&amp;ber_Med_disc!F17,"")</f>
        <v/>
      </c>
      <c r="F18" s="233" t="str">
        <f>IF(AND(D18&lt;&gt;"",D18&lt;&gt;"STOP"),ber_Med_disc!L17," ")</f>
        <v xml:space="preserve"> </v>
      </c>
      <c r="G18" s="233" t="str">
        <f>IF(Med_disc!L36&lt;&gt;"",Med_disc!L36&amp;" "&amp;Med_disc!M36&amp;" "&amp;INDEX(ber_Med_disc!$B$27:$B$30,ber_Med_disc!O17,1)&amp;" in "&amp;Med_disc!$O$36,"")</f>
        <v/>
      </c>
      <c r="H18" s="106" t="str">
        <f>IF(OR($D18="1 dd",$D18="2 dd",$D18="3 dd",$D18="4 dd",$D18="6 dd",$D18="8 dd",$D18="12 dd",$D18="an",$D18="1 X"),VLOOKUP($D18,ber_tijden!$A$16:$X$26,ber_tijden!B$14,FALSE),"")</f>
        <v/>
      </c>
      <c r="I18" s="15" t="str">
        <f>IF(OR($D18="1 dd",$D18="2 dd",$D18="3 dd",$D18="4 dd",$D18="6 dd",$D18="8 dd",$D18="12 dd",$D18="an",$D18="1 X"),VLOOKUP($D18,ber_tijden!$A$16:$X$26,ber_tijden!C$14,FALSE),"")</f>
        <v/>
      </c>
      <c r="J18" s="106" t="str">
        <f>IF(OR($D18="1 dd",$D18="2 dd",$D18="3 dd",$D18="4 dd",$D18="6 dd",$D18="8 dd",$D18="12 dd",$D18="an",$D18="1 X"),VLOOKUP($D18,ber_tijden!$A$16:$X$26,ber_tijden!D$14,FALSE),"")</f>
        <v/>
      </c>
      <c r="K18" s="15" t="str">
        <f>IF(OR($D18="1 dd",$D18="2 dd",$D18="3 dd",$D18="4 dd",$D18="6 dd",$D18="8 dd",$D18="12 dd",$D18="an",$D18="1 X"),VLOOKUP($D18,ber_tijden!$A$16:$X$26,ber_tijden!E$14,FALSE),"")</f>
        <v/>
      </c>
      <c r="L18" s="106" t="str">
        <f>IF(OR($D18="1 dd",$D18="2 dd",$D18="3 dd",$D18="4 dd",$D18="6 dd",$D18="8 dd",$D18="12 dd",$D18="an",$D18="1 X"),VLOOKUP($D18,ber_tijden!$A$16:$X$26,ber_tijden!F$14,FALSE),"")</f>
        <v/>
      </c>
      <c r="M18" s="15" t="str">
        <f>IF(OR($D18="1 dd",$D18="2 dd",$D18="3 dd",$D18="4 dd",$D18="6 dd",$D18="8 dd",$D18="12 dd",$D18="an",$D18="1 X"),VLOOKUP($D18,ber_tijden!$A$16:$X$26,ber_tijden!G$14,FALSE),"")</f>
        <v/>
      </c>
      <c r="N18" s="106" t="str">
        <f>IF(OR($D18="1 dd",$D18="2 dd",$D18="3 dd",$D18="4 dd",$D18="6 dd",$D18="8 dd",$D18="12 dd",$D18="an",$D18="1 X"),VLOOKUP($D18,ber_tijden!$A$16:$X$26,ber_tijden!H$14,FALSE),"")</f>
        <v/>
      </c>
      <c r="O18" s="15" t="str">
        <f>IF(OR($D18="1 dd",$D18="2 dd",$D18="3 dd",$D18="4 dd",$D18="6 dd",$D18="8 dd",$D18="12 dd",$D18="an",$D18="1 X"),VLOOKUP($D18,ber_tijden!$A$16:$X$26,ber_tijden!I$14,FALSE),"")</f>
        <v/>
      </c>
      <c r="P18" s="106" t="str">
        <f>IF(OR($D18="1 dd",$D18="2 dd",$D18="3 dd",$D18="4 dd",$D18="6 dd",$D18="8 dd",$D18="12 dd",$D18="an",$D18="1 X"),VLOOKUP($D18,ber_tijden!$A$16:$X$26,ber_tijden!J$14,FALSE),"")</f>
        <v/>
      </c>
      <c r="Q18" s="15" t="str">
        <f>IF(OR($D18="1 dd",$D18="2 dd",$D18="3 dd",$D18="4 dd",$D18="6 dd",$D18="8 dd",$D18="12 dd",$D18="an",$D18="1 X"),VLOOKUP($D18,ber_tijden!$A$16:$X$26,ber_tijden!K$14,FALSE),"")</f>
        <v/>
      </c>
      <c r="R18" s="106" t="str">
        <f>IF(OR($D18="1 dd",$D18="2 dd",$D18="3 dd",$D18="4 dd",$D18="6 dd",$D18="8 dd",$D18="12 dd",$D18="an",$D18="1 X"),VLOOKUP($D18,ber_tijden!$A$16:$X$26,ber_tijden!L$14,FALSE),"")</f>
        <v/>
      </c>
      <c r="S18" s="15" t="str">
        <f>IF(OR($D18="1 dd",$D18="2 dd",$D18="3 dd",$D18="4 dd",$D18="6 dd",$D18="8 dd",$D18="12 dd",$D18="an",$D18="1 X"),VLOOKUP($D18,ber_tijden!$A$16:$X$26,ber_tijden!M$14,FALSE),"")</f>
        <v/>
      </c>
      <c r="T18" s="106" t="str">
        <f>IF(OR($D18="1 dd",$D18="2 dd",$D18="3 dd",$D18="4 dd",$D18="6 dd",$D18="8 dd",$D18="12 dd",$D18="an",$D18="1 X"),VLOOKUP($D18,ber_tijden!$A$16:$X$26,ber_tijden!N$14,FALSE),"")</f>
        <v/>
      </c>
      <c r="U18" s="15" t="str">
        <f>IF(OR($D18="1 dd",$D18="2 dd",$D18="3 dd",$D18="4 dd",$D18="6 dd",$D18="8 dd",$D18="12 dd",$D18="an",$D18="1 X"),VLOOKUP($D18,ber_tijden!$A$16:$X$26,ber_tijden!O$14,FALSE),"")</f>
        <v/>
      </c>
      <c r="V18" s="106" t="str">
        <f>IF(OR($D18="1 dd",$D18="2 dd",$D18="3 dd",$D18="4 dd",$D18="6 dd",$D18="8 dd",$D18="12 dd",$D18="an",$D18="1 X"),VLOOKUP($D18,ber_tijden!$A$16:$X$26,ber_tijden!P$14,FALSE),"")</f>
        <v/>
      </c>
      <c r="W18" s="15" t="str">
        <f>IF(OR($D18="1 dd",$D18="2 dd",$D18="3 dd",$D18="4 dd",$D18="6 dd",$D18="8 dd",$D18="12 dd",$D18="an",$D18="1 X"),VLOOKUP($D18,ber_tijden!$A$16:$X$26,ber_tijden!Q$14,FALSE),"")</f>
        <v/>
      </c>
      <c r="X18" s="106" t="str">
        <f>IF(OR($D18="1 dd",$D18="2 dd",$D18="3 dd",$D18="4 dd",$D18="6 dd",$D18="8 dd",$D18="12 dd",$D18="an",$D18="1 X"),VLOOKUP($D18,ber_tijden!$A$16:$X$26,ber_tijden!R$14,FALSE),"")</f>
        <v/>
      </c>
      <c r="Y18" s="15" t="str">
        <f>IF(OR($D18="1 dd",$D18="2 dd",$D18="3 dd",$D18="4 dd",$D18="6 dd",$D18="8 dd",$D18="12 dd",$D18="an",$D18="1 X"),VLOOKUP($D18,ber_tijden!$A$16:$X$26,ber_tijden!S$14,FALSE),"")</f>
        <v/>
      </c>
      <c r="Z18" s="106" t="str">
        <f>IF(OR($D18="1 dd",$D18="2 dd",$D18="3 dd",$D18="4 dd",$D18="6 dd",$D18="8 dd",$D18="12 dd",$D18="an",$D18="1 X"),VLOOKUP($D18,ber_tijden!$A$16:$X$26,ber_tijden!T$14,FALSE),"")</f>
        <v/>
      </c>
      <c r="AA18" s="15" t="str">
        <f>IF(OR($D18="1 dd",$D18="2 dd",$D18="3 dd",$D18="4 dd",$D18="6 dd",$D18="8 dd",$D18="12 dd",$D18="an",$D18="1 X"),VLOOKUP($D18,ber_tijden!$A$16:$X$26,ber_tijden!U$14,FALSE),"")</f>
        <v/>
      </c>
      <c r="AB18" s="106" t="str">
        <f>IF(OR($D18="1 dd",$D18="2 dd",$D18="3 dd",$D18="4 dd",$D18="6 dd",$D18="8 dd",$D18="12 dd",$D18="an",$D18="1 X"),VLOOKUP($D18,ber_tijden!$A$16:$X$26,ber_tijden!V$14,FALSE),"")</f>
        <v/>
      </c>
      <c r="AC18" s="15" t="str">
        <f>IF(OR($D18="1 dd",$D18="2 dd",$D18="3 dd",$D18="4 dd",$D18="6 dd",$D18="8 dd",$D18="12 dd",$D18="an",$D18="1 X"),VLOOKUP($D18,ber_tijden!$A$16:$X$26,ber_tijden!W$14,FALSE),"")</f>
        <v/>
      </c>
      <c r="AD18" s="106" t="str">
        <f>IF(OR($D18="1 dd",$D18="2 dd",$D18="3 dd",$D18="4 dd",$D18="6 dd",$D18="8 dd",$D18="12 dd",$D18="an",$D18="1 X"),VLOOKUP($D18,ber_tijden!$A$16:$X$26,ber_tijden!X$14,FALSE),"")</f>
        <v/>
      </c>
      <c r="AE18" s="17"/>
      <c r="AF18" s="105"/>
      <c r="AG18" s="17"/>
    </row>
    <row r="19" spans="2:33" ht="26.1" customHeight="1" x14ac:dyDescent="0.35">
      <c r="B19" s="107"/>
      <c r="C19" s="231" t="str">
        <f>IF(ber_Med_disc!C18&lt;&gt;"",IF(ber_Med_disc!C18&gt;1,TRIM(ber_Med_disc!C18)&amp;", "&amp;ber_Opm!C32&amp;" ("&amp;ber_Med_disc!M18&amp;" "&amp;ber_Med_disc!F18&amp;"/kg/dag)",TRIM(ber_Med_disc!C18)&amp;", "&amp;ber_Opm!C32),"")</f>
        <v/>
      </c>
      <c r="D19" s="232" t="str">
        <f>IF(Med_disc!H38&lt;&gt;"",Med_disc!H38,"")</f>
        <v/>
      </c>
      <c r="E19" s="233" t="str">
        <f>IF(AND(D19&lt;&gt;"",D19&lt;&gt;"STOP"),ber_Med_disc!H18&amp;" "&amp;ber_Med_disc!F18,"")</f>
        <v/>
      </c>
      <c r="F19" s="233" t="str">
        <f>IF(AND(D19&lt;&gt;"",D19&lt;&gt;"STOP"),ber_Med_disc!L18," ")</f>
        <v xml:space="preserve"> </v>
      </c>
      <c r="G19" s="233" t="str">
        <f>IF(Med_disc!L38&lt;&gt;"",Med_disc!L38&amp;" "&amp;Med_disc!M38&amp;" "&amp;INDEX(ber_Med_disc!$B$27:$B$30,ber_Med_disc!O18,1)&amp;" in "&amp;Med_disc!$O$38,"")</f>
        <v/>
      </c>
      <c r="H19" s="106" t="str">
        <f>IF(OR($D19="1 dd",$D19="2 dd",$D19="3 dd",$D19="4 dd",$D19="6 dd",$D19="8 dd",$D19="12 dd",$D19="an",$D19="1 X"),VLOOKUP($D19,ber_tijden!$A$16:$X$26,ber_tijden!B$14,FALSE),"")</f>
        <v/>
      </c>
      <c r="I19" s="15" t="str">
        <f>IF(OR($D19="1 dd",$D19="2 dd",$D19="3 dd",$D19="4 dd",$D19="6 dd",$D19="8 dd",$D19="12 dd",$D19="an",$D19="1 X"),VLOOKUP($D19,ber_tijden!$A$16:$X$26,ber_tijden!C$14,FALSE),"")</f>
        <v/>
      </c>
      <c r="J19" s="106" t="str">
        <f>IF(OR($D19="1 dd",$D19="2 dd",$D19="3 dd",$D19="4 dd",$D19="6 dd",$D19="8 dd",$D19="12 dd",$D19="an",$D19="1 X"),VLOOKUP($D19,ber_tijden!$A$16:$X$26,ber_tijden!D$14,FALSE),"")</f>
        <v/>
      </c>
      <c r="K19" s="15" t="str">
        <f>IF(OR($D19="1 dd",$D19="2 dd",$D19="3 dd",$D19="4 dd",$D19="6 dd",$D19="8 dd",$D19="12 dd",$D19="an",$D19="1 X"),VLOOKUP($D19,ber_tijden!$A$16:$X$26,ber_tijden!E$14,FALSE),"")</f>
        <v/>
      </c>
      <c r="L19" s="106" t="str">
        <f>IF(OR($D19="1 dd",$D19="2 dd",$D19="3 dd",$D19="4 dd",$D19="6 dd",$D19="8 dd",$D19="12 dd",$D19="an",$D19="1 X"),VLOOKUP($D19,ber_tijden!$A$16:$X$26,ber_tijden!F$14,FALSE),"")</f>
        <v/>
      </c>
      <c r="M19" s="15" t="str">
        <f>IF(OR($D19="1 dd",$D19="2 dd",$D19="3 dd",$D19="4 dd",$D19="6 dd",$D19="8 dd",$D19="12 dd",$D19="an",$D19="1 X"),VLOOKUP($D19,ber_tijden!$A$16:$X$26,ber_tijden!G$14,FALSE),"")</f>
        <v/>
      </c>
      <c r="N19" s="106" t="str">
        <f>IF(OR($D19="1 dd",$D19="2 dd",$D19="3 dd",$D19="4 dd",$D19="6 dd",$D19="8 dd",$D19="12 dd",$D19="an",$D19="1 X"),VLOOKUP($D19,ber_tijden!$A$16:$X$26,ber_tijden!H$14,FALSE),"")</f>
        <v/>
      </c>
      <c r="O19" s="15" t="str">
        <f>IF(OR($D19="1 dd",$D19="2 dd",$D19="3 dd",$D19="4 dd",$D19="6 dd",$D19="8 dd",$D19="12 dd",$D19="an",$D19="1 X"),VLOOKUP($D19,ber_tijden!$A$16:$X$26,ber_tijden!I$14,FALSE),"")</f>
        <v/>
      </c>
      <c r="P19" s="106" t="str">
        <f>IF(OR($D19="1 dd",$D19="2 dd",$D19="3 dd",$D19="4 dd",$D19="6 dd",$D19="8 dd",$D19="12 dd",$D19="an",$D19="1 X"),VLOOKUP($D19,ber_tijden!$A$16:$X$26,ber_tijden!J$14,FALSE),"")</f>
        <v/>
      </c>
      <c r="Q19" s="15" t="str">
        <f>IF(OR($D19="1 dd",$D19="2 dd",$D19="3 dd",$D19="4 dd",$D19="6 dd",$D19="8 dd",$D19="12 dd",$D19="an",$D19="1 X"),VLOOKUP($D19,ber_tijden!$A$16:$X$26,ber_tijden!K$14,FALSE),"")</f>
        <v/>
      </c>
      <c r="R19" s="106" t="str">
        <f>IF(OR($D19="1 dd",$D19="2 dd",$D19="3 dd",$D19="4 dd",$D19="6 dd",$D19="8 dd",$D19="12 dd",$D19="an",$D19="1 X"),VLOOKUP($D19,ber_tijden!$A$16:$X$26,ber_tijden!L$14,FALSE),"")</f>
        <v/>
      </c>
      <c r="S19" s="15" t="str">
        <f>IF(OR($D19="1 dd",$D19="2 dd",$D19="3 dd",$D19="4 dd",$D19="6 dd",$D19="8 dd",$D19="12 dd",$D19="an",$D19="1 X"),VLOOKUP($D19,ber_tijden!$A$16:$X$26,ber_tijden!M$14,FALSE),"")</f>
        <v/>
      </c>
      <c r="T19" s="106" t="str">
        <f>IF(OR($D19="1 dd",$D19="2 dd",$D19="3 dd",$D19="4 dd",$D19="6 dd",$D19="8 dd",$D19="12 dd",$D19="an",$D19="1 X"),VLOOKUP($D19,ber_tijden!$A$16:$X$26,ber_tijden!N$14,FALSE),"")</f>
        <v/>
      </c>
      <c r="U19" s="15" t="str">
        <f>IF(OR($D19="1 dd",$D19="2 dd",$D19="3 dd",$D19="4 dd",$D19="6 dd",$D19="8 dd",$D19="12 dd",$D19="an",$D19="1 X"),VLOOKUP($D19,ber_tijden!$A$16:$X$26,ber_tijden!O$14,FALSE),"")</f>
        <v/>
      </c>
      <c r="V19" s="106" t="str">
        <f>IF(OR($D19="1 dd",$D19="2 dd",$D19="3 dd",$D19="4 dd",$D19="6 dd",$D19="8 dd",$D19="12 dd",$D19="an",$D19="1 X"),VLOOKUP($D19,ber_tijden!$A$16:$X$26,ber_tijden!P$14,FALSE),"")</f>
        <v/>
      </c>
      <c r="W19" s="15" t="str">
        <f>IF(OR($D19="1 dd",$D19="2 dd",$D19="3 dd",$D19="4 dd",$D19="6 dd",$D19="8 dd",$D19="12 dd",$D19="an",$D19="1 X"),VLOOKUP($D19,ber_tijden!$A$16:$X$26,ber_tijden!Q$14,FALSE),"")</f>
        <v/>
      </c>
      <c r="X19" s="106" t="str">
        <f>IF(OR($D19="1 dd",$D19="2 dd",$D19="3 dd",$D19="4 dd",$D19="6 dd",$D19="8 dd",$D19="12 dd",$D19="an",$D19="1 X"),VLOOKUP($D19,ber_tijden!$A$16:$X$26,ber_tijden!R$14,FALSE),"")</f>
        <v/>
      </c>
      <c r="Y19" s="15" t="str">
        <f>IF(OR($D19="1 dd",$D19="2 dd",$D19="3 dd",$D19="4 dd",$D19="6 dd",$D19="8 dd",$D19="12 dd",$D19="an",$D19="1 X"),VLOOKUP($D19,ber_tijden!$A$16:$X$26,ber_tijden!S$14,FALSE),"")</f>
        <v/>
      </c>
      <c r="Z19" s="106" t="str">
        <f>IF(OR($D19="1 dd",$D19="2 dd",$D19="3 dd",$D19="4 dd",$D19="6 dd",$D19="8 dd",$D19="12 dd",$D19="an",$D19="1 X"),VLOOKUP($D19,ber_tijden!$A$16:$X$26,ber_tijden!T$14,FALSE),"")</f>
        <v/>
      </c>
      <c r="AA19" s="15" t="str">
        <f>IF(OR($D19="1 dd",$D19="2 dd",$D19="3 dd",$D19="4 dd",$D19="6 dd",$D19="8 dd",$D19="12 dd",$D19="an",$D19="1 X"),VLOOKUP($D19,ber_tijden!$A$16:$X$26,ber_tijden!U$14,FALSE),"")</f>
        <v/>
      </c>
      <c r="AB19" s="106" t="str">
        <f>IF(OR($D19="1 dd",$D19="2 dd",$D19="3 dd",$D19="4 dd",$D19="6 dd",$D19="8 dd",$D19="12 dd",$D19="an",$D19="1 X"),VLOOKUP($D19,ber_tijden!$A$16:$X$26,ber_tijden!V$14,FALSE),"")</f>
        <v/>
      </c>
      <c r="AC19" s="15" t="str">
        <f>IF(OR($D19="1 dd",$D19="2 dd",$D19="3 dd",$D19="4 dd",$D19="6 dd",$D19="8 dd",$D19="12 dd",$D19="an",$D19="1 X"),VLOOKUP($D19,ber_tijden!$A$16:$X$26,ber_tijden!W$14,FALSE),"")</f>
        <v/>
      </c>
      <c r="AD19" s="106" t="str">
        <f>IF(OR($D19="1 dd",$D19="2 dd",$D19="3 dd",$D19="4 dd",$D19="6 dd",$D19="8 dd",$D19="12 dd",$D19="an",$D19="1 X"),VLOOKUP($D19,ber_tijden!$A$16:$X$26,ber_tijden!X$14,FALSE),"")</f>
        <v/>
      </c>
      <c r="AE19" s="17"/>
      <c r="AF19" s="105"/>
      <c r="AG19" s="17"/>
    </row>
    <row r="20" spans="2:33" ht="26.1" customHeight="1" x14ac:dyDescent="0.35">
      <c r="B20" s="107"/>
      <c r="C20" s="231" t="str">
        <f>IF(ber_Med_disc!C19&lt;&gt;"",IF(ber_Med_disc!C19&gt;1,TRIM(ber_Med_disc!C19)&amp;", "&amp;ber_Opm!C33&amp;" ("&amp;ber_Med_disc!M19&amp;" "&amp;ber_Med_disc!F19&amp;"/kg/dag)",TRIM(ber_Med_disc!C19)&amp;", "&amp;ber_Opm!C33),"")</f>
        <v/>
      </c>
      <c r="D20" s="232" t="str">
        <f>IF(Med_disc!H40&lt;&gt;"",Med_disc!H40,"")</f>
        <v/>
      </c>
      <c r="E20" s="233" t="str">
        <f>IF(AND(D20&lt;&gt;"",D20&lt;&gt;"STOP"),ber_Med_disc!H19&amp;" "&amp;ber_Med_disc!F19,"")</f>
        <v/>
      </c>
      <c r="F20" s="233" t="str">
        <f>IF(AND(D20&lt;&gt;"",D20&lt;&gt;"STOP"),ber_Med_disc!L19," ")</f>
        <v xml:space="preserve"> </v>
      </c>
      <c r="G20" s="233" t="str">
        <f>IF(Med_disc!L40&lt;&gt;"",Med_disc!L40&amp;" "&amp;Med_disc!M40&amp;" "&amp;INDEX(ber_Med_disc!$B$27:$B$30,ber_Med_disc!O19,1)&amp;" in "&amp;Med_disc!$O$40,"")</f>
        <v/>
      </c>
      <c r="H20" s="106" t="str">
        <f>IF(OR($D20="1 dd",$D20="2 dd",$D20="3 dd",$D20="4 dd",$D20="6 dd",$D20="8 dd",$D20="12 dd",$D20="an",$D20="1 X"),VLOOKUP($D20,ber_tijden!$A$16:$X$26,ber_tijden!B$14,FALSE),"")</f>
        <v/>
      </c>
      <c r="I20" s="15" t="str">
        <f>IF(OR($D20="1 dd",$D20="2 dd",$D20="3 dd",$D20="4 dd",$D20="6 dd",$D20="8 dd",$D20="12 dd",$D20="an",$D20="1 X"),VLOOKUP($D20,ber_tijden!$A$16:$X$26,ber_tijden!C$14,FALSE),"")</f>
        <v/>
      </c>
      <c r="J20" s="106" t="str">
        <f>IF(OR($D20="1 dd",$D20="2 dd",$D20="3 dd",$D20="4 dd",$D20="6 dd",$D20="8 dd",$D20="12 dd",$D20="an",$D20="1 X"),VLOOKUP($D20,ber_tijden!$A$16:$X$26,ber_tijden!D$14,FALSE),"")</f>
        <v/>
      </c>
      <c r="K20" s="15" t="str">
        <f>IF(OR($D20="1 dd",$D20="2 dd",$D20="3 dd",$D20="4 dd",$D20="6 dd",$D20="8 dd",$D20="12 dd",$D20="an",$D20="1 X"),VLOOKUP($D20,ber_tijden!$A$16:$X$26,ber_tijden!E$14,FALSE),"")</f>
        <v/>
      </c>
      <c r="L20" s="106" t="str">
        <f>IF(OR($D20="1 dd",$D20="2 dd",$D20="3 dd",$D20="4 dd",$D20="6 dd",$D20="8 dd",$D20="12 dd",$D20="an",$D20="1 X"),VLOOKUP($D20,ber_tijden!$A$16:$X$26,ber_tijden!F$14,FALSE),"")</f>
        <v/>
      </c>
      <c r="M20" s="15" t="str">
        <f>IF(OR($D20="1 dd",$D20="2 dd",$D20="3 dd",$D20="4 dd",$D20="6 dd",$D20="8 dd",$D20="12 dd",$D20="an",$D20="1 X"),VLOOKUP($D20,ber_tijden!$A$16:$X$26,ber_tijden!G$14,FALSE),"")</f>
        <v/>
      </c>
      <c r="N20" s="106" t="str">
        <f>IF(OR($D20="1 dd",$D20="2 dd",$D20="3 dd",$D20="4 dd",$D20="6 dd",$D20="8 dd",$D20="12 dd",$D20="an",$D20="1 X"),VLOOKUP($D20,ber_tijden!$A$16:$X$26,ber_tijden!H$14,FALSE),"")</f>
        <v/>
      </c>
      <c r="O20" s="15" t="str">
        <f>IF(OR($D20="1 dd",$D20="2 dd",$D20="3 dd",$D20="4 dd",$D20="6 dd",$D20="8 dd",$D20="12 dd",$D20="an",$D20="1 X"),VLOOKUP($D20,ber_tijden!$A$16:$X$26,ber_tijden!I$14,FALSE),"")</f>
        <v/>
      </c>
      <c r="P20" s="106" t="str">
        <f>IF(OR($D20="1 dd",$D20="2 dd",$D20="3 dd",$D20="4 dd",$D20="6 dd",$D20="8 dd",$D20="12 dd",$D20="an",$D20="1 X"),VLOOKUP($D20,ber_tijden!$A$16:$X$26,ber_tijden!J$14,FALSE),"")</f>
        <v/>
      </c>
      <c r="Q20" s="15" t="str">
        <f>IF(OR($D20="1 dd",$D20="2 dd",$D20="3 dd",$D20="4 dd",$D20="6 dd",$D20="8 dd",$D20="12 dd",$D20="an",$D20="1 X"),VLOOKUP($D20,ber_tijden!$A$16:$X$26,ber_tijden!K$14,FALSE),"")</f>
        <v/>
      </c>
      <c r="R20" s="106" t="str">
        <f>IF(OR($D20="1 dd",$D20="2 dd",$D20="3 dd",$D20="4 dd",$D20="6 dd",$D20="8 dd",$D20="12 dd",$D20="an",$D20="1 X"),VLOOKUP($D20,ber_tijden!$A$16:$X$26,ber_tijden!L$14,FALSE),"")</f>
        <v/>
      </c>
      <c r="S20" s="15" t="str">
        <f>IF(OR($D20="1 dd",$D20="2 dd",$D20="3 dd",$D20="4 dd",$D20="6 dd",$D20="8 dd",$D20="12 dd",$D20="an",$D20="1 X"),VLOOKUP($D20,ber_tijden!$A$16:$X$26,ber_tijden!M$14,FALSE),"")</f>
        <v/>
      </c>
      <c r="T20" s="106" t="str">
        <f>IF(OR($D20="1 dd",$D20="2 dd",$D20="3 dd",$D20="4 dd",$D20="6 dd",$D20="8 dd",$D20="12 dd",$D20="an",$D20="1 X"),VLOOKUP($D20,ber_tijden!$A$16:$X$26,ber_tijden!N$14,FALSE),"")</f>
        <v/>
      </c>
      <c r="U20" s="15" t="str">
        <f>IF(OR($D20="1 dd",$D20="2 dd",$D20="3 dd",$D20="4 dd",$D20="6 dd",$D20="8 dd",$D20="12 dd",$D20="an",$D20="1 X"),VLOOKUP($D20,ber_tijden!$A$16:$X$26,ber_tijden!O$14,FALSE),"")</f>
        <v/>
      </c>
      <c r="V20" s="106" t="str">
        <f>IF(OR($D20="1 dd",$D20="2 dd",$D20="3 dd",$D20="4 dd",$D20="6 dd",$D20="8 dd",$D20="12 dd",$D20="an",$D20="1 X"),VLOOKUP($D20,ber_tijden!$A$16:$X$26,ber_tijden!P$14,FALSE),"")</f>
        <v/>
      </c>
      <c r="W20" s="15" t="str">
        <f>IF(OR($D20="1 dd",$D20="2 dd",$D20="3 dd",$D20="4 dd",$D20="6 dd",$D20="8 dd",$D20="12 dd",$D20="an",$D20="1 X"),VLOOKUP($D20,ber_tijden!$A$16:$X$26,ber_tijden!Q$14,FALSE),"")</f>
        <v/>
      </c>
      <c r="X20" s="106" t="str">
        <f>IF(OR($D20="1 dd",$D20="2 dd",$D20="3 dd",$D20="4 dd",$D20="6 dd",$D20="8 dd",$D20="12 dd",$D20="an",$D20="1 X"),VLOOKUP($D20,ber_tijden!$A$16:$X$26,ber_tijden!R$14,FALSE),"")</f>
        <v/>
      </c>
      <c r="Y20" s="15" t="str">
        <f>IF(OR($D20="1 dd",$D20="2 dd",$D20="3 dd",$D20="4 dd",$D20="6 dd",$D20="8 dd",$D20="12 dd",$D20="an",$D20="1 X"),VLOOKUP($D20,ber_tijden!$A$16:$X$26,ber_tijden!S$14,FALSE),"")</f>
        <v/>
      </c>
      <c r="Z20" s="106" t="str">
        <f>IF(OR($D20="1 dd",$D20="2 dd",$D20="3 dd",$D20="4 dd",$D20="6 dd",$D20="8 dd",$D20="12 dd",$D20="an",$D20="1 X"),VLOOKUP($D20,ber_tijden!$A$16:$X$26,ber_tijden!T$14,FALSE),"")</f>
        <v/>
      </c>
      <c r="AA20" s="15" t="str">
        <f>IF(OR($D20="1 dd",$D20="2 dd",$D20="3 dd",$D20="4 dd",$D20="6 dd",$D20="8 dd",$D20="12 dd",$D20="an",$D20="1 X"),VLOOKUP($D20,ber_tijden!$A$16:$X$26,ber_tijden!U$14,FALSE),"")</f>
        <v/>
      </c>
      <c r="AB20" s="106" t="str">
        <f>IF(OR($D20="1 dd",$D20="2 dd",$D20="3 dd",$D20="4 dd",$D20="6 dd",$D20="8 dd",$D20="12 dd",$D20="an",$D20="1 X"),VLOOKUP($D20,ber_tijden!$A$16:$X$26,ber_tijden!V$14,FALSE),"")</f>
        <v/>
      </c>
      <c r="AC20" s="15" t="str">
        <f>IF(OR($D20="1 dd",$D20="2 dd",$D20="3 dd",$D20="4 dd",$D20="6 dd",$D20="8 dd",$D20="12 dd",$D20="an",$D20="1 X"),VLOOKUP($D20,ber_tijden!$A$16:$X$26,ber_tijden!W$14,FALSE),"")</f>
        <v/>
      </c>
      <c r="AD20" s="106" t="str">
        <f>IF(OR($D20="1 dd",$D20="2 dd",$D20="3 dd",$D20="4 dd",$D20="6 dd",$D20="8 dd",$D20="12 dd",$D20="an",$D20="1 X"),VLOOKUP($D20,ber_tijden!$A$16:$X$26,ber_tijden!X$14,FALSE),"")</f>
        <v/>
      </c>
      <c r="AE20" s="17"/>
      <c r="AF20" s="105"/>
      <c r="AG20" s="17"/>
    </row>
    <row r="21" spans="2:33" ht="26.1" customHeight="1" x14ac:dyDescent="0.35">
      <c r="B21" s="107"/>
      <c r="C21" s="231" t="str">
        <f>IF(ber_Med_disc!C20&lt;&gt;"",IF(ber_Med_disc!C20&gt;1,TRIM(ber_Med_disc!C20)&amp;", "&amp;ber_Opm!C34&amp;" ("&amp;ber_Med_disc!M20&amp;" "&amp;ber_Med_disc!F20&amp;"/kg/dag)",TRIM(ber_Med_disc!C20)&amp;", "&amp;ber_Opm!C34),"")</f>
        <v/>
      </c>
      <c r="D21" s="232" t="str">
        <f>IF(Med_disc!H42&lt;&gt;"",Med_disc!H42,"")</f>
        <v/>
      </c>
      <c r="E21" s="233" t="str">
        <f>IF(AND(D21&lt;&gt;"",D21&lt;&gt;"STOP"),ber_Med_disc!H20&amp;" "&amp;ber_Med_disc!F20,"")</f>
        <v/>
      </c>
      <c r="F21" s="233" t="str">
        <f>IF(AND(D21&lt;&gt;"",D21&lt;&gt;"STOP"),ber_Med_disc!L20," ")</f>
        <v xml:space="preserve"> </v>
      </c>
      <c r="G21" s="233" t="str">
        <f>IF(Med_disc!L42&lt;&gt;"",Med_disc!L42&amp;" "&amp;Med_disc!M42&amp;" "&amp;INDEX(ber_Med_disc!$B$27:$B$30,ber_Med_disc!O20,1)&amp;" in "&amp;Med_disc!$O$42,"")</f>
        <v/>
      </c>
      <c r="H21" s="106" t="str">
        <f>IF(OR($D21="1 dd",$D21="2 dd",$D21="3 dd",$D21="4 dd",$D21="6 dd",$D21="8 dd",$D21="12 dd",$D21="an",$D21="1 X"),VLOOKUP($D21,ber_tijden!$A$16:$X$26,ber_tijden!B$14,FALSE),"")</f>
        <v/>
      </c>
      <c r="I21" s="15" t="str">
        <f>IF(OR($D21="1 dd",$D21="2 dd",$D21="3 dd",$D21="4 dd",$D21="6 dd",$D21="8 dd",$D21="12 dd",$D21="an",$D21="1 X"),VLOOKUP($D21,ber_tijden!$A$16:$X$26,ber_tijden!C$14,FALSE),"")</f>
        <v/>
      </c>
      <c r="J21" s="106" t="str">
        <f>IF(OR($D21="1 dd",$D21="2 dd",$D21="3 dd",$D21="4 dd",$D21="6 dd",$D21="8 dd",$D21="12 dd",$D21="an",$D21="1 X"),VLOOKUP($D21,ber_tijden!$A$16:$X$26,ber_tijden!D$14,FALSE),"")</f>
        <v/>
      </c>
      <c r="K21" s="15" t="str">
        <f>IF(OR($D21="1 dd",$D21="2 dd",$D21="3 dd",$D21="4 dd",$D21="6 dd",$D21="8 dd",$D21="12 dd",$D21="an",$D21="1 X"),VLOOKUP($D21,ber_tijden!$A$16:$X$26,ber_tijden!E$14,FALSE),"")</f>
        <v/>
      </c>
      <c r="L21" s="106" t="str">
        <f>IF(OR($D21="1 dd",$D21="2 dd",$D21="3 dd",$D21="4 dd",$D21="6 dd",$D21="8 dd",$D21="12 dd",$D21="an",$D21="1 X"),VLOOKUP($D21,ber_tijden!$A$16:$X$26,ber_tijden!F$14,FALSE),"")</f>
        <v/>
      </c>
      <c r="M21" s="15" t="str">
        <f>IF(OR($D21="1 dd",$D21="2 dd",$D21="3 dd",$D21="4 dd",$D21="6 dd",$D21="8 dd",$D21="12 dd",$D21="an",$D21="1 X"),VLOOKUP($D21,ber_tijden!$A$16:$X$26,ber_tijden!G$14,FALSE),"")</f>
        <v/>
      </c>
      <c r="N21" s="106" t="str">
        <f>IF(OR($D21="1 dd",$D21="2 dd",$D21="3 dd",$D21="4 dd",$D21="6 dd",$D21="8 dd",$D21="12 dd",$D21="an",$D21="1 X"),VLOOKUP($D21,ber_tijden!$A$16:$X$26,ber_tijden!H$14,FALSE),"")</f>
        <v/>
      </c>
      <c r="O21" s="15" t="str">
        <f>IF(OR($D21="1 dd",$D21="2 dd",$D21="3 dd",$D21="4 dd",$D21="6 dd",$D21="8 dd",$D21="12 dd",$D21="an",$D21="1 X"),VLOOKUP($D21,ber_tijden!$A$16:$X$26,ber_tijden!I$14,FALSE),"")</f>
        <v/>
      </c>
      <c r="P21" s="106" t="str">
        <f>IF(OR($D21="1 dd",$D21="2 dd",$D21="3 dd",$D21="4 dd",$D21="6 dd",$D21="8 dd",$D21="12 dd",$D21="an",$D21="1 X"),VLOOKUP($D21,ber_tijden!$A$16:$X$26,ber_tijden!J$14,FALSE),"")</f>
        <v/>
      </c>
      <c r="Q21" s="15" t="str">
        <f>IF(OR($D21="1 dd",$D21="2 dd",$D21="3 dd",$D21="4 dd",$D21="6 dd",$D21="8 dd",$D21="12 dd",$D21="an",$D21="1 X"),VLOOKUP($D21,ber_tijden!$A$16:$X$26,ber_tijden!K$14,FALSE),"")</f>
        <v/>
      </c>
      <c r="R21" s="106" t="str">
        <f>IF(OR($D21="1 dd",$D21="2 dd",$D21="3 dd",$D21="4 dd",$D21="6 dd",$D21="8 dd",$D21="12 dd",$D21="an",$D21="1 X"),VLOOKUP($D21,ber_tijden!$A$16:$X$26,ber_tijden!L$14,FALSE),"")</f>
        <v/>
      </c>
      <c r="S21" s="15" t="str">
        <f>IF(OR($D21="1 dd",$D21="2 dd",$D21="3 dd",$D21="4 dd",$D21="6 dd",$D21="8 dd",$D21="12 dd",$D21="an",$D21="1 X"),VLOOKUP($D21,ber_tijden!$A$16:$X$26,ber_tijden!M$14,FALSE),"")</f>
        <v/>
      </c>
      <c r="T21" s="106" t="str">
        <f>IF(OR($D21="1 dd",$D21="2 dd",$D21="3 dd",$D21="4 dd",$D21="6 dd",$D21="8 dd",$D21="12 dd",$D21="an",$D21="1 X"),VLOOKUP($D21,ber_tijden!$A$16:$X$26,ber_tijden!N$14,FALSE),"")</f>
        <v/>
      </c>
      <c r="U21" s="15" t="str">
        <f>IF(OR($D21="1 dd",$D21="2 dd",$D21="3 dd",$D21="4 dd",$D21="6 dd",$D21="8 dd",$D21="12 dd",$D21="an",$D21="1 X"),VLOOKUP($D21,ber_tijden!$A$16:$X$26,ber_tijden!O$14,FALSE),"")</f>
        <v/>
      </c>
      <c r="V21" s="106" t="str">
        <f>IF(OR($D21="1 dd",$D21="2 dd",$D21="3 dd",$D21="4 dd",$D21="6 dd",$D21="8 dd",$D21="12 dd",$D21="an",$D21="1 X"),VLOOKUP($D21,ber_tijden!$A$16:$X$26,ber_tijden!P$14,FALSE),"")</f>
        <v/>
      </c>
      <c r="W21" s="15" t="str">
        <f>IF(OR($D21="1 dd",$D21="2 dd",$D21="3 dd",$D21="4 dd",$D21="6 dd",$D21="8 dd",$D21="12 dd",$D21="an",$D21="1 X"),VLOOKUP($D21,ber_tijden!$A$16:$X$26,ber_tijden!Q$14,FALSE),"")</f>
        <v/>
      </c>
      <c r="X21" s="106" t="str">
        <f>IF(OR($D21="1 dd",$D21="2 dd",$D21="3 dd",$D21="4 dd",$D21="6 dd",$D21="8 dd",$D21="12 dd",$D21="an",$D21="1 X"),VLOOKUP($D21,ber_tijden!$A$16:$X$26,ber_tijden!R$14,FALSE),"")</f>
        <v/>
      </c>
      <c r="Y21" s="15" t="str">
        <f>IF(OR($D21="1 dd",$D21="2 dd",$D21="3 dd",$D21="4 dd",$D21="6 dd",$D21="8 dd",$D21="12 dd",$D21="an",$D21="1 X"),VLOOKUP($D21,ber_tijden!$A$16:$X$26,ber_tijden!S$14,FALSE),"")</f>
        <v/>
      </c>
      <c r="Z21" s="106" t="str">
        <f>IF(OR($D21="1 dd",$D21="2 dd",$D21="3 dd",$D21="4 dd",$D21="6 dd",$D21="8 dd",$D21="12 dd",$D21="an",$D21="1 X"),VLOOKUP($D21,ber_tijden!$A$16:$X$26,ber_tijden!T$14,FALSE),"")</f>
        <v/>
      </c>
      <c r="AA21" s="15" t="str">
        <f>IF(OR($D21="1 dd",$D21="2 dd",$D21="3 dd",$D21="4 dd",$D21="6 dd",$D21="8 dd",$D21="12 dd",$D21="an",$D21="1 X"),VLOOKUP($D21,ber_tijden!$A$16:$X$26,ber_tijden!U$14,FALSE),"")</f>
        <v/>
      </c>
      <c r="AB21" s="106" t="str">
        <f>IF(OR($D21="1 dd",$D21="2 dd",$D21="3 dd",$D21="4 dd",$D21="6 dd",$D21="8 dd",$D21="12 dd",$D21="an",$D21="1 X"),VLOOKUP($D21,ber_tijden!$A$16:$X$26,ber_tijden!V$14,FALSE),"")</f>
        <v/>
      </c>
      <c r="AC21" s="15" t="str">
        <f>IF(OR($D21="1 dd",$D21="2 dd",$D21="3 dd",$D21="4 dd",$D21="6 dd",$D21="8 dd",$D21="12 dd",$D21="an",$D21="1 X"),VLOOKUP($D21,ber_tijden!$A$16:$X$26,ber_tijden!W$14,FALSE),"")</f>
        <v/>
      </c>
      <c r="AD21" s="106" t="str">
        <f>IF(OR($D21="1 dd",$D21="2 dd",$D21="3 dd",$D21="4 dd",$D21="6 dd",$D21="8 dd",$D21="12 dd",$D21="an",$D21="1 X"),VLOOKUP($D21,ber_tijden!$A$16:$X$26,ber_tijden!X$14,FALSE),"")</f>
        <v/>
      </c>
      <c r="AE21" s="17"/>
      <c r="AF21" s="105"/>
      <c r="AG21" s="17"/>
    </row>
    <row r="22" spans="2:33" ht="26.1" customHeight="1" x14ac:dyDescent="0.35">
      <c r="B22" s="107"/>
      <c r="C22" s="231" t="str">
        <f>IF(ber_Med_disc!C21&lt;&gt;"",IF(ber_Med_disc!C21&gt;1,TRIM(ber_Med_disc!C21)&amp;", "&amp;ber_Opm!C35&amp;" ("&amp;ber_Med_disc!M21&amp;" "&amp;ber_Med_disc!F21&amp;"/kg/dag)",TRIM(ber_Med_disc!C21)&amp;", "&amp;ber_Opm!C35),"")</f>
        <v/>
      </c>
      <c r="D22" s="232" t="str">
        <f>IF(Med_disc!H44&lt;&gt;"",Med_disc!H44,"")</f>
        <v/>
      </c>
      <c r="E22" s="233" t="str">
        <f>IF(AND(D22&lt;&gt;"",D22&lt;&gt;"STOP"),ber_Med_disc!H21&amp;" "&amp;ber_Med_disc!F21,"")</f>
        <v/>
      </c>
      <c r="F22" s="233" t="str">
        <f>IF(AND(D22&lt;&gt;"",D22&lt;&gt;"STOP"),ber_Med_disc!L21," ")</f>
        <v xml:space="preserve"> </v>
      </c>
      <c r="G22" s="233" t="str">
        <f>IF(Med_disc!L44&lt;&gt;"",Med_disc!L44&amp;" "&amp;Med_disc!M44&amp;" "&amp;INDEX(ber_Med_disc!$B$27:$B$30,ber_Med_disc!O21,1)&amp;" in "&amp;Med_disc!$O$44,"")</f>
        <v/>
      </c>
      <c r="H22" s="106" t="str">
        <f>IF(OR($D22="1 dd",$D22="2 dd",$D22="3 dd",$D22="4 dd",$D22="6 dd",$D22="8 dd",$D22="12 dd",$D22="an",$D22="1 X"),VLOOKUP($D22,ber_tijden!$A$16:$X$26,ber_tijden!B$14,FALSE),"")</f>
        <v/>
      </c>
      <c r="I22" s="15" t="str">
        <f>IF(OR($D22="1 dd",$D22="2 dd",$D22="3 dd",$D22="4 dd",$D22="6 dd",$D22="8 dd",$D22="12 dd",$D22="an",$D22="1 X"),VLOOKUP($D22,ber_tijden!$A$16:$X$26,ber_tijden!C$14,FALSE),"")</f>
        <v/>
      </c>
      <c r="J22" s="106" t="str">
        <f>IF(OR($D22="1 dd",$D22="2 dd",$D22="3 dd",$D22="4 dd",$D22="6 dd",$D22="8 dd",$D22="12 dd",$D22="an",$D22="1 X"),VLOOKUP($D22,ber_tijden!$A$16:$X$26,ber_tijden!D$14,FALSE),"")</f>
        <v/>
      </c>
      <c r="K22" s="15" t="str">
        <f>IF(OR($D22="1 dd",$D22="2 dd",$D22="3 dd",$D22="4 dd",$D22="6 dd",$D22="8 dd",$D22="12 dd",$D22="an",$D22="1 X"),VLOOKUP($D22,ber_tijden!$A$16:$X$26,ber_tijden!E$14,FALSE),"")</f>
        <v/>
      </c>
      <c r="L22" s="106" t="str">
        <f>IF(OR($D22="1 dd",$D22="2 dd",$D22="3 dd",$D22="4 dd",$D22="6 dd",$D22="8 dd",$D22="12 dd",$D22="an",$D22="1 X"),VLOOKUP($D22,ber_tijden!$A$16:$X$26,ber_tijden!F$14,FALSE),"")</f>
        <v/>
      </c>
      <c r="M22" s="15" t="str">
        <f>IF(OR($D22="1 dd",$D22="2 dd",$D22="3 dd",$D22="4 dd",$D22="6 dd",$D22="8 dd",$D22="12 dd",$D22="an",$D22="1 X"),VLOOKUP($D22,ber_tijden!$A$16:$X$26,ber_tijden!G$14,FALSE),"")</f>
        <v/>
      </c>
      <c r="N22" s="106" t="str">
        <f>IF(OR($D22="1 dd",$D22="2 dd",$D22="3 dd",$D22="4 dd",$D22="6 dd",$D22="8 dd",$D22="12 dd",$D22="an",$D22="1 X"),VLOOKUP($D22,ber_tijden!$A$16:$X$26,ber_tijden!H$14,FALSE),"")</f>
        <v/>
      </c>
      <c r="O22" s="15" t="str">
        <f>IF(OR($D22="1 dd",$D22="2 dd",$D22="3 dd",$D22="4 dd",$D22="6 dd",$D22="8 dd",$D22="12 dd",$D22="an",$D22="1 X"),VLOOKUP($D22,ber_tijden!$A$16:$X$26,ber_tijden!I$14,FALSE),"")</f>
        <v/>
      </c>
      <c r="P22" s="106" t="str">
        <f>IF(OR($D22="1 dd",$D22="2 dd",$D22="3 dd",$D22="4 dd",$D22="6 dd",$D22="8 dd",$D22="12 dd",$D22="an",$D22="1 X"),VLOOKUP($D22,ber_tijden!$A$16:$X$26,ber_tijden!J$14,FALSE),"")</f>
        <v/>
      </c>
      <c r="Q22" s="15" t="str">
        <f>IF(OR($D22="1 dd",$D22="2 dd",$D22="3 dd",$D22="4 dd",$D22="6 dd",$D22="8 dd",$D22="12 dd",$D22="an",$D22="1 X"),VLOOKUP($D22,ber_tijden!$A$16:$X$26,ber_tijden!K$14,FALSE),"")</f>
        <v/>
      </c>
      <c r="R22" s="106" t="str">
        <f>IF(OR($D22="1 dd",$D22="2 dd",$D22="3 dd",$D22="4 dd",$D22="6 dd",$D22="8 dd",$D22="12 dd",$D22="an",$D22="1 X"),VLOOKUP($D22,ber_tijden!$A$16:$X$26,ber_tijden!L$14,FALSE),"")</f>
        <v/>
      </c>
      <c r="S22" s="15" t="str">
        <f>IF(OR($D22="1 dd",$D22="2 dd",$D22="3 dd",$D22="4 dd",$D22="6 dd",$D22="8 dd",$D22="12 dd",$D22="an",$D22="1 X"),VLOOKUP($D22,ber_tijden!$A$16:$X$26,ber_tijden!M$14,FALSE),"")</f>
        <v/>
      </c>
      <c r="T22" s="106" t="str">
        <f>IF(OR($D22="1 dd",$D22="2 dd",$D22="3 dd",$D22="4 dd",$D22="6 dd",$D22="8 dd",$D22="12 dd",$D22="an",$D22="1 X"),VLOOKUP($D22,ber_tijden!$A$16:$X$26,ber_tijden!N$14,FALSE),"")</f>
        <v/>
      </c>
      <c r="U22" s="15" t="str">
        <f>IF(OR($D22="1 dd",$D22="2 dd",$D22="3 dd",$D22="4 dd",$D22="6 dd",$D22="8 dd",$D22="12 dd",$D22="an",$D22="1 X"),VLOOKUP($D22,ber_tijden!$A$16:$X$26,ber_tijden!O$14,FALSE),"")</f>
        <v/>
      </c>
      <c r="V22" s="106" t="str">
        <f>IF(OR($D22="1 dd",$D22="2 dd",$D22="3 dd",$D22="4 dd",$D22="6 dd",$D22="8 dd",$D22="12 dd",$D22="an",$D22="1 X"),VLOOKUP($D22,ber_tijden!$A$16:$X$26,ber_tijden!P$14,FALSE),"")</f>
        <v/>
      </c>
      <c r="W22" s="15" t="str">
        <f>IF(OR($D22="1 dd",$D22="2 dd",$D22="3 dd",$D22="4 dd",$D22="6 dd",$D22="8 dd",$D22="12 dd",$D22="an",$D22="1 X"),VLOOKUP($D22,ber_tijden!$A$16:$X$26,ber_tijden!Q$14,FALSE),"")</f>
        <v/>
      </c>
      <c r="X22" s="106" t="str">
        <f>IF(OR($D22="1 dd",$D22="2 dd",$D22="3 dd",$D22="4 dd",$D22="6 dd",$D22="8 dd",$D22="12 dd",$D22="an",$D22="1 X"),VLOOKUP($D22,ber_tijden!$A$16:$X$26,ber_tijden!R$14,FALSE),"")</f>
        <v/>
      </c>
      <c r="Y22" s="15" t="str">
        <f>IF(OR($D22="1 dd",$D22="2 dd",$D22="3 dd",$D22="4 dd",$D22="6 dd",$D22="8 dd",$D22="12 dd",$D22="an",$D22="1 X"),VLOOKUP($D22,ber_tijden!$A$16:$X$26,ber_tijden!S$14,FALSE),"")</f>
        <v/>
      </c>
      <c r="Z22" s="106" t="str">
        <f>IF(OR($D22="1 dd",$D22="2 dd",$D22="3 dd",$D22="4 dd",$D22="6 dd",$D22="8 dd",$D22="12 dd",$D22="an",$D22="1 X"),VLOOKUP($D22,ber_tijden!$A$16:$X$26,ber_tijden!T$14,FALSE),"")</f>
        <v/>
      </c>
      <c r="AA22" s="15" t="str">
        <f>IF(OR($D22="1 dd",$D22="2 dd",$D22="3 dd",$D22="4 dd",$D22="6 dd",$D22="8 dd",$D22="12 dd",$D22="an",$D22="1 X"),VLOOKUP($D22,ber_tijden!$A$16:$X$26,ber_tijden!U$14,FALSE),"")</f>
        <v/>
      </c>
      <c r="AB22" s="106" t="str">
        <f>IF(OR($D22="1 dd",$D22="2 dd",$D22="3 dd",$D22="4 dd",$D22="6 dd",$D22="8 dd",$D22="12 dd",$D22="an",$D22="1 X"),VLOOKUP($D22,ber_tijden!$A$16:$X$26,ber_tijden!V$14,FALSE),"")</f>
        <v/>
      </c>
      <c r="AC22" s="15" t="str">
        <f>IF(OR($D22="1 dd",$D22="2 dd",$D22="3 dd",$D22="4 dd",$D22="6 dd",$D22="8 dd",$D22="12 dd",$D22="an",$D22="1 X"),VLOOKUP($D22,ber_tijden!$A$16:$X$26,ber_tijden!W$14,FALSE),"")</f>
        <v/>
      </c>
      <c r="AD22" s="106" t="str">
        <f>IF(OR($D22="1 dd",$D22="2 dd",$D22="3 dd",$D22="4 dd",$D22="6 dd",$D22="8 dd",$D22="12 dd",$D22="an",$D22="1 X"),VLOOKUP($D22,ber_tijden!$A$16:$X$26,ber_tijden!X$14,FALSE),"")</f>
        <v/>
      </c>
      <c r="AE22" s="17"/>
      <c r="AF22" s="105"/>
      <c r="AG22" s="17"/>
    </row>
  </sheetData>
  <mergeCells count="3">
    <mergeCell ref="F1:G1"/>
    <mergeCell ref="R1:W1"/>
    <mergeCell ref="AB1:AF1"/>
  </mergeCells>
  <conditionalFormatting sqref="B3:B22">
    <cfRule type="cellIs" dxfId="0" priority="1" stopIfTrue="1" operator="equal">
      <formula>$AB$1</formula>
    </cfRule>
  </conditionalFormatting>
  <printOptions horizontalCentered="1" verticalCentered="1"/>
  <pageMargins left="0.31" right="0.69" top="0.19685039370078741" bottom="0.19685039370078741" header="0.19685039370078741" footer="0.19685039370078741"/>
  <pageSetup paperSize="9" orientation="landscape" r:id="rId1"/>
  <headerFooter alignWithMargins="0">
    <oddHeader>&amp;LBed 1.4</oddHeader>
  </headerFooter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ijdenNeo">
    <tabColor rgb="FF92D050"/>
  </sheetPr>
  <dimension ref="A1:Y27"/>
  <sheetViews>
    <sheetView workbookViewId="0"/>
  </sheetViews>
  <sheetFormatPr defaultColWidth="9.1328125" defaultRowHeight="12.85" x14ac:dyDescent="0.35"/>
  <cols>
    <col min="1" max="1" width="9.1328125" style="517"/>
    <col min="2" max="25" width="4.73046875" style="517" customWidth="1"/>
    <col min="26" max="16384" width="9.1328125" style="517"/>
  </cols>
  <sheetData>
    <row r="1" spans="1:25" x14ac:dyDescent="0.35">
      <c r="A1" s="577" t="s">
        <v>852</v>
      </c>
    </row>
    <row r="2" spans="1:25" x14ac:dyDescent="0.35">
      <c r="A2" s="517" t="s">
        <v>805</v>
      </c>
      <c r="B2" s="517">
        <v>20</v>
      </c>
    </row>
    <row r="3" spans="1:25" x14ac:dyDescent="0.35">
      <c r="A3" s="517" t="s">
        <v>853</v>
      </c>
      <c r="B3" s="517">
        <v>9</v>
      </c>
    </row>
    <row r="4" spans="1:25" x14ac:dyDescent="0.35">
      <c r="A4" s="517" t="s">
        <v>854</v>
      </c>
      <c r="B4" s="517">
        <v>9</v>
      </c>
      <c r="C4" s="517">
        <v>21</v>
      </c>
    </row>
    <row r="5" spans="1:25" x14ac:dyDescent="0.35">
      <c r="A5" s="517" t="s">
        <v>855</v>
      </c>
      <c r="B5" s="517">
        <v>9</v>
      </c>
      <c r="C5" s="517">
        <v>17</v>
      </c>
      <c r="D5" s="517">
        <v>1</v>
      </c>
    </row>
    <row r="6" spans="1:25" x14ac:dyDescent="0.35">
      <c r="A6" s="577" t="s">
        <v>856</v>
      </c>
      <c r="B6" s="517">
        <v>9</v>
      </c>
      <c r="C6" s="517">
        <v>15</v>
      </c>
      <c r="D6" s="517">
        <v>21</v>
      </c>
      <c r="E6" s="517">
        <v>3</v>
      </c>
    </row>
    <row r="7" spans="1:25" x14ac:dyDescent="0.35">
      <c r="A7" s="583" t="s">
        <v>918</v>
      </c>
      <c r="B7" s="517">
        <v>9</v>
      </c>
      <c r="C7" s="517">
        <v>12</v>
      </c>
      <c r="D7" s="517">
        <v>15</v>
      </c>
      <c r="E7" s="517">
        <v>18</v>
      </c>
      <c r="F7" s="517">
        <v>22</v>
      </c>
    </row>
    <row r="8" spans="1:25" x14ac:dyDescent="0.35">
      <c r="A8" s="517" t="s">
        <v>393</v>
      </c>
      <c r="B8" s="517">
        <v>9</v>
      </c>
      <c r="C8" s="517">
        <v>13</v>
      </c>
      <c r="D8" s="517">
        <v>17</v>
      </c>
      <c r="E8" s="517">
        <v>21</v>
      </c>
      <c r="F8" s="517">
        <v>1</v>
      </c>
      <c r="G8" s="517">
        <v>5</v>
      </c>
    </row>
    <row r="9" spans="1:25" x14ac:dyDescent="0.35">
      <c r="A9" s="517" t="s">
        <v>394</v>
      </c>
      <c r="B9" s="517">
        <v>11</v>
      </c>
      <c r="C9" s="517">
        <v>14</v>
      </c>
      <c r="D9" s="517">
        <v>17</v>
      </c>
      <c r="E9" s="517">
        <v>20</v>
      </c>
      <c r="F9" s="517">
        <v>23</v>
      </c>
      <c r="G9" s="517">
        <v>2</v>
      </c>
      <c r="H9" s="517">
        <v>5</v>
      </c>
      <c r="I9" s="517">
        <v>8</v>
      </c>
    </row>
    <row r="10" spans="1:25" x14ac:dyDescent="0.35">
      <c r="A10" s="517" t="s">
        <v>395</v>
      </c>
      <c r="B10" s="517">
        <v>9</v>
      </c>
      <c r="C10" s="517">
        <v>11</v>
      </c>
      <c r="D10" s="517">
        <v>13</v>
      </c>
      <c r="E10" s="517">
        <v>15</v>
      </c>
      <c r="F10" s="517">
        <v>17</v>
      </c>
      <c r="G10" s="517">
        <v>19</v>
      </c>
      <c r="H10" s="517">
        <v>21</v>
      </c>
      <c r="I10" s="517">
        <v>23</v>
      </c>
      <c r="J10" s="517">
        <v>1</v>
      </c>
      <c r="K10" s="517">
        <v>3</v>
      </c>
      <c r="L10" s="517">
        <v>5</v>
      </c>
      <c r="M10" s="517">
        <v>7</v>
      </c>
    </row>
    <row r="11" spans="1:25" x14ac:dyDescent="0.35">
      <c r="A11" s="517" t="s">
        <v>50</v>
      </c>
      <c r="B11" s="517">
        <v>9</v>
      </c>
      <c r="C11" s="517">
        <v>10</v>
      </c>
      <c r="D11" s="517">
        <v>11</v>
      </c>
      <c r="E11" s="517">
        <v>12</v>
      </c>
      <c r="F11" s="517">
        <v>13</v>
      </c>
      <c r="G11" s="517">
        <v>14</v>
      </c>
      <c r="H11" s="517">
        <v>15</v>
      </c>
      <c r="I11" s="517">
        <v>16</v>
      </c>
      <c r="J11" s="517">
        <v>17</v>
      </c>
      <c r="K11" s="517">
        <v>18</v>
      </c>
      <c r="L11" s="517">
        <v>19</v>
      </c>
      <c r="M11" s="517">
        <v>20</v>
      </c>
      <c r="N11" s="517">
        <v>21</v>
      </c>
      <c r="O11" s="517">
        <v>22</v>
      </c>
      <c r="P11" s="517">
        <v>23</v>
      </c>
      <c r="Q11" s="517">
        <v>24</v>
      </c>
      <c r="R11" s="517">
        <v>1</v>
      </c>
      <c r="S11" s="517">
        <v>2</v>
      </c>
      <c r="T11" s="517">
        <v>3</v>
      </c>
      <c r="U11" s="517">
        <v>4</v>
      </c>
      <c r="V11" s="517">
        <v>5</v>
      </c>
      <c r="W11" s="517">
        <v>6</v>
      </c>
      <c r="X11" s="517">
        <v>7</v>
      </c>
      <c r="Y11" s="517">
        <v>8</v>
      </c>
    </row>
    <row r="13" spans="1:25" x14ac:dyDescent="0.35">
      <c r="A13" s="517">
        <v>10</v>
      </c>
      <c r="B13" s="517" t="s">
        <v>853</v>
      </c>
      <c r="C13" s="517" t="s">
        <v>854</v>
      </c>
      <c r="D13" s="517" t="s">
        <v>855</v>
      </c>
      <c r="E13" s="517" t="s">
        <v>856</v>
      </c>
      <c r="F13" s="518" t="s">
        <v>918</v>
      </c>
      <c r="G13" s="518" t="s">
        <v>393</v>
      </c>
      <c r="H13" s="518" t="s">
        <v>394</v>
      </c>
      <c r="I13" s="518" t="s">
        <v>395</v>
      </c>
      <c r="J13" s="518" t="s">
        <v>50</v>
      </c>
    </row>
    <row r="15" spans="1:25" x14ac:dyDescent="0.35">
      <c r="B15" s="517">
        <v>2</v>
      </c>
      <c r="C15" s="517">
        <v>3</v>
      </c>
      <c r="D15" s="517">
        <v>4</v>
      </c>
      <c r="E15" s="517">
        <v>5</v>
      </c>
      <c r="F15" s="517">
        <v>6</v>
      </c>
      <c r="G15" s="517">
        <v>7</v>
      </c>
      <c r="H15" s="517">
        <v>8</v>
      </c>
      <c r="I15" s="517">
        <v>9</v>
      </c>
      <c r="J15" s="517">
        <v>10</v>
      </c>
      <c r="K15" s="517">
        <v>11</v>
      </c>
      <c r="L15" s="517">
        <v>12</v>
      </c>
      <c r="M15" s="517">
        <v>13</v>
      </c>
      <c r="N15" s="517">
        <v>14</v>
      </c>
      <c r="O15" s="517">
        <v>15</v>
      </c>
      <c r="P15" s="517">
        <v>16</v>
      </c>
      <c r="Q15" s="517">
        <v>17</v>
      </c>
      <c r="R15" s="517">
        <v>18</v>
      </c>
      <c r="S15" s="517">
        <v>19</v>
      </c>
      <c r="T15" s="517">
        <v>20</v>
      </c>
      <c r="U15" s="517">
        <v>21</v>
      </c>
      <c r="V15" s="517">
        <v>22</v>
      </c>
      <c r="W15" s="517">
        <v>23</v>
      </c>
      <c r="X15" s="517">
        <v>24</v>
      </c>
      <c r="Y15" s="517">
        <v>25</v>
      </c>
    </row>
    <row r="16" spans="1:25" x14ac:dyDescent="0.35">
      <c r="B16" s="14">
        <v>9</v>
      </c>
      <c r="C16" s="14">
        <v>10</v>
      </c>
      <c r="D16" s="14">
        <v>11</v>
      </c>
      <c r="E16" s="14">
        <v>12</v>
      </c>
      <c r="F16" s="14">
        <v>13</v>
      </c>
      <c r="G16" s="14">
        <v>14</v>
      </c>
      <c r="H16" s="14">
        <v>15</v>
      </c>
      <c r="I16" s="14">
        <v>16</v>
      </c>
      <c r="J16" s="14">
        <v>17</v>
      </c>
      <c r="K16" s="14">
        <v>18</v>
      </c>
      <c r="L16" s="14">
        <v>19</v>
      </c>
      <c r="M16" s="14">
        <v>20</v>
      </c>
      <c r="N16" s="14">
        <v>21</v>
      </c>
      <c r="O16" s="14">
        <v>22</v>
      </c>
      <c r="P16" s="14">
        <v>23</v>
      </c>
      <c r="Q16" s="14">
        <v>24</v>
      </c>
      <c r="R16" s="14">
        <v>1</v>
      </c>
      <c r="S16" s="14">
        <v>2</v>
      </c>
      <c r="T16" s="14">
        <v>3</v>
      </c>
      <c r="U16" s="14">
        <v>4</v>
      </c>
      <c r="V16" s="14">
        <v>5</v>
      </c>
      <c r="W16" s="14">
        <v>6</v>
      </c>
      <c r="X16" s="14">
        <v>7</v>
      </c>
      <c r="Y16" s="14">
        <v>8</v>
      </c>
    </row>
    <row r="17" spans="1:25" x14ac:dyDescent="0.35">
      <c r="A17" s="517" t="s">
        <v>853</v>
      </c>
      <c r="B17" s="15" t="s">
        <v>396</v>
      </c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</row>
    <row r="18" spans="1:25" x14ac:dyDescent="0.35">
      <c r="A18" s="517" t="s">
        <v>854</v>
      </c>
      <c r="B18" s="15" t="s">
        <v>396</v>
      </c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 t="s">
        <v>396</v>
      </c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</row>
    <row r="19" spans="1:25" x14ac:dyDescent="0.35">
      <c r="A19" s="517" t="s">
        <v>855</v>
      </c>
      <c r="B19" s="15" t="s">
        <v>396</v>
      </c>
      <c r="C19" s="15"/>
      <c r="D19" s="15"/>
      <c r="E19" s="15"/>
      <c r="F19" s="15"/>
      <c r="G19" s="15"/>
      <c r="H19" s="15"/>
      <c r="I19" s="15"/>
      <c r="J19" s="15" t="s">
        <v>396</v>
      </c>
      <c r="K19" s="15"/>
      <c r="L19" s="15"/>
      <c r="M19" s="15"/>
      <c r="N19" s="15"/>
      <c r="O19" s="15"/>
      <c r="P19" s="15"/>
      <c r="Q19" s="15"/>
      <c r="R19" s="15" t="s">
        <v>396</v>
      </c>
      <c r="S19" s="15"/>
      <c r="T19" s="15"/>
      <c r="U19" s="15"/>
      <c r="V19" s="15"/>
      <c r="W19" s="15"/>
      <c r="X19" s="15"/>
      <c r="Y19" s="15"/>
    </row>
    <row r="20" spans="1:25" x14ac:dyDescent="0.35">
      <c r="A20" s="517" t="s">
        <v>856</v>
      </c>
      <c r="B20" s="15" t="s">
        <v>396</v>
      </c>
      <c r="C20" s="15"/>
      <c r="D20" s="15"/>
      <c r="E20" s="15"/>
      <c r="F20" s="15"/>
      <c r="G20" s="15"/>
      <c r="H20" s="15" t="s">
        <v>396</v>
      </c>
      <c r="I20" s="15"/>
      <c r="J20" s="15"/>
      <c r="K20" s="15"/>
      <c r="L20" s="15"/>
      <c r="M20" s="15"/>
      <c r="N20" s="15" t="s">
        <v>396</v>
      </c>
      <c r="O20" s="15"/>
      <c r="P20" s="15"/>
      <c r="Q20" s="15"/>
      <c r="R20" s="15"/>
      <c r="S20" s="15"/>
      <c r="T20" s="15" t="s">
        <v>396</v>
      </c>
      <c r="U20" s="15"/>
      <c r="V20" s="15"/>
      <c r="W20" s="15"/>
      <c r="X20" s="15"/>
      <c r="Y20" s="15"/>
    </row>
    <row r="21" spans="1:25" x14ac:dyDescent="0.35">
      <c r="A21" s="517" t="s">
        <v>918</v>
      </c>
      <c r="B21" s="15" t="s">
        <v>396</v>
      </c>
      <c r="C21" s="15"/>
      <c r="D21" s="15"/>
      <c r="E21" s="15" t="s">
        <v>396</v>
      </c>
      <c r="F21" s="15"/>
      <c r="G21" s="15"/>
      <c r="H21" s="15" t="s">
        <v>396</v>
      </c>
      <c r="I21" s="15"/>
      <c r="J21" s="15"/>
      <c r="K21" s="15" t="s">
        <v>396</v>
      </c>
      <c r="L21" s="15"/>
      <c r="M21" s="15"/>
      <c r="N21" s="15"/>
      <c r="O21" s="15" t="s">
        <v>396</v>
      </c>
      <c r="P21" s="15"/>
      <c r="Q21" s="15"/>
      <c r="R21" s="15"/>
      <c r="S21" s="15"/>
      <c r="T21" s="15"/>
      <c r="U21" s="15"/>
      <c r="V21" s="15"/>
      <c r="W21" s="15"/>
      <c r="X21" s="15"/>
      <c r="Y21" s="15"/>
    </row>
    <row r="22" spans="1:25" x14ac:dyDescent="0.35">
      <c r="A22" s="517" t="s">
        <v>393</v>
      </c>
      <c r="B22" s="15" t="s">
        <v>396</v>
      </c>
      <c r="C22" s="15"/>
      <c r="D22" s="15"/>
      <c r="E22" s="15"/>
      <c r="F22" s="15" t="s">
        <v>396</v>
      </c>
      <c r="G22" s="15"/>
      <c r="H22" s="15"/>
      <c r="I22" s="15"/>
      <c r="J22" s="15" t="s">
        <v>396</v>
      </c>
      <c r="K22" s="15"/>
      <c r="L22" s="15"/>
      <c r="M22" s="15"/>
      <c r="N22" s="15" t="s">
        <v>396</v>
      </c>
      <c r="O22" s="15"/>
      <c r="P22" s="15"/>
      <c r="Q22" s="15"/>
      <c r="R22" s="15" t="s">
        <v>396</v>
      </c>
      <c r="S22" s="15"/>
      <c r="T22" s="15"/>
      <c r="U22" s="15"/>
      <c r="V22" s="15" t="s">
        <v>396</v>
      </c>
      <c r="X22" s="15"/>
      <c r="Y22" s="15"/>
    </row>
    <row r="23" spans="1:25" x14ac:dyDescent="0.35">
      <c r="A23" s="518" t="s">
        <v>394</v>
      </c>
      <c r="B23" s="15"/>
      <c r="C23" s="15"/>
      <c r="D23" s="15" t="s">
        <v>396</v>
      </c>
      <c r="E23" s="15"/>
      <c r="F23" s="15"/>
      <c r="G23" s="15" t="s">
        <v>396</v>
      </c>
      <c r="H23" s="15"/>
      <c r="I23" s="15"/>
      <c r="J23" s="15" t="s">
        <v>396</v>
      </c>
      <c r="K23" s="15"/>
      <c r="L23" s="15"/>
      <c r="M23" s="15" t="s">
        <v>396</v>
      </c>
      <c r="N23" s="15"/>
      <c r="O23" s="15"/>
      <c r="P23" s="15" t="s">
        <v>396</v>
      </c>
      <c r="Q23" s="15"/>
      <c r="R23" s="15"/>
      <c r="S23" s="15" t="s">
        <v>396</v>
      </c>
      <c r="T23" s="15"/>
      <c r="U23" s="15"/>
      <c r="V23" s="15" t="s">
        <v>396</v>
      </c>
      <c r="W23" s="15"/>
      <c r="X23" s="15"/>
      <c r="Y23" s="15" t="s">
        <v>396</v>
      </c>
    </row>
    <row r="24" spans="1:25" x14ac:dyDescent="0.35">
      <c r="A24" s="518" t="s">
        <v>395</v>
      </c>
      <c r="B24" s="15" t="s">
        <v>396</v>
      </c>
      <c r="C24" s="15"/>
      <c r="D24" s="15" t="s">
        <v>396</v>
      </c>
      <c r="E24" s="15"/>
      <c r="F24" s="15" t="s">
        <v>396</v>
      </c>
      <c r="G24" s="15"/>
      <c r="H24" s="15" t="s">
        <v>396</v>
      </c>
      <c r="I24" s="15"/>
      <c r="J24" s="15" t="s">
        <v>396</v>
      </c>
      <c r="K24" s="15"/>
      <c r="L24" s="15" t="s">
        <v>396</v>
      </c>
      <c r="M24" s="15"/>
      <c r="N24" s="15" t="s">
        <v>396</v>
      </c>
      <c r="O24" s="15"/>
      <c r="P24" s="15" t="s">
        <v>396</v>
      </c>
      <c r="Q24" s="15"/>
      <c r="R24" s="15" t="s">
        <v>396</v>
      </c>
      <c r="S24" s="15"/>
      <c r="T24" s="15" t="s">
        <v>396</v>
      </c>
      <c r="U24" s="15"/>
      <c r="V24" s="15" t="s">
        <v>396</v>
      </c>
      <c r="W24" s="15"/>
      <c r="X24" s="15" t="s">
        <v>396</v>
      </c>
      <c r="Y24" s="15"/>
    </row>
    <row r="25" spans="1:25" x14ac:dyDescent="0.35">
      <c r="A25" s="518" t="s">
        <v>50</v>
      </c>
      <c r="B25" s="15" t="s">
        <v>396</v>
      </c>
      <c r="C25" s="15" t="s">
        <v>396</v>
      </c>
      <c r="D25" s="15" t="s">
        <v>396</v>
      </c>
      <c r="E25" s="15" t="s">
        <v>396</v>
      </c>
      <c r="F25" s="15" t="s">
        <v>396</v>
      </c>
      <c r="G25" s="15" t="s">
        <v>396</v>
      </c>
      <c r="H25" s="15" t="s">
        <v>396</v>
      </c>
      <c r="I25" s="15" t="s">
        <v>396</v>
      </c>
      <c r="J25" s="15" t="s">
        <v>396</v>
      </c>
      <c r="K25" s="15" t="s">
        <v>396</v>
      </c>
      <c r="L25" s="15" t="s">
        <v>396</v>
      </c>
      <c r="M25" s="15" t="s">
        <v>396</v>
      </c>
      <c r="N25" s="15" t="s">
        <v>396</v>
      </c>
      <c r="O25" s="15" t="s">
        <v>396</v>
      </c>
      <c r="P25" s="15" t="s">
        <v>396</v>
      </c>
      <c r="Q25" s="15" t="s">
        <v>396</v>
      </c>
      <c r="R25" s="15" t="s">
        <v>396</v>
      </c>
      <c r="S25" s="15" t="s">
        <v>396</v>
      </c>
      <c r="T25" s="15" t="s">
        <v>396</v>
      </c>
      <c r="U25" s="15" t="s">
        <v>396</v>
      </c>
      <c r="V25" s="15" t="s">
        <v>396</v>
      </c>
      <c r="W25" s="15" t="s">
        <v>396</v>
      </c>
      <c r="X25" s="15" t="s">
        <v>396</v>
      </c>
      <c r="Y25" s="15" t="s">
        <v>396</v>
      </c>
    </row>
    <row r="26" spans="1:25" x14ac:dyDescent="0.35">
      <c r="A26" s="518" t="s">
        <v>766</v>
      </c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 t="s">
        <v>396</v>
      </c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</row>
    <row r="27" spans="1:25" x14ac:dyDescent="0.35">
      <c r="A27" s="518" t="s">
        <v>919</v>
      </c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</row>
  </sheetData>
  <pageMargins left="0.75" right="0.75" top="1" bottom="1" header="0.5" footer="0.5"/>
  <pageSetup paperSize="9" orientation="portrait" r:id="rId1"/>
  <headerFooter alignWithMargins="0"/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AanvullendeAfspraken">
    <tabColor rgb="FF7030A0"/>
  </sheetPr>
  <dimension ref="A1:Q85"/>
  <sheetViews>
    <sheetView workbookViewId="0">
      <pane ySplit="4" topLeftCell="A5" activePane="bottomLeft" state="frozen"/>
      <selection pane="bottomLeft" activeCell="A6" sqref="A6"/>
    </sheetView>
  </sheetViews>
  <sheetFormatPr defaultRowHeight="12.85" x14ac:dyDescent="0.35"/>
  <cols>
    <col min="1" max="1" width="9.86328125" customWidth="1"/>
    <col min="2" max="2" width="25" customWidth="1"/>
    <col min="3" max="3" width="16.265625" customWidth="1"/>
    <col min="4" max="4" width="16.73046875" customWidth="1"/>
    <col min="5" max="5" width="15" bestFit="1" customWidth="1"/>
    <col min="6" max="6" width="21.86328125" bestFit="1" customWidth="1"/>
    <col min="7" max="7" width="21.86328125" customWidth="1"/>
    <col min="8" max="8" width="7.265625" customWidth="1"/>
    <col min="9" max="9" width="27" customWidth="1"/>
    <col min="10" max="10" width="15.59765625" customWidth="1"/>
    <col min="11" max="11" width="13" customWidth="1"/>
    <col min="12" max="45" width="9.1328125" customWidth="1"/>
  </cols>
  <sheetData>
    <row r="1" spans="1:17" s="133" customFormat="1" x14ac:dyDescent="0.35">
      <c r="A1" s="590"/>
    </row>
    <row r="2" spans="1:17" s="133" customFormat="1" ht="17.25" customHeight="1" x14ac:dyDescent="0.4">
      <c r="B2" s="134" t="s">
        <v>623</v>
      </c>
      <c r="C2" s="135" t="e">
        <f ca="1">AfspraakDatum</f>
        <v>#NAME?</v>
      </c>
      <c r="D2" s="136"/>
      <c r="E2" s="134" t="s">
        <v>624</v>
      </c>
      <c r="F2" s="137">
        <f>OpnDatum</f>
        <v>42370</v>
      </c>
      <c r="G2" s="134" t="e">
        <f ca="1">"ICU-dag: "&amp;AfspraakDatum-OpnDatum+1</f>
        <v>#NAME?</v>
      </c>
      <c r="H2" s="134"/>
      <c r="I2" s="270" t="s">
        <v>1002</v>
      </c>
      <c r="J2" s="139">
        <f>BedNummer</f>
        <v>0</v>
      </c>
    </row>
    <row r="3" spans="1:17" s="133" customFormat="1" ht="17.25" customHeight="1" x14ac:dyDescent="0.4">
      <c r="B3" s="134" t="s">
        <v>54</v>
      </c>
      <c r="C3" s="138" t="str">
        <f>_AchterNaam&amp;", "&amp;_VoorNaam</f>
        <v>Achternaam, Voornaam</v>
      </c>
      <c r="D3" s="138"/>
      <c r="E3" s="134" t="s">
        <v>638</v>
      </c>
      <c r="F3" s="137">
        <f>GebDatum</f>
        <v>42370</v>
      </c>
      <c r="G3" s="139" t="str">
        <f>"Gewicht: "&amp;Gewicht/10&amp;" kg"</f>
        <v>Gewicht: 10 kg</v>
      </c>
      <c r="H3" s="134"/>
      <c r="I3" s="139" t="str">
        <f>"Lengte: "&amp;Lengte&amp;" cm"</f>
        <v>Lengte: 80 cm</v>
      </c>
      <c r="J3" s="134"/>
    </row>
    <row r="4" spans="1:17" s="133" customFormat="1" ht="17.25" customHeight="1" x14ac:dyDescent="0.4">
      <c r="A4" s="163"/>
      <c r="B4" s="134" t="s">
        <v>707</v>
      </c>
      <c r="C4" s="139">
        <f>PatNummer</f>
        <v>0</v>
      </c>
      <c r="D4" s="136"/>
      <c r="E4" s="134" t="s">
        <v>573</v>
      </c>
      <c r="F4" s="141" t="e">
        <f ca="1">TRUNC((AfspraakDatum-GebDatum)/365,0)&amp;" jaar en "&amp;TRUNC(((AfspraakDatum-GebDatum)-365*TRUNC((AfspraakDatum-GebDatum)/365,0))/30,0)&amp;" maand(-en)"</f>
        <v>#NAME?</v>
      </c>
      <c r="G4" s="134"/>
      <c r="I4" s="134" t="str">
        <f>"Lichamelijk oppervlak: "&amp;ROUND(POWER(Gewicht/10,0.425)*POWER(((Lengte/100)*100),0.725)*0.007184,2)&amp;" m2"</f>
        <v>Lichamelijk oppervlak: 0,46 m2</v>
      </c>
      <c r="J4" s="134"/>
    </row>
    <row r="5" spans="1:17" x14ac:dyDescent="0.35">
      <c r="G5" s="517"/>
      <c r="H5" s="517"/>
    </row>
    <row r="6" spans="1:17" ht="13.2" x14ac:dyDescent="0.4">
      <c r="A6" s="577"/>
      <c r="B6" s="3" t="s">
        <v>1474</v>
      </c>
      <c r="F6" s="3" t="s">
        <v>1286</v>
      </c>
      <c r="G6" s="517"/>
      <c r="H6" s="3"/>
      <c r="I6" s="3" t="s">
        <v>1481</v>
      </c>
      <c r="J6" s="517"/>
      <c r="K6" s="517"/>
      <c r="Q6" s="522"/>
    </row>
    <row r="7" spans="1:17" ht="18" customHeight="1" x14ac:dyDescent="0.35">
      <c r="G7" s="517"/>
      <c r="H7" s="517"/>
      <c r="I7" s="517"/>
      <c r="J7" s="517"/>
      <c r="K7" s="517"/>
      <c r="Q7" s="518"/>
    </row>
    <row r="8" spans="1:17" ht="18" customHeight="1" x14ac:dyDescent="0.35">
      <c r="C8" s="615" t="str">
        <f>IF(AanvullendNeoData_GewichtFrequentie=0,"",AanvullendNeoData_GewichtFrequentie)</f>
        <v/>
      </c>
      <c r="D8" s="557"/>
      <c r="G8" s="517"/>
      <c r="H8" s="517"/>
      <c r="I8" s="517"/>
      <c r="J8" s="615" t="str">
        <f>IF(AanvullendNeoData_AantalLampen=0,"0 lamp(en)",CONCATENATE(AanvullendNeoData_AantalLampen, " lamp(en)"))</f>
        <v>0 lamp(en)</v>
      </c>
      <c r="Q8" s="518"/>
    </row>
    <row r="9" spans="1:17" ht="18" customHeight="1" x14ac:dyDescent="0.35">
      <c r="C9" s="615" t="str">
        <f>IF(AanvullendNeoData_LengteFrequentie=0,"",AanvullendNeoData_LengteFrequentie)</f>
        <v/>
      </c>
      <c r="D9" s="557"/>
      <c r="G9" s="517"/>
      <c r="H9" s="517"/>
      <c r="I9" s="517"/>
      <c r="J9" s="517"/>
      <c r="K9" s="517"/>
      <c r="M9" s="517"/>
      <c r="N9" s="517"/>
      <c r="Q9" s="517"/>
    </row>
    <row r="10" spans="1:17" ht="18" customHeight="1" x14ac:dyDescent="0.35">
      <c r="A10" s="517"/>
      <c r="B10" s="517"/>
      <c r="C10" s="615" t="str">
        <f>IF(AanvullendNeoData_SchedelFrequentie=0,"",AanvullendNeoData_SchedelFrequentie)</f>
        <v/>
      </c>
      <c r="D10" s="557"/>
      <c r="G10" s="517"/>
      <c r="H10" s="517"/>
      <c r="I10" s="517"/>
      <c r="J10" s="517"/>
      <c r="K10" s="517"/>
      <c r="M10" s="517"/>
      <c r="N10" s="517"/>
      <c r="Q10" s="517"/>
    </row>
    <row r="11" spans="1:17" ht="18" customHeight="1" x14ac:dyDescent="0.35">
      <c r="G11" s="517"/>
      <c r="H11" s="517"/>
      <c r="I11" s="517"/>
      <c r="J11" s="517"/>
      <c r="K11" s="517"/>
      <c r="M11" s="517"/>
      <c r="N11" s="517"/>
    </row>
    <row r="12" spans="1:17" ht="18" customHeight="1" x14ac:dyDescent="0.35">
      <c r="C12" s="548" t="str">
        <f>CONCATENATE(ber_AanvullendeAfsprakenNeo!$B$12," dd")</f>
        <v xml:space="preserve"> dd</v>
      </c>
      <c r="D12" s="547"/>
      <c r="G12" s="517"/>
      <c r="H12" s="517"/>
      <c r="I12" s="517"/>
      <c r="J12" s="517"/>
      <c r="K12" s="517"/>
      <c r="M12" s="517"/>
    </row>
    <row r="13" spans="1:17" ht="18" customHeight="1" x14ac:dyDescent="0.35">
      <c r="G13" s="517"/>
      <c r="H13" s="517"/>
      <c r="I13" s="517"/>
      <c r="J13" s="517"/>
      <c r="K13" s="517"/>
      <c r="M13" s="517"/>
    </row>
    <row r="14" spans="1:17" ht="18" customHeight="1" x14ac:dyDescent="0.35">
      <c r="G14" s="517"/>
      <c r="H14" s="517"/>
      <c r="I14" s="517"/>
      <c r="J14" s="517"/>
      <c r="K14" s="517"/>
      <c r="M14" s="518"/>
    </row>
    <row r="15" spans="1:17" ht="18" customHeight="1" x14ac:dyDescent="0.35">
      <c r="G15" s="517"/>
      <c r="H15" s="517"/>
      <c r="I15" s="517"/>
      <c r="J15" s="517"/>
      <c r="K15" s="517"/>
      <c r="M15" s="518"/>
    </row>
    <row r="16" spans="1:17" ht="18" customHeight="1" x14ac:dyDescent="0.35">
      <c r="G16" s="517"/>
      <c r="H16" s="517"/>
      <c r="I16" s="517"/>
      <c r="J16" s="517"/>
      <c r="K16" s="517"/>
      <c r="M16" s="517"/>
    </row>
    <row r="17" spans="1:14" ht="18" customHeight="1" x14ac:dyDescent="0.35">
      <c r="G17" s="517"/>
      <c r="H17" s="517"/>
      <c r="I17" s="517"/>
      <c r="J17" s="548" t="str">
        <f>CONCATENATE(ber_AanvullendeAfsprakenNeo!$K$17," dd")</f>
        <v xml:space="preserve"> dd</v>
      </c>
      <c r="K17" s="548" t="str">
        <f>CONCATENATE(ber_AanvullendeAfsprakenNeo!$L$17," ml")</f>
        <v xml:space="preserve"> ml</v>
      </c>
      <c r="M17" s="518"/>
      <c r="N17" s="517"/>
    </row>
    <row r="18" spans="1:14" ht="18" customHeight="1" x14ac:dyDescent="0.35">
      <c r="G18" s="517"/>
      <c r="H18" s="517"/>
      <c r="I18" s="517"/>
      <c r="J18" s="547"/>
      <c r="K18" s="547"/>
      <c r="M18" s="518"/>
      <c r="N18" s="517"/>
    </row>
    <row r="19" spans="1:14" ht="18" customHeight="1" x14ac:dyDescent="0.35">
      <c r="G19" s="517"/>
      <c r="H19" s="517"/>
      <c r="I19" s="517"/>
      <c r="J19" s="548" t="str">
        <f>CONCATENATE("à ",AanvullendNeoData_VerliezenFrequentie," uur")</f>
        <v>à  uur</v>
      </c>
      <c r="K19" s="517"/>
      <c r="M19" s="518"/>
      <c r="N19" s="518"/>
    </row>
    <row r="20" spans="1:14" ht="18" customHeight="1" x14ac:dyDescent="0.35">
      <c r="G20" s="517"/>
      <c r="H20" s="517"/>
      <c r="I20" s="517"/>
      <c r="J20" s="517"/>
      <c r="K20" s="517"/>
      <c r="M20" s="518"/>
      <c r="N20" s="517"/>
    </row>
    <row r="21" spans="1:14" ht="18" customHeight="1" x14ac:dyDescent="0.4">
      <c r="B21" s="3" t="s">
        <v>1480</v>
      </c>
      <c r="G21" s="517"/>
      <c r="H21" s="517"/>
      <c r="I21" s="517"/>
      <c r="J21" s="517"/>
      <c r="K21" s="517"/>
      <c r="M21" s="517"/>
      <c r="N21" s="518"/>
    </row>
    <row r="22" spans="1:14" ht="18" customHeight="1" x14ac:dyDescent="0.35">
      <c r="G22" s="517"/>
      <c r="H22" s="517"/>
      <c r="I22" s="517"/>
      <c r="J22" s="517"/>
      <c r="K22" s="517"/>
      <c r="M22" s="518"/>
      <c r="N22" s="518"/>
    </row>
    <row r="23" spans="1:14" ht="18" customHeight="1" x14ac:dyDescent="0.35">
      <c r="G23" s="517"/>
      <c r="H23" s="517"/>
      <c r="I23" s="517"/>
      <c r="J23" s="517"/>
      <c r="K23" s="517"/>
      <c r="M23" s="517"/>
      <c r="N23" s="517"/>
    </row>
    <row r="24" spans="1:14" ht="18" customHeight="1" x14ac:dyDescent="0.35">
      <c r="G24" s="517"/>
      <c r="H24" s="517"/>
      <c r="I24" s="517"/>
      <c r="J24" s="517"/>
      <c r="K24" s="517"/>
      <c r="M24" s="518"/>
      <c r="N24" s="518"/>
    </row>
    <row r="25" spans="1:14" ht="18" customHeight="1" x14ac:dyDescent="0.35">
      <c r="G25" s="517"/>
      <c r="H25" s="517"/>
      <c r="I25" s="517"/>
      <c r="J25" s="517"/>
      <c r="K25" s="517"/>
      <c r="M25" s="518"/>
      <c r="N25" s="518"/>
    </row>
    <row r="26" spans="1:14" ht="18" customHeight="1" x14ac:dyDescent="0.35">
      <c r="G26" s="517"/>
      <c r="H26" s="517"/>
      <c r="I26" s="517"/>
      <c r="J26" s="517"/>
      <c r="K26" s="517"/>
      <c r="M26" s="522"/>
      <c r="N26" s="518"/>
    </row>
    <row r="27" spans="1:14" ht="18" customHeight="1" x14ac:dyDescent="0.35">
      <c r="C27" s="518" t="s">
        <v>1487</v>
      </c>
      <c r="D27" s="548" t="str">
        <f>CONCATENATE(ber_AanvullendeAfsprakenNeo!C27," uur")</f>
        <v>06:00 uur</v>
      </c>
      <c r="G27" s="517"/>
      <c r="H27" s="517"/>
      <c r="I27" s="517"/>
      <c r="J27" s="517"/>
      <c r="K27" s="517"/>
      <c r="M27" s="518"/>
      <c r="N27" s="518"/>
    </row>
    <row r="28" spans="1:14" ht="18" customHeight="1" x14ac:dyDescent="0.35">
      <c r="G28" s="517"/>
      <c r="H28" s="517"/>
      <c r="I28" s="517"/>
      <c r="J28" s="517"/>
      <c r="K28" s="517"/>
      <c r="M28" s="518"/>
    </row>
    <row r="29" spans="1:14" ht="18" customHeight="1" x14ac:dyDescent="0.35">
      <c r="A29" s="517"/>
      <c r="B29" s="517"/>
      <c r="C29" s="517"/>
      <c r="D29" s="517"/>
      <c r="G29" s="517"/>
      <c r="H29" s="517"/>
      <c r="I29" s="517"/>
      <c r="J29" s="517"/>
      <c r="K29" s="517"/>
      <c r="M29" s="518"/>
    </row>
    <row r="30" spans="1:14" ht="18" customHeight="1" x14ac:dyDescent="0.35">
      <c r="A30" s="517"/>
      <c r="B30" s="517"/>
      <c r="C30" s="517"/>
      <c r="D30" s="517"/>
      <c r="G30" s="517"/>
      <c r="H30" s="517"/>
      <c r="I30" s="517"/>
      <c r="J30" s="517"/>
      <c r="K30" s="517"/>
      <c r="M30" s="517"/>
    </row>
    <row r="31" spans="1:14" ht="18" customHeight="1" x14ac:dyDescent="0.35">
      <c r="B31" s="517"/>
      <c r="C31" s="517"/>
      <c r="D31" s="517"/>
      <c r="G31" s="946" t="str">
        <f>IF(Aanvullend_WondkweekTekst=0,"",Aanvullend_WondkweekTekst)</f>
        <v/>
      </c>
      <c r="H31" s="946"/>
      <c r="L31" s="517"/>
      <c r="M31" s="517"/>
    </row>
    <row r="32" spans="1:14" ht="18" customHeight="1" x14ac:dyDescent="0.35">
      <c r="G32" s="946"/>
      <c r="H32" s="946"/>
      <c r="L32" s="517"/>
      <c r="M32" s="517"/>
    </row>
    <row r="33" spans="1:13" s="517" customFormat="1" ht="18" customHeight="1" x14ac:dyDescent="0.35">
      <c r="A33"/>
      <c r="B33"/>
      <c r="C33"/>
      <c r="D33"/>
      <c r="E33"/>
      <c r="G33" s="946"/>
      <c r="H33" s="946"/>
      <c r="L33"/>
    </row>
    <row r="34" spans="1:13" s="517" customFormat="1" ht="18" customHeight="1" x14ac:dyDescent="0.4">
      <c r="A34"/>
      <c r="B34" s="3" t="s">
        <v>1723</v>
      </c>
      <c r="C34"/>
      <c r="D34"/>
      <c r="E34"/>
      <c r="L34"/>
    </row>
    <row r="35" spans="1:13" ht="18" customHeight="1" x14ac:dyDescent="0.35">
      <c r="L35" s="517"/>
      <c r="M35" s="518"/>
    </row>
    <row r="36" spans="1:13" ht="18" customHeight="1" x14ac:dyDescent="0.35">
      <c r="E36" s="517"/>
      <c r="I36" s="517"/>
      <c r="J36" s="517"/>
      <c r="K36" s="517"/>
      <c r="L36" s="517"/>
      <c r="M36" s="518"/>
    </row>
    <row r="37" spans="1:13" s="517" customFormat="1" ht="18" customHeight="1" x14ac:dyDescent="0.35">
      <c r="L37"/>
      <c r="M37" s="518"/>
    </row>
    <row r="38" spans="1:13" s="517" customFormat="1" ht="18" customHeight="1" x14ac:dyDescent="0.35">
      <c r="B38" s="518"/>
      <c r="C38" s="518"/>
      <c r="M38" s="518"/>
    </row>
    <row r="39" spans="1:13" ht="18" customHeight="1" x14ac:dyDescent="0.35">
      <c r="A39" s="517"/>
      <c r="B39" s="518"/>
      <c r="C39" s="518"/>
      <c r="D39" s="517"/>
      <c r="E39" s="517"/>
      <c r="L39" s="517"/>
      <c r="M39" s="518"/>
    </row>
    <row r="40" spans="1:13" s="517" customFormat="1" ht="18" customHeight="1" x14ac:dyDescent="0.35">
      <c r="B40" s="518"/>
      <c r="C40" s="518"/>
      <c r="D40"/>
      <c r="E40"/>
      <c r="I40"/>
      <c r="J40"/>
      <c r="K40"/>
      <c r="M40" s="518"/>
    </row>
    <row r="41" spans="1:13" s="517" customFormat="1" ht="18" customHeight="1" x14ac:dyDescent="0.35">
      <c r="B41" s="518"/>
      <c r="C41" s="518"/>
      <c r="D41" s="616">
        <f>ber_AanvullendeAfsprakenNeo!D47</f>
        <v>0</v>
      </c>
      <c r="E41" s="517" t="s">
        <v>1725</v>
      </c>
      <c r="I41"/>
      <c r="J41"/>
      <c r="K41"/>
      <c r="L41"/>
      <c r="M41" s="518"/>
    </row>
    <row r="42" spans="1:13" s="517" customFormat="1" ht="18" customHeight="1" x14ac:dyDescent="0.35">
      <c r="B42" s="518"/>
      <c r="I42"/>
      <c r="J42"/>
      <c r="K42"/>
      <c r="L42"/>
      <c r="M42" s="518"/>
    </row>
    <row r="43" spans="1:13" ht="18" customHeight="1" x14ac:dyDescent="0.35">
      <c r="A43" s="517"/>
      <c r="B43" s="518"/>
      <c r="C43" s="517"/>
      <c r="D43" s="517"/>
      <c r="E43" s="517"/>
      <c r="M43" s="518"/>
    </row>
    <row r="44" spans="1:13" ht="18" customHeight="1" x14ac:dyDescent="0.4">
      <c r="B44" s="3" t="s">
        <v>1319</v>
      </c>
      <c r="M44" s="518"/>
    </row>
    <row r="45" spans="1:13" ht="18" customHeight="1" x14ac:dyDescent="0.35">
      <c r="B45" s="518" t="s">
        <v>1474</v>
      </c>
      <c r="C45" s="517" t="str">
        <f>IFERROR(LEFT(_Aanvullend_Controles,LEN(_Aanvullend_Controles)-3),"")</f>
        <v/>
      </c>
      <c r="M45" s="518"/>
    </row>
    <row r="46" spans="1:13" ht="18" customHeight="1" x14ac:dyDescent="0.35">
      <c r="B46" s="518" t="s">
        <v>1480</v>
      </c>
      <c r="C46" s="517" t="str">
        <f>IFERROR(LEFT(_Aanvullend_Onderzoek,LEN(_Aanvullend_Onderzoek)-3),"")</f>
        <v/>
      </c>
      <c r="M46" s="518"/>
    </row>
    <row r="47" spans="1:13" ht="18" customHeight="1" x14ac:dyDescent="0.35">
      <c r="B47" s="518" t="s">
        <v>1723</v>
      </c>
      <c r="C47" s="517" t="str">
        <f>IFERROR(LEFT(_Aanvullend_Instellingen,LEN(_Aanvullend_Instellingen)-3),"")</f>
        <v/>
      </c>
      <c r="M47" s="518"/>
    </row>
    <row r="48" spans="1:13" ht="18" customHeight="1" x14ac:dyDescent="0.35">
      <c r="B48" s="518" t="s">
        <v>1286</v>
      </c>
      <c r="C48" t="str">
        <f>IFERROR(LEFT(_Aanvullend_Kweken,LEN(_Aanvullend_Kweken)-3),"")</f>
        <v/>
      </c>
      <c r="M48" s="518"/>
    </row>
    <row r="49" spans="2:13" ht="18" customHeight="1" x14ac:dyDescent="0.35">
      <c r="B49" s="518" t="s">
        <v>1332</v>
      </c>
      <c r="C49" s="517" t="str">
        <f>IFERROR(LEFT(_Aanvullend_Overig,LEN(_Aanvullend_Overig)-3),"")</f>
        <v/>
      </c>
      <c r="M49" s="518"/>
    </row>
    <row r="50" spans="2:13" ht="18" customHeight="1" x14ac:dyDescent="0.35">
      <c r="M50" s="517"/>
    </row>
    <row r="51" spans="2:13" ht="18" customHeight="1" x14ac:dyDescent="0.35">
      <c r="M51" s="518"/>
    </row>
    <row r="52" spans="2:13" ht="18" customHeight="1" x14ac:dyDescent="0.35">
      <c r="M52" s="518"/>
    </row>
    <row r="53" spans="2:13" ht="18" customHeight="1" x14ac:dyDescent="0.35">
      <c r="M53" s="518"/>
    </row>
    <row r="54" spans="2:13" ht="18" customHeight="1" x14ac:dyDescent="0.35">
      <c r="M54" s="518"/>
    </row>
    <row r="55" spans="2:13" ht="18" customHeight="1" x14ac:dyDescent="0.35">
      <c r="M55" s="518"/>
    </row>
    <row r="56" spans="2:13" ht="18" customHeight="1" x14ac:dyDescent="0.35">
      <c r="M56" s="517"/>
    </row>
    <row r="57" spans="2:13" ht="18" customHeight="1" x14ac:dyDescent="0.35">
      <c r="M57" s="517"/>
    </row>
    <row r="58" spans="2:13" ht="18" customHeight="1" x14ac:dyDescent="0.35">
      <c r="M58" s="524"/>
    </row>
    <row r="59" spans="2:13" ht="18" customHeight="1" x14ac:dyDescent="0.35"/>
    <row r="60" spans="2:13" ht="18" customHeight="1" x14ac:dyDescent="0.35"/>
    <row r="61" spans="2:13" ht="18" customHeight="1" x14ac:dyDescent="0.35"/>
    <row r="62" spans="2:13" ht="18" customHeight="1" x14ac:dyDescent="0.35"/>
    <row r="63" spans="2:13" ht="18" customHeight="1" x14ac:dyDescent="0.35"/>
    <row r="64" spans="2:13" ht="18" customHeight="1" x14ac:dyDescent="0.35"/>
    <row r="65" ht="18" customHeight="1" x14ac:dyDescent="0.35"/>
    <row r="66" ht="18" customHeight="1" x14ac:dyDescent="0.35"/>
    <row r="67" ht="18" customHeight="1" x14ac:dyDescent="0.35"/>
    <row r="68" ht="18" customHeight="1" x14ac:dyDescent="0.35"/>
    <row r="69" ht="18" customHeight="1" x14ac:dyDescent="0.35"/>
    <row r="70" ht="18" customHeight="1" x14ac:dyDescent="0.35"/>
    <row r="71" ht="18" customHeight="1" x14ac:dyDescent="0.35"/>
    <row r="72" ht="18" customHeight="1" x14ac:dyDescent="0.35"/>
    <row r="73" ht="18" customHeight="1" x14ac:dyDescent="0.35"/>
    <row r="74" ht="18" customHeight="1" x14ac:dyDescent="0.35"/>
    <row r="75" ht="18" customHeight="1" x14ac:dyDescent="0.35"/>
    <row r="76" ht="18" customHeight="1" x14ac:dyDescent="0.35"/>
    <row r="77" ht="18" customHeight="1" x14ac:dyDescent="0.35"/>
    <row r="78" ht="18" customHeight="1" x14ac:dyDescent="0.35"/>
    <row r="79" ht="18" customHeight="1" x14ac:dyDescent="0.35"/>
    <row r="80" ht="18" customHeight="1" x14ac:dyDescent="0.35"/>
    <row r="81" ht="18" customHeight="1" x14ac:dyDescent="0.35"/>
    <row r="82" ht="18" customHeight="1" x14ac:dyDescent="0.35"/>
    <row r="83" ht="18" customHeight="1" x14ac:dyDescent="0.35"/>
    <row r="84" ht="18" customHeight="1" x14ac:dyDescent="0.35"/>
    <row r="85" ht="18" customHeight="1" x14ac:dyDescent="0.35"/>
  </sheetData>
  <sheetProtection algorithmName="SHA-512" hashValue="qUmKZMLY9kexIji8RD+3WdXXWUIhaA3gQO6iZ2za+mnNpk7sC0WNLb6P7pTkULL1/EAcc3QI50aLBIOnGysnaw==" saltValue="NwVaAxR1ig4DxoStyzo5RQ==" spinCount="100000" sheet="1" objects="1" scenarios="1" selectLockedCells="1" selectUnlockedCells="1"/>
  <sortState ref="Q6:R78">
    <sortCondition ref="Q6"/>
  </sortState>
  <mergeCells count="1">
    <mergeCell ref="G31:H3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Spinner 1">
              <controlPr defaultSize="0" autoPict="0">
                <anchor moveWithCells="1" sizeWithCells="1">
                  <from>
                    <xdr:col>9</xdr:col>
                    <xdr:colOff>411719</xdr:colOff>
                    <xdr:row>2</xdr:row>
                    <xdr:rowOff>0</xdr:rowOff>
                  </from>
                  <to>
                    <xdr:col>9</xdr:col>
                    <xdr:colOff>588854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1" r:id="rId5" name="Check Box 5">
              <controlPr defaultSize="0" autoFill="0" autoLine="0" autoPict="0">
                <anchor moveWithCells="1">
                  <from>
                    <xdr:col>5</xdr:col>
                    <xdr:colOff>9575</xdr:colOff>
                    <xdr:row>6</xdr:row>
                    <xdr:rowOff>19150</xdr:rowOff>
                  </from>
                  <to>
                    <xdr:col>5</xdr:col>
                    <xdr:colOff>1230371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0" r:id="rId6" name="Check Box 24">
              <controlPr defaultSize="0" autoFill="0" autoLine="0" autoPict="0">
                <anchor moveWithCells="1">
                  <from>
                    <xdr:col>5</xdr:col>
                    <xdr:colOff>0</xdr:colOff>
                    <xdr:row>7</xdr:row>
                    <xdr:rowOff>19150</xdr:rowOff>
                  </from>
                  <to>
                    <xdr:col>5</xdr:col>
                    <xdr:colOff>1220796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5" r:id="rId7" name="Check Box 29">
              <controlPr defaultSize="0" autoFill="0" autoLine="0" autoPict="0">
                <anchor moveWithCells="1">
                  <from>
                    <xdr:col>5</xdr:col>
                    <xdr:colOff>9575</xdr:colOff>
                    <xdr:row>12</xdr:row>
                    <xdr:rowOff>19150</xdr:rowOff>
                  </from>
                  <to>
                    <xdr:col>5</xdr:col>
                    <xdr:colOff>1230371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6" r:id="rId8" name="Check Box 30">
              <controlPr defaultSize="0" autoFill="0" autoLine="0" autoPict="0">
                <anchor moveWithCells="1">
                  <from>
                    <xdr:col>5</xdr:col>
                    <xdr:colOff>9575</xdr:colOff>
                    <xdr:row>13</xdr:row>
                    <xdr:rowOff>19150</xdr:rowOff>
                  </from>
                  <to>
                    <xdr:col>5</xdr:col>
                    <xdr:colOff>1230371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7" r:id="rId9" name="Check Box 31">
              <controlPr defaultSize="0" autoFill="0" autoLine="0" autoPict="0">
                <anchor moveWithCells="1">
                  <from>
                    <xdr:col>5</xdr:col>
                    <xdr:colOff>9575</xdr:colOff>
                    <xdr:row>14</xdr:row>
                    <xdr:rowOff>19150</xdr:rowOff>
                  </from>
                  <to>
                    <xdr:col>5</xdr:col>
                    <xdr:colOff>1230371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9" r:id="rId10" name="Check Box 33">
              <controlPr defaultSize="0" autoFill="0" autoLine="0" autoPict="0">
                <anchor moveWithCells="1">
                  <from>
                    <xdr:col>5</xdr:col>
                    <xdr:colOff>9575</xdr:colOff>
                    <xdr:row>16</xdr:row>
                    <xdr:rowOff>19150</xdr:rowOff>
                  </from>
                  <to>
                    <xdr:col>5</xdr:col>
                    <xdr:colOff>1230371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0" r:id="rId11" name="Check Box 34">
              <controlPr defaultSize="0" autoFill="0" autoLine="0" autoPict="0">
                <anchor moveWithCells="1">
                  <from>
                    <xdr:col>5</xdr:col>
                    <xdr:colOff>9575</xdr:colOff>
                    <xdr:row>17</xdr:row>
                    <xdr:rowOff>19150</xdr:rowOff>
                  </from>
                  <to>
                    <xdr:col>5</xdr:col>
                    <xdr:colOff>1230371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3" r:id="rId12" name="Check Box 37">
              <controlPr defaultSize="0" autoFill="0" autoLine="0" autoPict="0">
                <anchor moveWithCells="1">
                  <from>
                    <xdr:col>5</xdr:col>
                    <xdr:colOff>9575</xdr:colOff>
                    <xdr:row>20</xdr:row>
                    <xdr:rowOff>19150</xdr:rowOff>
                  </from>
                  <to>
                    <xdr:col>5</xdr:col>
                    <xdr:colOff>1230371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4" r:id="rId13" name="Check Box 38">
              <controlPr defaultSize="0" autoFill="0" autoLine="0" autoPict="0">
                <anchor moveWithCells="1">
                  <from>
                    <xdr:col>5</xdr:col>
                    <xdr:colOff>9575</xdr:colOff>
                    <xdr:row>21</xdr:row>
                    <xdr:rowOff>19150</xdr:rowOff>
                  </from>
                  <to>
                    <xdr:col>5</xdr:col>
                    <xdr:colOff>1230371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7" r:id="rId14" name="Check Box 41">
              <controlPr defaultSize="0" autoFill="0" autoLine="0" autoPict="0">
                <anchor moveWithCells="1">
                  <from>
                    <xdr:col>6</xdr:col>
                    <xdr:colOff>9575</xdr:colOff>
                    <xdr:row>8</xdr:row>
                    <xdr:rowOff>19150</xdr:rowOff>
                  </from>
                  <to>
                    <xdr:col>6</xdr:col>
                    <xdr:colOff>1230371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9" r:id="rId15" name="Check Box 43">
              <controlPr defaultSize="0" autoFill="0" autoLine="0" autoPict="0">
                <anchor moveWithCells="1">
                  <from>
                    <xdr:col>6</xdr:col>
                    <xdr:colOff>9575</xdr:colOff>
                    <xdr:row>9</xdr:row>
                    <xdr:rowOff>19150</xdr:rowOff>
                  </from>
                  <to>
                    <xdr:col>6</xdr:col>
                    <xdr:colOff>1230371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0" r:id="rId16" name="Check Box 44">
              <controlPr defaultSize="0" autoFill="0" autoLine="0" autoPict="0">
                <anchor moveWithCells="1">
                  <from>
                    <xdr:col>6</xdr:col>
                    <xdr:colOff>9575</xdr:colOff>
                    <xdr:row>10</xdr:row>
                    <xdr:rowOff>19150</xdr:rowOff>
                  </from>
                  <to>
                    <xdr:col>6</xdr:col>
                    <xdr:colOff>1230371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3" r:id="rId17" name="Check Box 47">
              <controlPr defaultSize="0" autoFill="0" autoLine="0" autoPict="0">
                <anchor moveWithCells="1">
                  <from>
                    <xdr:col>6</xdr:col>
                    <xdr:colOff>9575</xdr:colOff>
                    <xdr:row>7</xdr:row>
                    <xdr:rowOff>19150</xdr:rowOff>
                  </from>
                  <to>
                    <xdr:col>6</xdr:col>
                    <xdr:colOff>1230371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4" r:id="rId18" name="Check Box 48">
              <controlPr defaultSize="0" autoFill="0" autoLine="0" autoPict="0">
                <anchor moveWithCells="1">
                  <from>
                    <xdr:col>5</xdr:col>
                    <xdr:colOff>9575</xdr:colOff>
                    <xdr:row>11</xdr:row>
                    <xdr:rowOff>19150</xdr:rowOff>
                  </from>
                  <to>
                    <xdr:col>5</xdr:col>
                    <xdr:colOff>1230371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5" r:id="rId19" name="Check Box 49">
              <controlPr defaultSize="0" autoFill="0" autoLine="0" autoPict="0">
                <anchor moveWithCells="1">
                  <from>
                    <xdr:col>6</xdr:col>
                    <xdr:colOff>9575</xdr:colOff>
                    <xdr:row>12</xdr:row>
                    <xdr:rowOff>19150</xdr:rowOff>
                  </from>
                  <to>
                    <xdr:col>6</xdr:col>
                    <xdr:colOff>1230371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6" r:id="rId20" name="Check Box 50">
              <controlPr defaultSize="0" autoFill="0" autoLine="0" autoPict="0">
                <anchor moveWithCells="1">
                  <from>
                    <xdr:col>6</xdr:col>
                    <xdr:colOff>9575</xdr:colOff>
                    <xdr:row>14</xdr:row>
                    <xdr:rowOff>19150</xdr:rowOff>
                  </from>
                  <to>
                    <xdr:col>6</xdr:col>
                    <xdr:colOff>1230371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8" r:id="rId21" name="Check Box 52">
              <controlPr defaultSize="0" autoFill="0" autoLine="0" autoPict="0">
                <anchor moveWithCells="1">
                  <from>
                    <xdr:col>6</xdr:col>
                    <xdr:colOff>9575</xdr:colOff>
                    <xdr:row>15</xdr:row>
                    <xdr:rowOff>19150</xdr:rowOff>
                  </from>
                  <to>
                    <xdr:col>6</xdr:col>
                    <xdr:colOff>1230371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9" r:id="rId22" name="Check Box 53">
              <controlPr defaultSize="0" autoFill="0" autoLine="0" autoPict="0">
                <anchor moveWithCells="1">
                  <from>
                    <xdr:col>6</xdr:col>
                    <xdr:colOff>9575</xdr:colOff>
                    <xdr:row>17</xdr:row>
                    <xdr:rowOff>19150</xdr:rowOff>
                  </from>
                  <to>
                    <xdr:col>6</xdr:col>
                    <xdr:colOff>1230371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0" r:id="rId23" name="Check Box 54">
              <controlPr defaultSize="0" autoFill="0" autoLine="0" autoPict="0">
                <anchor moveWithCells="1">
                  <from>
                    <xdr:col>6</xdr:col>
                    <xdr:colOff>9575</xdr:colOff>
                    <xdr:row>19</xdr:row>
                    <xdr:rowOff>19150</xdr:rowOff>
                  </from>
                  <to>
                    <xdr:col>6</xdr:col>
                    <xdr:colOff>1230371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1" r:id="rId24" name="Check Box 55">
              <controlPr defaultSize="0" autoFill="0" autoLine="0" autoPict="0">
                <anchor moveWithCells="1">
                  <from>
                    <xdr:col>6</xdr:col>
                    <xdr:colOff>9575</xdr:colOff>
                    <xdr:row>18</xdr:row>
                    <xdr:rowOff>19150</xdr:rowOff>
                  </from>
                  <to>
                    <xdr:col>6</xdr:col>
                    <xdr:colOff>1230371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4" r:id="rId25" name="Check Box 58">
              <controlPr defaultSize="0" autoFill="0" autoLine="0" autoPict="0">
                <anchor moveWithCells="1">
                  <from>
                    <xdr:col>6</xdr:col>
                    <xdr:colOff>9575</xdr:colOff>
                    <xdr:row>21</xdr:row>
                    <xdr:rowOff>19150</xdr:rowOff>
                  </from>
                  <to>
                    <xdr:col>6</xdr:col>
                    <xdr:colOff>1230371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7" r:id="rId26" name="Check Box 61">
              <controlPr defaultSize="0" autoFill="0" autoLine="0" autoPict="0">
                <anchor moveWithCells="1">
                  <from>
                    <xdr:col>5</xdr:col>
                    <xdr:colOff>9575</xdr:colOff>
                    <xdr:row>22</xdr:row>
                    <xdr:rowOff>19150</xdr:rowOff>
                  </from>
                  <to>
                    <xdr:col>5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8" r:id="rId27" name="Check Box 62">
              <controlPr defaultSize="0" autoFill="0" autoLine="0" autoPict="0">
                <anchor moveWithCells="1">
                  <from>
                    <xdr:col>6</xdr:col>
                    <xdr:colOff>9575</xdr:colOff>
                    <xdr:row>22</xdr:row>
                    <xdr:rowOff>19150</xdr:rowOff>
                  </from>
                  <to>
                    <xdr:col>6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9" r:id="rId28" name="Check Box 63">
              <controlPr defaultSize="0" autoFill="0" autoLine="0" autoPict="0">
                <anchor moveWithCells="1">
                  <from>
                    <xdr:col>6</xdr:col>
                    <xdr:colOff>9575</xdr:colOff>
                    <xdr:row>23</xdr:row>
                    <xdr:rowOff>19150</xdr:rowOff>
                  </from>
                  <to>
                    <xdr:col>6</xdr:col>
                    <xdr:colOff>1230371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0" r:id="rId29" name="Check Box 64">
              <controlPr defaultSize="0" autoFill="0" autoLine="0" autoPict="0">
                <anchor moveWithCells="1">
                  <from>
                    <xdr:col>6</xdr:col>
                    <xdr:colOff>9575</xdr:colOff>
                    <xdr:row>24</xdr:row>
                    <xdr:rowOff>19150</xdr:rowOff>
                  </from>
                  <to>
                    <xdr:col>6</xdr:col>
                    <xdr:colOff>1230371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1" r:id="rId30" name="Check Box 65">
              <controlPr defaultSize="0" autoFill="0" autoLine="0" autoPict="0">
                <anchor moveWithCells="1">
                  <from>
                    <xdr:col>6</xdr:col>
                    <xdr:colOff>9575</xdr:colOff>
                    <xdr:row>25</xdr:row>
                    <xdr:rowOff>19150</xdr:rowOff>
                  </from>
                  <to>
                    <xdr:col>6</xdr:col>
                    <xdr:colOff>1230371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2" r:id="rId31" name="Check Box 66">
              <controlPr defaultSize="0" autoFill="0" autoLine="0" autoPict="0">
                <anchor moveWithCells="1">
                  <from>
                    <xdr:col>6</xdr:col>
                    <xdr:colOff>9575</xdr:colOff>
                    <xdr:row>26</xdr:row>
                    <xdr:rowOff>19150</xdr:rowOff>
                  </from>
                  <to>
                    <xdr:col>6</xdr:col>
                    <xdr:colOff>1230371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3" r:id="rId32" name="Check Box 67">
              <controlPr defaultSize="0" autoFill="0" autoLine="0" autoPict="0">
                <anchor moveWithCells="1">
                  <from>
                    <xdr:col>6</xdr:col>
                    <xdr:colOff>9575</xdr:colOff>
                    <xdr:row>27</xdr:row>
                    <xdr:rowOff>19150</xdr:rowOff>
                  </from>
                  <to>
                    <xdr:col>6</xdr:col>
                    <xdr:colOff>1230371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4" r:id="rId33" name="Check Box 68">
              <controlPr defaultSize="0" autoFill="0" autoLine="0" autoPict="0">
                <anchor moveWithCells="1">
                  <from>
                    <xdr:col>6</xdr:col>
                    <xdr:colOff>9575</xdr:colOff>
                    <xdr:row>28</xdr:row>
                    <xdr:rowOff>19150</xdr:rowOff>
                  </from>
                  <to>
                    <xdr:col>6</xdr:col>
                    <xdr:colOff>1230371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5" r:id="rId34" name="Check Box 69">
              <controlPr defaultSize="0" autoFill="0" autoLine="0" autoPict="0">
                <anchor moveWithCells="1">
                  <from>
                    <xdr:col>6</xdr:col>
                    <xdr:colOff>9575</xdr:colOff>
                    <xdr:row>29</xdr:row>
                    <xdr:rowOff>19150</xdr:rowOff>
                  </from>
                  <to>
                    <xdr:col>6</xdr:col>
                    <xdr:colOff>1230371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48" r:id="rId35" name="Check Box 112">
              <controlPr defaultSize="0" autoFill="0" autoLine="0" autoPict="0">
                <anchor moveWithCells="1">
                  <from>
                    <xdr:col>5</xdr:col>
                    <xdr:colOff>9575</xdr:colOff>
                    <xdr:row>30</xdr:row>
                    <xdr:rowOff>19150</xdr:rowOff>
                  </from>
                  <to>
                    <xdr:col>5</xdr:col>
                    <xdr:colOff>1230371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3" r:id="rId36" name="Check Box 1141">
              <controlPr defaultSize="0" autoFill="0" autoLine="0" autoPict="0">
                <anchor moveWithCells="1">
                  <from>
                    <xdr:col>8</xdr:col>
                    <xdr:colOff>9575</xdr:colOff>
                    <xdr:row>6</xdr:row>
                    <xdr:rowOff>19150</xdr:rowOff>
                  </from>
                  <to>
                    <xdr:col>8</xdr:col>
                    <xdr:colOff>1230371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4" r:id="rId37" name="Check Box 1142">
              <controlPr defaultSize="0" autoFill="0" autoLine="0" autoPict="0">
                <anchor moveWithCells="1">
                  <from>
                    <xdr:col>8</xdr:col>
                    <xdr:colOff>9575</xdr:colOff>
                    <xdr:row>8</xdr:row>
                    <xdr:rowOff>47874</xdr:rowOff>
                  </from>
                  <to>
                    <xdr:col>8</xdr:col>
                    <xdr:colOff>1752201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5" r:id="rId38" name="Check Box 1143">
              <controlPr defaultSize="0" autoFill="0" autoLine="0" autoPict="0">
                <anchor moveWithCells="1">
                  <from>
                    <xdr:col>8</xdr:col>
                    <xdr:colOff>9575</xdr:colOff>
                    <xdr:row>9</xdr:row>
                    <xdr:rowOff>19150</xdr:rowOff>
                  </from>
                  <to>
                    <xdr:col>8</xdr:col>
                    <xdr:colOff>1230371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6" r:id="rId39" name="Check Box 1144">
              <controlPr defaultSize="0" autoFill="0" autoLine="0" autoPict="0">
                <anchor moveWithCells="1">
                  <from>
                    <xdr:col>8</xdr:col>
                    <xdr:colOff>9575</xdr:colOff>
                    <xdr:row>10</xdr:row>
                    <xdr:rowOff>19150</xdr:rowOff>
                  </from>
                  <to>
                    <xdr:col>8</xdr:col>
                    <xdr:colOff>1230371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8" r:id="rId40" name="Check Box 1146">
              <controlPr defaultSize="0" autoFill="0" autoLine="0" autoPict="0">
                <anchor moveWithCells="1">
                  <from>
                    <xdr:col>8</xdr:col>
                    <xdr:colOff>9575</xdr:colOff>
                    <xdr:row>11</xdr:row>
                    <xdr:rowOff>19150</xdr:rowOff>
                  </from>
                  <to>
                    <xdr:col>8</xdr:col>
                    <xdr:colOff>1407506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9" r:id="rId41" name="Check Box 1147">
              <controlPr defaultSize="0" autoFill="0" autoLine="0" autoPict="0">
                <anchor moveWithCells="1">
                  <from>
                    <xdr:col>8</xdr:col>
                    <xdr:colOff>9575</xdr:colOff>
                    <xdr:row>12</xdr:row>
                    <xdr:rowOff>19150</xdr:rowOff>
                  </from>
                  <to>
                    <xdr:col>8</xdr:col>
                    <xdr:colOff>1230371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0" r:id="rId42" name="Check Box 1148">
              <controlPr defaultSize="0" autoFill="0" autoLine="0" autoPict="0">
                <anchor moveWithCells="1">
                  <from>
                    <xdr:col>8</xdr:col>
                    <xdr:colOff>9575</xdr:colOff>
                    <xdr:row>13</xdr:row>
                    <xdr:rowOff>19150</xdr:rowOff>
                  </from>
                  <to>
                    <xdr:col>8</xdr:col>
                    <xdr:colOff>1230371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1" r:id="rId43" name="Check Box 1149">
              <controlPr defaultSize="0" autoFill="0" autoLine="0" autoPict="0">
                <anchor moveWithCells="1">
                  <from>
                    <xdr:col>8</xdr:col>
                    <xdr:colOff>9575</xdr:colOff>
                    <xdr:row>14</xdr:row>
                    <xdr:rowOff>19150</xdr:rowOff>
                  </from>
                  <to>
                    <xdr:col>8</xdr:col>
                    <xdr:colOff>1666027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2" r:id="rId44" name="Check Box 1150">
              <controlPr defaultSize="0" autoFill="0" autoLine="0" autoPict="0">
                <anchor moveWithCells="1">
                  <from>
                    <xdr:col>8</xdr:col>
                    <xdr:colOff>9575</xdr:colOff>
                    <xdr:row>15</xdr:row>
                    <xdr:rowOff>19150</xdr:rowOff>
                  </from>
                  <to>
                    <xdr:col>8</xdr:col>
                    <xdr:colOff>1230371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5" r:id="rId45" name="Check Box 1153">
              <controlPr defaultSize="0" autoFill="0" autoLine="0" autoPict="0">
                <anchor moveWithCells="1">
                  <from>
                    <xdr:col>8</xdr:col>
                    <xdr:colOff>9575</xdr:colOff>
                    <xdr:row>17</xdr:row>
                    <xdr:rowOff>19150</xdr:rowOff>
                  </from>
                  <to>
                    <xdr:col>8</xdr:col>
                    <xdr:colOff>1230371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7" r:id="rId46" name="Check Box 1155">
              <controlPr defaultSize="0" autoFill="0" autoLine="0" autoPict="0">
                <anchor moveWithCells="1">
                  <from>
                    <xdr:col>8</xdr:col>
                    <xdr:colOff>9575</xdr:colOff>
                    <xdr:row>16</xdr:row>
                    <xdr:rowOff>19150</xdr:rowOff>
                  </from>
                  <to>
                    <xdr:col>8</xdr:col>
                    <xdr:colOff>1230371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8" r:id="rId47" name="Check Box 1156">
              <controlPr defaultSize="0" autoFill="0" autoLine="0" autoPict="0">
                <anchor moveWithCells="1">
                  <from>
                    <xdr:col>8</xdr:col>
                    <xdr:colOff>9575</xdr:colOff>
                    <xdr:row>22</xdr:row>
                    <xdr:rowOff>19150</xdr:rowOff>
                  </from>
                  <to>
                    <xdr:col>8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9" r:id="rId48" name="Check Box 1157">
              <controlPr defaultSize="0" autoFill="0" autoLine="0" autoPict="0">
                <anchor moveWithCells="1">
                  <from>
                    <xdr:col>9</xdr:col>
                    <xdr:colOff>9575</xdr:colOff>
                    <xdr:row>22</xdr:row>
                    <xdr:rowOff>19150</xdr:rowOff>
                  </from>
                  <to>
                    <xdr:col>9</xdr:col>
                    <xdr:colOff>923975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0" r:id="rId49" name="Check Box 1158">
              <controlPr defaultSize="0" autoFill="0" autoLine="0" autoPict="0">
                <anchor moveWithCells="1">
                  <from>
                    <xdr:col>9</xdr:col>
                    <xdr:colOff>9575</xdr:colOff>
                    <xdr:row>23</xdr:row>
                    <xdr:rowOff>19150</xdr:rowOff>
                  </from>
                  <to>
                    <xdr:col>9</xdr:col>
                    <xdr:colOff>923975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1" r:id="rId50" name="Check Box 1159">
              <controlPr defaultSize="0" autoFill="0" autoLine="0" autoPict="0">
                <anchor moveWithCells="1">
                  <from>
                    <xdr:col>9</xdr:col>
                    <xdr:colOff>9575</xdr:colOff>
                    <xdr:row>24</xdr:row>
                    <xdr:rowOff>19150</xdr:rowOff>
                  </from>
                  <to>
                    <xdr:col>9</xdr:col>
                    <xdr:colOff>923975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2" r:id="rId51" name="Check Box 1160">
              <controlPr defaultSize="0" autoFill="0" autoLine="0" autoPict="0">
                <anchor moveWithCells="1">
                  <from>
                    <xdr:col>9</xdr:col>
                    <xdr:colOff>9575</xdr:colOff>
                    <xdr:row>25</xdr:row>
                    <xdr:rowOff>19150</xdr:rowOff>
                  </from>
                  <to>
                    <xdr:col>9</xdr:col>
                    <xdr:colOff>923975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3" r:id="rId52" name="Check Box 1161">
              <controlPr defaultSize="0" autoFill="0" autoLine="0" autoPict="0">
                <anchor moveWithCells="1">
                  <from>
                    <xdr:col>8</xdr:col>
                    <xdr:colOff>9575</xdr:colOff>
                    <xdr:row>18</xdr:row>
                    <xdr:rowOff>19150</xdr:rowOff>
                  </from>
                  <to>
                    <xdr:col>8</xdr:col>
                    <xdr:colOff>1230371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5" r:id="rId53" name="Check Box 1163">
              <controlPr defaultSize="0" autoFill="0" autoLine="0" autoPict="0">
                <anchor moveWithCells="1">
                  <from>
                    <xdr:col>9</xdr:col>
                    <xdr:colOff>9575</xdr:colOff>
                    <xdr:row>19</xdr:row>
                    <xdr:rowOff>19150</xdr:rowOff>
                  </from>
                  <to>
                    <xdr:col>9</xdr:col>
                    <xdr:colOff>923975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6" r:id="rId54" name="Check Box 1164">
              <controlPr defaultSize="0" autoFill="0" autoLine="0" autoPict="0">
                <anchor moveWithCells="1">
                  <from>
                    <xdr:col>9</xdr:col>
                    <xdr:colOff>9575</xdr:colOff>
                    <xdr:row>20</xdr:row>
                    <xdr:rowOff>19150</xdr:rowOff>
                  </from>
                  <to>
                    <xdr:col>9</xdr:col>
                    <xdr:colOff>923975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7" r:id="rId55" name="Check Box 1165">
              <controlPr defaultSize="0" autoFill="0" autoLine="0" autoPict="0">
                <anchor moveWithCells="1">
                  <from>
                    <xdr:col>9</xdr:col>
                    <xdr:colOff>9575</xdr:colOff>
                    <xdr:row>21</xdr:row>
                    <xdr:rowOff>19150</xdr:rowOff>
                  </from>
                  <to>
                    <xdr:col>9</xdr:col>
                    <xdr:colOff>923975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8" r:id="rId56" name="Spinner 1166">
              <controlPr defaultSize="0" autoPict="0">
                <anchor moveWithCells="1" sizeWithCells="1">
                  <from>
                    <xdr:col>2</xdr:col>
                    <xdr:colOff>531405</xdr:colOff>
                    <xdr:row>11</xdr:row>
                    <xdr:rowOff>28725</xdr:rowOff>
                  </from>
                  <to>
                    <xdr:col>2</xdr:col>
                    <xdr:colOff>713328</xdr:colOff>
                    <xdr:row>11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0" r:id="rId57" name="Spinner 1168">
              <controlPr defaultSize="0" autoPict="0">
                <anchor moveWithCells="1" sizeWithCells="1">
                  <from>
                    <xdr:col>9</xdr:col>
                    <xdr:colOff>751627</xdr:colOff>
                    <xdr:row>16</xdr:row>
                    <xdr:rowOff>38299</xdr:rowOff>
                  </from>
                  <to>
                    <xdr:col>9</xdr:col>
                    <xdr:colOff>933550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1" r:id="rId58" name="Spinner 1169">
              <controlPr defaultSize="0" autoPict="0">
                <anchor moveWithCells="1" sizeWithCells="1">
                  <from>
                    <xdr:col>10</xdr:col>
                    <xdr:colOff>627154</xdr:colOff>
                    <xdr:row>16</xdr:row>
                    <xdr:rowOff>19150</xdr:rowOff>
                  </from>
                  <to>
                    <xdr:col>10</xdr:col>
                    <xdr:colOff>809076</xdr:colOff>
                    <xdr:row>16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2" r:id="rId59" name="Check Box 1170">
              <controlPr defaultSize="0" autoFill="0" autoLine="0" autoPict="0">
                <anchor moveWithCells="1">
                  <from>
                    <xdr:col>1</xdr:col>
                    <xdr:colOff>9575</xdr:colOff>
                    <xdr:row>26</xdr:row>
                    <xdr:rowOff>19150</xdr:rowOff>
                  </from>
                  <to>
                    <xdr:col>1</xdr:col>
                    <xdr:colOff>1230371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3" r:id="rId60" name="Check Box 1171">
              <controlPr defaultSize="0" autoFill="0" autoLine="0" autoPict="0">
                <anchor moveWithCells="1">
                  <from>
                    <xdr:col>1</xdr:col>
                    <xdr:colOff>9575</xdr:colOff>
                    <xdr:row>27</xdr:row>
                    <xdr:rowOff>19150</xdr:rowOff>
                  </from>
                  <to>
                    <xdr:col>1</xdr:col>
                    <xdr:colOff>1230371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4" r:id="rId61" name="Check Box 1172">
              <controlPr defaultSize="0" autoFill="0" autoLine="0" autoPict="0">
                <anchor moveWithCells="1">
                  <from>
                    <xdr:col>1</xdr:col>
                    <xdr:colOff>9575</xdr:colOff>
                    <xdr:row>28</xdr:row>
                    <xdr:rowOff>28725</xdr:rowOff>
                  </from>
                  <to>
                    <xdr:col>1</xdr:col>
                    <xdr:colOff>1560704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5" r:id="rId62" name="Check Box 1173">
              <controlPr defaultSize="0" autoFill="0" autoLine="0" autoPict="0">
                <anchor moveWithCells="1">
                  <from>
                    <xdr:col>1</xdr:col>
                    <xdr:colOff>9575</xdr:colOff>
                    <xdr:row>29</xdr:row>
                    <xdr:rowOff>19150</xdr:rowOff>
                  </from>
                  <to>
                    <xdr:col>1</xdr:col>
                    <xdr:colOff>1230371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8" r:id="rId63" name="Check Box 1176">
              <controlPr defaultSize="0" autoFill="0" autoLine="0" autoPict="0">
                <anchor moveWithCells="1">
                  <from>
                    <xdr:col>1</xdr:col>
                    <xdr:colOff>9575</xdr:colOff>
                    <xdr:row>34</xdr:row>
                    <xdr:rowOff>19150</xdr:rowOff>
                  </from>
                  <to>
                    <xdr:col>1</xdr:col>
                    <xdr:colOff>1230371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9" r:id="rId64" name="Check Box 1177">
              <controlPr defaultSize="0" autoFill="0" autoLine="0" autoPict="0">
                <anchor moveWithCells="1">
                  <from>
                    <xdr:col>2</xdr:col>
                    <xdr:colOff>9575</xdr:colOff>
                    <xdr:row>35</xdr:row>
                    <xdr:rowOff>0</xdr:rowOff>
                  </from>
                  <to>
                    <xdr:col>2</xdr:col>
                    <xdr:colOff>1019724</xdr:colOff>
                    <xdr:row>35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0" r:id="rId65" name="Check Box 1178">
              <controlPr defaultSize="0" autoFill="0" autoLine="0" autoPict="0">
                <anchor moveWithCells="1">
                  <from>
                    <xdr:col>2</xdr:col>
                    <xdr:colOff>9575</xdr:colOff>
                    <xdr:row>35</xdr:row>
                    <xdr:rowOff>0</xdr:rowOff>
                  </from>
                  <to>
                    <xdr:col>2</xdr:col>
                    <xdr:colOff>1019724</xdr:colOff>
                    <xdr:row>35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1" r:id="rId66" name="Drop Down 1179">
              <controlPr defaultSize="0" autoLine="0" autoPict="0">
                <anchor moveWithCells="1">
                  <from>
                    <xdr:col>2</xdr:col>
                    <xdr:colOff>9575</xdr:colOff>
                    <xdr:row>34</xdr:row>
                    <xdr:rowOff>9575</xdr:rowOff>
                  </from>
                  <to>
                    <xdr:col>2</xdr:col>
                    <xdr:colOff>923975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9" r:id="rId67" name="Check Box 1187">
              <controlPr defaultSize="0" autoFill="0" autoLine="0" autoPict="0">
                <anchor moveWithCells="1">
                  <from>
                    <xdr:col>1</xdr:col>
                    <xdr:colOff>9575</xdr:colOff>
                    <xdr:row>35</xdr:row>
                    <xdr:rowOff>19150</xdr:rowOff>
                  </from>
                  <to>
                    <xdr:col>1</xdr:col>
                    <xdr:colOff>1230371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2" r:id="rId68" name="Drop Down 1190">
              <controlPr defaultSize="0" autoLine="0" autoPict="0">
                <anchor moveWithCells="1">
                  <from>
                    <xdr:col>2</xdr:col>
                    <xdr:colOff>9575</xdr:colOff>
                    <xdr:row>35</xdr:row>
                    <xdr:rowOff>9575</xdr:rowOff>
                  </from>
                  <to>
                    <xdr:col>2</xdr:col>
                    <xdr:colOff>923975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5" r:id="rId69" name="Check Box 1193">
              <controlPr defaultSize="0" autoFill="0" autoLine="0" autoPict="0">
                <anchor moveWithCells="1">
                  <from>
                    <xdr:col>1</xdr:col>
                    <xdr:colOff>9575</xdr:colOff>
                    <xdr:row>6</xdr:row>
                    <xdr:rowOff>19150</xdr:rowOff>
                  </from>
                  <to>
                    <xdr:col>1</xdr:col>
                    <xdr:colOff>1230371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9" r:id="rId70" name="Check Box 1197">
              <controlPr defaultSize="0" autoFill="0" autoLine="0" autoPict="0">
                <anchor moveWithCells="1">
                  <from>
                    <xdr:col>1</xdr:col>
                    <xdr:colOff>9575</xdr:colOff>
                    <xdr:row>7</xdr:row>
                    <xdr:rowOff>19150</xdr:rowOff>
                  </from>
                  <to>
                    <xdr:col>1</xdr:col>
                    <xdr:colOff>1230371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0" r:id="rId71" name="Check Box 1198">
              <controlPr defaultSize="0" autoFill="0" autoLine="0" autoPict="0">
                <anchor moveWithCells="1">
                  <from>
                    <xdr:col>1</xdr:col>
                    <xdr:colOff>9575</xdr:colOff>
                    <xdr:row>8</xdr:row>
                    <xdr:rowOff>19150</xdr:rowOff>
                  </from>
                  <to>
                    <xdr:col>1</xdr:col>
                    <xdr:colOff>1230371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3" r:id="rId72" name="Check Box 1201">
              <controlPr defaultSize="0" autoFill="0" autoLine="0" autoPict="0">
                <anchor moveWithCells="1">
                  <from>
                    <xdr:col>1</xdr:col>
                    <xdr:colOff>9575</xdr:colOff>
                    <xdr:row>10</xdr:row>
                    <xdr:rowOff>19150</xdr:rowOff>
                  </from>
                  <to>
                    <xdr:col>1</xdr:col>
                    <xdr:colOff>1230371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7" r:id="rId73" name="Check Box 1205">
              <controlPr defaultSize="0" autoFill="0" autoLine="0" autoPict="0">
                <anchor moveWithCells="1">
                  <from>
                    <xdr:col>1</xdr:col>
                    <xdr:colOff>9575</xdr:colOff>
                    <xdr:row>21</xdr:row>
                    <xdr:rowOff>19150</xdr:rowOff>
                  </from>
                  <to>
                    <xdr:col>1</xdr:col>
                    <xdr:colOff>1230371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8" r:id="rId74" name="Drop Down 1206">
              <controlPr defaultSize="0" autoLine="0" autoPict="0">
                <anchor moveWithCells="1">
                  <from>
                    <xdr:col>2</xdr:col>
                    <xdr:colOff>9575</xdr:colOff>
                    <xdr:row>21</xdr:row>
                    <xdr:rowOff>9575</xdr:rowOff>
                  </from>
                  <to>
                    <xdr:col>2</xdr:col>
                    <xdr:colOff>923975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9" r:id="rId75" name="Check Box 1207">
              <controlPr defaultSize="0" autoFill="0" autoLine="0" autoPict="0">
                <anchor moveWithCells="1">
                  <from>
                    <xdr:col>1</xdr:col>
                    <xdr:colOff>9575</xdr:colOff>
                    <xdr:row>22</xdr:row>
                    <xdr:rowOff>19150</xdr:rowOff>
                  </from>
                  <to>
                    <xdr:col>1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1" r:id="rId76" name="Check Box 1209">
              <controlPr defaultSize="0" autoFill="0" autoLine="0" autoPict="0">
                <anchor moveWithCells="1">
                  <from>
                    <xdr:col>1</xdr:col>
                    <xdr:colOff>9575</xdr:colOff>
                    <xdr:row>24</xdr:row>
                    <xdr:rowOff>19150</xdr:rowOff>
                  </from>
                  <to>
                    <xdr:col>1</xdr:col>
                    <xdr:colOff>1230371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2" r:id="rId77" name="Check Box 1210">
              <controlPr defaultSize="0" autoFill="0" autoLine="0" autoPict="0">
                <anchor moveWithCells="1">
                  <from>
                    <xdr:col>1</xdr:col>
                    <xdr:colOff>9575</xdr:colOff>
                    <xdr:row>25</xdr:row>
                    <xdr:rowOff>19150</xdr:rowOff>
                  </from>
                  <to>
                    <xdr:col>1</xdr:col>
                    <xdr:colOff>1230371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3" r:id="rId78" name="Check Box 1211">
              <controlPr defaultSize="0" autoFill="0" autoLine="0" autoPict="0">
                <anchor moveWithCells="1">
                  <from>
                    <xdr:col>1</xdr:col>
                    <xdr:colOff>9575</xdr:colOff>
                    <xdr:row>23</xdr:row>
                    <xdr:rowOff>19150</xdr:rowOff>
                  </from>
                  <to>
                    <xdr:col>1</xdr:col>
                    <xdr:colOff>1230371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6" r:id="rId79" name="Check Box 1214">
              <controlPr defaultSize="0" autoFill="0" autoLine="0" autoPict="0">
                <anchor moveWithCells="1">
                  <from>
                    <xdr:col>1</xdr:col>
                    <xdr:colOff>9575</xdr:colOff>
                    <xdr:row>30</xdr:row>
                    <xdr:rowOff>19150</xdr:rowOff>
                  </from>
                  <to>
                    <xdr:col>1</xdr:col>
                    <xdr:colOff>1230371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7" r:id="rId80" name="Check Box 1215">
              <controlPr defaultSize="0" autoFill="0" autoLine="0" autoPict="0">
                <anchor moveWithCells="1">
                  <from>
                    <xdr:col>1</xdr:col>
                    <xdr:colOff>9575</xdr:colOff>
                    <xdr:row>31</xdr:row>
                    <xdr:rowOff>19150</xdr:rowOff>
                  </from>
                  <to>
                    <xdr:col>1</xdr:col>
                    <xdr:colOff>1230371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1" r:id="rId81" name="Check Box 1219">
              <controlPr defaultSize="0" autoFill="0" autoLine="0" autoPict="0">
                <anchor moveWithCells="1">
                  <from>
                    <xdr:col>1</xdr:col>
                    <xdr:colOff>9575</xdr:colOff>
                    <xdr:row>11</xdr:row>
                    <xdr:rowOff>19150</xdr:rowOff>
                  </from>
                  <to>
                    <xdr:col>1</xdr:col>
                    <xdr:colOff>1230371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7" r:id="rId82" name="Check Box 1225">
              <controlPr defaultSize="0" autoFill="0" autoLine="0" autoPict="0">
                <anchor moveWithCells="1">
                  <from>
                    <xdr:col>1</xdr:col>
                    <xdr:colOff>9575</xdr:colOff>
                    <xdr:row>15</xdr:row>
                    <xdr:rowOff>19150</xdr:rowOff>
                  </from>
                  <to>
                    <xdr:col>1</xdr:col>
                    <xdr:colOff>1493680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8" r:id="rId83" name="Check Box 1226">
              <controlPr defaultSize="0" autoFill="0" autoLine="0" autoPict="0">
                <anchor moveWithCells="1">
                  <from>
                    <xdr:col>1</xdr:col>
                    <xdr:colOff>9575</xdr:colOff>
                    <xdr:row>16</xdr:row>
                    <xdr:rowOff>19150</xdr:rowOff>
                  </from>
                  <to>
                    <xdr:col>1</xdr:col>
                    <xdr:colOff>1493680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9" r:id="rId84" name="Check Box 1227">
              <controlPr defaultSize="0" autoFill="0" autoLine="0" autoPict="0">
                <anchor moveWithCells="1">
                  <from>
                    <xdr:col>1</xdr:col>
                    <xdr:colOff>9575</xdr:colOff>
                    <xdr:row>17</xdr:row>
                    <xdr:rowOff>19150</xdr:rowOff>
                  </from>
                  <to>
                    <xdr:col>1</xdr:col>
                    <xdr:colOff>1493680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1" r:id="rId85" name="Check Box 1229">
              <controlPr defaultSize="0" autoFill="0" autoLine="0" autoPict="0">
                <anchor moveWithCells="1">
                  <from>
                    <xdr:col>1</xdr:col>
                    <xdr:colOff>9575</xdr:colOff>
                    <xdr:row>18</xdr:row>
                    <xdr:rowOff>19150</xdr:rowOff>
                  </from>
                  <to>
                    <xdr:col>1</xdr:col>
                    <xdr:colOff>1230371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3" r:id="rId86" name="Check Box 1231">
              <controlPr defaultSize="0" autoFill="0" autoLine="0" autoPict="0">
                <anchor moveWithCells="1">
                  <from>
                    <xdr:col>3</xdr:col>
                    <xdr:colOff>9575</xdr:colOff>
                    <xdr:row>11</xdr:row>
                    <xdr:rowOff>19150</xdr:rowOff>
                  </from>
                  <to>
                    <xdr:col>3</xdr:col>
                    <xdr:colOff>923975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4" r:id="rId87" name="Check Box 1232">
              <controlPr defaultSize="0" autoFill="0" autoLine="0" autoPict="0">
                <anchor moveWithCells="1">
                  <from>
                    <xdr:col>3</xdr:col>
                    <xdr:colOff>9575</xdr:colOff>
                    <xdr:row>12</xdr:row>
                    <xdr:rowOff>19150</xdr:rowOff>
                  </from>
                  <to>
                    <xdr:col>3</xdr:col>
                    <xdr:colOff>923975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5" r:id="rId88" name="Check Box 1233">
              <controlPr defaultSize="0" autoFill="0" autoLine="0" autoPict="0">
                <anchor moveWithCells="1">
                  <from>
                    <xdr:col>3</xdr:col>
                    <xdr:colOff>9575</xdr:colOff>
                    <xdr:row>13</xdr:row>
                    <xdr:rowOff>19150</xdr:rowOff>
                  </from>
                  <to>
                    <xdr:col>3</xdr:col>
                    <xdr:colOff>923975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6" r:id="rId89" name="Check Box 1234">
              <controlPr defaultSize="0" autoFill="0" autoLine="0" autoPict="0">
                <anchor moveWithCells="1">
                  <from>
                    <xdr:col>3</xdr:col>
                    <xdr:colOff>9575</xdr:colOff>
                    <xdr:row>14</xdr:row>
                    <xdr:rowOff>19150</xdr:rowOff>
                  </from>
                  <to>
                    <xdr:col>3</xdr:col>
                    <xdr:colOff>923975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7" r:id="rId90" name="Spinner 1235">
              <controlPr defaultSize="0" autoPict="0">
                <anchor moveWithCells="1" sizeWithCells="1">
                  <from>
                    <xdr:col>3</xdr:col>
                    <xdr:colOff>751627</xdr:colOff>
                    <xdr:row>26</xdr:row>
                    <xdr:rowOff>28725</xdr:rowOff>
                  </from>
                  <to>
                    <xdr:col>3</xdr:col>
                    <xdr:colOff>933550</xdr:colOff>
                    <xdr:row>26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9" r:id="rId91" name="Drop Down 1237">
              <controlPr defaultSize="0" autoLine="0" autoPict="0">
                <anchor moveWithCells="1">
                  <from>
                    <xdr:col>4</xdr:col>
                    <xdr:colOff>9575</xdr:colOff>
                    <xdr:row>34</xdr:row>
                    <xdr:rowOff>9575</xdr:rowOff>
                  </from>
                  <to>
                    <xdr:col>4</xdr:col>
                    <xdr:colOff>923975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0" r:id="rId92" name="Drop Down 1238">
              <controlPr defaultSize="0" autoLine="0" autoPict="0">
                <anchor moveWithCells="1">
                  <from>
                    <xdr:col>4</xdr:col>
                    <xdr:colOff>9575</xdr:colOff>
                    <xdr:row>35</xdr:row>
                    <xdr:rowOff>9575</xdr:rowOff>
                  </from>
                  <to>
                    <xdr:col>4</xdr:col>
                    <xdr:colOff>923975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1" r:id="rId93" name="Drop Down 1239">
              <controlPr defaultSize="0" autoLine="0" autoPict="0">
                <anchor moveWithCells="1">
                  <from>
                    <xdr:col>3</xdr:col>
                    <xdr:colOff>9575</xdr:colOff>
                    <xdr:row>34</xdr:row>
                    <xdr:rowOff>9575</xdr:rowOff>
                  </from>
                  <to>
                    <xdr:col>3</xdr:col>
                    <xdr:colOff>923975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2" r:id="rId94" name="Drop Down 1240">
              <controlPr defaultSize="0" autoLine="0" autoPict="0">
                <anchor moveWithCells="1">
                  <from>
                    <xdr:col>3</xdr:col>
                    <xdr:colOff>9575</xdr:colOff>
                    <xdr:row>35</xdr:row>
                    <xdr:rowOff>9575</xdr:rowOff>
                  </from>
                  <to>
                    <xdr:col>3</xdr:col>
                    <xdr:colOff>923975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3" r:id="rId95" name="Check Box 1241">
              <controlPr defaultSize="0" autoFill="0" autoLine="0" autoPict="0">
                <anchor moveWithCells="1">
                  <from>
                    <xdr:col>2</xdr:col>
                    <xdr:colOff>9575</xdr:colOff>
                    <xdr:row>36</xdr:row>
                    <xdr:rowOff>0</xdr:rowOff>
                  </from>
                  <to>
                    <xdr:col>2</xdr:col>
                    <xdr:colOff>1019724</xdr:colOff>
                    <xdr:row>36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4" r:id="rId96" name="Check Box 1242">
              <controlPr defaultSize="0" autoFill="0" autoLine="0" autoPict="0">
                <anchor moveWithCells="1">
                  <from>
                    <xdr:col>2</xdr:col>
                    <xdr:colOff>9575</xdr:colOff>
                    <xdr:row>36</xdr:row>
                    <xdr:rowOff>0</xdr:rowOff>
                  </from>
                  <to>
                    <xdr:col>2</xdr:col>
                    <xdr:colOff>1019724</xdr:colOff>
                    <xdr:row>36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5" r:id="rId97" name="Check Box 1243">
              <controlPr defaultSize="0" autoFill="0" autoLine="0" autoPict="0">
                <anchor moveWithCells="1">
                  <from>
                    <xdr:col>1</xdr:col>
                    <xdr:colOff>9575</xdr:colOff>
                    <xdr:row>36</xdr:row>
                    <xdr:rowOff>19150</xdr:rowOff>
                  </from>
                  <to>
                    <xdr:col>1</xdr:col>
                    <xdr:colOff>1230371</xdr:colOff>
                    <xdr:row>36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6" r:id="rId98" name="Drop Down 1244">
              <controlPr defaultSize="0" autoLine="0" autoPict="0">
                <anchor moveWithCells="1">
                  <from>
                    <xdr:col>2</xdr:col>
                    <xdr:colOff>9575</xdr:colOff>
                    <xdr:row>36</xdr:row>
                    <xdr:rowOff>9575</xdr:rowOff>
                  </from>
                  <to>
                    <xdr:col>2</xdr:col>
                    <xdr:colOff>923975</xdr:colOff>
                    <xdr:row>36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7" r:id="rId99" name="Drop Down 1245">
              <controlPr defaultSize="0" autoLine="0" autoPict="0">
                <anchor moveWithCells="1">
                  <from>
                    <xdr:col>4</xdr:col>
                    <xdr:colOff>9575</xdr:colOff>
                    <xdr:row>36</xdr:row>
                    <xdr:rowOff>9575</xdr:rowOff>
                  </from>
                  <to>
                    <xdr:col>4</xdr:col>
                    <xdr:colOff>923975</xdr:colOff>
                    <xdr:row>36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8" r:id="rId100" name="Drop Down 1246">
              <controlPr defaultSize="0" autoLine="0" autoPict="0">
                <anchor moveWithCells="1">
                  <from>
                    <xdr:col>3</xdr:col>
                    <xdr:colOff>9575</xdr:colOff>
                    <xdr:row>36</xdr:row>
                    <xdr:rowOff>9575</xdr:rowOff>
                  </from>
                  <to>
                    <xdr:col>3</xdr:col>
                    <xdr:colOff>923975</xdr:colOff>
                    <xdr:row>36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9" r:id="rId101" name="Check Box 1247">
              <controlPr defaultSize="0" autoFill="0" autoLine="0" autoPict="0">
                <anchor moveWithCells="1">
                  <from>
                    <xdr:col>1</xdr:col>
                    <xdr:colOff>9575</xdr:colOff>
                    <xdr:row>37</xdr:row>
                    <xdr:rowOff>19150</xdr:rowOff>
                  </from>
                  <to>
                    <xdr:col>1</xdr:col>
                    <xdr:colOff>1230371</xdr:colOff>
                    <xdr:row>37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1" r:id="rId102" name="Check Box 1249">
              <controlPr defaultSize="0" autoFill="0" autoLine="0" autoPict="0">
                <anchor moveWithCells="1">
                  <from>
                    <xdr:col>1</xdr:col>
                    <xdr:colOff>9575</xdr:colOff>
                    <xdr:row>39</xdr:row>
                    <xdr:rowOff>19150</xdr:rowOff>
                  </from>
                  <to>
                    <xdr:col>1</xdr:col>
                    <xdr:colOff>1230371</xdr:colOff>
                    <xdr:row>39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2" r:id="rId103" name="Check Box 1250">
              <controlPr defaultSize="0" autoFill="0" autoLine="0" autoPict="0">
                <anchor moveWithCells="1">
                  <from>
                    <xdr:col>1</xdr:col>
                    <xdr:colOff>9575</xdr:colOff>
                    <xdr:row>38</xdr:row>
                    <xdr:rowOff>19150</xdr:rowOff>
                  </from>
                  <to>
                    <xdr:col>1</xdr:col>
                    <xdr:colOff>1230371</xdr:colOff>
                    <xdr:row>38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3" r:id="rId104" name="Check Box 1251">
              <controlPr defaultSize="0" autoFill="0" autoLine="0" autoPict="0">
                <anchor moveWithCells="1">
                  <from>
                    <xdr:col>2</xdr:col>
                    <xdr:colOff>9575</xdr:colOff>
                    <xdr:row>37</xdr:row>
                    <xdr:rowOff>19150</xdr:rowOff>
                  </from>
                  <to>
                    <xdr:col>3</xdr:col>
                    <xdr:colOff>143623</xdr:colOff>
                    <xdr:row>37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4" r:id="rId105" name="Check Box 1252">
              <controlPr defaultSize="0" autoFill="0" autoLine="0" autoPict="0">
                <anchor moveWithCells="1">
                  <from>
                    <xdr:col>2</xdr:col>
                    <xdr:colOff>9575</xdr:colOff>
                    <xdr:row>38</xdr:row>
                    <xdr:rowOff>19150</xdr:rowOff>
                  </from>
                  <to>
                    <xdr:col>3</xdr:col>
                    <xdr:colOff>143623</xdr:colOff>
                    <xdr:row>38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5" r:id="rId106" name="Check Box 1253">
              <controlPr defaultSize="0" autoFill="0" autoLine="0" autoPict="0">
                <anchor moveWithCells="1">
                  <from>
                    <xdr:col>2</xdr:col>
                    <xdr:colOff>9575</xdr:colOff>
                    <xdr:row>39</xdr:row>
                    <xdr:rowOff>19150</xdr:rowOff>
                  </from>
                  <to>
                    <xdr:col>3</xdr:col>
                    <xdr:colOff>143623</xdr:colOff>
                    <xdr:row>39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7" r:id="rId107" name="Drop Down 1255">
              <controlPr defaultSize="0" autoLine="0" autoPict="0">
                <anchor moveWithCells="1">
                  <from>
                    <xdr:col>2</xdr:col>
                    <xdr:colOff>9575</xdr:colOff>
                    <xdr:row>40</xdr:row>
                    <xdr:rowOff>9575</xdr:rowOff>
                  </from>
                  <to>
                    <xdr:col>2</xdr:col>
                    <xdr:colOff>923975</xdr:colOff>
                    <xdr:row>40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8" r:id="rId108" name="Spinner 1256">
              <controlPr defaultSize="0" autoPict="0">
                <anchor moveWithCells="1" sizeWithCells="1">
                  <from>
                    <xdr:col>3</xdr:col>
                    <xdr:colOff>531405</xdr:colOff>
                    <xdr:row>40</xdr:row>
                    <xdr:rowOff>28725</xdr:rowOff>
                  </from>
                  <to>
                    <xdr:col>3</xdr:col>
                    <xdr:colOff>713328</xdr:colOff>
                    <xdr:row>40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9" r:id="rId109" name="Check Box 1257">
              <controlPr defaultSize="0" autoFill="0" autoLine="0" autoPict="0">
                <anchor moveWithCells="1">
                  <from>
                    <xdr:col>1</xdr:col>
                    <xdr:colOff>9575</xdr:colOff>
                    <xdr:row>40</xdr:row>
                    <xdr:rowOff>19150</xdr:rowOff>
                  </from>
                  <to>
                    <xdr:col>1</xdr:col>
                    <xdr:colOff>1230371</xdr:colOff>
                    <xdr:row>40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0" r:id="rId110" name="Check Box 1258">
              <controlPr defaultSize="0" autoFill="0" autoLine="0" autoPict="0">
                <anchor moveWithCells="1">
                  <from>
                    <xdr:col>9</xdr:col>
                    <xdr:colOff>9575</xdr:colOff>
                    <xdr:row>26</xdr:row>
                    <xdr:rowOff>19150</xdr:rowOff>
                  </from>
                  <to>
                    <xdr:col>10</xdr:col>
                    <xdr:colOff>191497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1" r:id="rId111" name="Spinner 1259">
              <controlPr defaultSize="0" autoPict="0">
                <anchor moveWithCells="1" sizeWithCells="1">
                  <from>
                    <xdr:col>2</xdr:col>
                    <xdr:colOff>531405</xdr:colOff>
                    <xdr:row>7</xdr:row>
                    <xdr:rowOff>28725</xdr:rowOff>
                  </from>
                  <to>
                    <xdr:col>2</xdr:col>
                    <xdr:colOff>713328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2" r:id="rId112" name="Spinner 1260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3" r:id="rId113" name="Drop Down 1261">
              <controlPr defaultSize="0" autoLine="0" autoPict="0">
                <anchor moveWithCells="1">
                  <from>
                    <xdr:col>3</xdr:col>
                    <xdr:colOff>9575</xdr:colOff>
                    <xdr:row>7</xdr:row>
                    <xdr:rowOff>9575</xdr:rowOff>
                  </from>
                  <to>
                    <xdr:col>3</xdr:col>
                    <xdr:colOff>1029298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4" r:id="rId114" name="Drop Down 1262">
              <controlPr defaultSize="0" autoLine="0" autoPict="0">
                <anchor moveWithCells="1">
                  <from>
                    <xdr:col>3</xdr:col>
                    <xdr:colOff>9575</xdr:colOff>
                    <xdr:row>8</xdr:row>
                    <xdr:rowOff>9575</xdr:rowOff>
                  </from>
                  <to>
                    <xdr:col>3</xdr:col>
                    <xdr:colOff>1029298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5" r:id="rId115" name="Spinner 1263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6" r:id="rId116" name="Spinner 1264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7" r:id="rId117" name="Spinner 1265">
              <controlPr defaultSize="0" autoPict="0">
                <anchor moveWithCells="1" sizeWithCells="1">
                  <from>
                    <xdr:col>9</xdr:col>
                    <xdr:colOff>627154</xdr:colOff>
                    <xdr:row>18</xdr:row>
                    <xdr:rowOff>28725</xdr:rowOff>
                  </from>
                  <to>
                    <xdr:col>9</xdr:col>
                    <xdr:colOff>809076</xdr:colOff>
                    <xdr:row>18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8" r:id="rId118" name="Check Box 1266">
              <controlPr defaultSize="0" autoFill="0" autoLine="0" autoPict="0">
                <anchor moveWithCells="1">
                  <from>
                    <xdr:col>8</xdr:col>
                    <xdr:colOff>9575</xdr:colOff>
                    <xdr:row>7</xdr:row>
                    <xdr:rowOff>19150</xdr:rowOff>
                  </from>
                  <to>
                    <xdr:col>8</xdr:col>
                    <xdr:colOff>1230371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9" r:id="rId119" name="Spinner 1267">
              <controlPr defaultSize="0" autoPict="0">
                <anchor moveWithCells="1" sizeWithCells="1">
                  <from>
                    <xdr:col>9</xdr:col>
                    <xdr:colOff>675028</xdr:colOff>
                    <xdr:row>7</xdr:row>
                    <xdr:rowOff>28725</xdr:rowOff>
                  </from>
                  <to>
                    <xdr:col>9</xdr:col>
                    <xdr:colOff>856951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0" r:id="rId120" name="Check Box 1268">
              <controlPr defaultSize="0" autoFill="0" autoLine="0" autoPict="0">
                <anchor moveWithCells="1">
                  <from>
                    <xdr:col>1</xdr:col>
                    <xdr:colOff>9575</xdr:colOff>
                    <xdr:row>9</xdr:row>
                    <xdr:rowOff>19150</xdr:rowOff>
                  </from>
                  <to>
                    <xdr:col>1</xdr:col>
                    <xdr:colOff>1230371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1" r:id="rId121" name="Spinner 1269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2" r:id="rId122" name="Drop Down 1270">
              <controlPr defaultSize="0" autoLine="0" autoPict="0">
                <anchor moveWithCells="1">
                  <from>
                    <xdr:col>3</xdr:col>
                    <xdr:colOff>9575</xdr:colOff>
                    <xdr:row>9</xdr:row>
                    <xdr:rowOff>9575</xdr:rowOff>
                  </from>
                  <to>
                    <xdr:col>3</xdr:col>
                    <xdr:colOff>1029298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3" r:id="rId123" name="Spinner 1271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4" r:id="rId124" name="Spinner 1272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AanvullendeBer">
    <tabColor rgb="FF92D050"/>
  </sheetPr>
  <dimension ref="A1:M108"/>
  <sheetViews>
    <sheetView topLeftCell="B1" workbookViewId="0">
      <selection activeCell="D27" sqref="D27"/>
    </sheetView>
  </sheetViews>
  <sheetFormatPr defaultRowHeight="12.85" x14ac:dyDescent="0.35"/>
  <cols>
    <col min="1" max="1" width="34.73046875" bestFit="1" customWidth="1"/>
    <col min="3" max="3" width="19.59765625" bestFit="1" customWidth="1"/>
    <col min="4" max="4" width="9.1328125" style="523"/>
    <col min="5" max="5" width="17.86328125" customWidth="1"/>
    <col min="7" max="7" width="37.3984375" bestFit="1" customWidth="1"/>
    <col min="8" max="8" width="9.1328125" style="517" customWidth="1"/>
    <col min="9" max="9" width="28" style="555" bestFit="1" customWidth="1"/>
    <col min="11" max="11" width="13.59765625" customWidth="1"/>
  </cols>
  <sheetData>
    <row r="1" spans="1:13" x14ac:dyDescent="0.35">
      <c r="A1" s="577"/>
    </row>
    <row r="6" spans="1:13" ht="13.2" x14ac:dyDescent="0.4">
      <c r="A6" s="591" t="s">
        <v>1474</v>
      </c>
      <c r="E6" s="3" t="s">
        <v>1286</v>
      </c>
      <c r="I6" s="553" t="s">
        <v>1332</v>
      </c>
    </row>
    <row r="7" spans="1:13" x14ac:dyDescent="0.35">
      <c r="A7" s="518" t="s">
        <v>1281</v>
      </c>
      <c r="B7" s="577"/>
      <c r="E7" t="s">
        <v>1288</v>
      </c>
      <c r="F7" s="577"/>
      <c r="I7" s="554" t="s">
        <v>1318</v>
      </c>
      <c r="J7" s="577"/>
    </row>
    <row r="8" spans="1:13" x14ac:dyDescent="0.35">
      <c r="A8" s="518" t="s">
        <v>572</v>
      </c>
      <c r="B8" s="577"/>
      <c r="C8" s="583"/>
      <c r="D8" s="828"/>
      <c r="E8" t="s">
        <v>1289</v>
      </c>
      <c r="F8" s="577"/>
      <c r="G8" t="s">
        <v>1290</v>
      </c>
      <c r="H8" s="577"/>
      <c r="I8" s="554" t="s">
        <v>1636</v>
      </c>
      <c r="J8" s="577"/>
      <c r="M8" s="517"/>
    </row>
    <row r="9" spans="1:13" x14ac:dyDescent="0.35">
      <c r="A9" s="518" t="s">
        <v>265</v>
      </c>
      <c r="B9" s="577"/>
      <c r="C9" s="577"/>
      <c r="D9" s="578"/>
      <c r="G9" t="s">
        <v>1291</v>
      </c>
      <c r="H9" s="577"/>
      <c r="I9" s="554" t="s">
        <v>1326</v>
      </c>
      <c r="J9" s="577"/>
      <c r="M9" s="517"/>
    </row>
    <row r="10" spans="1:13" x14ac:dyDescent="0.35">
      <c r="A10" s="518" t="s">
        <v>1272</v>
      </c>
      <c r="B10" s="577"/>
      <c r="G10" t="s">
        <v>1292</v>
      </c>
      <c r="H10" s="577"/>
      <c r="I10" s="554" t="s">
        <v>1282</v>
      </c>
      <c r="J10" s="577"/>
      <c r="M10" s="517"/>
    </row>
    <row r="11" spans="1:13" x14ac:dyDescent="0.35">
      <c r="A11" s="518" t="s">
        <v>1532</v>
      </c>
      <c r="B11" s="577"/>
      <c r="C11" s="518" t="s">
        <v>1476</v>
      </c>
      <c r="D11" s="578"/>
      <c r="G11" t="s">
        <v>1293</v>
      </c>
      <c r="H11" s="577"/>
      <c r="I11" s="554"/>
      <c r="J11" s="577"/>
      <c r="M11" s="517"/>
    </row>
    <row r="12" spans="1:13" x14ac:dyDescent="0.35">
      <c r="A12" s="518" t="s">
        <v>1534</v>
      </c>
      <c r="B12" s="705"/>
      <c r="C12" s="550" t="s">
        <v>1477</v>
      </c>
      <c r="D12" s="578"/>
      <c r="E12" s="518" t="s">
        <v>1294</v>
      </c>
      <c r="F12" s="577"/>
      <c r="I12" s="554" t="s">
        <v>1327</v>
      </c>
      <c r="J12" s="577"/>
      <c r="M12" s="517"/>
    </row>
    <row r="13" spans="1:13" x14ac:dyDescent="0.35">
      <c r="C13" s="518" t="s">
        <v>1478</v>
      </c>
      <c r="D13" s="578"/>
      <c r="E13" s="518" t="s">
        <v>1295</v>
      </c>
      <c r="F13" s="577"/>
      <c r="G13" t="s">
        <v>1302</v>
      </c>
      <c r="H13" s="577"/>
      <c r="I13" s="554" t="s">
        <v>1278</v>
      </c>
      <c r="J13" s="577"/>
      <c r="M13" s="517"/>
    </row>
    <row r="14" spans="1:13" x14ac:dyDescent="0.35">
      <c r="C14" s="518" t="s">
        <v>1479</v>
      </c>
      <c r="D14" s="578"/>
      <c r="E14" s="518" t="s">
        <v>1296</v>
      </c>
      <c r="F14" s="577"/>
      <c r="I14" s="554" t="s">
        <v>1279</v>
      </c>
      <c r="J14" s="577"/>
      <c r="M14" s="517"/>
    </row>
    <row r="15" spans="1:13" x14ac:dyDescent="0.35">
      <c r="A15" s="518" t="s">
        <v>1533</v>
      </c>
      <c r="B15" s="577"/>
      <c r="E15" s="518" t="s">
        <v>1297</v>
      </c>
      <c r="F15" s="577"/>
      <c r="G15" t="s">
        <v>1303</v>
      </c>
      <c r="H15" s="577"/>
      <c r="I15" s="554" t="s">
        <v>1280</v>
      </c>
      <c r="J15" s="577"/>
      <c r="M15" s="517"/>
    </row>
    <row r="16" spans="1:13" x14ac:dyDescent="0.35">
      <c r="A16" t="s">
        <v>1274</v>
      </c>
      <c r="B16" s="577"/>
      <c r="E16" s="517"/>
      <c r="G16" t="s">
        <v>1304</v>
      </c>
      <c r="H16" s="577"/>
      <c r="I16" s="554" t="s">
        <v>1331</v>
      </c>
      <c r="J16" s="577"/>
      <c r="M16" s="517"/>
    </row>
    <row r="17" spans="1:13" x14ac:dyDescent="0.35">
      <c r="A17" s="518" t="s">
        <v>1273</v>
      </c>
      <c r="B17" s="577"/>
      <c r="E17" s="518" t="s">
        <v>857</v>
      </c>
      <c r="F17" s="577"/>
      <c r="I17" s="554" t="s">
        <v>1637</v>
      </c>
      <c r="J17" s="577"/>
      <c r="K17" s="583"/>
      <c r="L17" s="583"/>
      <c r="M17" s="517"/>
    </row>
    <row r="18" spans="1:13" x14ac:dyDescent="0.35">
      <c r="A18" s="518" t="s">
        <v>1277</v>
      </c>
      <c r="B18" s="577"/>
      <c r="C18" s="577"/>
      <c r="D18" s="578"/>
      <c r="E18" s="518" t="s">
        <v>1298</v>
      </c>
      <c r="F18" s="577"/>
      <c r="G18" t="s">
        <v>1305</v>
      </c>
      <c r="H18" s="577"/>
      <c r="I18" s="554" t="s">
        <v>857</v>
      </c>
      <c r="J18" s="577"/>
      <c r="M18" s="517"/>
    </row>
    <row r="19" spans="1:13" x14ac:dyDescent="0.35">
      <c r="A19" s="518" t="s">
        <v>1275</v>
      </c>
      <c r="B19" s="577"/>
      <c r="E19" s="517"/>
      <c r="G19" t="s">
        <v>1306</v>
      </c>
      <c r="H19" s="577"/>
      <c r="I19" s="554" t="s">
        <v>1328</v>
      </c>
      <c r="J19" s="577"/>
      <c r="M19" s="517"/>
    </row>
    <row r="20" spans="1:13" x14ac:dyDescent="0.35">
      <c r="E20" s="517"/>
      <c r="G20" t="s">
        <v>1307</v>
      </c>
      <c r="H20" s="577"/>
      <c r="I20" s="554" t="s">
        <v>1638</v>
      </c>
      <c r="J20" s="577"/>
      <c r="K20" s="829"/>
      <c r="L20" s="583"/>
      <c r="M20" s="517"/>
    </row>
    <row r="21" spans="1:13" ht="13.2" x14ac:dyDescent="0.4">
      <c r="A21" s="3" t="s">
        <v>1480</v>
      </c>
      <c r="B21" s="577"/>
      <c r="E21" s="518" t="s">
        <v>1299</v>
      </c>
      <c r="F21" s="577"/>
      <c r="I21" s="554"/>
      <c r="J21" s="517"/>
      <c r="K21" s="518" t="s">
        <v>1639</v>
      </c>
      <c r="L21" s="577"/>
      <c r="M21" s="517"/>
    </row>
    <row r="22" spans="1:13" x14ac:dyDescent="0.35">
      <c r="A22" s="518" t="s">
        <v>1287</v>
      </c>
      <c r="B22" s="577"/>
      <c r="C22" t="str">
        <f>IF(OR(D22=0,D22=1,D22=""),"",INDEX(Aanvullend_aEEG,D22,1))</f>
        <v/>
      </c>
      <c r="D22" s="578"/>
      <c r="E22" s="518" t="s">
        <v>1300</v>
      </c>
      <c r="F22" s="577"/>
      <c r="G22" t="s">
        <v>1308</v>
      </c>
      <c r="H22" s="577"/>
      <c r="I22" s="554"/>
      <c r="J22" s="517"/>
      <c r="K22" s="518" t="s">
        <v>629</v>
      </c>
      <c r="L22" s="577"/>
      <c r="M22" s="517"/>
    </row>
    <row r="23" spans="1:13" x14ac:dyDescent="0.35">
      <c r="A23" s="518" t="s">
        <v>858</v>
      </c>
      <c r="B23" s="577"/>
      <c r="E23" s="518" t="s">
        <v>1301</v>
      </c>
      <c r="F23" s="577"/>
      <c r="G23" t="s">
        <v>1309</v>
      </c>
      <c r="H23" s="577"/>
      <c r="I23" s="554"/>
      <c r="J23" s="517"/>
      <c r="K23" s="518" t="s">
        <v>1640</v>
      </c>
      <c r="L23" s="577"/>
      <c r="M23" s="517"/>
    </row>
    <row r="24" spans="1:13" x14ac:dyDescent="0.35">
      <c r="A24" s="518" t="s">
        <v>64</v>
      </c>
      <c r="B24" s="577"/>
      <c r="E24" s="517"/>
      <c r="G24" t="s">
        <v>1310</v>
      </c>
      <c r="H24" s="577"/>
      <c r="I24" s="554" t="s">
        <v>1482</v>
      </c>
      <c r="J24" s="577"/>
      <c r="K24" s="518" t="s">
        <v>1483</v>
      </c>
      <c r="L24" s="577"/>
      <c r="M24" s="517"/>
    </row>
    <row r="25" spans="1:13" x14ac:dyDescent="0.35">
      <c r="A25" s="518" t="s">
        <v>1324</v>
      </c>
      <c r="B25" s="577"/>
      <c r="E25" s="517"/>
      <c r="G25" t="s">
        <v>1311</v>
      </c>
      <c r="H25" s="577"/>
      <c r="I25" s="554"/>
      <c r="K25" s="518" t="s">
        <v>1484</v>
      </c>
      <c r="L25" s="577"/>
      <c r="M25" s="517"/>
    </row>
    <row r="26" spans="1:13" x14ac:dyDescent="0.35">
      <c r="A26" s="518" t="s">
        <v>1325</v>
      </c>
      <c r="B26" s="577"/>
      <c r="E26" s="517"/>
      <c r="G26" t="s">
        <v>1312</v>
      </c>
      <c r="H26" s="577"/>
      <c r="I26" s="554"/>
      <c r="K26" s="518" t="s">
        <v>1485</v>
      </c>
      <c r="L26" s="577"/>
      <c r="M26" s="517"/>
    </row>
    <row r="27" spans="1:13" x14ac:dyDescent="0.35">
      <c r="A27" s="518" t="s">
        <v>859</v>
      </c>
      <c r="B27" s="577"/>
      <c r="C27" t="str">
        <f>REPLACE(INDEX(Aanvullend_Vertrektijden,D27,2),1,1,"")</f>
        <v>06:00</v>
      </c>
      <c r="D27" s="578"/>
      <c r="E27" s="517"/>
      <c r="G27" t="s">
        <v>1313</v>
      </c>
      <c r="H27" s="577"/>
      <c r="I27" s="554"/>
      <c r="K27" s="518" t="s">
        <v>1486</v>
      </c>
      <c r="L27" s="577"/>
      <c r="M27" s="517"/>
    </row>
    <row r="28" spans="1:13" x14ac:dyDescent="0.35">
      <c r="A28" s="518" t="s">
        <v>1535</v>
      </c>
      <c r="B28" s="577"/>
      <c r="E28" s="517"/>
      <c r="G28" t="s">
        <v>1314</v>
      </c>
      <c r="H28" s="577"/>
      <c r="I28" s="554"/>
      <c r="K28" s="518" t="s">
        <v>583</v>
      </c>
      <c r="L28" s="577"/>
    </row>
    <row r="29" spans="1:13" x14ac:dyDescent="0.35">
      <c r="A29" s="518" t="s">
        <v>1536</v>
      </c>
      <c r="B29" s="577"/>
      <c r="E29" s="517"/>
      <c r="G29" t="s">
        <v>1315</v>
      </c>
      <c r="H29" s="577"/>
      <c r="I29" s="554" t="s">
        <v>1056</v>
      </c>
      <c r="J29" s="577"/>
      <c r="K29" s="577"/>
    </row>
    <row r="30" spans="1:13" x14ac:dyDescent="0.35">
      <c r="A30" s="518" t="s">
        <v>1276</v>
      </c>
      <c r="B30" s="577"/>
      <c r="E30" s="517"/>
      <c r="G30" t="s">
        <v>1316</v>
      </c>
      <c r="H30" s="577"/>
      <c r="I30" s="554"/>
    </row>
    <row r="31" spans="1:13" x14ac:dyDescent="0.35">
      <c r="A31" s="518" t="s">
        <v>63</v>
      </c>
      <c r="B31" s="577"/>
      <c r="E31" s="518" t="s">
        <v>1317</v>
      </c>
      <c r="F31" s="577"/>
      <c r="G31" s="583"/>
      <c r="H31" s="518"/>
      <c r="I31" s="554"/>
    </row>
    <row r="32" spans="1:13" ht="13.2" x14ac:dyDescent="0.4">
      <c r="A32" s="518" t="s">
        <v>26</v>
      </c>
      <c r="B32" s="577"/>
      <c r="E32" s="3"/>
      <c r="I32" s="554"/>
    </row>
    <row r="33" spans="1:9" ht="13.2" x14ac:dyDescent="0.4">
      <c r="A33" s="3" t="s">
        <v>1723</v>
      </c>
      <c r="B33" s="517"/>
      <c r="C33" s="517"/>
      <c r="E33" s="517"/>
      <c r="F33" s="517"/>
      <c r="G33" s="517"/>
      <c r="I33" s="554"/>
    </row>
    <row r="34" spans="1:9" x14ac:dyDescent="0.35">
      <c r="A34" s="518" t="s">
        <v>1537</v>
      </c>
      <c r="B34" s="577"/>
      <c r="C34" s="517" t="str">
        <f>IF(OR(D34=0,D34=1,D34=""),"",INDEX(Aanvullend_ThoraxDrainSub2,D34,0))</f>
        <v/>
      </c>
      <c r="D34" s="578"/>
      <c r="E34" t="str">
        <f>IF(OR(D22=0,D22=""),"",INDEX(Aanvullend_aEEG,D22,1))</f>
        <v/>
      </c>
      <c r="I34" s="554"/>
    </row>
    <row r="35" spans="1:9" x14ac:dyDescent="0.35">
      <c r="C35" s="517" t="str">
        <f>IF(OR(D35=0,D35=1,D35=""),"",INDEX(Aanvullend_ThoraxDrainSub3,D35,0))</f>
        <v/>
      </c>
      <c r="D35" s="578"/>
      <c r="I35" s="554"/>
    </row>
    <row r="36" spans="1:9" x14ac:dyDescent="0.35">
      <c r="C36" s="517" t="str">
        <f>IF(OR(D36=0,D36=1,D36=""),"",INDEX(Aanvullend_ThoraxDrainSub1,D36,0))</f>
        <v/>
      </c>
      <c r="D36" s="578"/>
      <c r="I36" s="554"/>
    </row>
    <row r="37" spans="1:9" x14ac:dyDescent="0.35">
      <c r="A37" s="518" t="s">
        <v>1635</v>
      </c>
      <c r="B37" s="577"/>
      <c r="C37" s="517" t="str">
        <f>IF(OR(D37=0,D37=1,D37=""),"",INDEX(Aanvullend_ThoraxDrainSub2,D37,0))</f>
        <v/>
      </c>
      <c r="D37" s="578"/>
      <c r="E37" s="517"/>
    </row>
    <row r="38" spans="1:9" x14ac:dyDescent="0.35">
      <c r="A38" s="517"/>
      <c r="B38" s="517"/>
      <c r="C38" s="517" t="str">
        <f>IF(OR(D38=0,D38=1,D38=""),"",INDEX(Aanvullend_ThoraxDrainSub3,D38,0))</f>
        <v/>
      </c>
      <c r="D38" s="578"/>
    </row>
    <row r="39" spans="1:9" x14ac:dyDescent="0.35">
      <c r="A39" s="517"/>
      <c r="B39" s="517"/>
      <c r="C39" s="517" t="str">
        <f>IF(OR(D39=0,D39=1,D39=""),"",INDEX(Aanvullend_ThoraxDrainSub1,D39,0))</f>
        <v/>
      </c>
      <c r="D39" s="578"/>
    </row>
    <row r="40" spans="1:9" x14ac:dyDescent="0.35">
      <c r="A40" s="518" t="s">
        <v>1726</v>
      </c>
      <c r="B40" s="577"/>
      <c r="C40" s="517" t="str">
        <f>IF(OR(D40=0,D40=1,D40=""),"",INDEX(Aanvullend_ThoraxDrainSub2,D40,0))</f>
        <v/>
      </c>
      <c r="D40" s="578"/>
      <c r="E40" s="517"/>
    </row>
    <row r="41" spans="1:9" x14ac:dyDescent="0.35">
      <c r="C41" s="517" t="str">
        <f>IF(OR(D41=0,D41=1,D41=""),"",INDEX(Aanvullend_ThoraxDrainSub3,D41,0))</f>
        <v/>
      </c>
      <c r="D41" s="578"/>
    </row>
    <row r="42" spans="1:9" x14ac:dyDescent="0.35">
      <c r="C42" s="517" t="str">
        <f>IF(OR(D42=0,D42=1,D42=""),"",INDEX(Aanvullend_ThoraxDrainSub1,D42,0))</f>
        <v/>
      </c>
      <c r="D42" s="578"/>
    </row>
    <row r="43" spans="1:9" x14ac:dyDescent="0.35">
      <c r="A43" s="554" t="s">
        <v>1330</v>
      </c>
      <c r="B43" s="577"/>
      <c r="C43" s="518" t="s">
        <v>1727</v>
      </c>
      <c r="D43" s="578"/>
      <c r="E43" s="517"/>
    </row>
    <row r="44" spans="1:9" x14ac:dyDescent="0.35">
      <c r="A44" s="518" t="s">
        <v>1654</v>
      </c>
      <c r="B44" s="577"/>
      <c r="C44" s="518" t="s">
        <v>1727</v>
      </c>
      <c r="D44" s="578"/>
      <c r="E44" s="517"/>
    </row>
    <row r="45" spans="1:9" x14ac:dyDescent="0.35">
      <c r="A45" s="554" t="s">
        <v>1329</v>
      </c>
      <c r="B45" s="577"/>
      <c r="C45" s="518" t="s">
        <v>1727</v>
      </c>
      <c r="D45" s="578"/>
      <c r="E45" s="517"/>
    </row>
    <row r="46" spans="1:9" x14ac:dyDescent="0.35">
      <c r="A46" s="518" t="s">
        <v>1724</v>
      </c>
      <c r="B46" s="577"/>
      <c r="C46" t="str">
        <f>IF(OR(D46=0,D46=1,D46=""),"",INDEX(Aanvullend_LiquorDrainSub1,D46,0))</f>
        <v/>
      </c>
      <c r="D46" s="578"/>
      <c r="E46" s="517"/>
    </row>
    <row r="47" spans="1:9" x14ac:dyDescent="0.35">
      <c r="C47" s="517" t="s">
        <v>1725</v>
      </c>
      <c r="D47" s="578"/>
    </row>
    <row r="55" spans="1:3" ht="13.2" x14ac:dyDescent="0.4">
      <c r="A55" s="3" t="s">
        <v>1319</v>
      </c>
    </row>
    <row r="56" spans="1:3" x14ac:dyDescent="0.35">
      <c r="A56" s="518" t="s">
        <v>1474</v>
      </c>
      <c r="B56" t="str">
        <f>CONCATENATE(,IF(B7,A7 &amp; " - ",""),IF(B8,CONCATENATE(A8, " (",C8, " keer per ",INDEX(Aanvullend_PerPeriode,D8,0),")") &amp; " - ",""),IF(B9,CONCATENATE(A9, " (",C9, " keer per ",INDEX(Aanvullend_PerPeriode,D9,0),")") &amp; " - ",""),IF(B18,CONCATENATE(A18, " (",C18, " keer per ",INDEX(Aanvullend_PerPeriode,D18,0),")")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f>
        <v/>
      </c>
    </row>
    <row r="57" spans="1:3" x14ac:dyDescent="0.35">
      <c r="A57" s="518" t="s">
        <v>1480</v>
      </c>
      <c r="B57" t="str">
        <f>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f>
        <v/>
      </c>
    </row>
    <row r="58" spans="1:3" x14ac:dyDescent="0.35">
      <c r="A58" s="518" t="s">
        <v>1723</v>
      </c>
      <c r="B58" s="517" t="str">
        <f>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f>
        <v/>
      </c>
      <c r="C58" s="517"/>
    </row>
    <row r="59" spans="1:3" x14ac:dyDescent="0.35">
      <c r="A59" s="518" t="s">
        <v>1286</v>
      </c>
      <c r="B59" t="str">
        <f>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(",Aanvullend_WondkweekTekst,") - "),""))</f>
        <v/>
      </c>
    </row>
    <row r="60" spans="1:3" x14ac:dyDescent="0.35">
      <c r="A60" s="518" t="s">
        <v>1332</v>
      </c>
      <c r="B60" t="str">
        <f>CONCATENATE(,IF(J7,I7 &amp; " - ",""),IF(J29,CONCATENATE(I29, " (",K29,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",""),IF(J17,CONCATENATE(I17," (",K17," dd, ",L17," ml) - "),""),IF(J18,I18 &amp; " - ",""),IF(J19,I19 &amp; " - ",""),IF(J20,CONCATENATE(I20," à ",K20," uur"," (",TRIM(CONCATENATE(IF(0=0,"","xcxx" &amp; " "),IF(L21,K21 &amp; " ",""),IF(L22,K22 &amp; " ",""),IF(L23,K23 &amp; " ",""))),") - "),""),IF(J24,CONCATENATE(I24," (",TRIM(CONCATENATE(IF(L24,K24 &amp; " ",""),IF(L25,K25 &amp; " ",""),IF(L26,K26 &amp; " ",""),IF(L27,K27 &amp; " ",""),IF(L28,K28 &amp; " ",""))),") - "),"")
)</f>
        <v/>
      </c>
    </row>
    <row r="67" spans="1:1" x14ac:dyDescent="0.35">
      <c r="A67" s="518"/>
    </row>
    <row r="69" spans="1:1" x14ac:dyDescent="0.35">
      <c r="A69" s="518"/>
    </row>
    <row r="70" spans="1:1" x14ac:dyDescent="0.35">
      <c r="A70" s="517"/>
    </row>
    <row r="71" spans="1:1" x14ac:dyDescent="0.35">
      <c r="A71" s="518"/>
    </row>
    <row r="72" spans="1:1" x14ac:dyDescent="0.35">
      <c r="A72" s="518"/>
    </row>
    <row r="73" spans="1:1" x14ac:dyDescent="0.35">
      <c r="A73" s="518"/>
    </row>
    <row r="74" spans="1:1" x14ac:dyDescent="0.35">
      <c r="A74" s="518"/>
    </row>
    <row r="75" spans="1:1" x14ac:dyDescent="0.35">
      <c r="A75" s="518"/>
    </row>
    <row r="76" spans="1:1" x14ac:dyDescent="0.35">
      <c r="A76" s="518"/>
    </row>
    <row r="77" spans="1:1" x14ac:dyDescent="0.35">
      <c r="A77" s="518"/>
    </row>
    <row r="78" spans="1:1" x14ac:dyDescent="0.35">
      <c r="A78" s="518"/>
    </row>
    <row r="79" spans="1:1" x14ac:dyDescent="0.35">
      <c r="A79" s="518"/>
    </row>
    <row r="80" spans="1:1" x14ac:dyDescent="0.35">
      <c r="A80" s="518"/>
    </row>
    <row r="81" spans="1:1" x14ac:dyDescent="0.35">
      <c r="A81" s="518"/>
    </row>
    <row r="82" spans="1:1" x14ac:dyDescent="0.35">
      <c r="A82" s="518"/>
    </row>
    <row r="83" spans="1:1" x14ac:dyDescent="0.35">
      <c r="A83" s="517"/>
    </row>
    <row r="84" spans="1:1" x14ac:dyDescent="0.35">
      <c r="A84" s="518"/>
    </row>
    <row r="85" spans="1:1" x14ac:dyDescent="0.35">
      <c r="A85" s="518"/>
    </row>
    <row r="86" spans="1:1" x14ac:dyDescent="0.35">
      <c r="A86" s="522"/>
    </row>
    <row r="87" spans="1:1" x14ac:dyDescent="0.35">
      <c r="A87" s="518"/>
    </row>
    <row r="88" spans="1:1" x14ac:dyDescent="0.35">
      <c r="A88" s="518"/>
    </row>
    <row r="89" spans="1:1" x14ac:dyDescent="0.35">
      <c r="A89" s="518"/>
    </row>
    <row r="90" spans="1:1" x14ac:dyDescent="0.35">
      <c r="A90" s="518"/>
    </row>
    <row r="91" spans="1:1" x14ac:dyDescent="0.35">
      <c r="A91" s="518"/>
    </row>
    <row r="92" spans="1:1" x14ac:dyDescent="0.35">
      <c r="A92" s="518"/>
    </row>
    <row r="93" spans="1:1" x14ac:dyDescent="0.35">
      <c r="A93" s="518"/>
    </row>
    <row r="94" spans="1:1" x14ac:dyDescent="0.35">
      <c r="A94" s="518"/>
    </row>
    <row r="95" spans="1:1" x14ac:dyDescent="0.35">
      <c r="A95" s="518"/>
    </row>
    <row r="96" spans="1:1" x14ac:dyDescent="0.35">
      <c r="A96" s="518"/>
    </row>
    <row r="97" spans="1:1" x14ac:dyDescent="0.35">
      <c r="A97" s="518"/>
    </row>
    <row r="98" spans="1:1" x14ac:dyDescent="0.35">
      <c r="A98" s="518"/>
    </row>
    <row r="99" spans="1:1" x14ac:dyDescent="0.35">
      <c r="A99" s="518"/>
    </row>
    <row r="100" spans="1:1" x14ac:dyDescent="0.35">
      <c r="A100" s="518"/>
    </row>
    <row r="101" spans="1:1" x14ac:dyDescent="0.35">
      <c r="A101" s="518"/>
    </row>
    <row r="102" spans="1:1" x14ac:dyDescent="0.35">
      <c r="A102" s="518"/>
    </row>
    <row r="103" spans="1:1" x14ac:dyDescent="0.35">
      <c r="A103" s="518"/>
    </row>
    <row r="104" spans="1:1" x14ac:dyDescent="0.35">
      <c r="A104" s="518"/>
    </row>
    <row r="105" spans="1:1" x14ac:dyDescent="0.35">
      <c r="A105" s="518"/>
    </row>
    <row r="106" spans="1:1" x14ac:dyDescent="0.35">
      <c r="A106" s="518"/>
    </row>
    <row r="107" spans="1:1" x14ac:dyDescent="0.35">
      <c r="A107" s="517"/>
    </row>
    <row r="108" spans="1:1" x14ac:dyDescent="0.35">
      <c r="A108" s="517"/>
    </row>
  </sheetData>
  <pageMargins left="0.7" right="0.7" top="0.75" bottom="0.75" header="0.3" footer="0.3"/>
  <pageSetup paperSize="9"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LabNeo">
    <tabColor rgb="FF7030A0"/>
    <pageSetUpPr autoPageBreaks="0"/>
  </sheetPr>
  <dimension ref="A1:CD43"/>
  <sheetViews>
    <sheetView zoomScale="85" workbookViewId="0">
      <pane ySplit="5" topLeftCell="A6" activePane="bottomLeft" state="frozen"/>
      <selection pane="bottomLeft"/>
    </sheetView>
  </sheetViews>
  <sheetFormatPr defaultColWidth="9.1328125" defaultRowHeight="12.85" x14ac:dyDescent="0.35"/>
  <cols>
    <col min="1" max="1" width="3.73046875" style="531" customWidth="1"/>
    <col min="2" max="13" width="10.73046875" style="531" customWidth="1"/>
    <col min="14" max="15" width="2.1328125" style="531" customWidth="1"/>
    <col min="16" max="21" width="10.73046875" style="531" customWidth="1"/>
    <col min="22" max="16384" width="9.1328125" style="531"/>
  </cols>
  <sheetData>
    <row r="1" spans="1:82" s="251" customFormat="1" ht="7.55" customHeight="1" x14ac:dyDescent="0.35">
      <c r="A1" s="587"/>
      <c r="B1" s="250"/>
      <c r="C1" s="250"/>
      <c r="D1" s="250"/>
      <c r="E1" s="250"/>
      <c r="F1" s="250"/>
      <c r="G1" s="250"/>
      <c r="H1" s="250"/>
      <c r="I1" s="250"/>
      <c r="J1" s="250"/>
      <c r="K1" s="250"/>
      <c r="L1" s="250"/>
      <c r="N1" s="250"/>
      <c r="S1" s="250"/>
      <c r="T1" s="250"/>
      <c r="U1" s="250"/>
      <c r="V1" s="250"/>
      <c r="W1" s="250"/>
      <c r="X1" s="250"/>
      <c r="Y1" s="250"/>
    </row>
    <row r="2" spans="1:82" s="251" customFormat="1" ht="17.25" customHeight="1" x14ac:dyDescent="0.4">
      <c r="A2" s="250"/>
      <c r="B2" s="250"/>
      <c r="C2" s="252" t="s">
        <v>623</v>
      </c>
      <c r="D2" s="253" t="e">
        <f ca="1">AfspraakDatum</f>
        <v>#NAME?</v>
      </c>
      <c r="E2" s="254"/>
      <c r="F2" s="252" t="s">
        <v>624</v>
      </c>
      <c r="G2" s="250"/>
      <c r="H2" s="255">
        <f>OpnDatum</f>
        <v>42370</v>
      </c>
      <c r="I2" s="252" t="e">
        <f ca="1">"ICU-dag: "&amp;AfspraakDatum-OpnDatum+1</f>
        <v>#NAME?</v>
      </c>
      <c r="J2" s="258" t="str">
        <f>"Gewicht: "&amp;Gewicht/10&amp;" kg"</f>
        <v>Gewicht: 10 kg</v>
      </c>
      <c r="L2" s="250"/>
      <c r="N2" s="250"/>
      <c r="S2" s="250"/>
      <c r="T2" s="250"/>
      <c r="U2" s="250"/>
      <c r="V2" s="250"/>
      <c r="W2" s="250"/>
      <c r="X2" s="250"/>
      <c r="Y2" s="250"/>
    </row>
    <row r="3" spans="1:82" s="251" customFormat="1" ht="17.25" customHeight="1" x14ac:dyDescent="0.4">
      <c r="A3" s="250"/>
      <c r="B3" s="256"/>
      <c r="C3" s="252" t="s">
        <v>54</v>
      </c>
      <c r="D3" s="257" t="str">
        <f>_AchterNaam&amp;", "&amp;_VoorNaam</f>
        <v>Achternaam, Voornaam</v>
      </c>
      <c r="E3" s="257"/>
      <c r="F3" s="252" t="s">
        <v>638</v>
      </c>
      <c r="G3" s="250"/>
      <c r="H3" s="255">
        <f>GebDatum</f>
        <v>42370</v>
      </c>
      <c r="J3" s="258" t="str">
        <f>"Lengte: "&amp;Lengte&amp;" cm"</f>
        <v>Lengte: 80 cm</v>
      </c>
      <c r="K3" s="252"/>
      <c r="L3" s="250"/>
      <c r="N3" s="516"/>
      <c r="S3" s="250"/>
      <c r="T3" s="250"/>
      <c r="U3" s="250"/>
      <c r="V3" s="250"/>
      <c r="W3" s="250"/>
      <c r="X3" s="250"/>
      <c r="Y3" s="250"/>
    </row>
    <row r="4" spans="1:82" s="251" customFormat="1" ht="17.25" customHeight="1" x14ac:dyDescent="0.4">
      <c r="A4" s="259"/>
      <c r="B4" s="259"/>
      <c r="C4" s="252" t="s">
        <v>707</v>
      </c>
      <c r="D4" s="258">
        <f>PatNummer</f>
        <v>0</v>
      </c>
      <c r="E4" s="254"/>
      <c r="F4" s="252" t="s">
        <v>573</v>
      </c>
      <c r="G4" s="259"/>
      <c r="H4" s="260" t="e">
        <f ca="1">TRUNC((AfspraakDatum-GebDatum)/365,0)&amp;" jaar en "&amp;TRUNC(((AfspraakDatum-GebDatum)-365*TRUNC((AfspraakDatum-GebDatum)/365,0))/30,0)&amp;" maand(-en)"</f>
        <v>#NAME?</v>
      </c>
      <c r="I4" s="252"/>
      <c r="J4" s="252" t="str">
        <f>"Lichamelijk oppervlak: "&amp;ROUND(POWER(Gewicht/10,0.425)*POWER(((Lengte/100)*100),0.725)*0.007184,2)&amp;" m2"</f>
        <v>Lichamelijk oppervlak: 0,46 m2</v>
      </c>
      <c r="K4" s="252"/>
      <c r="L4" s="259"/>
      <c r="N4" s="259"/>
      <c r="S4" s="259"/>
      <c r="T4" s="259"/>
      <c r="U4" s="259"/>
      <c r="V4" s="259"/>
      <c r="W4" s="259"/>
      <c r="X4" s="259"/>
      <c r="Y4" s="259"/>
      <c r="Z4" s="261"/>
      <c r="AA4" s="261"/>
      <c r="AB4" s="261"/>
      <c r="AC4" s="261"/>
      <c r="AD4" s="261"/>
      <c r="AE4" s="261"/>
      <c r="AF4" s="261"/>
      <c r="AG4" s="261"/>
      <c r="AH4" s="261"/>
      <c r="AI4" s="261"/>
      <c r="AJ4" s="261"/>
      <c r="AK4" s="261"/>
      <c r="AL4" s="261"/>
      <c r="AM4" s="261"/>
      <c r="AN4" s="261"/>
      <c r="AO4" s="261"/>
      <c r="AP4" s="261"/>
      <c r="AQ4" s="261"/>
      <c r="AR4" s="261"/>
      <c r="AS4" s="261"/>
      <c r="AT4" s="261"/>
      <c r="AU4" s="261"/>
      <c r="AV4" s="261"/>
      <c r="AW4" s="261"/>
      <c r="AX4" s="261"/>
      <c r="AY4" s="261"/>
      <c r="AZ4" s="261"/>
      <c r="BA4" s="261"/>
      <c r="BB4" s="261"/>
      <c r="BC4" s="261"/>
      <c r="BD4" s="261"/>
      <c r="BE4" s="261"/>
      <c r="BF4" s="261"/>
      <c r="BG4" s="261"/>
      <c r="BH4" s="261"/>
      <c r="BI4" s="261"/>
      <c r="BJ4" s="261"/>
      <c r="BK4" s="261"/>
      <c r="BL4" s="261"/>
      <c r="BM4" s="261"/>
      <c r="BN4" s="261"/>
      <c r="BO4" s="261"/>
      <c r="BP4" s="261"/>
      <c r="BQ4" s="261"/>
      <c r="BR4" s="261"/>
      <c r="BS4" s="261"/>
      <c r="BT4" s="261"/>
      <c r="BU4" s="261"/>
      <c r="BV4" s="261"/>
      <c r="BW4" s="261"/>
      <c r="BX4" s="261"/>
      <c r="BY4" s="261"/>
      <c r="BZ4" s="261"/>
      <c r="CA4" s="261"/>
      <c r="CB4" s="261"/>
      <c r="CC4" s="261"/>
      <c r="CD4" s="261"/>
    </row>
    <row r="5" spans="1:82" s="251" customFormat="1" ht="17.25" customHeight="1" x14ac:dyDescent="0.4">
      <c r="A5" s="259"/>
      <c r="B5" s="259"/>
      <c r="C5" s="268" t="s">
        <v>1002</v>
      </c>
      <c r="D5" s="268">
        <f>BedNummer</f>
        <v>0</v>
      </c>
      <c r="E5" s="254"/>
      <c r="F5" s="252"/>
      <c r="G5" s="259"/>
      <c r="H5" s="260"/>
      <c r="I5" s="252"/>
      <c r="J5" s="252"/>
      <c r="K5" s="252"/>
      <c r="L5" s="259"/>
      <c r="N5" s="259"/>
      <c r="S5" s="259"/>
      <c r="T5" s="259"/>
      <c r="U5" s="259"/>
      <c r="V5" s="259"/>
      <c r="W5" s="259"/>
      <c r="X5" s="259"/>
      <c r="Y5" s="259"/>
      <c r="Z5" s="261"/>
      <c r="AA5" s="261"/>
      <c r="AB5" s="261"/>
      <c r="AC5" s="261"/>
      <c r="AD5" s="261"/>
      <c r="AE5" s="261"/>
      <c r="AF5" s="261"/>
      <c r="AG5" s="261"/>
      <c r="AH5" s="261"/>
      <c r="AI5" s="261"/>
      <c r="AJ5" s="261"/>
      <c r="AK5" s="261"/>
      <c r="AL5" s="261"/>
      <c r="AM5" s="261"/>
      <c r="AN5" s="261"/>
      <c r="AO5" s="261"/>
      <c r="AP5" s="261"/>
      <c r="AQ5" s="261"/>
      <c r="AR5" s="261"/>
      <c r="AS5" s="261"/>
      <c r="AT5" s="261"/>
      <c r="AU5" s="261"/>
      <c r="AV5" s="261"/>
      <c r="AW5" s="261"/>
      <c r="AX5" s="261"/>
      <c r="AY5" s="261"/>
      <c r="AZ5" s="261"/>
      <c r="BA5" s="261"/>
      <c r="BB5" s="261"/>
      <c r="BC5" s="261"/>
      <c r="BD5" s="261"/>
      <c r="BE5" s="261"/>
      <c r="BF5" s="261"/>
      <c r="BG5" s="261"/>
      <c r="BH5" s="261"/>
      <c r="BI5" s="261"/>
      <c r="BJ5" s="261"/>
      <c r="BK5" s="261"/>
      <c r="BL5" s="261"/>
      <c r="BM5" s="261"/>
      <c r="BN5" s="261"/>
      <c r="BO5" s="261"/>
      <c r="BP5" s="261"/>
      <c r="BQ5" s="261"/>
      <c r="BR5" s="261"/>
      <c r="BS5" s="261"/>
      <c r="BT5" s="261"/>
      <c r="BU5" s="261"/>
      <c r="BV5" s="261"/>
      <c r="BW5" s="261"/>
      <c r="BX5" s="261"/>
      <c r="BY5" s="261"/>
      <c r="BZ5" s="261"/>
      <c r="CA5" s="261"/>
      <c r="CB5" s="261"/>
      <c r="CC5" s="261"/>
      <c r="CD5" s="261"/>
    </row>
    <row r="6" spans="1:82" s="847" customFormat="1" ht="13.2" x14ac:dyDescent="0.4">
      <c r="A6" s="848"/>
      <c r="B6" s="532"/>
    </row>
    <row r="7" spans="1:82" s="847" customFormat="1" ht="13.2" x14ac:dyDescent="0.4">
      <c r="A7" s="848"/>
      <c r="B7" s="532"/>
    </row>
    <row r="8" spans="1:82" ht="11.25" customHeight="1" x14ac:dyDescent="0.4">
      <c r="A8" s="593"/>
      <c r="B8" s="527" t="s">
        <v>285</v>
      </c>
      <c r="C8" s="528"/>
      <c r="D8" s="529" t="s">
        <v>1339</v>
      </c>
      <c r="E8" s="528"/>
      <c r="F8" s="528"/>
      <c r="G8" s="526"/>
      <c r="H8" s="530"/>
      <c r="I8" s="526"/>
      <c r="J8" s="526"/>
      <c r="K8" s="526"/>
      <c r="L8" s="526"/>
      <c r="M8" s="526"/>
      <c r="N8" s="526"/>
    </row>
    <row r="9" spans="1:82" ht="13.2" x14ac:dyDescent="0.4">
      <c r="A9" s="526"/>
      <c r="B9" s="532"/>
    </row>
    <row r="10" spans="1:82" ht="18.75" customHeight="1" x14ac:dyDescent="0.4">
      <c r="A10" s="526"/>
      <c r="B10" s="382" t="s">
        <v>1335</v>
      </c>
      <c r="C10" s="533"/>
      <c r="D10" s="382" t="s">
        <v>1340</v>
      </c>
      <c r="E10" s="533"/>
      <c r="F10" s="382" t="s">
        <v>1341</v>
      </c>
      <c r="G10" s="533"/>
      <c r="H10" s="382" t="s">
        <v>1342</v>
      </c>
      <c r="I10" s="533"/>
      <c r="J10" s="382" t="s">
        <v>286</v>
      </c>
      <c r="K10" s="533"/>
      <c r="L10" s="382" t="s">
        <v>1343</v>
      </c>
      <c r="M10" s="533"/>
      <c r="N10" s="382"/>
      <c r="O10" s="533"/>
      <c r="P10" s="382" t="s">
        <v>2421</v>
      </c>
      <c r="Q10" s="382" t="s">
        <v>1347</v>
      </c>
      <c r="R10" s="382" t="s">
        <v>2419</v>
      </c>
      <c r="S10" s="382" t="s">
        <v>1347</v>
      </c>
      <c r="T10" s="382" t="s">
        <v>2422</v>
      </c>
      <c r="U10" s="382" t="s">
        <v>1347</v>
      </c>
    </row>
    <row r="11" spans="1:82" ht="26.3" customHeight="1" x14ac:dyDescent="0.35">
      <c r="B11" s="534"/>
      <c r="C11" s="535"/>
      <c r="D11" s="534"/>
      <c r="E11" s="534"/>
      <c r="F11" s="534"/>
      <c r="G11" s="534"/>
      <c r="H11" s="534"/>
      <c r="I11" s="534"/>
      <c r="J11" s="534"/>
      <c r="K11" s="534"/>
      <c r="L11" s="534"/>
      <c r="M11" s="534"/>
      <c r="N11" s="534"/>
      <c r="O11" s="534"/>
      <c r="P11" s="534"/>
      <c r="Q11" s="534"/>
      <c r="R11" s="534"/>
      <c r="S11" s="534"/>
      <c r="T11" s="534"/>
      <c r="U11" s="534"/>
    </row>
    <row r="12" spans="1:82" ht="26.3" customHeight="1" x14ac:dyDescent="0.35">
      <c r="B12" s="534"/>
      <c r="C12" s="535"/>
      <c r="D12" s="534"/>
      <c r="E12" s="534"/>
      <c r="F12" s="534"/>
      <c r="G12" s="534"/>
      <c r="H12" s="534"/>
      <c r="I12" s="534"/>
      <c r="J12" s="534"/>
      <c r="K12" s="534"/>
      <c r="L12" s="534"/>
      <c r="M12" s="534"/>
      <c r="N12" s="534"/>
      <c r="O12" s="534"/>
      <c r="P12" s="534"/>
      <c r="Q12" s="534"/>
      <c r="R12" s="534"/>
      <c r="S12" s="534"/>
      <c r="T12" s="534"/>
      <c r="U12" s="534"/>
    </row>
    <row r="13" spans="1:82" ht="26.3" customHeight="1" x14ac:dyDescent="0.35">
      <c r="A13" s="602"/>
      <c r="B13" s="534"/>
      <c r="C13" s="535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4"/>
      <c r="O13" s="534"/>
      <c r="P13" s="534"/>
      <c r="Q13" s="534"/>
      <c r="R13" s="534"/>
      <c r="S13" s="534"/>
      <c r="T13" s="534"/>
      <c r="U13" s="534"/>
    </row>
    <row r="14" spans="1:82" ht="26.3" customHeight="1" x14ac:dyDescent="0.35">
      <c r="B14" s="534"/>
      <c r="C14" s="535"/>
      <c r="D14" s="534"/>
      <c r="E14" s="534"/>
      <c r="F14" s="534"/>
      <c r="G14" s="534"/>
      <c r="H14" s="534"/>
      <c r="I14" s="534"/>
      <c r="J14" s="534"/>
      <c r="K14" s="534"/>
      <c r="L14" s="534"/>
      <c r="M14" s="534"/>
      <c r="N14" s="534"/>
      <c r="O14" s="534"/>
      <c r="P14" s="534"/>
      <c r="Q14" s="534"/>
      <c r="R14" s="534"/>
      <c r="S14" s="534"/>
      <c r="T14" s="534"/>
      <c r="U14" s="534"/>
    </row>
    <row r="15" spans="1:82" ht="26.3" customHeight="1" x14ac:dyDescent="0.35">
      <c r="B15" s="534"/>
      <c r="C15" s="535"/>
      <c r="D15" s="534"/>
      <c r="E15" s="534"/>
      <c r="F15" s="534"/>
      <c r="G15" s="534"/>
      <c r="H15" s="534"/>
      <c r="I15" s="534"/>
      <c r="J15" s="534"/>
      <c r="K15" s="534"/>
      <c r="L15" s="534"/>
      <c r="M15" s="534"/>
      <c r="N15" s="534"/>
      <c r="O15" s="534"/>
      <c r="P15" s="534"/>
      <c r="Q15" s="534"/>
      <c r="R15" s="534"/>
      <c r="S15" s="534"/>
      <c r="T15" s="534"/>
      <c r="U15" s="534"/>
    </row>
    <row r="16" spans="1:82" ht="26.3" customHeight="1" x14ac:dyDescent="0.35">
      <c r="B16" s="534"/>
      <c r="C16" s="535"/>
      <c r="D16" s="534"/>
      <c r="E16" s="534"/>
      <c r="F16" s="534"/>
      <c r="G16" s="534"/>
      <c r="H16" s="534"/>
      <c r="I16" s="534"/>
      <c r="J16" s="534"/>
      <c r="K16" s="534"/>
      <c r="L16" s="534"/>
      <c r="M16" s="534"/>
      <c r="N16" s="534"/>
      <c r="O16" s="534"/>
      <c r="P16" s="534"/>
      <c r="Q16" s="534"/>
      <c r="R16" s="534"/>
      <c r="S16" s="534"/>
      <c r="T16" s="534"/>
      <c r="U16" s="534"/>
    </row>
    <row r="17" spans="2:21" ht="26.3" customHeight="1" x14ac:dyDescent="0.35">
      <c r="B17" s="534"/>
      <c r="C17" s="535"/>
      <c r="D17" s="534"/>
      <c r="E17" s="534"/>
      <c r="F17" s="534"/>
      <c r="G17" s="534"/>
      <c r="H17" s="534"/>
      <c r="I17" s="534"/>
      <c r="J17" s="534"/>
      <c r="K17" s="534"/>
      <c r="L17" s="534"/>
      <c r="M17" s="534"/>
      <c r="N17" s="534"/>
      <c r="O17" s="534"/>
      <c r="P17" s="534"/>
      <c r="Q17" s="534"/>
      <c r="R17" s="534"/>
      <c r="S17" s="534"/>
      <c r="T17" s="534"/>
      <c r="U17" s="534"/>
    </row>
    <row r="18" spans="2:21" ht="26.3" customHeight="1" x14ac:dyDescent="0.35">
      <c r="B18" s="534"/>
      <c r="C18" s="535"/>
      <c r="D18" s="534"/>
      <c r="E18" s="534"/>
      <c r="F18" s="534"/>
      <c r="G18" s="534"/>
      <c r="H18" s="534"/>
      <c r="I18" s="534"/>
      <c r="J18" s="534"/>
      <c r="K18" s="534"/>
      <c r="L18" s="534"/>
      <c r="M18" s="534"/>
      <c r="N18" s="534"/>
      <c r="O18" s="534"/>
      <c r="P18" s="534"/>
      <c r="Q18" s="534"/>
      <c r="R18" s="534"/>
      <c r="S18" s="534"/>
      <c r="T18" s="534"/>
      <c r="U18" s="534"/>
    </row>
    <row r="19" spans="2:21" ht="26.3" customHeight="1" x14ac:dyDescent="0.35">
      <c r="B19" s="534"/>
      <c r="C19" s="535"/>
      <c r="D19" s="534"/>
      <c r="E19" s="534"/>
      <c r="F19" s="534"/>
      <c r="G19" s="534"/>
      <c r="H19" s="534"/>
      <c r="I19" s="534"/>
      <c r="J19" s="534"/>
      <c r="K19" s="534"/>
      <c r="L19" s="534"/>
      <c r="M19" s="534"/>
      <c r="N19" s="534"/>
      <c r="O19" s="534"/>
      <c r="P19" s="534"/>
      <c r="Q19" s="534"/>
      <c r="R19" s="534"/>
      <c r="S19" s="534"/>
      <c r="T19" s="534"/>
      <c r="U19" s="534"/>
    </row>
    <row r="20" spans="2:21" ht="26.3" customHeight="1" x14ac:dyDescent="0.35">
      <c r="B20" s="534"/>
      <c r="C20" s="535"/>
      <c r="D20" s="534"/>
      <c r="E20" s="534"/>
      <c r="F20" s="534"/>
      <c r="G20" s="534"/>
      <c r="H20" s="534"/>
      <c r="I20" s="534"/>
      <c r="J20" s="534"/>
      <c r="K20" s="534"/>
      <c r="L20" s="534"/>
      <c r="M20" s="534"/>
      <c r="N20" s="534"/>
      <c r="O20" s="534"/>
      <c r="P20" s="534"/>
      <c r="Q20" s="534"/>
      <c r="R20" s="534"/>
      <c r="S20" s="534"/>
      <c r="T20" s="534"/>
      <c r="U20" s="534"/>
    </row>
    <row r="21" spans="2:21" ht="26.3" customHeight="1" x14ac:dyDescent="0.35">
      <c r="B21" s="534"/>
      <c r="C21" s="535"/>
      <c r="D21" s="534"/>
      <c r="E21" s="534"/>
      <c r="F21" s="534"/>
      <c r="G21" s="534"/>
      <c r="H21" s="534"/>
      <c r="I21" s="534"/>
      <c r="J21" s="534"/>
      <c r="K21" s="534"/>
      <c r="L21" s="534"/>
      <c r="M21" s="534"/>
      <c r="N21" s="534"/>
      <c r="O21" s="534"/>
      <c r="P21" s="534"/>
      <c r="Q21" s="534"/>
      <c r="R21" s="534"/>
      <c r="S21" s="534"/>
      <c r="T21" s="534"/>
      <c r="U21" s="534"/>
    </row>
    <row r="22" spans="2:21" ht="26.3" customHeight="1" x14ac:dyDescent="0.35">
      <c r="B22" s="534"/>
      <c r="C22" s="535"/>
      <c r="D22" s="534"/>
      <c r="E22" s="534"/>
      <c r="F22" s="534"/>
      <c r="G22" s="534"/>
      <c r="H22" s="534"/>
      <c r="I22" s="534"/>
      <c r="J22" s="534"/>
      <c r="K22" s="534"/>
      <c r="L22" s="534"/>
      <c r="M22" s="534"/>
      <c r="N22" s="534"/>
      <c r="O22" s="534"/>
      <c r="P22" s="534"/>
      <c r="Q22" s="534"/>
      <c r="R22" s="534"/>
      <c r="S22" s="534"/>
      <c r="T22" s="534"/>
      <c r="U22" s="534"/>
    </row>
    <row r="23" spans="2:21" ht="26.3" customHeight="1" x14ac:dyDescent="0.35">
      <c r="B23" s="534"/>
      <c r="C23" s="535"/>
      <c r="D23" s="534"/>
      <c r="E23" s="534"/>
      <c r="F23" s="534"/>
      <c r="G23" s="534"/>
      <c r="H23" s="534"/>
      <c r="I23" s="534"/>
      <c r="J23" s="534"/>
      <c r="K23" s="534"/>
      <c r="L23" s="534"/>
      <c r="M23" s="534"/>
      <c r="N23" s="534"/>
      <c r="O23" s="534"/>
      <c r="P23" s="534"/>
      <c r="Q23" s="534"/>
      <c r="R23" s="534"/>
      <c r="S23" s="534"/>
      <c r="T23" s="534"/>
      <c r="U23" s="534"/>
    </row>
    <row r="24" spans="2:21" ht="26.3" customHeight="1" x14ac:dyDescent="0.35">
      <c r="B24" s="534"/>
      <c r="C24" s="535"/>
      <c r="D24" s="534"/>
      <c r="E24" s="534"/>
      <c r="F24" s="534"/>
      <c r="G24" s="534"/>
      <c r="H24" s="534"/>
      <c r="I24" s="534"/>
      <c r="J24" s="534"/>
      <c r="K24" s="534"/>
      <c r="L24" s="534"/>
      <c r="M24" s="534"/>
      <c r="N24" s="534"/>
      <c r="O24" s="534"/>
      <c r="P24" s="534"/>
      <c r="Q24" s="534"/>
      <c r="R24" s="534"/>
      <c r="S24" s="534"/>
      <c r="T24" s="534"/>
      <c r="U24" s="534"/>
    </row>
    <row r="25" spans="2:21" ht="26.3" customHeight="1" x14ac:dyDescent="0.35">
      <c r="B25" s="534"/>
      <c r="C25" s="535"/>
      <c r="D25" s="534"/>
      <c r="E25" s="534"/>
      <c r="F25" s="534"/>
      <c r="G25" s="534"/>
      <c r="H25" s="534"/>
      <c r="I25" s="534"/>
      <c r="J25" s="534"/>
      <c r="K25" s="534"/>
      <c r="L25" s="534"/>
      <c r="M25" s="534"/>
      <c r="N25" s="534"/>
      <c r="O25" s="534"/>
      <c r="P25" s="534"/>
      <c r="Q25" s="534"/>
      <c r="R25" s="534"/>
      <c r="S25" s="534"/>
      <c r="T25" s="534"/>
      <c r="U25" s="534"/>
    </row>
    <row r="26" spans="2:21" ht="26.3" customHeight="1" x14ac:dyDescent="0.35">
      <c r="B26" s="534"/>
      <c r="C26" s="535"/>
      <c r="D26" s="534"/>
      <c r="E26" s="534"/>
      <c r="F26" s="534"/>
      <c r="G26" s="534"/>
      <c r="H26" s="534"/>
      <c r="I26" s="534"/>
      <c r="J26" s="534"/>
      <c r="K26" s="534"/>
      <c r="L26" s="534"/>
      <c r="M26" s="534"/>
      <c r="N26" s="534"/>
      <c r="O26" s="534"/>
      <c r="P26" s="534"/>
      <c r="Q26" s="534"/>
      <c r="R26" s="534"/>
      <c r="S26" s="534"/>
      <c r="T26" s="534"/>
      <c r="U26" s="534"/>
    </row>
    <row r="27" spans="2:21" ht="26.3" customHeight="1" x14ac:dyDescent="0.35">
      <c r="B27" s="534"/>
      <c r="C27" s="535"/>
      <c r="D27" s="534"/>
      <c r="E27" s="534"/>
      <c r="F27" s="534"/>
      <c r="G27" s="534"/>
      <c r="H27" s="534"/>
      <c r="I27" s="534"/>
      <c r="J27" s="534"/>
      <c r="K27" s="534"/>
      <c r="L27" s="534"/>
      <c r="M27" s="534"/>
      <c r="N27" s="534"/>
      <c r="O27" s="534"/>
      <c r="P27" s="534"/>
      <c r="Q27" s="534"/>
      <c r="R27" s="534"/>
      <c r="S27" s="534"/>
      <c r="T27" s="534"/>
      <c r="U27" s="534"/>
    </row>
    <row r="28" spans="2:21" ht="26.3" customHeight="1" x14ac:dyDescent="0.35">
      <c r="B28" s="534"/>
      <c r="C28" s="535"/>
      <c r="D28" s="534"/>
      <c r="E28" s="534"/>
      <c r="F28" s="534"/>
      <c r="G28" s="534"/>
      <c r="H28" s="534"/>
      <c r="I28" s="534"/>
      <c r="J28" s="534"/>
      <c r="K28" s="534"/>
      <c r="L28" s="534"/>
      <c r="M28" s="534"/>
      <c r="N28" s="534"/>
      <c r="O28" s="534"/>
      <c r="P28" s="534"/>
      <c r="Q28" s="534"/>
      <c r="R28" s="534"/>
      <c r="S28" s="534"/>
      <c r="T28" s="534"/>
      <c r="U28" s="534"/>
    </row>
    <row r="29" spans="2:21" ht="26.3" customHeight="1" x14ac:dyDescent="0.35">
      <c r="B29" s="534"/>
      <c r="C29" s="535"/>
      <c r="D29" s="534"/>
      <c r="E29" s="534"/>
      <c r="F29" s="534"/>
      <c r="G29" s="534"/>
      <c r="H29" s="534"/>
      <c r="I29" s="534"/>
      <c r="J29" s="534"/>
      <c r="K29" s="534"/>
      <c r="L29" s="534"/>
      <c r="M29" s="534"/>
      <c r="N29" s="534"/>
      <c r="O29" s="534"/>
      <c r="P29" s="534"/>
      <c r="Q29" s="534"/>
      <c r="R29" s="534"/>
      <c r="S29" s="534"/>
      <c r="T29" s="534"/>
      <c r="U29" s="534"/>
    </row>
    <row r="30" spans="2:21" ht="26.3" customHeight="1" x14ac:dyDescent="0.35">
      <c r="B30" s="534"/>
      <c r="C30" s="535"/>
      <c r="D30" s="534"/>
      <c r="E30" s="534"/>
      <c r="F30" s="534"/>
      <c r="G30" s="534"/>
      <c r="H30" s="534"/>
      <c r="I30" s="534"/>
      <c r="J30" s="534"/>
      <c r="K30" s="534"/>
      <c r="L30" s="534"/>
      <c r="M30" s="534"/>
      <c r="N30" s="534"/>
      <c r="O30" s="534"/>
      <c r="P30" s="534"/>
      <c r="Q30" s="534"/>
      <c r="R30" s="534"/>
      <c r="S30" s="534"/>
      <c r="T30" s="534"/>
      <c r="U30" s="534"/>
    </row>
    <row r="31" spans="2:21" ht="26.3" customHeight="1" x14ac:dyDescent="0.35">
      <c r="B31" s="534"/>
      <c r="C31" s="535"/>
      <c r="D31" s="534"/>
      <c r="E31" s="534"/>
      <c r="F31" s="534"/>
      <c r="G31" s="534"/>
      <c r="H31" s="534"/>
      <c r="I31" s="534"/>
      <c r="J31" s="534"/>
      <c r="K31" s="534"/>
      <c r="L31" s="534"/>
      <c r="M31" s="534"/>
      <c r="N31" s="534"/>
      <c r="O31" s="534"/>
      <c r="P31" s="534"/>
      <c r="Q31" s="534"/>
      <c r="R31" s="534"/>
      <c r="S31" s="534"/>
      <c r="T31" s="534"/>
      <c r="U31" s="534"/>
    </row>
    <row r="32" spans="2:21" ht="26.3" customHeight="1" x14ac:dyDescent="0.35">
      <c r="B32" s="534"/>
      <c r="C32" s="535"/>
      <c r="D32" s="534"/>
      <c r="E32" s="534"/>
      <c r="F32" s="534"/>
      <c r="G32" s="534"/>
      <c r="H32" s="534"/>
      <c r="I32" s="534"/>
      <c r="J32" s="534"/>
      <c r="K32" s="534"/>
      <c r="L32" s="534"/>
      <c r="M32" s="534"/>
      <c r="N32" s="534"/>
      <c r="O32" s="534"/>
      <c r="P32" s="534"/>
      <c r="Q32" s="534"/>
      <c r="R32" s="534"/>
      <c r="S32" s="534"/>
      <c r="T32" s="534"/>
      <c r="U32" s="534"/>
    </row>
    <row r="33" spans="2:21" ht="26.3" customHeight="1" x14ac:dyDescent="0.35">
      <c r="B33" s="534"/>
      <c r="C33" s="535"/>
      <c r="D33" s="534"/>
      <c r="E33" s="534"/>
      <c r="F33" s="534"/>
      <c r="G33" s="534"/>
      <c r="H33" s="534"/>
      <c r="I33" s="534"/>
      <c r="J33" s="534"/>
      <c r="K33" s="534"/>
      <c r="L33" s="534"/>
      <c r="M33" s="534"/>
      <c r="N33" s="534"/>
      <c r="O33" s="534"/>
      <c r="P33" s="534"/>
      <c r="Q33" s="534"/>
      <c r="R33" s="534"/>
      <c r="S33" s="534"/>
      <c r="T33" s="534"/>
      <c r="U33" s="534"/>
    </row>
    <row r="34" spans="2:21" ht="26.3" customHeight="1" x14ac:dyDescent="0.35">
      <c r="B34" s="534"/>
      <c r="C34" s="535"/>
      <c r="D34" s="534"/>
      <c r="E34" s="534"/>
      <c r="F34" s="534"/>
      <c r="G34" s="534"/>
      <c r="H34" s="534"/>
      <c r="I34" s="534"/>
      <c r="J34" s="534"/>
      <c r="K34" s="534"/>
      <c r="L34" s="534"/>
      <c r="M34" s="534"/>
      <c r="N34" s="534"/>
      <c r="O34" s="534"/>
      <c r="P34" s="534"/>
      <c r="Q34" s="534"/>
      <c r="R34" s="534"/>
      <c r="S34" s="534"/>
      <c r="T34" s="534"/>
      <c r="U34" s="534"/>
    </row>
    <row r="35" spans="2:21" ht="26.3" customHeight="1" x14ac:dyDescent="0.35">
      <c r="B35" s="534"/>
      <c r="C35" s="535"/>
      <c r="D35" s="534"/>
      <c r="E35" s="534"/>
      <c r="F35" s="534"/>
      <c r="G35" s="534"/>
      <c r="H35" s="534"/>
      <c r="I35" s="534"/>
      <c r="J35" s="534"/>
      <c r="K35" s="534"/>
      <c r="L35" s="534"/>
      <c r="M35" s="534"/>
      <c r="N35" s="534"/>
      <c r="O35" s="534"/>
      <c r="P35" s="534"/>
      <c r="Q35" s="534"/>
      <c r="R35" s="534"/>
      <c r="S35" s="534"/>
      <c r="T35" s="534"/>
      <c r="U35" s="534"/>
    </row>
    <row r="36" spans="2:21" ht="26.3" customHeight="1" x14ac:dyDescent="0.35">
      <c r="B36" s="534"/>
      <c r="C36" s="535"/>
      <c r="D36" s="534"/>
      <c r="E36" s="534"/>
      <c r="F36" s="534"/>
      <c r="G36" s="534"/>
      <c r="H36" s="534"/>
      <c r="I36" s="534"/>
      <c r="J36" s="534"/>
      <c r="K36" s="534"/>
      <c r="L36" s="534"/>
      <c r="M36" s="534"/>
      <c r="N36" s="534"/>
      <c r="O36" s="534"/>
      <c r="P36" s="534"/>
      <c r="Q36" s="534"/>
      <c r="R36" s="534"/>
      <c r="S36" s="534"/>
      <c r="T36" s="534"/>
      <c r="U36" s="534"/>
    </row>
    <row r="37" spans="2:21" ht="26.3" customHeight="1" x14ac:dyDescent="0.35">
      <c r="B37" s="534"/>
      <c r="C37" s="535"/>
      <c r="D37" s="534"/>
      <c r="E37" s="534"/>
      <c r="F37" s="534"/>
      <c r="G37" s="534"/>
      <c r="H37" s="534"/>
      <c r="I37" s="534"/>
      <c r="J37" s="534"/>
      <c r="K37" s="534"/>
      <c r="L37" s="534"/>
      <c r="M37" s="534"/>
      <c r="N37" s="534"/>
      <c r="O37" s="534"/>
      <c r="P37" s="534"/>
      <c r="Q37" s="534"/>
      <c r="R37" s="534"/>
      <c r="S37" s="534"/>
      <c r="T37" s="534"/>
      <c r="U37" s="534"/>
    </row>
    <row r="38" spans="2:21" ht="26.3" customHeight="1" x14ac:dyDescent="0.35">
      <c r="B38" s="534"/>
      <c r="C38" s="535"/>
      <c r="D38" s="534"/>
      <c r="E38" s="534"/>
      <c r="F38" s="534"/>
      <c r="G38" s="534"/>
      <c r="H38" s="534"/>
      <c r="I38" s="534"/>
      <c r="J38" s="534"/>
      <c r="K38" s="534"/>
      <c r="L38" s="534"/>
      <c r="M38" s="534"/>
      <c r="N38" s="534"/>
      <c r="O38" s="534"/>
      <c r="P38" s="534"/>
      <c r="Q38" s="534"/>
      <c r="R38" s="534"/>
      <c r="S38" s="534"/>
      <c r="T38" s="534"/>
      <c r="U38" s="534"/>
    </row>
    <row r="39" spans="2:21" ht="26.3" customHeight="1" x14ac:dyDescent="0.35">
      <c r="B39" s="534"/>
      <c r="C39" s="535"/>
      <c r="D39" s="534"/>
      <c r="E39" s="534"/>
      <c r="F39" s="534"/>
      <c r="G39" s="534"/>
      <c r="H39" s="534"/>
      <c r="I39" s="534"/>
      <c r="J39" s="534"/>
      <c r="K39" s="534"/>
      <c r="L39" s="534"/>
      <c r="M39" s="534"/>
      <c r="N39" s="534"/>
      <c r="O39" s="534"/>
      <c r="P39" s="534"/>
      <c r="Q39" s="534"/>
      <c r="R39" s="534"/>
      <c r="S39" s="534"/>
      <c r="T39" s="534"/>
      <c r="U39" s="534"/>
    </row>
    <row r="40" spans="2:21" ht="26.3" customHeight="1" x14ac:dyDescent="0.35">
      <c r="B40" s="534"/>
      <c r="C40" s="535"/>
      <c r="D40" s="534"/>
      <c r="E40" s="534"/>
      <c r="F40" s="534"/>
      <c r="G40" s="534"/>
      <c r="H40" s="534"/>
      <c r="I40" s="534"/>
      <c r="J40" s="534"/>
      <c r="K40" s="534"/>
      <c r="L40" s="534"/>
      <c r="M40" s="534"/>
      <c r="N40" s="534"/>
      <c r="O40" s="534"/>
      <c r="P40" s="534"/>
      <c r="Q40" s="534"/>
      <c r="R40" s="534"/>
      <c r="S40" s="534"/>
      <c r="T40" s="534"/>
      <c r="U40" s="534"/>
    </row>
    <row r="41" spans="2:21" ht="26.3" customHeight="1" x14ac:dyDescent="0.35">
      <c r="B41" s="534"/>
      <c r="C41" s="535"/>
      <c r="D41" s="534"/>
      <c r="E41" s="534"/>
      <c r="F41" s="534"/>
      <c r="G41" s="534"/>
      <c r="H41" s="534"/>
      <c r="I41" s="534"/>
      <c r="J41" s="534"/>
      <c r="K41" s="534"/>
      <c r="L41" s="534"/>
      <c r="M41" s="534"/>
      <c r="N41" s="534"/>
      <c r="O41" s="534"/>
      <c r="P41" s="534"/>
      <c r="Q41" s="534"/>
      <c r="R41" s="534"/>
      <c r="S41" s="534"/>
      <c r="T41" s="534"/>
      <c r="U41" s="534"/>
    </row>
    <row r="42" spans="2:21" ht="26.3" customHeight="1" x14ac:dyDescent="0.35">
      <c r="B42" s="534"/>
      <c r="C42" s="535"/>
      <c r="D42" s="534"/>
      <c r="E42" s="534"/>
      <c r="F42" s="534"/>
      <c r="G42" s="534"/>
      <c r="H42" s="534"/>
      <c r="I42" s="534"/>
      <c r="J42" s="534"/>
      <c r="K42" s="534"/>
      <c r="L42" s="534"/>
      <c r="M42" s="534"/>
      <c r="N42" s="534"/>
      <c r="O42" s="534"/>
      <c r="P42" s="534"/>
      <c r="Q42" s="534"/>
      <c r="R42" s="534"/>
      <c r="S42" s="534"/>
      <c r="T42" s="534"/>
      <c r="U42" s="534"/>
    </row>
    <row r="43" spans="2:21" x14ac:dyDescent="0.35">
      <c r="B43" s="536" t="s">
        <v>596</v>
      </c>
      <c r="C43" s="531" t="str">
        <f>IF(LabNeoOpmerkingen=0,"",LabNeoOpmerkingen)</f>
        <v/>
      </c>
    </row>
  </sheetData>
  <sheetProtection algorithmName="SHA-512" hashValue="PxoXZHTX0iGuoUon7jYgjUQam8RzgKSmdJxJ/8NpqXKePHAkqWc96EN9XYCwMFaTmvXgCK3/SJWGZwDpggme5g==" saltValue="Eirjcfagrv+gRceoiWMKuw==" spinCount="100000" sheet="1" objects="1" scenarios="1" selectLockedCells="1" selectUnlockedCells="1"/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Check Box 1">
              <controlPr defaultSize="0" autoFill="0" autoLine="0" autoPict="0">
                <anchor moveWithCells="1">
                  <from>
                    <xdr:col>1</xdr:col>
                    <xdr:colOff>47874</xdr:colOff>
                    <xdr:row>10</xdr:row>
                    <xdr:rowOff>0</xdr:rowOff>
                  </from>
                  <to>
                    <xdr:col>2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5" name="Check Box 2">
              <controlPr defaultSize="0" autoFill="0" autoLine="0" autoPict="0">
                <anchor moveWithCells="1">
                  <from>
                    <xdr:col>1</xdr:col>
                    <xdr:colOff>47874</xdr:colOff>
                    <xdr:row>11</xdr:row>
                    <xdr:rowOff>0</xdr:rowOff>
                  </from>
                  <to>
                    <xdr:col>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3" r:id="rId6" name="Check Box 3">
              <controlPr defaultSize="0" autoFill="0" autoLine="0" autoPict="0">
                <anchor moveWithCells="1">
                  <from>
                    <xdr:col>1</xdr:col>
                    <xdr:colOff>47874</xdr:colOff>
                    <xdr:row>13</xdr:row>
                    <xdr:rowOff>0</xdr:rowOff>
                  </from>
                  <to>
                    <xdr:col>2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4" r:id="rId7" name="Check Box 4">
              <controlPr defaultSize="0" autoFill="0" autoLine="0" autoPict="0">
                <anchor moveWithCells="1">
                  <from>
                    <xdr:col>1</xdr:col>
                    <xdr:colOff>47874</xdr:colOff>
                    <xdr:row>14</xdr:row>
                    <xdr:rowOff>0</xdr:rowOff>
                  </from>
                  <to>
                    <xdr:col>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5" r:id="rId8" name="Check Box 5">
              <controlPr defaultSize="0" autoFill="0" autoLine="0" autoPict="0">
                <anchor moveWithCells="1">
                  <from>
                    <xdr:col>1</xdr:col>
                    <xdr:colOff>38299</xdr:colOff>
                    <xdr:row>20</xdr:row>
                    <xdr:rowOff>0</xdr:rowOff>
                  </from>
                  <to>
                    <xdr:col>2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6" r:id="rId9" name="Check Box 6">
              <controlPr defaultSize="0" autoFill="0" autoLine="0" autoPict="0">
                <anchor moveWithCells="1">
                  <from>
                    <xdr:col>1</xdr:col>
                    <xdr:colOff>47874</xdr:colOff>
                    <xdr:row>19</xdr:row>
                    <xdr:rowOff>0</xdr:rowOff>
                  </from>
                  <to>
                    <xdr:col>2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7" r:id="rId10" name="Check Box 7">
              <controlPr defaultSize="0" autoFill="0" autoLine="0" autoPict="0">
                <anchor moveWithCells="1">
                  <from>
                    <xdr:col>1</xdr:col>
                    <xdr:colOff>47874</xdr:colOff>
                    <xdr:row>36</xdr:row>
                    <xdr:rowOff>0</xdr:rowOff>
                  </from>
                  <to>
                    <xdr:col>2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8" r:id="rId11" name="Check Box 8">
              <controlPr defaultSize="0" autoFill="0" autoLine="0" autoPict="0">
                <anchor moveWithCells="1">
                  <from>
                    <xdr:col>1</xdr:col>
                    <xdr:colOff>47874</xdr:colOff>
                    <xdr:row>22</xdr:row>
                    <xdr:rowOff>0</xdr:rowOff>
                  </from>
                  <to>
                    <xdr:col>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9" r:id="rId12" name="Check Box 9">
              <controlPr defaultSize="0" autoFill="0" autoLine="0" autoPict="0">
                <anchor moveWithCells="1">
                  <from>
                    <xdr:col>1</xdr:col>
                    <xdr:colOff>47874</xdr:colOff>
                    <xdr:row>25</xdr:row>
                    <xdr:rowOff>0</xdr:rowOff>
                  </from>
                  <to>
                    <xdr:col>2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0" r:id="rId13" name="Check Box 10">
              <controlPr defaultSize="0" autoFill="0" autoLine="0" autoPict="0">
                <anchor moveWithCells="1">
                  <from>
                    <xdr:col>1</xdr:col>
                    <xdr:colOff>47874</xdr:colOff>
                    <xdr:row>26</xdr:row>
                    <xdr:rowOff>0</xdr:rowOff>
                  </from>
                  <to>
                    <xdr:col>2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1" r:id="rId14" name="Check Box 11">
              <controlPr defaultSize="0" autoFill="0" autoLine="0" autoPict="0">
                <anchor moveWithCells="1">
                  <from>
                    <xdr:col>1</xdr:col>
                    <xdr:colOff>47874</xdr:colOff>
                    <xdr:row>27</xdr:row>
                    <xdr:rowOff>0</xdr:rowOff>
                  </from>
                  <to>
                    <xdr:col>2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2" r:id="rId15" name="Check Box 12">
              <controlPr defaultSize="0" autoFill="0" autoLine="0" autoPict="0">
                <anchor moveWithCells="1">
                  <from>
                    <xdr:col>1</xdr:col>
                    <xdr:colOff>38299</xdr:colOff>
                    <xdr:row>18</xdr:row>
                    <xdr:rowOff>0</xdr:rowOff>
                  </from>
                  <to>
                    <xdr:col>2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3" r:id="rId16" name="Check Box 13">
              <controlPr defaultSize="0" autoFill="0" autoLine="0" autoPict="0">
                <anchor moveWithCells="1">
                  <from>
                    <xdr:col>1</xdr:col>
                    <xdr:colOff>47874</xdr:colOff>
                    <xdr:row>34</xdr:row>
                    <xdr:rowOff>19150</xdr:rowOff>
                  </from>
                  <to>
                    <xdr:col>2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4" r:id="rId17" name="Check Box 14">
              <controlPr defaultSize="0" autoFill="0" autoLine="0" autoPict="0">
                <anchor moveWithCells="1">
                  <from>
                    <xdr:col>5</xdr:col>
                    <xdr:colOff>47874</xdr:colOff>
                    <xdr:row>10</xdr:row>
                    <xdr:rowOff>0</xdr:rowOff>
                  </from>
                  <to>
                    <xdr:col>6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5" r:id="rId18" name="Check Box 15">
              <controlPr defaultSize="0" autoFill="0" autoLine="0" autoPict="0">
                <anchor moveWithCells="1">
                  <from>
                    <xdr:col>5</xdr:col>
                    <xdr:colOff>47874</xdr:colOff>
                    <xdr:row>11</xdr:row>
                    <xdr:rowOff>0</xdr:rowOff>
                  </from>
                  <to>
                    <xdr:col>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6" r:id="rId19" name="Check Box 16">
              <controlPr defaultSize="0" autoFill="0" autoLine="0" autoPict="0">
                <anchor moveWithCells="1">
                  <from>
                    <xdr:col>5</xdr:col>
                    <xdr:colOff>47874</xdr:colOff>
                    <xdr:row>13</xdr:row>
                    <xdr:rowOff>0</xdr:rowOff>
                  </from>
                  <to>
                    <xdr:col>6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7" r:id="rId20" name="Check Box 17">
              <controlPr defaultSize="0" autoFill="0" autoLine="0" autoPict="0">
                <anchor moveWithCells="1">
                  <from>
                    <xdr:col>5</xdr:col>
                    <xdr:colOff>47874</xdr:colOff>
                    <xdr:row>14</xdr:row>
                    <xdr:rowOff>0</xdr:rowOff>
                  </from>
                  <to>
                    <xdr:col>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8" r:id="rId21" name="Check Box 18">
              <controlPr defaultSize="0" autoFill="0" autoLine="0" autoPict="0">
                <anchor moveWithCells="1">
                  <from>
                    <xdr:col>5</xdr:col>
                    <xdr:colOff>38299</xdr:colOff>
                    <xdr:row>20</xdr:row>
                    <xdr:rowOff>0</xdr:rowOff>
                  </from>
                  <to>
                    <xdr:col>6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9" r:id="rId22" name="Check Box 19">
              <controlPr defaultSize="0" autoFill="0" autoLine="0" autoPict="0">
                <anchor moveWithCells="1">
                  <from>
                    <xdr:col>5</xdr:col>
                    <xdr:colOff>47874</xdr:colOff>
                    <xdr:row>19</xdr:row>
                    <xdr:rowOff>0</xdr:rowOff>
                  </from>
                  <to>
                    <xdr:col>6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0" r:id="rId23" name="Check Box 20">
              <controlPr defaultSize="0" autoFill="0" autoLine="0" autoPict="0">
                <anchor moveWithCells="1">
                  <from>
                    <xdr:col>5</xdr:col>
                    <xdr:colOff>47874</xdr:colOff>
                    <xdr:row>36</xdr:row>
                    <xdr:rowOff>0</xdr:rowOff>
                  </from>
                  <to>
                    <xdr:col>6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1" r:id="rId24" name="Check Box 21">
              <controlPr defaultSize="0" autoFill="0" autoLine="0" autoPict="0">
                <anchor moveWithCells="1">
                  <from>
                    <xdr:col>5</xdr:col>
                    <xdr:colOff>47874</xdr:colOff>
                    <xdr:row>22</xdr:row>
                    <xdr:rowOff>0</xdr:rowOff>
                  </from>
                  <to>
                    <xdr:col>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2" r:id="rId25" name="Check Box 22">
              <controlPr defaultSize="0" autoFill="0" autoLine="0" autoPict="0">
                <anchor moveWithCells="1">
                  <from>
                    <xdr:col>5</xdr:col>
                    <xdr:colOff>47874</xdr:colOff>
                    <xdr:row>25</xdr:row>
                    <xdr:rowOff>0</xdr:rowOff>
                  </from>
                  <to>
                    <xdr:col>6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3" r:id="rId26" name="Check Box 23">
              <controlPr defaultSize="0" autoFill="0" autoLine="0" autoPict="0">
                <anchor moveWithCells="1">
                  <from>
                    <xdr:col>5</xdr:col>
                    <xdr:colOff>47874</xdr:colOff>
                    <xdr:row>26</xdr:row>
                    <xdr:rowOff>0</xdr:rowOff>
                  </from>
                  <to>
                    <xdr:col>6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4" r:id="rId27" name="Check Box 24">
              <controlPr defaultSize="0" autoFill="0" autoLine="0" autoPict="0">
                <anchor moveWithCells="1">
                  <from>
                    <xdr:col>5</xdr:col>
                    <xdr:colOff>47874</xdr:colOff>
                    <xdr:row>27</xdr:row>
                    <xdr:rowOff>0</xdr:rowOff>
                  </from>
                  <to>
                    <xdr:col>6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5" r:id="rId28" name="Check Box 25">
              <controlPr defaultSize="0" autoFill="0" autoLine="0" autoPict="0">
                <anchor moveWithCells="1">
                  <from>
                    <xdr:col>5</xdr:col>
                    <xdr:colOff>38299</xdr:colOff>
                    <xdr:row>18</xdr:row>
                    <xdr:rowOff>0</xdr:rowOff>
                  </from>
                  <to>
                    <xdr:col>6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6" r:id="rId29" name="Check Box 26">
              <controlPr defaultSize="0" autoFill="0" autoLine="0" autoPict="0">
                <anchor moveWithCells="1">
                  <from>
                    <xdr:col>5</xdr:col>
                    <xdr:colOff>47874</xdr:colOff>
                    <xdr:row>34</xdr:row>
                    <xdr:rowOff>19150</xdr:rowOff>
                  </from>
                  <to>
                    <xdr:col>6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7" r:id="rId30" name="Check Box 27">
              <controlPr defaultSize="0" autoFill="0" autoLine="0" autoPict="0">
                <anchor moveWithCells="1">
                  <from>
                    <xdr:col>7</xdr:col>
                    <xdr:colOff>47874</xdr:colOff>
                    <xdr:row>10</xdr:row>
                    <xdr:rowOff>0</xdr:rowOff>
                  </from>
                  <to>
                    <xdr:col>8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8" r:id="rId31" name="Check Box 28">
              <controlPr defaultSize="0" autoFill="0" autoLine="0" autoPict="0">
                <anchor moveWithCells="1">
                  <from>
                    <xdr:col>7</xdr:col>
                    <xdr:colOff>47874</xdr:colOff>
                    <xdr:row>11</xdr:row>
                    <xdr:rowOff>0</xdr:rowOff>
                  </from>
                  <to>
                    <xdr:col>8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9" r:id="rId32" name="Check Box 29">
              <controlPr defaultSize="0" autoFill="0" autoLine="0" autoPict="0">
                <anchor moveWithCells="1">
                  <from>
                    <xdr:col>7</xdr:col>
                    <xdr:colOff>47874</xdr:colOff>
                    <xdr:row>13</xdr:row>
                    <xdr:rowOff>0</xdr:rowOff>
                  </from>
                  <to>
                    <xdr:col>8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0" r:id="rId33" name="Check Box 30">
              <controlPr defaultSize="0" autoFill="0" autoLine="0" autoPict="0">
                <anchor moveWithCells="1">
                  <from>
                    <xdr:col>7</xdr:col>
                    <xdr:colOff>47874</xdr:colOff>
                    <xdr:row>14</xdr:row>
                    <xdr:rowOff>0</xdr:rowOff>
                  </from>
                  <to>
                    <xdr:col>8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1" r:id="rId34" name="Check Box 31">
              <controlPr defaultSize="0" autoFill="0" autoLine="0" autoPict="0">
                <anchor moveWithCells="1">
                  <from>
                    <xdr:col>7</xdr:col>
                    <xdr:colOff>38299</xdr:colOff>
                    <xdr:row>20</xdr:row>
                    <xdr:rowOff>0</xdr:rowOff>
                  </from>
                  <to>
                    <xdr:col>8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2" r:id="rId35" name="Check Box 32">
              <controlPr defaultSize="0" autoFill="0" autoLine="0" autoPict="0">
                <anchor moveWithCells="1">
                  <from>
                    <xdr:col>7</xdr:col>
                    <xdr:colOff>47874</xdr:colOff>
                    <xdr:row>19</xdr:row>
                    <xdr:rowOff>0</xdr:rowOff>
                  </from>
                  <to>
                    <xdr:col>8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3" r:id="rId36" name="Check Box 33">
              <controlPr defaultSize="0" autoFill="0" autoLine="0" autoPict="0">
                <anchor moveWithCells="1">
                  <from>
                    <xdr:col>7</xdr:col>
                    <xdr:colOff>47874</xdr:colOff>
                    <xdr:row>36</xdr:row>
                    <xdr:rowOff>0</xdr:rowOff>
                  </from>
                  <to>
                    <xdr:col>8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4" r:id="rId37" name="Check Box 34">
              <controlPr defaultSize="0" autoFill="0" autoLine="0" autoPict="0">
                <anchor moveWithCells="1">
                  <from>
                    <xdr:col>7</xdr:col>
                    <xdr:colOff>47874</xdr:colOff>
                    <xdr:row>22</xdr:row>
                    <xdr:rowOff>0</xdr:rowOff>
                  </from>
                  <to>
                    <xdr:col>8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5" r:id="rId38" name="Check Box 35">
              <controlPr defaultSize="0" autoFill="0" autoLine="0" autoPict="0">
                <anchor moveWithCells="1">
                  <from>
                    <xdr:col>7</xdr:col>
                    <xdr:colOff>47874</xdr:colOff>
                    <xdr:row>25</xdr:row>
                    <xdr:rowOff>0</xdr:rowOff>
                  </from>
                  <to>
                    <xdr:col>8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6" r:id="rId39" name="Check Box 36">
              <controlPr defaultSize="0" autoFill="0" autoLine="0" autoPict="0">
                <anchor moveWithCells="1">
                  <from>
                    <xdr:col>7</xdr:col>
                    <xdr:colOff>47874</xdr:colOff>
                    <xdr:row>26</xdr:row>
                    <xdr:rowOff>0</xdr:rowOff>
                  </from>
                  <to>
                    <xdr:col>8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7" r:id="rId40" name="Check Box 37">
              <controlPr defaultSize="0" autoFill="0" autoLine="0" autoPict="0">
                <anchor moveWithCells="1">
                  <from>
                    <xdr:col>7</xdr:col>
                    <xdr:colOff>47874</xdr:colOff>
                    <xdr:row>27</xdr:row>
                    <xdr:rowOff>0</xdr:rowOff>
                  </from>
                  <to>
                    <xdr:col>8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8" r:id="rId41" name="Check Box 38">
              <controlPr defaultSize="0" autoFill="0" autoLine="0" autoPict="0">
                <anchor moveWithCells="1">
                  <from>
                    <xdr:col>7</xdr:col>
                    <xdr:colOff>38299</xdr:colOff>
                    <xdr:row>18</xdr:row>
                    <xdr:rowOff>0</xdr:rowOff>
                  </from>
                  <to>
                    <xdr:col>8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9" r:id="rId42" name="Check Box 39">
              <controlPr defaultSize="0" autoFill="0" autoLine="0" autoPict="0">
                <anchor moveWithCells="1">
                  <from>
                    <xdr:col>7</xdr:col>
                    <xdr:colOff>47874</xdr:colOff>
                    <xdr:row>34</xdr:row>
                    <xdr:rowOff>19150</xdr:rowOff>
                  </from>
                  <to>
                    <xdr:col>8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0" r:id="rId43" name="Check Box 40">
              <controlPr defaultSize="0" autoFill="0" autoLine="0" autoPict="0">
                <anchor moveWithCells="1">
                  <from>
                    <xdr:col>15</xdr:col>
                    <xdr:colOff>47874</xdr:colOff>
                    <xdr:row>10</xdr:row>
                    <xdr:rowOff>0</xdr:rowOff>
                  </from>
                  <to>
                    <xdr:col>16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1" r:id="rId44" name="Check Box 41">
              <controlPr defaultSize="0" autoFill="0" autoLine="0" autoPict="0">
                <anchor moveWithCells="1">
                  <from>
                    <xdr:col>15</xdr:col>
                    <xdr:colOff>47874</xdr:colOff>
                    <xdr:row>11</xdr:row>
                    <xdr:rowOff>0</xdr:rowOff>
                  </from>
                  <to>
                    <xdr:col>16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2" r:id="rId45" name="Check Box 42">
              <controlPr defaultSize="0" autoFill="0" autoLine="0" autoPict="0">
                <anchor moveWithCells="1">
                  <from>
                    <xdr:col>15</xdr:col>
                    <xdr:colOff>47874</xdr:colOff>
                    <xdr:row>13</xdr:row>
                    <xdr:rowOff>0</xdr:rowOff>
                  </from>
                  <to>
                    <xdr:col>16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3" r:id="rId46" name="Check Box 43">
              <controlPr defaultSize="0" autoFill="0" autoLine="0" autoPict="0">
                <anchor moveWithCells="1">
                  <from>
                    <xdr:col>15</xdr:col>
                    <xdr:colOff>47874</xdr:colOff>
                    <xdr:row>14</xdr:row>
                    <xdr:rowOff>0</xdr:rowOff>
                  </from>
                  <to>
                    <xdr:col>16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4" r:id="rId47" name="Check Box 44">
              <controlPr defaultSize="0" autoFill="0" autoLine="0" autoPict="0">
                <anchor moveWithCells="1">
                  <from>
                    <xdr:col>15</xdr:col>
                    <xdr:colOff>38299</xdr:colOff>
                    <xdr:row>20</xdr:row>
                    <xdr:rowOff>0</xdr:rowOff>
                  </from>
                  <to>
                    <xdr:col>16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5" r:id="rId48" name="Check Box 45">
              <controlPr defaultSize="0" autoFill="0" autoLine="0" autoPict="0">
                <anchor moveWithCells="1">
                  <from>
                    <xdr:col>15</xdr:col>
                    <xdr:colOff>47874</xdr:colOff>
                    <xdr:row>19</xdr:row>
                    <xdr:rowOff>0</xdr:rowOff>
                  </from>
                  <to>
                    <xdr:col>16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6" r:id="rId49" name="Check Box 46">
              <controlPr defaultSize="0" autoFill="0" autoLine="0" autoPict="0">
                <anchor moveWithCells="1">
                  <from>
                    <xdr:col>15</xdr:col>
                    <xdr:colOff>47874</xdr:colOff>
                    <xdr:row>36</xdr:row>
                    <xdr:rowOff>0</xdr:rowOff>
                  </from>
                  <to>
                    <xdr:col>16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7" r:id="rId50" name="Check Box 47">
              <controlPr defaultSize="0" autoFill="0" autoLine="0" autoPict="0">
                <anchor moveWithCells="1">
                  <from>
                    <xdr:col>15</xdr:col>
                    <xdr:colOff>47874</xdr:colOff>
                    <xdr:row>22</xdr:row>
                    <xdr:rowOff>0</xdr:rowOff>
                  </from>
                  <to>
                    <xdr:col>16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8" r:id="rId51" name="Check Box 48">
              <controlPr defaultSize="0" autoFill="0" autoLine="0" autoPict="0">
                <anchor moveWithCells="1">
                  <from>
                    <xdr:col>15</xdr:col>
                    <xdr:colOff>47874</xdr:colOff>
                    <xdr:row>25</xdr:row>
                    <xdr:rowOff>0</xdr:rowOff>
                  </from>
                  <to>
                    <xdr:col>16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9" r:id="rId52" name="Check Box 49">
              <controlPr defaultSize="0" autoFill="0" autoLine="0" autoPict="0">
                <anchor moveWithCells="1">
                  <from>
                    <xdr:col>15</xdr:col>
                    <xdr:colOff>47874</xdr:colOff>
                    <xdr:row>26</xdr:row>
                    <xdr:rowOff>0</xdr:rowOff>
                  </from>
                  <to>
                    <xdr:col>16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0" r:id="rId53" name="Check Box 50">
              <controlPr defaultSize="0" autoFill="0" autoLine="0" autoPict="0">
                <anchor moveWithCells="1">
                  <from>
                    <xdr:col>15</xdr:col>
                    <xdr:colOff>47874</xdr:colOff>
                    <xdr:row>27</xdr:row>
                    <xdr:rowOff>0</xdr:rowOff>
                  </from>
                  <to>
                    <xdr:col>16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1" r:id="rId54" name="Check Box 51">
              <controlPr defaultSize="0" autoFill="0" autoLine="0" autoPict="0">
                <anchor moveWithCells="1">
                  <from>
                    <xdr:col>15</xdr:col>
                    <xdr:colOff>38299</xdr:colOff>
                    <xdr:row>18</xdr:row>
                    <xdr:rowOff>0</xdr:rowOff>
                  </from>
                  <to>
                    <xdr:col>16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2" r:id="rId55" name="Check Box 52">
              <controlPr defaultSize="0" autoFill="0" autoLine="0" autoPict="0">
                <anchor moveWithCells="1">
                  <from>
                    <xdr:col>15</xdr:col>
                    <xdr:colOff>47874</xdr:colOff>
                    <xdr:row>34</xdr:row>
                    <xdr:rowOff>19150</xdr:rowOff>
                  </from>
                  <to>
                    <xdr:col>16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3" r:id="rId56" name="Check Box 53">
              <controlPr defaultSize="0" autoFill="0" autoLine="0" autoPict="0">
                <anchor moveWithCells="1">
                  <from>
                    <xdr:col>1</xdr:col>
                    <xdr:colOff>47874</xdr:colOff>
                    <xdr:row>38</xdr:row>
                    <xdr:rowOff>19150</xdr:rowOff>
                  </from>
                  <to>
                    <xdr:col>2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4" r:id="rId57" name="Check Box 54">
              <controlPr defaultSize="0" autoFill="0" autoLine="0" autoPict="0">
                <anchor moveWithCells="1">
                  <from>
                    <xdr:col>5</xdr:col>
                    <xdr:colOff>47874</xdr:colOff>
                    <xdr:row>38</xdr:row>
                    <xdr:rowOff>19150</xdr:rowOff>
                  </from>
                  <to>
                    <xdr:col>6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5" r:id="rId58" name="Check Box 55">
              <controlPr defaultSize="0" autoFill="0" autoLine="0" autoPict="0">
                <anchor moveWithCells="1">
                  <from>
                    <xdr:col>7</xdr:col>
                    <xdr:colOff>47874</xdr:colOff>
                    <xdr:row>38</xdr:row>
                    <xdr:rowOff>19150</xdr:rowOff>
                  </from>
                  <to>
                    <xdr:col>8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6" r:id="rId59" name="Check Box 56">
              <controlPr defaultSize="0" autoFill="0" autoLine="0" autoPict="0">
                <anchor moveWithCells="1">
                  <from>
                    <xdr:col>15</xdr:col>
                    <xdr:colOff>47874</xdr:colOff>
                    <xdr:row>38</xdr:row>
                    <xdr:rowOff>19150</xdr:rowOff>
                  </from>
                  <to>
                    <xdr:col>16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7" r:id="rId60" name="Check Box 57">
              <controlPr defaultSize="0" autoFill="0" autoLine="0" autoPict="0">
                <anchor moveWithCells="1">
                  <from>
                    <xdr:col>1</xdr:col>
                    <xdr:colOff>47874</xdr:colOff>
                    <xdr:row>12</xdr:row>
                    <xdr:rowOff>0</xdr:rowOff>
                  </from>
                  <to>
                    <xdr:col>2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8" r:id="rId61" name="Check Box 58">
              <controlPr defaultSize="0" autoFill="0" autoLine="0" autoPict="0">
                <anchor moveWithCells="1">
                  <from>
                    <xdr:col>5</xdr:col>
                    <xdr:colOff>47874</xdr:colOff>
                    <xdr:row>12</xdr:row>
                    <xdr:rowOff>0</xdr:rowOff>
                  </from>
                  <to>
                    <xdr:col>6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9" r:id="rId62" name="Check Box 59">
              <controlPr defaultSize="0" autoFill="0" autoLine="0" autoPict="0">
                <anchor moveWithCells="1">
                  <from>
                    <xdr:col>7</xdr:col>
                    <xdr:colOff>47874</xdr:colOff>
                    <xdr:row>12</xdr:row>
                    <xdr:rowOff>0</xdr:rowOff>
                  </from>
                  <to>
                    <xdr:col>8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0" r:id="rId63" name="Check Box 60">
              <controlPr defaultSize="0" autoFill="0" autoLine="0" autoPict="0">
                <anchor moveWithCells="1">
                  <from>
                    <xdr:col>15</xdr:col>
                    <xdr:colOff>47874</xdr:colOff>
                    <xdr:row>12</xdr:row>
                    <xdr:rowOff>0</xdr:rowOff>
                  </from>
                  <to>
                    <xdr:col>16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1" r:id="rId64" name="Check Box 61">
              <controlPr defaultSize="0" autoFill="0" autoLine="0" autoPict="0">
                <anchor moveWithCells="1">
                  <from>
                    <xdr:col>1</xdr:col>
                    <xdr:colOff>47874</xdr:colOff>
                    <xdr:row>23</xdr:row>
                    <xdr:rowOff>0</xdr:rowOff>
                  </from>
                  <to>
                    <xdr:col>2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2" r:id="rId65" name="Check Box 62">
              <controlPr defaultSize="0" autoFill="0" autoLine="0" autoPict="0">
                <anchor moveWithCells="1">
                  <from>
                    <xdr:col>5</xdr:col>
                    <xdr:colOff>47874</xdr:colOff>
                    <xdr:row>23</xdr:row>
                    <xdr:rowOff>0</xdr:rowOff>
                  </from>
                  <to>
                    <xdr:col>6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3" r:id="rId66" name="Check Box 63">
              <controlPr defaultSize="0" autoFill="0" autoLine="0" autoPict="0">
                <anchor moveWithCells="1">
                  <from>
                    <xdr:col>7</xdr:col>
                    <xdr:colOff>47874</xdr:colOff>
                    <xdr:row>23</xdr:row>
                    <xdr:rowOff>0</xdr:rowOff>
                  </from>
                  <to>
                    <xdr:col>8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4" r:id="rId67" name="Check Box 64">
              <controlPr defaultSize="0" autoFill="0" autoLine="0" autoPict="0">
                <anchor moveWithCells="1">
                  <from>
                    <xdr:col>15</xdr:col>
                    <xdr:colOff>47874</xdr:colOff>
                    <xdr:row>23</xdr:row>
                    <xdr:rowOff>0</xdr:rowOff>
                  </from>
                  <to>
                    <xdr:col>16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5" r:id="rId68" name="Check Box 65">
              <controlPr defaultSize="0" autoFill="0" autoLine="0" autoPict="0">
                <anchor moveWithCells="1">
                  <from>
                    <xdr:col>3</xdr:col>
                    <xdr:colOff>47874</xdr:colOff>
                    <xdr:row>10</xdr:row>
                    <xdr:rowOff>0</xdr:rowOff>
                  </from>
                  <to>
                    <xdr:col>4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6" r:id="rId69" name="Check Box 66">
              <controlPr defaultSize="0" autoFill="0" autoLine="0" autoPict="0">
                <anchor moveWithCells="1">
                  <from>
                    <xdr:col>3</xdr:col>
                    <xdr:colOff>47874</xdr:colOff>
                    <xdr:row>11</xdr:row>
                    <xdr:rowOff>0</xdr:rowOff>
                  </from>
                  <to>
                    <xdr:col>4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7" r:id="rId70" name="Check Box 67">
              <controlPr defaultSize="0" autoFill="0" autoLine="0" autoPict="0">
                <anchor moveWithCells="1">
                  <from>
                    <xdr:col>3</xdr:col>
                    <xdr:colOff>47874</xdr:colOff>
                    <xdr:row>13</xdr:row>
                    <xdr:rowOff>0</xdr:rowOff>
                  </from>
                  <to>
                    <xdr:col>4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8" r:id="rId71" name="Check Box 68">
              <controlPr defaultSize="0" autoFill="0" autoLine="0" autoPict="0">
                <anchor moveWithCells="1">
                  <from>
                    <xdr:col>3</xdr:col>
                    <xdr:colOff>47874</xdr:colOff>
                    <xdr:row>14</xdr:row>
                    <xdr:rowOff>0</xdr:rowOff>
                  </from>
                  <to>
                    <xdr:col>4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9" r:id="rId72" name="Check Box 69">
              <controlPr defaultSize="0" autoFill="0" autoLine="0" autoPict="0">
                <anchor moveWithCells="1">
                  <from>
                    <xdr:col>3</xdr:col>
                    <xdr:colOff>38299</xdr:colOff>
                    <xdr:row>20</xdr:row>
                    <xdr:rowOff>0</xdr:rowOff>
                  </from>
                  <to>
                    <xdr:col>4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0" r:id="rId73" name="Check Box 70">
              <controlPr defaultSize="0" autoFill="0" autoLine="0" autoPict="0">
                <anchor moveWithCells="1">
                  <from>
                    <xdr:col>3</xdr:col>
                    <xdr:colOff>47874</xdr:colOff>
                    <xdr:row>19</xdr:row>
                    <xdr:rowOff>0</xdr:rowOff>
                  </from>
                  <to>
                    <xdr:col>4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1" r:id="rId74" name="Check Box 71">
              <controlPr defaultSize="0" autoFill="0" autoLine="0" autoPict="0">
                <anchor moveWithCells="1">
                  <from>
                    <xdr:col>3</xdr:col>
                    <xdr:colOff>47874</xdr:colOff>
                    <xdr:row>36</xdr:row>
                    <xdr:rowOff>0</xdr:rowOff>
                  </from>
                  <to>
                    <xdr:col>4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2" r:id="rId75" name="Check Box 72">
              <controlPr defaultSize="0" autoFill="0" autoLine="0" autoPict="0">
                <anchor moveWithCells="1">
                  <from>
                    <xdr:col>3</xdr:col>
                    <xdr:colOff>47874</xdr:colOff>
                    <xdr:row>22</xdr:row>
                    <xdr:rowOff>0</xdr:rowOff>
                  </from>
                  <to>
                    <xdr:col>4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3" r:id="rId76" name="Check Box 73">
              <controlPr defaultSize="0" autoFill="0" autoLine="0" autoPict="0">
                <anchor moveWithCells="1">
                  <from>
                    <xdr:col>3</xdr:col>
                    <xdr:colOff>47874</xdr:colOff>
                    <xdr:row>25</xdr:row>
                    <xdr:rowOff>0</xdr:rowOff>
                  </from>
                  <to>
                    <xdr:col>4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4" r:id="rId77" name="Check Box 74">
              <controlPr defaultSize="0" autoFill="0" autoLine="0" autoPict="0">
                <anchor moveWithCells="1">
                  <from>
                    <xdr:col>3</xdr:col>
                    <xdr:colOff>47874</xdr:colOff>
                    <xdr:row>26</xdr:row>
                    <xdr:rowOff>0</xdr:rowOff>
                  </from>
                  <to>
                    <xdr:col>4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5" r:id="rId78" name="Check Box 75">
              <controlPr defaultSize="0" autoFill="0" autoLine="0" autoPict="0">
                <anchor moveWithCells="1">
                  <from>
                    <xdr:col>3</xdr:col>
                    <xdr:colOff>47874</xdr:colOff>
                    <xdr:row>27</xdr:row>
                    <xdr:rowOff>0</xdr:rowOff>
                  </from>
                  <to>
                    <xdr:col>4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6" r:id="rId79" name="Check Box 76">
              <controlPr defaultSize="0" autoFill="0" autoLine="0" autoPict="0">
                <anchor moveWithCells="1">
                  <from>
                    <xdr:col>3</xdr:col>
                    <xdr:colOff>38299</xdr:colOff>
                    <xdr:row>18</xdr:row>
                    <xdr:rowOff>0</xdr:rowOff>
                  </from>
                  <to>
                    <xdr:col>4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7" r:id="rId80" name="Check Box 77">
              <controlPr defaultSize="0" autoFill="0" autoLine="0" autoPict="0">
                <anchor moveWithCells="1">
                  <from>
                    <xdr:col>3</xdr:col>
                    <xdr:colOff>47874</xdr:colOff>
                    <xdr:row>34</xdr:row>
                    <xdr:rowOff>19150</xdr:rowOff>
                  </from>
                  <to>
                    <xdr:col>4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8" r:id="rId81" name="Check Box 78">
              <controlPr defaultSize="0" autoFill="0" autoLine="0" autoPict="0">
                <anchor moveWithCells="1">
                  <from>
                    <xdr:col>3</xdr:col>
                    <xdr:colOff>47874</xdr:colOff>
                    <xdr:row>38</xdr:row>
                    <xdr:rowOff>19150</xdr:rowOff>
                  </from>
                  <to>
                    <xdr:col>4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9" r:id="rId82" name="Check Box 79">
              <controlPr defaultSize="0" autoFill="0" autoLine="0" autoPict="0">
                <anchor moveWithCells="1">
                  <from>
                    <xdr:col>3</xdr:col>
                    <xdr:colOff>47874</xdr:colOff>
                    <xdr:row>12</xdr:row>
                    <xdr:rowOff>0</xdr:rowOff>
                  </from>
                  <to>
                    <xdr:col>4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0" r:id="rId83" name="Check Box 80">
              <controlPr defaultSize="0" autoFill="0" autoLine="0" autoPict="0">
                <anchor moveWithCells="1">
                  <from>
                    <xdr:col>3</xdr:col>
                    <xdr:colOff>47874</xdr:colOff>
                    <xdr:row>23</xdr:row>
                    <xdr:rowOff>0</xdr:rowOff>
                  </from>
                  <to>
                    <xdr:col>4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3" r:id="rId84" name="Check Box 113">
              <controlPr defaultSize="0" autoFill="0" autoLine="0" autoPict="0">
                <anchor moveWithCells="1">
                  <from>
                    <xdr:col>1</xdr:col>
                    <xdr:colOff>47874</xdr:colOff>
                    <xdr:row>39</xdr:row>
                    <xdr:rowOff>19150</xdr:rowOff>
                  </from>
                  <to>
                    <xdr:col>2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4" r:id="rId85" name="Check Box 114">
              <controlPr defaultSize="0" autoFill="0" autoLine="0" autoPict="0">
                <anchor moveWithCells="1">
                  <from>
                    <xdr:col>5</xdr:col>
                    <xdr:colOff>47874</xdr:colOff>
                    <xdr:row>39</xdr:row>
                    <xdr:rowOff>19150</xdr:rowOff>
                  </from>
                  <to>
                    <xdr:col>6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5" r:id="rId86" name="Check Box 115">
              <controlPr defaultSize="0" autoFill="0" autoLine="0" autoPict="0">
                <anchor moveWithCells="1">
                  <from>
                    <xdr:col>7</xdr:col>
                    <xdr:colOff>47874</xdr:colOff>
                    <xdr:row>39</xdr:row>
                    <xdr:rowOff>19150</xdr:rowOff>
                  </from>
                  <to>
                    <xdr:col>8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6" r:id="rId87" name="Check Box 116">
              <controlPr defaultSize="0" autoFill="0" autoLine="0" autoPict="0">
                <anchor moveWithCells="1">
                  <from>
                    <xdr:col>15</xdr:col>
                    <xdr:colOff>47874</xdr:colOff>
                    <xdr:row>39</xdr:row>
                    <xdr:rowOff>19150</xdr:rowOff>
                  </from>
                  <to>
                    <xdr:col>16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7" r:id="rId88" name="Check Box 117">
              <controlPr defaultSize="0" autoFill="0" autoLine="0" autoPict="0">
                <anchor moveWithCells="1">
                  <from>
                    <xdr:col>3</xdr:col>
                    <xdr:colOff>47874</xdr:colOff>
                    <xdr:row>39</xdr:row>
                    <xdr:rowOff>19150</xdr:rowOff>
                  </from>
                  <to>
                    <xdr:col>4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0" r:id="rId89" name="Check Box 120">
              <controlPr defaultSize="0" autoFill="0" autoLine="0" autoPict="0">
                <anchor moveWithCells="1">
                  <from>
                    <xdr:col>1</xdr:col>
                    <xdr:colOff>47874</xdr:colOff>
                    <xdr:row>40</xdr:row>
                    <xdr:rowOff>19150</xdr:rowOff>
                  </from>
                  <to>
                    <xdr:col>2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1" r:id="rId90" name="Check Box 121">
              <controlPr defaultSize="0" autoFill="0" autoLine="0" autoPict="0">
                <anchor moveWithCells="1">
                  <from>
                    <xdr:col>5</xdr:col>
                    <xdr:colOff>47874</xdr:colOff>
                    <xdr:row>40</xdr:row>
                    <xdr:rowOff>19150</xdr:rowOff>
                  </from>
                  <to>
                    <xdr:col>6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2" r:id="rId91" name="Check Box 122">
              <controlPr defaultSize="0" autoFill="0" autoLine="0" autoPict="0">
                <anchor moveWithCells="1">
                  <from>
                    <xdr:col>7</xdr:col>
                    <xdr:colOff>47874</xdr:colOff>
                    <xdr:row>40</xdr:row>
                    <xdr:rowOff>19150</xdr:rowOff>
                  </from>
                  <to>
                    <xdr:col>8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3" r:id="rId92" name="Check Box 123">
              <controlPr defaultSize="0" autoFill="0" autoLine="0" autoPict="0">
                <anchor moveWithCells="1">
                  <from>
                    <xdr:col>15</xdr:col>
                    <xdr:colOff>47874</xdr:colOff>
                    <xdr:row>40</xdr:row>
                    <xdr:rowOff>19150</xdr:rowOff>
                  </from>
                  <to>
                    <xdr:col>16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4" r:id="rId93" name="Check Box 124">
              <controlPr defaultSize="0" autoFill="0" autoLine="0" autoPict="0">
                <anchor moveWithCells="1">
                  <from>
                    <xdr:col>3</xdr:col>
                    <xdr:colOff>47874</xdr:colOff>
                    <xdr:row>40</xdr:row>
                    <xdr:rowOff>19150</xdr:rowOff>
                  </from>
                  <to>
                    <xdr:col>4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7" r:id="rId94" name="Check Box 127">
              <controlPr defaultSize="0" autoFill="0" autoLine="0" autoPict="0">
                <anchor moveWithCells="1">
                  <from>
                    <xdr:col>1</xdr:col>
                    <xdr:colOff>47874</xdr:colOff>
                    <xdr:row>15</xdr:row>
                    <xdr:rowOff>0</xdr:rowOff>
                  </from>
                  <to>
                    <xdr:col>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8" r:id="rId95" name="Check Box 128">
              <controlPr defaultSize="0" autoFill="0" autoLine="0" autoPict="0">
                <anchor moveWithCells="1">
                  <from>
                    <xdr:col>5</xdr:col>
                    <xdr:colOff>47874</xdr:colOff>
                    <xdr:row>15</xdr:row>
                    <xdr:rowOff>0</xdr:rowOff>
                  </from>
                  <to>
                    <xdr:col>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9" r:id="rId96" name="Check Box 129">
              <controlPr defaultSize="0" autoFill="0" autoLine="0" autoPict="0">
                <anchor moveWithCells="1">
                  <from>
                    <xdr:col>7</xdr:col>
                    <xdr:colOff>47874</xdr:colOff>
                    <xdr:row>15</xdr:row>
                    <xdr:rowOff>0</xdr:rowOff>
                  </from>
                  <to>
                    <xdr:col>8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0" r:id="rId97" name="Check Box 130">
              <controlPr defaultSize="0" autoFill="0" autoLine="0" autoPict="0">
                <anchor moveWithCells="1">
                  <from>
                    <xdr:col>15</xdr:col>
                    <xdr:colOff>47874</xdr:colOff>
                    <xdr:row>15</xdr:row>
                    <xdr:rowOff>0</xdr:rowOff>
                  </from>
                  <to>
                    <xdr:col>16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1" r:id="rId98" name="Check Box 131">
              <controlPr defaultSize="0" autoFill="0" autoLine="0" autoPict="0">
                <anchor moveWithCells="1">
                  <from>
                    <xdr:col>3</xdr:col>
                    <xdr:colOff>47874</xdr:colOff>
                    <xdr:row>15</xdr:row>
                    <xdr:rowOff>0</xdr:rowOff>
                  </from>
                  <to>
                    <xdr:col>4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4" r:id="rId99" name="Check Box 134">
              <controlPr defaultSize="0" autoFill="0" autoLine="0" autoPict="0">
                <anchor moveWithCells="1">
                  <from>
                    <xdr:col>1</xdr:col>
                    <xdr:colOff>47874</xdr:colOff>
                    <xdr:row>17</xdr:row>
                    <xdr:rowOff>0</xdr:rowOff>
                  </from>
                  <to>
                    <xdr:col>2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5" r:id="rId100" name="Check Box 135">
              <controlPr defaultSize="0" autoFill="0" autoLine="0" autoPict="0">
                <anchor moveWithCells="1">
                  <from>
                    <xdr:col>5</xdr:col>
                    <xdr:colOff>47874</xdr:colOff>
                    <xdr:row>17</xdr:row>
                    <xdr:rowOff>0</xdr:rowOff>
                  </from>
                  <to>
                    <xdr:col>6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6" r:id="rId101" name="Check Box 136">
              <controlPr defaultSize="0" autoFill="0" autoLine="0" autoPict="0">
                <anchor moveWithCells="1">
                  <from>
                    <xdr:col>7</xdr:col>
                    <xdr:colOff>47874</xdr:colOff>
                    <xdr:row>17</xdr:row>
                    <xdr:rowOff>0</xdr:rowOff>
                  </from>
                  <to>
                    <xdr:col>8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7" r:id="rId102" name="Check Box 137">
              <controlPr defaultSize="0" autoFill="0" autoLine="0" autoPict="0">
                <anchor moveWithCells="1">
                  <from>
                    <xdr:col>15</xdr:col>
                    <xdr:colOff>47874</xdr:colOff>
                    <xdr:row>17</xdr:row>
                    <xdr:rowOff>0</xdr:rowOff>
                  </from>
                  <to>
                    <xdr:col>16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8" r:id="rId103" name="Check Box 138">
              <controlPr defaultSize="0" autoFill="0" autoLine="0" autoPict="0">
                <anchor moveWithCells="1">
                  <from>
                    <xdr:col>3</xdr:col>
                    <xdr:colOff>47874</xdr:colOff>
                    <xdr:row>17</xdr:row>
                    <xdr:rowOff>0</xdr:rowOff>
                  </from>
                  <to>
                    <xdr:col>4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1" r:id="rId104" name="Check Box 141">
              <controlPr defaultSize="0" autoFill="0" autoLine="0" autoPict="0">
                <anchor moveWithCells="1">
                  <from>
                    <xdr:col>1</xdr:col>
                    <xdr:colOff>38299</xdr:colOff>
                    <xdr:row>21</xdr:row>
                    <xdr:rowOff>0</xdr:rowOff>
                  </from>
                  <to>
                    <xdr:col>2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2" r:id="rId105" name="Check Box 142">
              <controlPr defaultSize="0" autoFill="0" autoLine="0" autoPict="0">
                <anchor moveWithCells="1">
                  <from>
                    <xdr:col>5</xdr:col>
                    <xdr:colOff>38299</xdr:colOff>
                    <xdr:row>21</xdr:row>
                    <xdr:rowOff>0</xdr:rowOff>
                  </from>
                  <to>
                    <xdr:col>6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3" r:id="rId106" name="Check Box 143">
              <controlPr defaultSize="0" autoFill="0" autoLine="0" autoPict="0">
                <anchor moveWithCells="1">
                  <from>
                    <xdr:col>7</xdr:col>
                    <xdr:colOff>38299</xdr:colOff>
                    <xdr:row>21</xdr:row>
                    <xdr:rowOff>0</xdr:rowOff>
                  </from>
                  <to>
                    <xdr:col>8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4" r:id="rId107" name="Check Box 144">
              <controlPr defaultSize="0" autoFill="0" autoLine="0" autoPict="0">
                <anchor moveWithCells="1">
                  <from>
                    <xdr:col>15</xdr:col>
                    <xdr:colOff>38299</xdr:colOff>
                    <xdr:row>21</xdr:row>
                    <xdr:rowOff>0</xdr:rowOff>
                  </from>
                  <to>
                    <xdr:col>16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5" r:id="rId108" name="Check Box 145">
              <controlPr defaultSize="0" autoFill="0" autoLine="0" autoPict="0">
                <anchor moveWithCells="1">
                  <from>
                    <xdr:col>3</xdr:col>
                    <xdr:colOff>38299</xdr:colOff>
                    <xdr:row>21</xdr:row>
                    <xdr:rowOff>0</xdr:rowOff>
                  </from>
                  <to>
                    <xdr:col>4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8" r:id="rId109" name="Check Box 148">
              <controlPr defaultSize="0" autoFill="0" autoLine="0" autoPict="0">
                <anchor moveWithCells="1">
                  <from>
                    <xdr:col>1</xdr:col>
                    <xdr:colOff>47874</xdr:colOff>
                    <xdr:row>28</xdr:row>
                    <xdr:rowOff>0</xdr:rowOff>
                  </from>
                  <to>
                    <xdr:col>2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9" r:id="rId110" name="Check Box 149">
              <controlPr defaultSize="0" autoFill="0" autoLine="0" autoPict="0">
                <anchor moveWithCells="1">
                  <from>
                    <xdr:col>5</xdr:col>
                    <xdr:colOff>47874</xdr:colOff>
                    <xdr:row>28</xdr:row>
                    <xdr:rowOff>0</xdr:rowOff>
                  </from>
                  <to>
                    <xdr:col>6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0" r:id="rId111" name="Check Box 150">
              <controlPr defaultSize="0" autoFill="0" autoLine="0" autoPict="0">
                <anchor moveWithCells="1">
                  <from>
                    <xdr:col>7</xdr:col>
                    <xdr:colOff>47874</xdr:colOff>
                    <xdr:row>28</xdr:row>
                    <xdr:rowOff>0</xdr:rowOff>
                  </from>
                  <to>
                    <xdr:col>8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1" r:id="rId112" name="Check Box 151">
              <controlPr defaultSize="0" autoFill="0" autoLine="0" autoPict="0">
                <anchor moveWithCells="1">
                  <from>
                    <xdr:col>15</xdr:col>
                    <xdr:colOff>47874</xdr:colOff>
                    <xdr:row>28</xdr:row>
                    <xdr:rowOff>0</xdr:rowOff>
                  </from>
                  <to>
                    <xdr:col>16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2" r:id="rId113" name="Check Box 152">
              <controlPr defaultSize="0" autoFill="0" autoLine="0" autoPict="0">
                <anchor moveWithCells="1">
                  <from>
                    <xdr:col>3</xdr:col>
                    <xdr:colOff>47874</xdr:colOff>
                    <xdr:row>28</xdr:row>
                    <xdr:rowOff>0</xdr:rowOff>
                  </from>
                  <to>
                    <xdr:col>4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5" r:id="rId114" name="Check Box 155">
              <controlPr defaultSize="0" autoFill="0" autoLine="0" autoPict="0">
                <anchor moveWithCells="1">
                  <from>
                    <xdr:col>1</xdr:col>
                    <xdr:colOff>47874</xdr:colOff>
                    <xdr:row>29</xdr:row>
                    <xdr:rowOff>0</xdr:rowOff>
                  </from>
                  <to>
                    <xdr:col>2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6" r:id="rId115" name="Check Box 156">
              <controlPr defaultSize="0" autoFill="0" autoLine="0" autoPict="0">
                <anchor moveWithCells="1">
                  <from>
                    <xdr:col>5</xdr:col>
                    <xdr:colOff>47874</xdr:colOff>
                    <xdr:row>29</xdr:row>
                    <xdr:rowOff>0</xdr:rowOff>
                  </from>
                  <to>
                    <xdr:col>6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7" r:id="rId116" name="Check Box 157">
              <controlPr defaultSize="0" autoFill="0" autoLine="0" autoPict="0">
                <anchor moveWithCells="1">
                  <from>
                    <xdr:col>7</xdr:col>
                    <xdr:colOff>47874</xdr:colOff>
                    <xdr:row>29</xdr:row>
                    <xdr:rowOff>0</xdr:rowOff>
                  </from>
                  <to>
                    <xdr:col>8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8" r:id="rId117" name="Check Box 158">
              <controlPr defaultSize="0" autoFill="0" autoLine="0" autoPict="0">
                <anchor moveWithCells="1">
                  <from>
                    <xdr:col>15</xdr:col>
                    <xdr:colOff>47874</xdr:colOff>
                    <xdr:row>29</xdr:row>
                    <xdr:rowOff>0</xdr:rowOff>
                  </from>
                  <to>
                    <xdr:col>16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9" r:id="rId118" name="Check Box 159">
              <controlPr defaultSize="0" autoFill="0" autoLine="0" autoPict="0">
                <anchor moveWithCells="1">
                  <from>
                    <xdr:col>3</xdr:col>
                    <xdr:colOff>47874</xdr:colOff>
                    <xdr:row>29</xdr:row>
                    <xdr:rowOff>0</xdr:rowOff>
                  </from>
                  <to>
                    <xdr:col>4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2" r:id="rId119" name="Check Box 162">
              <controlPr defaultSize="0" autoFill="0" autoLine="0" autoPict="0">
                <anchor moveWithCells="1">
                  <from>
                    <xdr:col>1</xdr:col>
                    <xdr:colOff>47874</xdr:colOff>
                    <xdr:row>30</xdr:row>
                    <xdr:rowOff>0</xdr:rowOff>
                  </from>
                  <to>
                    <xdr:col>2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3" r:id="rId120" name="Check Box 163">
              <controlPr defaultSize="0" autoFill="0" autoLine="0" autoPict="0">
                <anchor moveWithCells="1">
                  <from>
                    <xdr:col>5</xdr:col>
                    <xdr:colOff>47874</xdr:colOff>
                    <xdr:row>30</xdr:row>
                    <xdr:rowOff>0</xdr:rowOff>
                  </from>
                  <to>
                    <xdr:col>6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4" r:id="rId121" name="Check Box 164">
              <controlPr defaultSize="0" autoFill="0" autoLine="0" autoPict="0">
                <anchor moveWithCells="1">
                  <from>
                    <xdr:col>7</xdr:col>
                    <xdr:colOff>47874</xdr:colOff>
                    <xdr:row>30</xdr:row>
                    <xdr:rowOff>0</xdr:rowOff>
                  </from>
                  <to>
                    <xdr:col>8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5" r:id="rId122" name="Check Box 165">
              <controlPr defaultSize="0" autoFill="0" autoLine="0" autoPict="0">
                <anchor moveWithCells="1">
                  <from>
                    <xdr:col>15</xdr:col>
                    <xdr:colOff>47874</xdr:colOff>
                    <xdr:row>30</xdr:row>
                    <xdr:rowOff>0</xdr:rowOff>
                  </from>
                  <to>
                    <xdr:col>16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6" r:id="rId123" name="Check Box 166">
              <controlPr defaultSize="0" autoFill="0" autoLine="0" autoPict="0">
                <anchor moveWithCells="1">
                  <from>
                    <xdr:col>3</xdr:col>
                    <xdr:colOff>47874</xdr:colOff>
                    <xdr:row>30</xdr:row>
                    <xdr:rowOff>0</xdr:rowOff>
                  </from>
                  <to>
                    <xdr:col>4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9" r:id="rId124" name="Check Box 169">
              <controlPr defaultSize="0" autoFill="0" autoLine="0" autoPict="0">
                <anchor moveWithCells="1">
                  <from>
                    <xdr:col>1</xdr:col>
                    <xdr:colOff>47874</xdr:colOff>
                    <xdr:row>31</xdr:row>
                    <xdr:rowOff>0</xdr:rowOff>
                  </from>
                  <to>
                    <xdr:col>2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0" r:id="rId125" name="Check Box 170">
              <controlPr defaultSize="0" autoFill="0" autoLine="0" autoPict="0">
                <anchor moveWithCells="1">
                  <from>
                    <xdr:col>5</xdr:col>
                    <xdr:colOff>47874</xdr:colOff>
                    <xdr:row>31</xdr:row>
                    <xdr:rowOff>0</xdr:rowOff>
                  </from>
                  <to>
                    <xdr:col>6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1" r:id="rId126" name="Check Box 171">
              <controlPr defaultSize="0" autoFill="0" autoLine="0" autoPict="0">
                <anchor moveWithCells="1">
                  <from>
                    <xdr:col>7</xdr:col>
                    <xdr:colOff>47874</xdr:colOff>
                    <xdr:row>31</xdr:row>
                    <xdr:rowOff>0</xdr:rowOff>
                  </from>
                  <to>
                    <xdr:col>8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2" r:id="rId127" name="Check Box 172">
              <controlPr defaultSize="0" autoFill="0" autoLine="0" autoPict="0">
                <anchor moveWithCells="1">
                  <from>
                    <xdr:col>15</xdr:col>
                    <xdr:colOff>47874</xdr:colOff>
                    <xdr:row>31</xdr:row>
                    <xdr:rowOff>0</xdr:rowOff>
                  </from>
                  <to>
                    <xdr:col>16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3" r:id="rId128" name="Check Box 173">
              <controlPr defaultSize="0" autoFill="0" autoLine="0" autoPict="0">
                <anchor moveWithCells="1">
                  <from>
                    <xdr:col>3</xdr:col>
                    <xdr:colOff>47874</xdr:colOff>
                    <xdr:row>31</xdr:row>
                    <xdr:rowOff>0</xdr:rowOff>
                  </from>
                  <to>
                    <xdr:col>4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6" r:id="rId129" name="Check Box 176">
              <controlPr defaultSize="0" autoFill="0" autoLine="0" autoPict="0">
                <anchor moveWithCells="1">
                  <from>
                    <xdr:col>1</xdr:col>
                    <xdr:colOff>47874</xdr:colOff>
                    <xdr:row>32</xdr:row>
                    <xdr:rowOff>0</xdr:rowOff>
                  </from>
                  <to>
                    <xdr:col>2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7" r:id="rId130" name="Check Box 177">
              <controlPr defaultSize="0" autoFill="0" autoLine="0" autoPict="0">
                <anchor moveWithCells="1">
                  <from>
                    <xdr:col>5</xdr:col>
                    <xdr:colOff>47874</xdr:colOff>
                    <xdr:row>32</xdr:row>
                    <xdr:rowOff>0</xdr:rowOff>
                  </from>
                  <to>
                    <xdr:col>6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8" r:id="rId131" name="Check Box 178">
              <controlPr defaultSize="0" autoFill="0" autoLine="0" autoPict="0">
                <anchor moveWithCells="1">
                  <from>
                    <xdr:col>7</xdr:col>
                    <xdr:colOff>47874</xdr:colOff>
                    <xdr:row>32</xdr:row>
                    <xdr:rowOff>0</xdr:rowOff>
                  </from>
                  <to>
                    <xdr:col>8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9" r:id="rId132" name="Check Box 179">
              <controlPr defaultSize="0" autoFill="0" autoLine="0" autoPict="0">
                <anchor moveWithCells="1">
                  <from>
                    <xdr:col>15</xdr:col>
                    <xdr:colOff>47874</xdr:colOff>
                    <xdr:row>32</xdr:row>
                    <xdr:rowOff>0</xdr:rowOff>
                  </from>
                  <to>
                    <xdr:col>16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0" r:id="rId133" name="Check Box 180">
              <controlPr defaultSize="0" autoFill="0" autoLine="0" autoPict="0">
                <anchor moveWithCells="1">
                  <from>
                    <xdr:col>3</xdr:col>
                    <xdr:colOff>47874</xdr:colOff>
                    <xdr:row>32</xdr:row>
                    <xdr:rowOff>0</xdr:rowOff>
                  </from>
                  <to>
                    <xdr:col>4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3" r:id="rId134" name="Check Box 183">
              <controlPr defaultSize="0" autoFill="0" autoLine="0" autoPict="0">
                <anchor moveWithCells="1">
                  <from>
                    <xdr:col>1</xdr:col>
                    <xdr:colOff>47874</xdr:colOff>
                    <xdr:row>35</xdr:row>
                    <xdr:rowOff>0</xdr:rowOff>
                  </from>
                  <to>
                    <xdr:col>2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4" r:id="rId135" name="Check Box 184">
              <controlPr defaultSize="0" autoFill="0" autoLine="0" autoPict="0">
                <anchor moveWithCells="1">
                  <from>
                    <xdr:col>5</xdr:col>
                    <xdr:colOff>47874</xdr:colOff>
                    <xdr:row>35</xdr:row>
                    <xdr:rowOff>0</xdr:rowOff>
                  </from>
                  <to>
                    <xdr:col>6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5" r:id="rId136" name="Check Box 185">
              <controlPr defaultSize="0" autoFill="0" autoLine="0" autoPict="0">
                <anchor moveWithCells="1">
                  <from>
                    <xdr:col>7</xdr:col>
                    <xdr:colOff>47874</xdr:colOff>
                    <xdr:row>35</xdr:row>
                    <xdr:rowOff>0</xdr:rowOff>
                  </from>
                  <to>
                    <xdr:col>8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6" r:id="rId137" name="Check Box 186">
              <controlPr defaultSize="0" autoFill="0" autoLine="0" autoPict="0">
                <anchor moveWithCells="1">
                  <from>
                    <xdr:col>15</xdr:col>
                    <xdr:colOff>47874</xdr:colOff>
                    <xdr:row>35</xdr:row>
                    <xdr:rowOff>0</xdr:rowOff>
                  </from>
                  <to>
                    <xdr:col>16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7" r:id="rId138" name="Check Box 187">
              <controlPr defaultSize="0" autoFill="0" autoLine="0" autoPict="0">
                <anchor moveWithCells="1">
                  <from>
                    <xdr:col>3</xdr:col>
                    <xdr:colOff>47874</xdr:colOff>
                    <xdr:row>35</xdr:row>
                    <xdr:rowOff>0</xdr:rowOff>
                  </from>
                  <to>
                    <xdr:col>4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0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47874</xdr:colOff>
                    <xdr:row>24</xdr:row>
                    <xdr:rowOff>19150</xdr:rowOff>
                  </from>
                  <to>
                    <xdr:col>2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1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47874</xdr:colOff>
                    <xdr:row>24</xdr:row>
                    <xdr:rowOff>19150</xdr:rowOff>
                  </from>
                  <to>
                    <xdr:col>6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2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47874</xdr:colOff>
                    <xdr:row>24</xdr:row>
                    <xdr:rowOff>19150</xdr:rowOff>
                  </from>
                  <to>
                    <xdr:col>8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3" r:id="rId142" name="Check Box 193">
              <controlPr defaultSize="0" autoFill="0" autoLine="0" autoPict="0" altText="Fosfaat">
                <anchor moveWithCells="1">
                  <from>
                    <xdr:col>15</xdr:col>
                    <xdr:colOff>47874</xdr:colOff>
                    <xdr:row>24</xdr:row>
                    <xdr:rowOff>19150</xdr:rowOff>
                  </from>
                  <to>
                    <xdr:col>16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4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47874</xdr:colOff>
                    <xdr:row>24</xdr:row>
                    <xdr:rowOff>19150</xdr:rowOff>
                  </from>
                  <to>
                    <xdr:col>4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7" r:id="rId144" name="Check Box 197">
              <controlPr defaultSize="0" autoFill="0" autoLine="0" autoPict="0">
                <anchor moveWithCells="1">
                  <from>
                    <xdr:col>9</xdr:col>
                    <xdr:colOff>47874</xdr:colOff>
                    <xdr:row>10</xdr:row>
                    <xdr:rowOff>0</xdr:rowOff>
                  </from>
                  <to>
                    <xdr:col>10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8" r:id="rId145" name="Check Box 198">
              <controlPr defaultSize="0" autoFill="0" autoLine="0" autoPict="0">
                <anchor moveWithCells="1">
                  <from>
                    <xdr:col>9</xdr:col>
                    <xdr:colOff>47874</xdr:colOff>
                    <xdr:row>11</xdr:row>
                    <xdr:rowOff>0</xdr:rowOff>
                  </from>
                  <to>
                    <xdr:col>10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9" r:id="rId146" name="Check Box 199">
              <controlPr defaultSize="0" autoFill="0" autoLine="0" autoPict="0">
                <anchor moveWithCells="1">
                  <from>
                    <xdr:col>9</xdr:col>
                    <xdr:colOff>47874</xdr:colOff>
                    <xdr:row>13</xdr:row>
                    <xdr:rowOff>0</xdr:rowOff>
                  </from>
                  <to>
                    <xdr:col>10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0" r:id="rId147" name="Check Box 200">
              <controlPr defaultSize="0" autoFill="0" autoLine="0" autoPict="0">
                <anchor moveWithCells="1">
                  <from>
                    <xdr:col>9</xdr:col>
                    <xdr:colOff>47874</xdr:colOff>
                    <xdr:row>14</xdr:row>
                    <xdr:rowOff>0</xdr:rowOff>
                  </from>
                  <to>
                    <xdr:col>10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1" r:id="rId148" name="Check Box 201">
              <controlPr defaultSize="0" autoFill="0" autoLine="0" autoPict="0">
                <anchor moveWithCells="1">
                  <from>
                    <xdr:col>9</xdr:col>
                    <xdr:colOff>38299</xdr:colOff>
                    <xdr:row>20</xdr:row>
                    <xdr:rowOff>0</xdr:rowOff>
                  </from>
                  <to>
                    <xdr:col>10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2" r:id="rId149" name="Check Box 202">
              <controlPr defaultSize="0" autoFill="0" autoLine="0" autoPict="0">
                <anchor moveWithCells="1">
                  <from>
                    <xdr:col>9</xdr:col>
                    <xdr:colOff>47874</xdr:colOff>
                    <xdr:row>19</xdr:row>
                    <xdr:rowOff>0</xdr:rowOff>
                  </from>
                  <to>
                    <xdr:col>10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3" r:id="rId150" name="Check Box 203">
              <controlPr defaultSize="0" autoFill="0" autoLine="0" autoPict="0">
                <anchor moveWithCells="1">
                  <from>
                    <xdr:col>9</xdr:col>
                    <xdr:colOff>47874</xdr:colOff>
                    <xdr:row>36</xdr:row>
                    <xdr:rowOff>0</xdr:rowOff>
                  </from>
                  <to>
                    <xdr:col>10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4" r:id="rId151" name="Check Box 204">
              <controlPr defaultSize="0" autoFill="0" autoLine="0" autoPict="0">
                <anchor moveWithCells="1">
                  <from>
                    <xdr:col>9</xdr:col>
                    <xdr:colOff>47874</xdr:colOff>
                    <xdr:row>22</xdr:row>
                    <xdr:rowOff>0</xdr:rowOff>
                  </from>
                  <to>
                    <xdr:col>10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5" r:id="rId152" name="Check Box 205">
              <controlPr defaultSize="0" autoFill="0" autoLine="0" autoPict="0">
                <anchor moveWithCells="1">
                  <from>
                    <xdr:col>9</xdr:col>
                    <xdr:colOff>47874</xdr:colOff>
                    <xdr:row>25</xdr:row>
                    <xdr:rowOff>0</xdr:rowOff>
                  </from>
                  <to>
                    <xdr:col>10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6" r:id="rId153" name="Check Box 206">
              <controlPr defaultSize="0" autoFill="0" autoLine="0" autoPict="0">
                <anchor moveWithCells="1">
                  <from>
                    <xdr:col>9</xdr:col>
                    <xdr:colOff>47874</xdr:colOff>
                    <xdr:row>26</xdr:row>
                    <xdr:rowOff>0</xdr:rowOff>
                  </from>
                  <to>
                    <xdr:col>10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7" r:id="rId154" name="Check Box 207">
              <controlPr defaultSize="0" autoFill="0" autoLine="0" autoPict="0">
                <anchor moveWithCells="1">
                  <from>
                    <xdr:col>9</xdr:col>
                    <xdr:colOff>47874</xdr:colOff>
                    <xdr:row>27</xdr:row>
                    <xdr:rowOff>0</xdr:rowOff>
                  </from>
                  <to>
                    <xdr:col>10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8" r:id="rId155" name="Check Box 208">
              <controlPr defaultSize="0" autoFill="0" autoLine="0" autoPict="0">
                <anchor moveWithCells="1">
                  <from>
                    <xdr:col>9</xdr:col>
                    <xdr:colOff>38299</xdr:colOff>
                    <xdr:row>18</xdr:row>
                    <xdr:rowOff>0</xdr:rowOff>
                  </from>
                  <to>
                    <xdr:col>10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9" r:id="rId156" name="Check Box 209">
              <controlPr defaultSize="0" autoFill="0" autoLine="0" autoPict="0">
                <anchor moveWithCells="1">
                  <from>
                    <xdr:col>9</xdr:col>
                    <xdr:colOff>47874</xdr:colOff>
                    <xdr:row>34</xdr:row>
                    <xdr:rowOff>19150</xdr:rowOff>
                  </from>
                  <to>
                    <xdr:col>10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0" r:id="rId157" name="Check Box 210">
              <controlPr defaultSize="0" autoFill="0" autoLine="0" autoPict="0">
                <anchor moveWithCells="1">
                  <from>
                    <xdr:col>11</xdr:col>
                    <xdr:colOff>47874</xdr:colOff>
                    <xdr:row>10</xdr:row>
                    <xdr:rowOff>0</xdr:rowOff>
                  </from>
                  <to>
                    <xdr:col>12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1" r:id="rId158" name="Check Box 211">
              <controlPr defaultSize="0" autoFill="0" autoLine="0" autoPict="0">
                <anchor moveWithCells="1">
                  <from>
                    <xdr:col>11</xdr:col>
                    <xdr:colOff>47874</xdr:colOff>
                    <xdr:row>11</xdr:row>
                    <xdr:rowOff>0</xdr:rowOff>
                  </from>
                  <to>
                    <xdr:col>12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2" r:id="rId159" name="Check Box 212">
              <controlPr defaultSize="0" autoFill="0" autoLine="0" autoPict="0">
                <anchor moveWithCells="1">
                  <from>
                    <xdr:col>11</xdr:col>
                    <xdr:colOff>47874</xdr:colOff>
                    <xdr:row>13</xdr:row>
                    <xdr:rowOff>0</xdr:rowOff>
                  </from>
                  <to>
                    <xdr:col>12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3" r:id="rId160" name="Check Box 213">
              <controlPr defaultSize="0" autoFill="0" autoLine="0" autoPict="0">
                <anchor moveWithCells="1">
                  <from>
                    <xdr:col>11</xdr:col>
                    <xdr:colOff>47874</xdr:colOff>
                    <xdr:row>14</xdr:row>
                    <xdr:rowOff>0</xdr:rowOff>
                  </from>
                  <to>
                    <xdr:col>12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4" r:id="rId161" name="Check Box 214">
              <controlPr defaultSize="0" autoFill="0" autoLine="0" autoPict="0">
                <anchor moveWithCells="1">
                  <from>
                    <xdr:col>11</xdr:col>
                    <xdr:colOff>38299</xdr:colOff>
                    <xdr:row>20</xdr:row>
                    <xdr:rowOff>0</xdr:rowOff>
                  </from>
                  <to>
                    <xdr:col>12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5" r:id="rId162" name="Check Box 215">
              <controlPr defaultSize="0" autoFill="0" autoLine="0" autoPict="0">
                <anchor moveWithCells="1">
                  <from>
                    <xdr:col>11</xdr:col>
                    <xdr:colOff>47874</xdr:colOff>
                    <xdr:row>19</xdr:row>
                    <xdr:rowOff>0</xdr:rowOff>
                  </from>
                  <to>
                    <xdr:col>12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6" r:id="rId163" name="Check Box 216">
              <controlPr defaultSize="0" autoFill="0" autoLine="0" autoPict="0">
                <anchor moveWithCells="1">
                  <from>
                    <xdr:col>11</xdr:col>
                    <xdr:colOff>47874</xdr:colOff>
                    <xdr:row>36</xdr:row>
                    <xdr:rowOff>0</xdr:rowOff>
                  </from>
                  <to>
                    <xdr:col>12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7" r:id="rId164" name="Check Box 217">
              <controlPr defaultSize="0" autoFill="0" autoLine="0" autoPict="0">
                <anchor moveWithCells="1">
                  <from>
                    <xdr:col>11</xdr:col>
                    <xdr:colOff>47874</xdr:colOff>
                    <xdr:row>22</xdr:row>
                    <xdr:rowOff>0</xdr:rowOff>
                  </from>
                  <to>
                    <xdr:col>12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8" r:id="rId165" name="Check Box 218">
              <controlPr defaultSize="0" autoFill="0" autoLine="0" autoPict="0">
                <anchor moveWithCells="1">
                  <from>
                    <xdr:col>11</xdr:col>
                    <xdr:colOff>47874</xdr:colOff>
                    <xdr:row>25</xdr:row>
                    <xdr:rowOff>0</xdr:rowOff>
                  </from>
                  <to>
                    <xdr:col>12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9" r:id="rId166" name="Check Box 219">
              <controlPr defaultSize="0" autoFill="0" autoLine="0" autoPict="0">
                <anchor moveWithCells="1">
                  <from>
                    <xdr:col>11</xdr:col>
                    <xdr:colOff>47874</xdr:colOff>
                    <xdr:row>26</xdr:row>
                    <xdr:rowOff>0</xdr:rowOff>
                  </from>
                  <to>
                    <xdr:col>12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0" r:id="rId167" name="Check Box 220">
              <controlPr defaultSize="0" autoFill="0" autoLine="0" autoPict="0">
                <anchor moveWithCells="1">
                  <from>
                    <xdr:col>11</xdr:col>
                    <xdr:colOff>47874</xdr:colOff>
                    <xdr:row>27</xdr:row>
                    <xdr:rowOff>0</xdr:rowOff>
                  </from>
                  <to>
                    <xdr:col>12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1" r:id="rId168" name="Check Box 221">
              <controlPr defaultSize="0" autoFill="0" autoLine="0" autoPict="0">
                <anchor moveWithCells="1">
                  <from>
                    <xdr:col>11</xdr:col>
                    <xdr:colOff>38299</xdr:colOff>
                    <xdr:row>18</xdr:row>
                    <xdr:rowOff>0</xdr:rowOff>
                  </from>
                  <to>
                    <xdr:col>12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2" r:id="rId169" name="Check Box 222">
              <controlPr defaultSize="0" autoFill="0" autoLine="0" autoPict="0">
                <anchor moveWithCells="1">
                  <from>
                    <xdr:col>11</xdr:col>
                    <xdr:colOff>47874</xdr:colOff>
                    <xdr:row>34</xdr:row>
                    <xdr:rowOff>19150</xdr:rowOff>
                  </from>
                  <to>
                    <xdr:col>12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3" r:id="rId170" name="Check Box 223">
              <controlPr defaultSize="0" autoFill="0" autoLine="0" autoPict="0">
                <anchor moveWithCells="1">
                  <from>
                    <xdr:col>9</xdr:col>
                    <xdr:colOff>47874</xdr:colOff>
                    <xdr:row>38</xdr:row>
                    <xdr:rowOff>19150</xdr:rowOff>
                  </from>
                  <to>
                    <xdr:col>10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4" r:id="rId171" name="Check Box 224">
              <controlPr defaultSize="0" autoFill="0" autoLine="0" autoPict="0">
                <anchor moveWithCells="1">
                  <from>
                    <xdr:col>11</xdr:col>
                    <xdr:colOff>47874</xdr:colOff>
                    <xdr:row>38</xdr:row>
                    <xdr:rowOff>19150</xdr:rowOff>
                  </from>
                  <to>
                    <xdr:col>12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5" r:id="rId172" name="Check Box 225">
              <controlPr defaultSize="0" autoFill="0" autoLine="0" autoPict="0">
                <anchor moveWithCells="1">
                  <from>
                    <xdr:col>9</xdr:col>
                    <xdr:colOff>47874</xdr:colOff>
                    <xdr:row>12</xdr:row>
                    <xdr:rowOff>0</xdr:rowOff>
                  </from>
                  <to>
                    <xdr:col>10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6" r:id="rId173" name="Check Box 226">
              <controlPr defaultSize="0" autoFill="0" autoLine="0" autoPict="0">
                <anchor moveWithCells="1">
                  <from>
                    <xdr:col>11</xdr:col>
                    <xdr:colOff>47874</xdr:colOff>
                    <xdr:row>12</xdr:row>
                    <xdr:rowOff>0</xdr:rowOff>
                  </from>
                  <to>
                    <xdr:col>12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7" r:id="rId174" name="Check Box 227">
              <controlPr defaultSize="0" autoFill="0" autoLine="0" autoPict="0">
                <anchor moveWithCells="1">
                  <from>
                    <xdr:col>9</xdr:col>
                    <xdr:colOff>47874</xdr:colOff>
                    <xdr:row>23</xdr:row>
                    <xdr:rowOff>0</xdr:rowOff>
                  </from>
                  <to>
                    <xdr:col>10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8" r:id="rId175" name="Check Box 228">
              <controlPr defaultSize="0" autoFill="0" autoLine="0" autoPict="0">
                <anchor moveWithCells="1">
                  <from>
                    <xdr:col>11</xdr:col>
                    <xdr:colOff>47874</xdr:colOff>
                    <xdr:row>23</xdr:row>
                    <xdr:rowOff>0</xdr:rowOff>
                  </from>
                  <to>
                    <xdr:col>12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9" r:id="rId176" name="Check Box 229">
              <controlPr defaultSize="0" autoFill="0" autoLine="0" autoPict="0">
                <anchor moveWithCells="1">
                  <from>
                    <xdr:col>9</xdr:col>
                    <xdr:colOff>47874</xdr:colOff>
                    <xdr:row>39</xdr:row>
                    <xdr:rowOff>19150</xdr:rowOff>
                  </from>
                  <to>
                    <xdr:col>10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0" r:id="rId177" name="Check Box 230">
              <controlPr defaultSize="0" autoFill="0" autoLine="0" autoPict="0">
                <anchor moveWithCells="1">
                  <from>
                    <xdr:col>11</xdr:col>
                    <xdr:colOff>47874</xdr:colOff>
                    <xdr:row>39</xdr:row>
                    <xdr:rowOff>19150</xdr:rowOff>
                  </from>
                  <to>
                    <xdr:col>12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1" r:id="rId178" name="Check Box 231">
              <controlPr defaultSize="0" autoFill="0" autoLine="0" autoPict="0">
                <anchor moveWithCells="1">
                  <from>
                    <xdr:col>9</xdr:col>
                    <xdr:colOff>47874</xdr:colOff>
                    <xdr:row>40</xdr:row>
                    <xdr:rowOff>19150</xdr:rowOff>
                  </from>
                  <to>
                    <xdr:col>10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2" r:id="rId179" name="Check Box 232">
              <controlPr defaultSize="0" autoFill="0" autoLine="0" autoPict="0">
                <anchor moveWithCells="1">
                  <from>
                    <xdr:col>11</xdr:col>
                    <xdr:colOff>47874</xdr:colOff>
                    <xdr:row>40</xdr:row>
                    <xdr:rowOff>19150</xdr:rowOff>
                  </from>
                  <to>
                    <xdr:col>12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3" r:id="rId180" name="Check Box 233">
              <controlPr defaultSize="0" autoFill="0" autoLine="0" autoPict="0">
                <anchor moveWithCells="1">
                  <from>
                    <xdr:col>9</xdr:col>
                    <xdr:colOff>47874</xdr:colOff>
                    <xdr:row>15</xdr:row>
                    <xdr:rowOff>0</xdr:rowOff>
                  </from>
                  <to>
                    <xdr:col>10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4" r:id="rId181" name="Check Box 234">
              <controlPr defaultSize="0" autoFill="0" autoLine="0" autoPict="0">
                <anchor moveWithCells="1">
                  <from>
                    <xdr:col>11</xdr:col>
                    <xdr:colOff>47874</xdr:colOff>
                    <xdr:row>15</xdr:row>
                    <xdr:rowOff>0</xdr:rowOff>
                  </from>
                  <to>
                    <xdr:col>12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5" r:id="rId182" name="Check Box 235">
              <controlPr defaultSize="0" autoFill="0" autoLine="0" autoPict="0">
                <anchor moveWithCells="1">
                  <from>
                    <xdr:col>9</xdr:col>
                    <xdr:colOff>47874</xdr:colOff>
                    <xdr:row>17</xdr:row>
                    <xdr:rowOff>0</xdr:rowOff>
                  </from>
                  <to>
                    <xdr:col>10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6" r:id="rId183" name="Check Box 236">
              <controlPr defaultSize="0" autoFill="0" autoLine="0" autoPict="0">
                <anchor moveWithCells="1">
                  <from>
                    <xdr:col>11</xdr:col>
                    <xdr:colOff>47874</xdr:colOff>
                    <xdr:row>17</xdr:row>
                    <xdr:rowOff>0</xdr:rowOff>
                  </from>
                  <to>
                    <xdr:col>12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7" r:id="rId184" name="Check Box 237">
              <controlPr defaultSize="0" autoFill="0" autoLine="0" autoPict="0">
                <anchor moveWithCells="1">
                  <from>
                    <xdr:col>9</xdr:col>
                    <xdr:colOff>38299</xdr:colOff>
                    <xdr:row>21</xdr:row>
                    <xdr:rowOff>0</xdr:rowOff>
                  </from>
                  <to>
                    <xdr:col>10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8" r:id="rId185" name="Check Box 238">
              <controlPr defaultSize="0" autoFill="0" autoLine="0" autoPict="0">
                <anchor moveWithCells="1">
                  <from>
                    <xdr:col>11</xdr:col>
                    <xdr:colOff>38299</xdr:colOff>
                    <xdr:row>21</xdr:row>
                    <xdr:rowOff>0</xdr:rowOff>
                  </from>
                  <to>
                    <xdr:col>12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9" r:id="rId186" name="Check Box 239">
              <controlPr defaultSize="0" autoFill="0" autoLine="0" autoPict="0">
                <anchor moveWithCells="1">
                  <from>
                    <xdr:col>9</xdr:col>
                    <xdr:colOff>47874</xdr:colOff>
                    <xdr:row>28</xdr:row>
                    <xdr:rowOff>0</xdr:rowOff>
                  </from>
                  <to>
                    <xdr:col>10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0" r:id="rId187" name="Check Box 240">
              <controlPr defaultSize="0" autoFill="0" autoLine="0" autoPict="0">
                <anchor moveWithCells="1">
                  <from>
                    <xdr:col>11</xdr:col>
                    <xdr:colOff>47874</xdr:colOff>
                    <xdr:row>28</xdr:row>
                    <xdr:rowOff>0</xdr:rowOff>
                  </from>
                  <to>
                    <xdr:col>12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1" r:id="rId188" name="Check Box 241">
              <controlPr defaultSize="0" autoFill="0" autoLine="0" autoPict="0">
                <anchor moveWithCells="1">
                  <from>
                    <xdr:col>9</xdr:col>
                    <xdr:colOff>47874</xdr:colOff>
                    <xdr:row>29</xdr:row>
                    <xdr:rowOff>0</xdr:rowOff>
                  </from>
                  <to>
                    <xdr:col>10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2" r:id="rId189" name="Check Box 242">
              <controlPr defaultSize="0" autoFill="0" autoLine="0" autoPict="0">
                <anchor moveWithCells="1">
                  <from>
                    <xdr:col>11</xdr:col>
                    <xdr:colOff>47874</xdr:colOff>
                    <xdr:row>29</xdr:row>
                    <xdr:rowOff>0</xdr:rowOff>
                  </from>
                  <to>
                    <xdr:col>12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3" r:id="rId190" name="Check Box 243">
              <controlPr defaultSize="0" autoFill="0" autoLine="0" autoPict="0">
                <anchor moveWithCells="1">
                  <from>
                    <xdr:col>9</xdr:col>
                    <xdr:colOff>47874</xdr:colOff>
                    <xdr:row>30</xdr:row>
                    <xdr:rowOff>0</xdr:rowOff>
                  </from>
                  <to>
                    <xdr:col>10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4" r:id="rId191" name="Check Box 244">
              <controlPr defaultSize="0" autoFill="0" autoLine="0" autoPict="0">
                <anchor moveWithCells="1">
                  <from>
                    <xdr:col>11</xdr:col>
                    <xdr:colOff>47874</xdr:colOff>
                    <xdr:row>30</xdr:row>
                    <xdr:rowOff>0</xdr:rowOff>
                  </from>
                  <to>
                    <xdr:col>12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5" r:id="rId192" name="Check Box 245">
              <controlPr defaultSize="0" autoFill="0" autoLine="0" autoPict="0">
                <anchor moveWithCells="1">
                  <from>
                    <xdr:col>9</xdr:col>
                    <xdr:colOff>47874</xdr:colOff>
                    <xdr:row>31</xdr:row>
                    <xdr:rowOff>0</xdr:rowOff>
                  </from>
                  <to>
                    <xdr:col>10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6" r:id="rId193" name="Check Box 246">
              <controlPr defaultSize="0" autoFill="0" autoLine="0" autoPict="0">
                <anchor moveWithCells="1">
                  <from>
                    <xdr:col>11</xdr:col>
                    <xdr:colOff>47874</xdr:colOff>
                    <xdr:row>31</xdr:row>
                    <xdr:rowOff>0</xdr:rowOff>
                  </from>
                  <to>
                    <xdr:col>12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7" r:id="rId194" name="Check Box 247">
              <controlPr defaultSize="0" autoFill="0" autoLine="0" autoPict="0">
                <anchor moveWithCells="1">
                  <from>
                    <xdr:col>9</xdr:col>
                    <xdr:colOff>47874</xdr:colOff>
                    <xdr:row>32</xdr:row>
                    <xdr:rowOff>0</xdr:rowOff>
                  </from>
                  <to>
                    <xdr:col>10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8" r:id="rId195" name="Check Box 248">
              <controlPr defaultSize="0" autoFill="0" autoLine="0" autoPict="0">
                <anchor moveWithCells="1">
                  <from>
                    <xdr:col>11</xdr:col>
                    <xdr:colOff>47874</xdr:colOff>
                    <xdr:row>32</xdr:row>
                    <xdr:rowOff>0</xdr:rowOff>
                  </from>
                  <to>
                    <xdr:col>12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9" r:id="rId196" name="Check Box 249">
              <controlPr defaultSize="0" autoFill="0" autoLine="0" autoPict="0">
                <anchor moveWithCells="1">
                  <from>
                    <xdr:col>9</xdr:col>
                    <xdr:colOff>47874</xdr:colOff>
                    <xdr:row>35</xdr:row>
                    <xdr:rowOff>0</xdr:rowOff>
                  </from>
                  <to>
                    <xdr:col>10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0" r:id="rId197" name="Check Box 250">
              <controlPr defaultSize="0" autoFill="0" autoLine="0" autoPict="0">
                <anchor moveWithCells="1">
                  <from>
                    <xdr:col>11</xdr:col>
                    <xdr:colOff>47874</xdr:colOff>
                    <xdr:row>35</xdr:row>
                    <xdr:rowOff>0</xdr:rowOff>
                  </from>
                  <to>
                    <xdr:col>12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1" r:id="rId198" name="Check Box 251">
              <controlPr defaultSize="0" autoFill="0" autoLine="0" autoPict="0" altText="Fosfaat">
                <anchor moveWithCells="1">
                  <from>
                    <xdr:col>9</xdr:col>
                    <xdr:colOff>47874</xdr:colOff>
                    <xdr:row>24</xdr:row>
                    <xdr:rowOff>19150</xdr:rowOff>
                  </from>
                  <to>
                    <xdr:col>10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2" r:id="rId199" name="Check Box 252">
              <controlPr defaultSize="0" autoFill="0" autoLine="0" autoPict="0" altText="Fosfaat">
                <anchor moveWithCells="1">
                  <from>
                    <xdr:col>11</xdr:col>
                    <xdr:colOff>47874</xdr:colOff>
                    <xdr:row>24</xdr:row>
                    <xdr:rowOff>19150</xdr:rowOff>
                  </from>
                  <to>
                    <xdr:col>12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3" r:id="rId200" name="Check Box 253">
              <controlPr defaultSize="0" autoFill="0" autoLine="0" autoPict="0" altText="Leuko's + diff">
                <anchor moveWithCells="1">
                  <from>
                    <xdr:col>1</xdr:col>
                    <xdr:colOff>47874</xdr:colOff>
                    <xdr:row>16</xdr:row>
                    <xdr:rowOff>0</xdr:rowOff>
                  </from>
                  <to>
                    <xdr:col>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4" r:id="rId201" name="Check Box 254">
              <controlPr defaultSize="0" autoFill="0" autoLine="0" autoPict="0">
                <anchor moveWithCells="1">
                  <from>
                    <xdr:col>5</xdr:col>
                    <xdr:colOff>47874</xdr:colOff>
                    <xdr:row>16</xdr:row>
                    <xdr:rowOff>0</xdr:rowOff>
                  </from>
                  <to>
                    <xdr:col>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5" r:id="rId202" name="Check Box 255">
              <controlPr defaultSize="0" autoFill="0" autoLine="0" autoPict="0">
                <anchor moveWithCells="1">
                  <from>
                    <xdr:col>7</xdr:col>
                    <xdr:colOff>47874</xdr:colOff>
                    <xdr:row>16</xdr:row>
                    <xdr:rowOff>0</xdr:rowOff>
                  </from>
                  <to>
                    <xdr:col>8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6" r:id="rId203" name="Check Box 256">
              <controlPr defaultSize="0" autoFill="0" autoLine="0" autoPict="0">
                <anchor moveWithCells="1">
                  <from>
                    <xdr:col>15</xdr:col>
                    <xdr:colOff>47874</xdr:colOff>
                    <xdr:row>16</xdr:row>
                    <xdr:rowOff>0</xdr:rowOff>
                  </from>
                  <to>
                    <xdr:col>16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7" r:id="rId204" name="Check Box 257">
              <controlPr defaultSize="0" autoFill="0" autoLine="0" autoPict="0">
                <anchor moveWithCells="1">
                  <from>
                    <xdr:col>3</xdr:col>
                    <xdr:colOff>47874</xdr:colOff>
                    <xdr:row>16</xdr:row>
                    <xdr:rowOff>0</xdr:rowOff>
                  </from>
                  <to>
                    <xdr:col>4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0" r:id="rId205" name="Check Box 260">
              <controlPr defaultSize="0" autoFill="0" autoLine="0" autoPict="0">
                <anchor moveWithCells="1">
                  <from>
                    <xdr:col>9</xdr:col>
                    <xdr:colOff>47874</xdr:colOff>
                    <xdr:row>16</xdr:row>
                    <xdr:rowOff>0</xdr:rowOff>
                  </from>
                  <to>
                    <xdr:col>10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1" r:id="rId206" name="Check Box 261">
              <controlPr defaultSize="0" autoFill="0" autoLine="0" autoPict="0">
                <anchor moveWithCells="1">
                  <from>
                    <xdr:col>11</xdr:col>
                    <xdr:colOff>47874</xdr:colOff>
                    <xdr:row>16</xdr:row>
                    <xdr:rowOff>0</xdr:rowOff>
                  </from>
                  <to>
                    <xdr:col>12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2" r:id="rId207" name="Check Box 262">
              <controlPr defaultSize="0" autoFill="0" autoLine="0" autoPict="0" altText="NICU APTT ">
                <anchor moveWithCells="1">
                  <from>
                    <xdr:col>1</xdr:col>
                    <xdr:colOff>47874</xdr:colOff>
                    <xdr:row>37</xdr:row>
                    <xdr:rowOff>0</xdr:rowOff>
                  </from>
                  <to>
                    <xdr:col>2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3" r:id="rId208" name="Check Box 263">
              <controlPr defaultSize="0" autoFill="0" autoLine="0" autoPict="0">
                <anchor moveWithCells="1">
                  <from>
                    <xdr:col>5</xdr:col>
                    <xdr:colOff>47874</xdr:colOff>
                    <xdr:row>37</xdr:row>
                    <xdr:rowOff>0</xdr:rowOff>
                  </from>
                  <to>
                    <xdr:col>6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4" r:id="rId209" name="Check Box 264">
              <controlPr defaultSize="0" autoFill="0" autoLine="0" autoPict="0">
                <anchor moveWithCells="1">
                  <from>
                    <xdr:col>7</xdr:col>
                    <xdr:colOff>47874</xdr:colOff>
                    <xdr:row>37</xdr:row>
                    <xdr:rowOff>0</xdr:rowOff>
                  </from>
                  <to>
                    <xdr:col>8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5" r:id="rId210" name="Check Box 265">
              <controlPr defaultSize="0" autoFill="0" autoLine="0" autoPict="0">
                <anchor moveWithCells="1">
                  <from>
                    <xdr:col>15</xdr:col>
                    <xdr:colOff>47874</xdr:colOff>
                    <xdr:row>37</xdr:row>
                    <xdr:rowOff>0</xdr:rowOff>
                  </from>
                  <to>
                    <xdr:col>16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6" r:id="rId211" name="Check Box 266">
              <controlPr defaultSize="0" autoFill="0" autoLine="0" autoPict="0">
                <anchor moveWithCells="1">
                  <from>
                    <xdr:col>3</xdr:col>
                    <xdr:colOff>47874</xdr:colOff>
                    <xdr:row>37</xdr:row>
                    <xdr:rowOff>0</xdr:rowOff>
                  </from>
                  <to>
                    <xdr:col>4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9" r:id="rId212" name="Check Box 269">
              <controlPr defaultSize="0" autoFill="0" autoLine="0" autoPict="0">
                <anchor moveWithCells="1">
                  <from>
                    <xdr:col>9</xdr:col>
                    <xdr:colOff>47874</xdr:colOff>
                    <xdr:row>37</xdr:row>
                    <xdr:rowOff>0</xdr:rowOff>
                  </from>
                  <to>
                    <xdr:col>10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0" r:id="rId213" name="Check Box 270">
              <controlPr defaultSize="0" autoFill="0" autoLine="0" autoPict="0">
                <anchor moveWithCells="1">
                  <from>
                    <xdr:col>11</xdr:col>
                    <xdr:colOff>47874</xdr:colOff>
                    <xdr:row>37</xdr:row>
                    <xdr:rowOff>0</xdr:rowOff>
                  </from>
                  <to>
                    <xdr:col>12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1" r:id="rId214" name="Check Box 271">
              <controlPr defaultSize="0" autoFill="0" autoLine="0" autoPict="0" altText="Triglyceriden">
                <anchor moveWithCells="1">
                  <from>
                    <xdr:col>1</xdr:col>
                    <xdr:colOff>47874</xdr:colOff>
                    <xdr:row>33</xdr:row>
                    <xdr:rowOff>19150</xdr:rowOff>
                  </from>
                  <to>
                    <xdr:col>2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2" r:id="rId215" name="Check Box 272">
              <controlPr defaultSize="0" autoFill="0" autoLine="0" autoPict="0" altText="Fosfaat">
                <anchor moveWithCells="1">
                  <from>
                    <xdr:col>5</xdr:col>
                    <xdr:colOff>47874</xdr:colOff>
                    <xdr:row>33</xdr:row>
                    <xdr:rowOff>19150</xdr:rowOff>
                  </from>
                  <to>
                    <xdr:col>6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3" r:id="rId216" name="Check Box 273">
              <controlPr defaultSize="0" autoFill="0" autoLine="0" autoPict="0" altText="Fosfaat">
                <anchor moveWithCells="1">
                  <from>
                    <xdr:col>7</xdr:col>
                    <xdr:colOff>47874</xdr:colOff>
                    <xdr:row>33</xdr:row>
                    <xdr:rowOff>19150</xdr:rowOff>
                  </from>
                  <to>
                    <xdr:col>8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4" r:id="rId217" name="Check Box 274">
              <controlPr defaultSize="0" autoFill="0" autoLine="0" autoPict="0" altText="Fosfaat">
                <anchor moveWithCells="1">
                  <from>
                    <xdr:col>15</xdr:col>
                    <xdr:colOff>47874</xdr:colOff>
                    <xdr:row>33</xdr:row>
                    <xdr:rowOff>19150</xdr:rowOff>
                  </from>
                  <to>
                    <xdr:col>16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5" r:id="rId218" name="Check Box 275">
              <controlPr defaultSize="0" autoFill="0" autoLine="0" autoPict="0" altText="Fosfaat">
                <anchor moveWithCells="1">
                  <from>
                    <xdr:col>3</xdr:col>
                    <xdr:colOff>47874</xdr:colOff>
                    <xdr:row>33</xdr:row>
                    <xdr:rowOff>19150</xdr:rowOff>
                  </from>
                  <to>
                    <xdr:col>4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8" r:id="rId219" name="Check Box 278">
              <controlPr defaultSize="0" autoFill="0" autoLine="0" autoPict="0" altText="Fosfaat">
                <anchor moveWithCells="1">
                  <from>
                    <xdr:col>9</xdr:col>
                    <xdr:colOff>47874</xdr:colOff>
                    <xdr:row>33</xdr:row>
                    <xdr:rowOff>19150</xdr:rowOff>
                  </from>
                  <to>
                    <xdr:col>10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9" r:id="rId220" name="Check Box 279">
              <controlPr defaultSize="0" autoFill="0" autoLine="0" autoPict="0" altText="Fosfaat">
                <anchor moveWithCells="1">
                  <from>
                    <xdr:col>11</xdr:col>
                    <xdr:colOff>47874</xdr:colOff>
                    <xdr:row>33</xdr:row>
                    <xdr:rowOff>19150</xdr:rowOff>
                  </from>
                  <to>
                    <xdr:col>12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0" r:id="rId221" name="Check Box 280">
              <controlPr defaultSize="0" autoFill="0" autoLine="0" autoPict="0" altText="Triglyceriden">
                <anchor moveWithCells="1">
                  <from>
                    <xdr:col>1</xdr:col>
                    <xdr:colOff>47874</xdr:colOff>
                    <xdr:row>41</xdr:row>
                    <xdr:rowOff>19150</xdr:rowOff>
                  </from>
                  <to>
                    <xdr:col>2</xdr:col>
                    <xdr:colOff>627154</xdr:colOff>
                    <xdr:row>41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1" r:id="rId222" name="Check Box 281">
              <controlPr defaultSize="0" autoFill="0" autoLine="0" autoPict="0">
                <anchor moveWithCells="1">
                  <from>
                    <xdr:col>17</xdr:col>
                    <xdr:colOff>47874</xdr:colOff>
                    <xdr:row>10</xdr:row>
                    <xdr:rowOff>0</xdr:rowOff>
                  </from>
                  <to>
                    <xdr:col>18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2" r:id="rId223" name="Check Box 282">
              <controlPr defaultSize="0" autoFill="0" autoLine="0" autoPict="0">
                <anchor moveWithCells="1">
                  <from>
                    <xdr:col>17</xdr:col>
                    <xdr:colOff>47874</xdr:colOff>
                    <xdr:row>11</xdr:row>
                    <xdr:rowOff>0</xdr:rowOff>
                  </from>
                  <to>
                    <xdr:col>18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3" r:id="rId224" name="Check Box 283">
              <controlPr defaultSize="0" autoFill="0" autoLine="0" autoPict="0">
                <anchor moveWithCells="1">
                  <from>
                    <xdr:col>17</xdr:col>
                    <xdr:colOff>47874</xdr:colOff>
                    <xdr:row>13</xdr:row>
                    <xdr:rowOff>0</xdr:rowOff>
                  </from>
                  <to>
                    <xdr:col>18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4" r:id="rId225" name="Check Box 284">
              <controlPr defaultSize="0" autoFill="0" autoLine="0" autoPict="0">
                <anchor moveWithCells="1">
                  <from>
                    <xdr:col>17</xdr:col>
                    <xdr:colOff>47874</xdr:colOff>
                    <xdr:row>14</xdr:row>
                    <xdr:rowOff>0</xdr:rowOff>
                  </from>
                  <to>
                    <xdr:col>18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5" r:id="rId226" name="Check Box 285">
              <controlPr defaultSize="0" autoFill="0" autoLine="0" autoPict="0">
                <anchor moveWithCells="1">
                  <from>
                    <xdr:col>17</xdr:col>
                    <xdr:colOff>38299</xdr:colOff>
                    <xdr:row>20</xdr:row>
                    <xdr:rowOff>0</xdr:rowOff>
                  </from>
                  <to>
                    <xdr:col>18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6" r:id="rId227" name="Check Box 286">
              <controlPr defaultSize="0" autoFill="0" autoLine="0" autoPict="0">
                <anchor moveWithCells="1">
                  <from>
                    <xdr:col>17</xdr:col>
                    <xdr:colOff>47874</xdr:colOff>
                    <xdr:row>19</xdr:row>
                    <xdr:rowOff>0</xdr:rowOff>
                  </from>
                  <to>
                    <xdr:col>18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7" r:id="rId228" name="Check Box 287">
              <controlPr defaultSize="0" autoFill="0" autoLine="0" autoPict="0">
                <anchor moveWithCells="1">
                  <from>
                    <xdr:col>17</xdr:col>
                    <xdr:colOff>47874</xdr:colOff>
                    <xdr:row>36</xdr:row>
                    <xdr:rowOff>0</xdr:rowOff>
                  </from>
                  <to>
                    <xdr:col>18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8" r:id="rId229" name="Check Box 288">
              <controlPr defaultSize="0" autoFill="0" autoLine="0" autoPict="0">
                <anchor moveWithCells="1">
                  <from>
                    <xdr:col>17</xdr:col>
                    <xdr:colOff>47874</xdr:colOff>
                    <xdr:row>22</xdr:row>
                    <xdr:rowOff>0</xdr:rowOff>
                  </from>
                  <to>
                    <xdr:col>18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9" r:id="rId230" name="Check Box 289">
              <controlPr defaultSize="0" autoFill="0" autoLine="0" autoPict="0">
                <anchor moveWithCells="1">
                  <from>
                    <xdr:col>17</xdr:col>
                    <xdr:colOff>47874</xdr:colOff>
                    <xdr:row>25</xdr:row>
                    <xdr:rowOff>0</xdr:rowOff>
                  </from>
                  <to>
                    <xdr:col>18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0" r:id="rId231" name="Check Box 290">
              <controlPr defaultSize="0" autoFill="0" autoLine="0" autoPict="0">
                <anchor moveWithCells="1">
                  <from>
                    <xdr:col>17</xdr:col>
                    <xdr:colOff>47874</xdr:colOff>
                    <xdr:row>26</xdr:row>
                    <xdr:rowOff>0</xdr:rowOff>
                  </from>
                  <to>
                    <xdr:col>18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1" r:id="rId232" name="Check Box 291">
              <controlPr defaultSize="0" autoFill="0" autoLine="0" autoPict="0">
                <anchor moveWithCells="1">
                  <from>
                    <xdr:col>17</xdr:col>
                    <xdr:colOff>47874</xdr:colOff>
                    <xdr:row>27</xdr:row>
                    <xdr:rowOff>0</xdr:rowOff>
                  </from>
                  <to>
                    <xdr:col>18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2" r:id="rId233" name="Check Box 292">
              <controlPr defaultSize="0" autoFill="0" autoLine="0" autoPict="0">
                <anchor moveWithCells="1">
                  <from>
                    <xdr:col>17</xdr:col>
                    <xdr:colOff>38299</xdr:colOff>
                    <xdr:row>18</xdr:row>
                    <xdr:rowOff>0</xdr:rowOff>
                  </from>
                  <to>
                    <xdr:col>18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3" r:id="rId234" name="Check Box 293">
              <controlPr defaultSize="0" autoFill="0" autoLine="0" autoPict="0">
                <anchor moveWithCells="1">
                  <from>
                    <xdr:col>17</xdr:col>
                    <xdr:colOff>47874</xdr:colOff>
                    <xdr:row>34</xdr:row>
                    <xdr:rowOff>19150</xdr:rowOff>
                  </from>
                  <to>
                    <xdr:col>18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4" r:id="rId235" name="Check Box 294">
              <controlPr defaultSize="0" autoFill="0" autoLine="0" autoPict="0">
                <anchor moveWithCells="1">
                  <from>
                    <xdr:col>17</xdr:col>
                    <xdr:colOff>47874</xdr:colOff>
                    <xdr:row>38</xdr:row>
                    <xdr:rowOff>19150</xdr:rowOff>
                  </from>
                  <to>
                    <xdr:col>18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5" r:id="rId236" name="Check Box 295">
              <controlPr defaultSize="0" autoFill="0" autoLine="0" autoPict="0">
                <anchor moveWithCells="1">
                  <from>
                    <xdr:col>17</xdr:col>
                    <xdr:colOff>47874</xdr:colOff>
                    <xdr:row>12</xdr:row>
                    <xdr:rowOff>0</xdr:rowOff>
                  </from>
                  <to>
                    <xdr:col>18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6" r:id="rId237" name="Check Box 296">
              <controlPr defaultSize="0" autoFill="0" autoLine="0" autoPict="0">
                <anchor moveWithCells="1">
                  <from>
                    <xdr:col>17</xdr:col>
                    <xdr:colOff>47874</xdr:colOff>
                    <xdr:row>23</xdr:row>
                    <xdr:rowOff>0</xdr:rowOff>
                  </from>
                  <to>
                    <xdr:col>18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7" r:id="rId238" name="Check Box 297">
              <controlPr defaultSize="0" autoFill="0" autoLine="0" autoPict="0">
                <anchor moveWithCells="1">
                  <from>
                    <xdr:col>17</xdr:col>
                    <xdr:colOff>47874</xdr:colOff>
                    <xdr:row>39</xdr:row>
                    <xdr:rowOff>19150</xdr:rowOff>
                  </from>
                  <to>
                    <xdr:col>18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8" r:id="rId239" name="Check Box 298">
              <controlPr defaultSize="0" autoFill="0" autoLine="0" autoPict="0">
                <anchor moveWithCells="1">
                  <from>
                    <xdr:col>17</xdr:col>
                    <xdr:colOff>47874</xdr:colOff>
                    <xdr:row>40</xdr:row>
                    <xdr:rowOff>19150</xdr:rowOff>
                  </from>
                  <to>
                    <xdr:col>18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9" r:id="rId240" name="Check Box 299">
              <controlPr defaultSize="0" autoFill="0" autoLine="0" autoPict="0">
                <anchor moveWithCells="1">
                  <from>
                    <xdr:col>17</xdr:col>
                    <xdr:colOff>47874</xdr:colOff>
                    <xdr:row>15</xdr:row>
                    <xdr:rowOff>0</xdr:rowOff>
                  </from>
                  <to>
                    <xdr:col>18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0" r:id="rId241" name="Check Box 300">
              <controlPr defaultSize="0" autoFill="0" autoLine="0" autoPict="0">
                <anchor moveWithCells="1">
                  <from>
                    <xdr:col>17</xdr:col>
                    <xdr:colOff>47874</xdr:colOff>
                    <xdr:row>17</xdr:row>
                    <xdr:rowOff>0</xdr:rowOff>
                  </from>
                  <to>
                    <xdr:col>18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1" r:id="rId242" name="Check Box 301">
              <controlPr defaultSize="0" autoFill="0" autoLine="0" autoPict="0">
                <anchor moveWithCells="1">
                  <from>
                    <xdr:col>17</xdr:col>
                    <xdr:colOff>38299</xdr:colOff>
                    <xdr:row>21</xdr:row>
                    <xdr:rowOff>0</xdr:rowOff>
                  </from>
                  <to>
                    <xdr:col>18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2" r:id="rId243" name="Check Box 302">
              <controlPr defaultSize="0" autoFill="0" autoLine="0" autoPict="0">
                <anchor moveWithCells="1">
                  <from>
                    <xdr:col>17</xdr:col>
                    <xdr:colOff>47874</xdr:colOff>
                    <xdr:row>28</xdr:row>
                    <xdr:rowOff>0</xdr:rowOff>
                  </from>
                  <to>
                    <xdr:col>18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3" r:id="rId244" name="Check Box 303">
              <controlPr defaultSize="0" autoFill="0" autoLine="0" autoPict="0">
                <anchor moveWithCells="1">
                  <from>
                    <xdr:col>17</xdr:col>
                    <xdr:colOff>47874</xdr:colOff>
                    <xdr:row>29</xdr:row>
                    <xdr:rowOff>0</xdr:rowOff>
                  </from>
                  <to>
                    <xdr:col>18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4" r:id="rId245" name="Check Box 304">
              <controlPr defaultSize="0" autoFill="0" autoLine="0" autoPict="0">
                <anchor moveWithCells="1">
                  <from>
                    <xdr:col>17</xdr:col>
                    <xdr:colOff>47874</xdr:colOff>
                    <xdr:row>30</xdr:row>
                    <xdr:rowOff>0</xdr:rowOff>
                  </from>
                  <to>
                    <xdr:col>18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5" r:id="rId246" name="Check Box 305">
              <controlPr defaultSize="0" autoFill="0" autoLine="0" autoPict="0">
                <anchor moveWithCells="1">
                  <from>
                    <xdr:col>17</xdr:col>
                    <xdr:colOff>47874</xdr:colOff>
                    <xdr:row>31</xdr:row>
                    <xdr:rowOff>0</xdr:rowOff>
                  </from>
                  <to>
                    <xdr:col>18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6" r:id="rId247" name="Check Box 306">
              <controlPr defaultSize="0" autoFill="0" autoLine="0" autoPict="0">
                <anchor moveWithCells="1">
                  <from>
                    <xdr:col>17</xdr:col>
                    <xdr:colOff>47874</xdr:colOff>
                    <xdr:row>32</xdr:row>
                    <xdr:rowOff>0</xdr:rowOff>
                  </from>
                  <to>
                    <xdr:col>18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7" r:id="rId248" name="Check Box 307">
              <controlPr defaultSize="0" autoFill="0" autoLine="0" autoPict="0">
                <anchor moveWithCells="1">
                  <from>
                    <xdr:col>17</xdr:col>
                    <xdr:colOff>47874</xdr:colOff>
                    <xdr:row>35</xdr:row>
                    <xdr:rowOff>0</xdr:rowOff>
                  </from>
                  <to>
                    <xdr:col>18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8" r:id="rId249" name="Check Box 308">
              <controlPr defaultSize="0" autoFill="0" autoLine="0" autoPict="0" altText="Fosfaat">
                <anchor moveWithCells="1">
                  <from>
                    <xdr:col>17</xdr:col>
                    <xdr:colOff>47874</xdr:colOff>
                    <xdr:row>24</xdr:row>
                    <xdr:rowOff>19150</xdr:rowOff>
                  </from>
                  <to>
                    <xdr:col>18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9" r:id="rId250" name="Check Box 309">
              <controlPr defaultSize="0" autoFill="0" autoLine="0" autoPict="0">
                <anchor moveWithCells="1">
                  <from>
                    <xdr:col>17</xdr:col>
                    <xdr:colOff>47874</xdr:colOff>
                    <xdr:row>16</xdr:row>
                    <xdr:rowOff>0</xdr:rowOff>
                  </from>
                  <to>
                    <xdr:col>18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0" r:id="rId251" name="Check Box 310">
              <controlPr defaultSize="0" autoFill="0" autoLine="0" autoPict="0">
                <anchor moveWithCells="1">
                  <from>
                    <xdr:col>17</xdr:col>
                    <xdr:colOff>47874</xdr:colOff>
                    <xdr:row>37</xdr:row>
                    <xdr:rowOff>0</xdr:rowOff>
                  </from>
                  <to>
                    <xdr:col>18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1" r:id="rId252" name="Check Box 311">
              <controlPr defaultSize="0" autoFill="0" autoLine="0" autoPict="0" altText="Fosfaat">
                <anchor moveWithCells="1">
                  <from>
                    <xdr:col>17</xdr:col>
                    <xdr:colOff>47874</xdr:colOff>
                    <xdr:row>33</xdr:row>
                    <xdr:rowOff>19150</xdr:rowOff>
                  </from>
                  <to>
                    <xdr:col>18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2" r:id="rId253" name="Check Box 312">
              <controlPr defaultSize="0" autoFill="0" autoLine="0" autoPict="0">
                <anchor moveWithCells="1">
                  <from>
                    <xdr:col>19</xdr:col>
                    <xdr:colOff>47874</xdr:colOff>
                    <xdr:row>10</xdr:row>
                    <xdr:rowOff>0</xdr:rowOff>
                  </from>
                  <to>
                    <xdr:col>20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3" r:id="rId254" name="Check Box 313">
              <controlPr defaultSize="0" autoFill="0" autoLine="0" autoPict="0">
                <anchor moveWithCells="1">
                  <from>
                    <xdr:col>19</xdr:col>
                    <xdr:colOff>47874</xdr:colOff>
                    <xdr:row>11</xdr:row>
                    <xdr:rowOff>0</xdr:rowOff>
                  </from>
                  <to>
                    <xdr:col>20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4" r:id="rId255" name="Check Box 314">
              <controlPr defaultSize="0" autoFill="0" autoLine="0" autoPict="0">
                <anchor moveWithCells="1">
                  <from>
                    <xdr:col>19</xdr:col>
                    <xdr:colOff>47874</xdr:colOff>
                    <xdr:row>13</xdr:row>
                    <xdr:rowOff>0</xdr:rowOff>
                  </from>
                  <to>
                    <xdr:col>20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5" r:id="rId256" name="Check Box 315">
              <controlPr defaultSize="0" autoFill="0" autoLine="0" autoPict="0">
                <anchor moveWithCells="1">
                  <from>
                    <xdr:col>19</xdr:col>
                    <xdr:colOff>47874</xdr:colOff>
                    <xdr:row>14</xdr:row>
                    <xdr:rowOff>0</xdr:rowOff>
                  </from>
                  <to>
                    <xdr:col>20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6" r:id="rId257" name="Check Box 316">
              <controlPr defaultSize="0" autoFill="0" autoLine="0" autoPict="0">
                <anchor moveWithCells="1">
                  <from>
                    <xdr:col>19</xdr:col>
                    <xdr:colOff>38299</xdr:colOff>
                    <xdr:row>20</xdr:row>
                    <xdr:rowOff>0</xdr:rowOff>
                  </from>
                  <to>
                    <xdr:col>20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7" r:id="rId258" name="Check Box 317">
              <controlPr defaultSize="0" autoFill="0" autoLine="0" autoPict="0">
                <anchor moveWithCells="1">
                  <from>
                    <xdr:col>19</xdr:col>
                    <xdr:colOff>47874</xdr:colOff>
                    <xdr:row>19</xdr:row>
                    <xdr:rowOff>0</xdr:rowOff>
                  </from>
                  <to>
                    <xdr:col>20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8" r:id="rId259" name="Check Box 318">
              <controlPr defaultSize="0" autoFill="0" autoLine="0" autoPict="0">
                <anchor moveWithCells="1">
                  <from>
                    <xdr:col>19</xdr:col>
                    <xdr:colOff>47874</xdr:colOff>
                    <xdr:row>36</xdr:row>
                    <xdr:rowOff>0</xdr:rowOff>
                  </from>
                  <to>
                    <xdr:col>20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9" r:id="rId260" name="Check Box 319">
              <controlPr defaultSize="0" autoFill="0" autoLine="0" autoPict="0">
                <anchor moveWithCells="1">
                  <from>
                    <xdr:col>19</xdr:col>
                    <xdr:colOff>47874</xdr:colOff>
                    <xdr:row>22</xdr:row>
                    <xdr:rowOff>0</xdr:rowOff>
                  </from>
                  <to>
                    <xdr:col>20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0" r:id="rId261" name="Check Box 320">
              <controlPr defaultSize="0" autoFill="0" autoLine="0" autoPict="0">
                <anchor moveWithCells="1">
                  <from>
                    <xdr:col>19</xdr:col>
                    <xdr:colOff>47874</xdr:colOff>
                    <xdr:row>25</xdr:row>
                    <xdr:rowOff>0</xdr:rowOff>
                  </from>
                  <to>
                    <xdr:col>20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1" r:id="rId262" name="Check Box 321">
              <controlPr defaultSize="0" autoFill="0" autoLine="0" autoPict="0">
                <anchor moveWithCells="1">
                  <from>
                    <xdr:col>19</xdr:col>
                    <xdr:colOff>47874</xdr:colOff>
                    <xdr:row>26</xdr:row>
                    <xdr:rowOff>0</xdr:rowOff>
                  </from>
                  <to>
                    <xdr:col>20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2" r:id="rId263" name="Check Box 322">
              <controlPr defaultSize="0" autoFill="0" autoLine="0" autoPict="0">
                <anchor moveWithCells="1">
                  <from>
                    <xdr:col>19</xdr:col>
                    <xdr:colOff>47874</xdr:colOff>
                    <xdr:row>27</xdr:row>
                    <xdr:rowOff>0</xdr:rowOff>
                  </from>
                  <to>
                    <xdr:col>20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3" r:id="rId264" name="Check Box 323">
              <controlPr defaultSize="0" autoFill="0" autoLine="0" autoPict="0">
                <anchor moveWithCells="1">
                  <from>
                    <xdr:col>19</xdr:col>
                    <xdr:colOff>38299</xdr:colOff>
                    <xdr:row>18</xdr:row>
                    <xdr:rowOff>0</xdr:rowOff>
                  </from>
                  <to>
                    <xdr:col>20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4" r:id="rId265" name="Check Box 324">
              <controlPr defaultSize="0" autoFill="0" autoLine="0" autoPict="0">
                <anchor moveWithCells="1">
                  <from>
                    <xdr:col>19</xdr:col>
                    <xdr:colOff>47874</xdr:colOff>
                    <xdr:row>34</xdr:row>
                    <xdr:rowOff>19150</xdr:rowOff>
                  </from>
                  <to>
                    <xdr:col>20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5" r:id="rId266" name="Check Box 325">
              <controlPr defaultSize="0" autoFill="0" autoLine="0" autoPict="0">
                <anchor moveWithCells="1">
                  <from>
                    <xdr:col>19</xdr:col>
                    <xdr:colOff>47874</xdr:colOff>
                    <xdr:row>38</xdr:row>
                    <xdr:rowOff>19150</xdr:rowOff>
                  </from>
                  <to>
                    <xdr:col>20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6" r:id="rId267" name="Check Box 326">
              <controlPr defaultSize="0" autoFill="0" autoLine="0" autoPict="0">
                <anchor moveWithCells="1">
                  <from>
                    <xdr:col>19</xdr:col>
                    <xdr:colOff>47874</xdr:colOff>
                    <xdr:row>12</xdr:row>
                    <xdr:rowOff>0</xdr:rowOff>
                  </from>
                  <to>
                    <xdr:col>20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7" r:id="rId268" name="Check Box 327">
              <controlPr defaultSize="0" autoFill="0" autoLine="0" autoPict="0">
                <anchor moveWithCells="1">
                  <from>
                    <xdr:col>19</xdr:col>
                    <xdr:colOff>47874</xdr:colOff>
                    <xdr:row>23</xdr:row>
                    <xdr:rowOff>0</xdr:rowOff>
                  </from>
                  <to>
                    <xdr:col>20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8" r:id="rId269" name="Check Box 328">
              <controlPr defaultSize="0" autoFill="0" autoLine="0" autoPict="0">
                <anchor moveWithCells="1">
                  <from>
                    <xdr:col>19</xdr:col>
                    <xdr:colOff>47874</xdr:colOff>
                    <xdr:row>39</xdr:row>
                    <xdr:rowOff>19150</xdr:rowOff>
                  </from>
                  <to>
                    <xdr:col>20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9" r:id="rId270" name="Check Box 329">
              <controlPr defaultSize="0" autoFill="0" autoLine="0" autoPict="0">
                <anchor moveWithCells="1">
                  <from>
                    <xdr:col>19</xdr:col>
                    <xdr:colOff>47874</xdr:colOff>
                    <xdr:row>40</xdr:row>
                    <xdr:rowOff>19150</xdr:rowOff>
                  </from>
                  <to>
                    <xdr:col>20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0" r:id="rId271" name="Check Box 330">
              <controlPr defaultSize="0" autoFill="0" autoLine="0" autoPict="0">
                <anchor moveWithCells="1">
                  <from>
                    <xdr:col>19</xdr:col>
                    <xdr:colOff>47874</xdr:colOff>
                    <xdr:row>15</xdr:row>
                    <xdr:rowOff>0</xdr:rowOff>
                  </from>
                  <to>
                    <xdr:col>20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1" r:id="rId272" name="Check Box 331">
              <controlPr defaultSize="0" autoFill="0" autoLine="0" autoPict="0">
                <anchor moveWithCells="1">
                  <from>
                    <xdr:col>19</xdr:col>
                    <xdr:colOff>47874</xdr:colOff>
                    <xdr:row>17</xdr:row>
                    <xdr:rowOff>0</xdr:rowOff>
                  </from>
                  <to>
                    <xdr:col>20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2" r:id="rId273" name="Check Box 332">
              <controlPr defaultSize="0" autoFill="0" autoLine="0" autoPict="0">
                <anchor moveWithCells="1">
                  <from>
                    <xdr:col>19</xdr:col>
                    <xdr:colOff>38299</xdr:colOff>
                    <xdr:row>21</xdr:row>
                    <xdr:rowOff>0</xdr:rowOff>
                  </from>
                  <to>
                    <xdr:col>20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3" r:id="rId274" name="Check Box 333">
              <controlPr defaultSize="0" autoFill="0" autoLine="0" autoPict="0">
                <anchor moveWithCells="1">
                  <from>
                    <xdr:col>19</xdr:col>
                    <xdr:colOff>47874</xdr:colOff>
                    <xdr:row>28</xdr:row>
                    <xdr:rowOff>0</xdr:rowOff>
                  </from>
                  <to>
                    <xdr:col>20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4" r:id="rId275" name="Check Box 334">
              <controlPr defaultSize="0" autoFill="0" autoLine="0" autoPict="0">
                <anchor moveWithCells="1">
                  <from>
                    <xdr:col>19</xdr:col>
                    <xdr:colOff>47874</xdr:colOff>
                    <xdr:row>29</xdr:row>
                    <xdr:rowOff>0</xdr:rowOff>
                  </from>
                  <to>
                    <xdr:col>20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5" r:id="rId276" name="Check Box 335">
              <controlPr defaultSize="0" autoFill="0" autoLine="0" autoPict="0">
                <anchor moveWithCells="1">
                  <from>
                    <xdr:col>19</xdr:col>
                    <xdr:colOff>47874</xdr:colOff>
                    <xdr:row>30</xdr:row>
                    <xdr:rowOff>0</xdr:rowOff>
                  </from>
                  <to>
                    <xdr:col>20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6" r:id="rId277" name="Check Box 336">
              <controlPr defaultSize="0" autoFill="0" autoLine="0" autoPict="0">
                <anchor moveWithCells="1">
                  <from>
                    <xdr:col>19</xdr:col>
                    <xdr:colOff>47874</xdr:colOff>
                    <xdr:row>31</xdr:row>
                    <xdr:rowOff>0</xdr:rowOff>
                  </from>
                  <to>
                    <xdr:col>20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7" r:id="rId278" name="Check Box 337">
              <controlPr defaultSize="0" autoFill="0" autoLine="0" autoPict="0">
                <anchor moveWithCells="1">
                  <from>
                    <xdr:col>19</xdr:col>
                    <xdr:colOff>47874</xdr:colOff>
                    <xdr:row>32</xdr:row>
                    <xdr:rowOff>0</xdr:rowOff>
                  </from>
                  <to>
                    <xdr:col>20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8" r:id="rId279" name="Check Box 338">
              <controlPr defaultSize="0" autoFill="0" autoLine="0" autoPict="0">
                <anchor moveWithCells="1">
                  <from>
                    <xdr:col>19</xdr:col>
                    <xdr:colOff>47874</xdr:colOff>
                    <xdr:row>35</xdr:row>
                    <xdr:rowOff>0</xdr:rowOff>
                  </from>
                  <to>
                    <xdr:col>20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9" r:id="rId280" name="Check Box 339">
              <controlPr defaultSize="0" autoFill="0" autoLine="0" autoPict="0" altText="Fosfaat">
                <anchor moveWithCells="1">
                  <from>
                    <xdr:col>19</xdr:col>
                    <xdr:colOff>47874</xdr:colOff>
                    <xdr:row>24</xdr:row>
                    <xdr:rowOff>19150</xdr:rowOff>
                  </from>
                  <to>
                    <xdr:col>20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0" r:id="rId281" name="Check Box 340">
              <controlPr defaultSize="0" autoFill="0" autoLine="0" autoPict="0">
                <anchor moveWithCells="1">
                  <from>
                    <xdr:col>19</xdr:col>
                    <xdr:colOff>47874</xdr:colOff>
                    <xdr:row>16</xdr:row>
                    <xdr:rowOff>0</xdr:rowOff>
                  </from>
                  <to>
                    <xdr:col>20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1" r:id="rId282" name="Check Box 341">
              <controlPr defaultSize="0" autoFill="0" autoLine="0" autoPict="0">
                <anchor moveWithCells="1">
                  <from>
                    <xdr:col>19</xdr:col>
                    <xdr:colOff>47874</xdr:colOff>
                    <xdr:row>37</xdr:row>
                    <xdr:rowOff>0</xdr:rowOff>
                  </from>
                  <to>
                    <xdr:col>20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2" r:id="rId283" name="Check Box 342">
              <controlPr defaultSize="0" autoFill="0" autoLine="0" autoPict="0" altText="Fosfaat">
                <anchor moveWithCells="1">
                  <from>
                    <xdr:col>19</xdr:col>
                    <xdr:colOff>47874</xdr:colOff>
                    <xdr:row>33</xdr:row>
                    <xdr:rowOff>19150</xdr:rowOff>
                  </from>
                  <to>
                    <xdr:col>20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3" r:id="rId284" name="Spinner 343">
              <controlPr defaultSize="0" autoPict="0">
                <anchor moveWithCells="1" sizeWithCells="1">
                  <from>
                    <xdr:col>10</xdr:col>
                    <xdr:colOff>636729</xdr:colOff>
                    <xdr:row>2</xdr:row>
                    <xdr:rowOff>57449</xdr:rowOff>
                  </from>
                  <to>
                    <xdr:col>10</xdr:col>
                    <xdr:colOff>713328</xdr:colOff>
                    <xdr:row>3</xdr:row>
                    <xdr:rowOff>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LabNeo">
    <tabColor rgb="FF92D050"/>
  </sheetPr>
  <dimension ref="A1:U38"/>
  <sheetViews>
    <sheetView workbookViewId="0">
      <selection activeCell="D38" activeCellId="9" sqref="C4:C35 E4:E34 G4:G34 I4:I34 K4:K34 M4:M34 O4:O34 Q4:Q34 S4:S34 D38"/>
    </sheetView>
  </sheetViews>
  <sheetFormatPr defaultColWidth="9.1328125" defaultRowHeight="12.85" x14ac:dyDescent="0.35"/>
  <cols>
    <col min="1" max="16384" width="9.1328125" style="271"/>
  </cols>
  <sheetData>
    <row r="1" spans="1:21" x14ac:dyDescent="0.35">
      <c r="A1" s="594"/>
      <c r="D1" s="287"/>
      <c r="F1" s="287"/>
      <c r="H1" s="287"/>
      <c r="J1" s="287"/>
      <c r="L1" s="287"/>
      <c r="N1" s="287"/>
      <c r="P1" s="287"/>
      <c r="R1" s="287"/>
    </row>
    <row r="2" spans="1:21" x14ac:dyDescent="0.35">
      <c r="A2" s="287"/>
      <c r="D2" s="287"/>
      <c r="F2" s="287"/>
      <c r="H2" s="287"/>
      <c r="L2" s="287"/>
    </row>
    <row r="3" spans="1:21" x14ac:dyDescent="0.35">
      <c r="A3" s="287" t="s">
        <v>1334</v>
      </c>
      <c r="B3" s="271" t="s">
        <v>1335</v>
      </c>
      <c r="D3" s="271" t="s">
        <v>1340</v>
      </c>
      <c r="F3" s="271" t="s">
        <v>1341</v>
      </c>
      <c r="H3" s="271" t="s">
        <v>1342</v>
      </c>
      <c r="J3" s="271" t="s">
        <v>286</v>
      </c>
      <c r="L3" s="287" t="s">
        <v>1343</v>
      </c>
      <c r="N3" s="271" t="s">
        <v>1344</v>
      </c>
      <c r="P3" s="271" t="s">
        <v>1345</v>
      </c>
      <c r="R3" s="271" t="s">
        <v>1346</v>
      </c>
    </row>
    <row r="4" spans="1:21" x14ac:dyDescent="0.35">
      <c r="B4" s="271" t="str">
        <f>IF(C4,"A","")</f>
        <v/>
      </c>
      <c r="C4" s="576"/>
      <c r="D4" s="271" t="str">
        <f>IF(E4,"A","")</f>
        <v/>
      </c>
      <c r="E4" s="576"/>
      <c r="F4" s="271" t="str">
        <f>IF(G4,"A","")</f>
        <v/>
      </c>
      <c r="G4" s="576"/>
      <c r="H4" s="271" t="str">
        <f>IF(I4,"A","")</f>
        <v/>
      </c>
      <c r="I4" s="576"/>
      <c r="J4" s="271" t="str">
        <f>IF(K4,"A","")</f>
        <v/>
      </c>
      <c r="K4" s="576"/>
      <c r="L4" s="271" t="str">
        <f>IF(M4,"A","")</f>
        <v/>
      </c>
      <c r="M4" s="576"/>
      <c r="N4" s="271" t="str">
        <f>IF(O4,"A","")</f>
        <v/>
      </c>
      <c r="O4" s="576"/>
      <c r="P4" s="271" t="str">
        <f>IF(Q4,"A","")</f>
        <v/>
      </c>
      <c r="Q4" s="576"/>
      <c r="R4" s="271" t="str">
        <f>IF(S4,"A","")</f>
        <v/>
      </c>
      <c r="S4" s="576"/>
      <c r="U4" s="321"/>
    </row>
    <row r="5" spans="1:21" x14ac:dyDescent="0.35">
      <c r="B5" s="271" t="str">
        <f>IF(C5,"Na K","")</f>
        <v/>
      </c>
      <c r="C5" s="576"/>
      <c r="D5" s="271" t="str">
        <f>IF(E5,"Na K","")</f>
        <v/>
      </c>
      <c r="E5" s="576"/>
      <c r="F5" s="271" t="str">
        <f>IF(G5,"Na K","")</f>
        <v/>
      </c>
      <c r="G5" s="576"/>
      <c r="H5" s="271" t="str">
        <f>IF(I5,"Na K","")</f>
        <v/>
      </c>
      <c r="I5" s="576"/>
      <c r="J5" s="271" t="str">
        <f>IF(K5,"Na K","")</f>
        <v/>
      </c>
      <c r="K5" s="576"/>
      <c r="L5" s="271" t="str">
        <f>IF(M5,"Na K","")</f>
        <v/>
      </c>
      <c r="M5" s="576"/>
      <c r="N5" s="271" t="str">
        <f>IF(O5,"Na K","")</f>
        <v/>
      </c>
      <c r="O5" s="576"/>
      <c r="P5" s="271" t="str">
        <f>IF(Q5,"Na K","")</f>
        <v/>
      </c>
      <c r="Q5" s="576"/>
      <c r="R5" s="271" t="str">
        <f>IF(S5,"Na K","")</f>
        <v/>
      </c>
      <c r="S5" s="576"/>
      <c r="U5" s="321"/>
    </row>
    <row r="6" spans="1:21" x14ac:dyDescent="0.35">
      <c r="A6" s="576"/>
      <c r="B6" s="271" t="str">
        <f>IF(C6,"Cl","")</f>
        <v/>
      </c>
      <c r="C6" s="576"/>
      <c r="D6" s="271" t="str">
        <f>IF(E6,"Cl","")</f>
        <v/>
      </c>
      <c r="E6" s="576"/>
      <c r="F6" s="271" t="str">
        <f>IF(G6,"Cl","")</f>
        <v/>
      </c>
      <c r="G6" s="576"/>
      <c r="H6" s="271" t="str">
        <f>IF(I6,"Cl","")</f>
        <v/>
      </c>
      <c r="I6" s="576"/>
      <c r="J6" s="271" t="str">
        <f>IF(K6,"Cl","")</f>
        <v/>
      </c>
      <c r="K6" s="576"/>
      <c r="L6" s="271" t="str">
        <f>IF(M6,"Cl","")</f>
        <v/>
      </c>
      <c r="M6" s="576"/>
      <c r="N6" s="271" t="str">
        <f>IF(O6,"Cl","")</f>
        <v/>
      </c>
      <c r="O6" s="576"/>
      <c r="P6" s="271" t="str">
        <f>IF(Q6,"Cl","")</f>
        <v/>
      </c>
      <c r="Q6" s="576"/>
      <c r="R6" s="271" t="str">
        <f>IF(S6,"Cl","")</f>
        <v/>
      </c>
      <c r="S6" s="576"/>
      <c r="U6" s="321"/>
    </row>
    <row r="7" spans="1:21" x14ac:dyDescent="0.35">
      <c r="B7" s="271" t="str">
        <f>IF(C7,"Gluc","")</f>
        <v/>
      </c>
      <c r="C7" s="576"/>
      <c r="D7" s="271" t="str">
        <f>IF(E7,"Gluc","")</f>
        <v/>
      </c>
      <c r="E7" s="576"/>
      <c r="F7" s="271" t="str">
        <f>IF(G7,"Gluc","")</f>
        <v/>
      </c>
      <c r="G7" s="576"/>
      <c r="H7" s="271" t="str">
        <f>IF(I7,"Gluc","")</f>
        <v/>
      </c>
      <c r="I7" s="576"/>
      <c r="J7" s="271" t="str">
        <f>IF(K7,"Gluc","")</f>
        <v/>
      </c>
      <c r="K7" s="576"/>
      <c r="L7" s="271" t="str">
        <f>IF(M7,"Gluc","")</f>
        <v/>
      </c>
      <c r="M7" s="576"/>
      <c r="N7" s="271" t="str">
        <f>IF(O7,"Gluc","")</f>
        <v/>
      </c>
      <c r="O7" s="576"/>
      <c r="P7" s="271" t="str">
        <f>IF(Q7,"Gluc","")</f>
        <v/>
      </c>
      <c r="Q7" s="576"/>
      <c r="R7" s="271" t="str">
        <f>IF(S7,"Gluc","")</f>
        <v/>
      </c>
      <c r="S7" s="576"/>
      <c r="U7" s="321"/>
    </row>
    <row r="8" spans="1:21" x14ac:dyDescent="0.35">
      <c r="B8" s="271" t="str">
        <f>IF(C8,"Hb Ht","")</f>
        <v/>
      </c>
      <c r="C8" s="576"/>
      <c r="D8" s="271" t="str">
        <f>IF(E8,"Hb Ht","")</f>
        <v/>
      </c>
      <c r="E8" s="576"/>
      <c r="F8" s="271" t="str">
        <f>IF(G8,"Hb Ht","")</f>
        <v/>
      </c>
      <c r="G8" s="576"/>
      <c r="H8" s="271" t="str">
        <f>IF(I8,"Hb Ht","")</f>
        <v/>
      </c>
      <c r="I8" s="576"/>
      <c r="J8" s="271" t="str">
        <f>IF(K8,"Hb Ht","")</f>
        <v/>
      </c>
      <c r="K8" s="576"/>
      <c r="L8" s="271" t="str">
        <f>IF(M8,"Hb Ht","")</f>
        <v/>
      </c>
      <c r="M8" s="576"/>
      <c r="N8" s="271" t="str">
        <f>IF(O8,"Hb Ht","")</f>
        <v/>
      </c>
      <c r="O8" s="576"/>
      <c r="P8" s="271" t="str">
        <f>IF(Q8,"Hb Ht","")</f>
        <v/>
      </c>
      <c r="Q8" s="576"/>
      <c r="R8" s="271" t="str">
        <f>IF(S8,"Hb Ht","")</f>
        <v/>
      </c>
      <c r="S8" s="576"/>
      <c r="U8" s="321"/>
    </row>
    <row r="9" spans="1:21" x14ac:dyDescent="0.35">
      <c r="B9" s="271" t="str">
        <f>IF(C9,"L","")</f>
        <v/>
      </c>
      <c r="C9" s="576"/>
      <c r="D9" s="271" t="str">
        <f>IF(E9,"L","")</f>
        <v/>
      </c>
      <c r="E9" s="576"/>
      <c r="F9" s="271" t="str">
        <f>IF(G9,"L","")</f>
        <v/>
      </c>
      <c r="G9" s="576"/>
      <c r="H9" s="271" t="str">
        <f>IF(I9,"L","")</f>
        <v/>
      </c>
      <c r="I9" s="576"/>
      <c r="J9" s="271" t="str">
        <f>IF(K9,"L","")</f>
        <v/>
      </c>
      <c r="K9" s="576"/>
      <c r="L9" s="271" t="str">
        <f>IF(M9,"L","")</f>
        <v/>
      </c>
      <c r="M9" s="576"/>
      <c r="N9" s="271" t="str">
        <f>IF(O9,"L","")</f>
        <v/>
      </c>
      <c r="O9" s="576"/>
      <c r="P9" s="271" t="str">
        <f>IF(Q9,"L","")</f>
        <v/>
      </c>
      <c r="Q9" s="576"/>
      <c r="R9" s="271" t="str">
        <f>IF(S9,"L","")</f>
        <v/>
      </c>
      <c r="S9" s="576"/>
      <c r="U9" s="321"/>
    </row>
    <row r="10" spans="1:21" x14ac:dyDescent="0.35">
      <c r="B10" s="271" t="str">
        <f>IF(C10,"L+diff","")</f>
        <v/>
      </c>
      <c r="C10" s="576"/>
      <c r="D10" s="271" t="str">
        <f>IF(E10,"L+diff","")</f>
        <v/>
      </c>
      <c r="E10" s="576"/>
      <c r="F10" s="271" t="str">
        <f>IF(G10,"L+diff","")</f>
        <v/>
      </c>
      <c r="G10" s="576"/>
      <c r="H10" s="271" t="str">
        <f>IF(I10,"L+diff","")</f>
        <v/>
      </c>
      <c r="I10" s="576"/>
      <c r="J10" s="271" t="str">
        <f>IF(K10,"L+diff","")</f>
        <v/>
      </c>
      <c r="K10" s="576"/>
      <c r="L10" s="271" t="str">
        <f>IF(M10,"L+diff","")</f>
        <v/>
      </c>
      <c r="M10" s="576"/>
      <c r="N10" s="271" t="str">
        <f>IF(O10,"L+diff","")</f>
        <v/>
      </c>
      <c r="O10" s="576"/>
      <c r="P10" s="271" t="str">
        <f>IF(Q10,"L+diff","")</f>
        <v/>
      </c>
      <c r="Q10" s="576"/>
      <c r="R10" s="271" t="str">
        <f>IF(S10,"L+diff","")</f>
        <v/>
      </c>
      <c r="S10" s="576"/>
      <c r="U10" s="321"/>
    </row>
    <row r="11" spans="1:21" x14ac:dyDescent="0.35">
      <c r="B11" s="271" t="str">
        <f>IF(C11,"T","")</f>
        <v/>
      </c>
      <c r="C11" s="576"/>
      <c r="D11" s="271" t="str">
        <f>IF(E11,"T","")</f>
        <v/>
      </c>
      <c r="E11" s="576"/>
      <c r="F11" s="271" t="str">
        <f>IF(G11,"T","")</f>
        <v/>
      </c>
      <c r="G11" s="576"/>
      <c r="H11" s="271" t="str">
        <f>IF(I11,"T","")</f>
        <v/>
      </c>
      <c r="I11" s="576"/>
      <c r="J11" s="271" t="str">
        <f>IF(K11,"T","")</f>
        <v/>
      </c>
      <c r="K11" s="576"/>
      <c r="L11" s="271" t="str">
        <f>IF(M11,"T","")</f>
        <v/>
      </c>
      <c r="M11" s="576"/>
      <c r="N11" s="271" t="str">
        <f>IF(O11,"T","")</f>
        <v/>
      </c>
      <c r="O11" s="576"/>
      <c r="P11" s="271" t="str">
        <f>IF(Q11,"T","")</f>
        <v/>
      </c>
      <c r="Q11" s="576"/>
      <c r="R11" s="271" t="str">
        <f>IF(S11,"T","")</f>
        <v/>
      </c>
      <c r="S11" s="576"/>
      <c r="U11" s="321"/>
    </row>
    <row r="12" spans="1:21" x14ac:dyDescent="0.35">
      <c r="B12" s="271" t="str">
        <f>IF(C12,"CRP","")</f>
        <v/>
      </c>
      <c r="C12" s="576"/>
      <c r="D12" s="271" t="str">
        <f>IF(E12,"CRP","")</f>
        <v/>
      </c>
      <c r="E12" s="576"/>
      <c r="F12" s="271" t="str">
        <f>IF(G12,"CRP","")</f>
        <v/>
      </c>
      <c r="G12" s="576"/>
      <c r="H12" s="271" t="str">
        <f>IF(I12,"CRP","")</f>
        <v/>
      </c>
      <c r="I12" s="576"/>
      <c r="J12" s="271" t="str">
        <f>IF(K12,"CRP","")</f>
        <v/>
      </c>
      <c r="K12" s="576"/>
      <c r="L12" s="271" t="str">
        <f>IF(M12,"CRP","")</f>
        <v/>
      </c>
      <c r="M12" s="576"/>
      <c r="N12" s="271" t="str">
        <f>IF(O12,"CRP","")</f>
        <v/>
      </c>
      <c r="O12" s="576"/>
      <c r="P12" s="271" t="str">
        <f>IF(Q12,"CRP","")</f>
        <v/>
      </c>
      <c r="Q12" s="576"/>
      <c r="R12" s="271" t="str">
        <f>IF(S12,"CRP","")</f>
        <v/>
      </c>
      <c r="S12" s="576"/>
      <c r="U12" s="321"/>
    </row>
    <row r="13" spans="1:21" x14ac:dyDescent="0.35">
      <c r="B13" s="271" t="str">
        <f>IF(C13,"Lac","")</f>
        <v/>
      </c>
      <c r="C13" s="576"/>
      <c r="D13" s="271" t="str">
        <f>IF(E13,"Lac","")</f>
        <v/>
      </c>
      <c r="E13" s="576"/>
      <c r="F13" s="271" t="str">
        <f>IF(G13,"Lac","")</f>
        <v/>
      </c>
      <c r="G13" s="576"/>
      <c r="H13" s="271" t="str">
        <f>IF(I13,"Lac","")</f>
        <v/>
      </c>
      <c r="I13" s="576"/>
      <c r="J13" s="271" t="str">
        <f>IF(K13,"Lac","")</f>
        <v/>
      </c>
      <c r="K13" s="576"/>
      <c r="L13" s="271" t="str">
        <f>IF(M13,"Lac","")</f>
        <v/>
      </c>
      <c r="M13" s="576"/>
      <c r="N13" s="271" t="str">
        <f>IF(O13,"Lac","")</f>
        <v/>
      </c>
      <c r="O13" s="576"/>
      <c r="P13" s="271" t="str">
        <f>IF(Q13,"Lac","")</f>
        <v/>
      </c>
      <c r="Q13" s="576"/>
      <c r="R13" s="271" t="str">
        <f>IF(S13,"Lac","")</f>
        <v/>
      </c>
      <c r="S13" s="576"/>
      <c r="U13" s="321"/>
    </row>
    <row r="14" spans="1:21" x14ac:dyDescent="0.35">
      <c r="B14" s="271" t="str">
        <f>IF(C14,"Ur","")</f>
        <v/>
      </c>
      <c r="C14" s="576"/>
      <c r="D14" s="271" t="str">
        <f>IF(E14,"Ur","")</f>
        <v/>
      </c>
      <c r="E14" s="576"/>
      <c r="F14" s="271" t="str">
        <f>IF(G14,"Ur","")</f>
        <v/>
      </c>
      <c r="G14" s="576"/>
      <c r="H14" s="271" t="str">
        <f>IF(I14,"Ur","")</f>
        <v/>
      </c>
      <c r="I14" s="576"/>
      <c r="J14" s="271" t="str">
        <f>IF(K14,"Ur","")</f>
        <v/>
      </c>
      <c r="K14" s="576"/>
      <c r="L14" s="271" t="str">
        <f>IF(M14,"Ur","")</f>
        <v/>
      </c>
      <c r="M14" s="576"/>
      <c r="N14" s="271" t="str">
        <f>IF(O14,"Ur","")</f>
        <v/>
      </c>
      <c r="O14" s="576"/>
      <c r="P14" s="271" t="str">
        <f>IF(Q14,"Ur","")</f>
        <v/>
      </c>
      <c r="Q14" s="576"/>
      <c r="R14" s="271" t="str">
        <f>IF(S14,"Ur","")</f>
        <v/>
      </c>
      <c r="S14" s="576"/>
      <c r="U14" s="321"/>
    </row>
    <row r="15" spans="1:21" x14ac:dyDescent="0.35">
      <c r="B15" s="271" t="str">
        <f>IF(C15,"Kr","")</f>
        <v/>
      </c>
      <c r="C15" s="576"/>
      <c r="D15" s="271" t="str">
        <f>IF(E15,"Kr++","")</f>
        <v/>
      </c>
      <c r="E15" s="576"/>
      <c r="F15" s="271" t="str">
        <f>IF(G15,"Kr","")</f>
        <v/>
      </c>
      <c r="G15" s="576"/>
      <c r="H15" s="271" t="str">
        <f>IF(I15,"Kr","")</f>
        <v/>
      </c>
      <c r="I15" s="576"/>
      <c r="J15" s="271" t="str">
        <f>IF(K15,"Kr","")</f>
        <v/>
      </c>
      <c r="K15" s="576"/>
      <c r="L15" s="271" t="str">
        <f>IF(M15,"Kr","")</f>
        <v/>
      </c>
      <c r="M15" s="576"/>
      <c r="N15" s="271" t="str">
        <f>IF(O15,"Kr","")</f>
        <v/>
      </c>
      <c r="O15" s="576"/>
      <c r="P15" s="271" t="str">
        <f>IF(Q15,"Kr","")</f>
        <v/>
      </c>
      <c r="Q15" s="576"/>
      <c r="R15" s="271" t="str">
        <f>IF(S15,"Kr","")</f>
        <v/>
      </c>
      <c r="S15" s="576"/>
      <c r="U15" s="321"/>
    </row>
    <row r="16" spans="1:21" x14ac:dyDescent="0.35">
      <c r="B16" s="271" t="str">
        <f>IF(C16,"Ca++","")</f>
        <v/>
      </c>
      <c r="C16" s="576"/>
      <c r="D16" s="271" t="str">
        <f>IF(E16,"Ca++","")</f>
        <v/>
      </c>
      <c r="E16" s="576"/>
      <c r="F16" s="271" t="str">
        <f>IF(G16,"Ca++","")</f>
        <v/>
      </c>
      <c r="G16" s="576"/>
      <c r="H16" s="271" t="str">
        <f>IF(I16,"Ca++","")</f>
        <v/>
      </c>
      <c r="I16" s="576"/>
      <c r="J16" s="271" t="str">
        <f>IF(K16,"Ca++","")</f>
        <v/>
      </c>
      <c r="K16" s="576"/>
      <c r="L16" s="271" t="str">
        <f>IF(M16,"Ca++","")</f>
        <v/>
      </c>
      <c r="M16" s="576"/>
      <c r="N16" s="271" t="str">
        <f>IF(O16,"Ca++","")</f>
        <v/>
      </c>
      <c r="O16" s="576"/>
      <c r="P16" s="271" t="str">
        <f>IF(Q16,"Ca++","")</f>
        <v/>
      </c>
      <c r="Q16" s="576"/>
      <c r="R16" s="271" t="str">
        <f>IF(S16,"Ca++","")</f>
        <v/>
      </c>
      <c r="S16" s="576"/>
      <c r="U16" s="321"/>
    </row>
    <row r="17" spans="2:21" x14ac:dyDescent="0.35">
      <c r="B17" s="271" t="str">
        <f>IF(C17,"Mg++","")</f>
        <v/>
      </c>
      <c r="C17" s="576"/>
      <c r="D17" s="271" t="str">
        <f>IF(E17,"Mg++","")</f>
        <v/>
      </c>
      <c r="E17" s="576"/>
      <c r="F17" s="271" t="str">
        <f>IF(G17,"Mg++","")</f>
        <v/>
      </c>
      <c r="G17" s="576"/>
      <c r="H17" s="271" t="str">
        <f>IF(I17,"Mg++","")</f>
        <v/>
      </c>
      <c r="I17" s="576"/>
      <c r="J17" s="271" t="str">
        <f>IF(K17,"Mg++","")</f>
        <v/>
      </c>
      <c r="K17" s="576"/>
      <c r="L17" s="271" t="str">
        <f>IF(M17,"Mg++","")</f>
        <v/>
      </c>
      <c r="M17" s="576"/>
      <c r="N17" s="271" t="str">
        <f>IF(O17,"Mg++","")</f>
        <v/>
      </c>
      <c r="O17" s="576"/>
      <c r="P17" s="271" t="str">
        <f>IF(Q17,"Mg++","")</f>
        <v/>
      </c>
      <c r="Q17" s="576"/>
      <c r="R17" s="271" t="str">
        <f>IF(S17,"Mg++","")</f>
        <v/>
      </c>
      <c r="S17" s="576"/>
      <c r="U17" s="321"/>
    </row>
    <row r="18" spans="2:21" x14ac:dyDescent="0.35">
      <c r="B18" s="271" t="str">
        <f>IF(C18,"Fosfaat","")</f>
        <v/>
      </c>
      <c r="C18" s="576"/>
      <c r="D18" s="271" t="str">
        <f>IF(E18,"Fosfaat","")</f>
        <v/>
      </c>
      <c r="E18" s="576"/>
      <c r="F18" s="271" t="str">
        <f>IF(G18,"Fosfaat","")</f>
        <v/>
      </c>
      <c r="G18" s="576"/>
      <c r="H18" s="271" t="str">
        <f>IF(I18,"Fosfaat","")</f>
        <v/>
      </c>
      <c r="I18" s="576"/>
      <c r="J18" s="271" t="str">
        <f>IF(K18,"Fosfaat","")</f>
        <v/>
      </c>
      <c r="K18" s="576"/>
      <c r="L18" s="271" t="str">
        <f>IF(M18,"Fosfaat","")</f>
        <v/>
      </c>
      <c r="M18" s="576"/>
      <c r="N18" s="271" t="str">
        <f>IF(O18,"Fosfaat","")</f>
        <v/>
      </c>
      <c r="O18" s="576"/>
      <c r="P18" s="271" t="str">
        <f>IF(Q18,"Fosfaat","")</f>
        <v/>
      </c>
      <c r="Q18" s="576"/>
      <c r="R18" s="271" t="str">
        <f>IF(S18,"Fosfaat","")</f>
        <v/>
      </c>
      <c r="S18" s="576"/>
      <c r="U18" s="321"/>
    </row>
    <row r="19" spans="2:21" x14ac:dyDescent="0.35">
      <c r="B19" s="271" t="str">
        <f>IF(C19,"Alb","")</f>
        <v/>
      </c>
      <c r="C19" s="576"/>
      <c r="D19" s="271" t="str">
        <f>IF(E19,"Alb","")</f>
        <v/>
      </c>
      <c r="E19" s="576"/>
      <c r="F19" s="271" t="str">
        <f>IF(G19,"Alb","")</f>
        <v/>
      </c>
      <c r="G19" s="576"/>
      <c r="H19" s="271" t="str">
        <f>IF(I19,"Alb","")</f>
        <v/>
      </c>
      <c r="I19" s="576"/>
      <c r="J19" s="271" t="str">
        <f>IF(K19,"Alb","")</f>
        <v/>
      </c>
      <c r="K19" s="576"/>
      <c r="L19" s="271" t="str">
        <f>IF(M19,"Alb","")</f>
        <v/>
      </c>
      <c r="M19" s="576"/>
      <c r="N19" s="271" t="str">
        <f>IF(O19,"Alb","")</f>
        <v/>
      </c>
      <c r="O19" s="576"/>
      <c r="P19" s="271" t="str">
        <f>IF(Q19,"Alb","")</f>
        <v/>
      </c>
      <c r="Q19" s="576"/>
      <c r="R19" s="271" t="str">
        <f>IF(S19,"Alb","")</f>
        <v/>
      </c>
      <c r="S19" s="576"/>
      <c r="U19" s="321"/>
    </row>
    <row r="20" spans="2:21" x14ac:dyDescent="0.35">
      <c r="B20" s="271" t="str">
        <f>IF(C20,"Ca","")</f>
        <v/>
      </c>
      <c r="C20" s="576"/>
      <c r="D20" s="271" t="str">
        <f>IF(E20,"Ca","")</f>
        <v/>
      </c>
      <c r="E20" s="576"/>
      <c r="F20" s="271" t="str">
        <f>IF(G20,"Ca","")</f>
        <v/>
      </c>
      <c r="G20" s="576"/>
      <c r="H20" s="271" t="str">
        <f>IF(I20,"Ca","")</f>
        <v/>
      </c>
      <c r="I20" s="576"/>
      <c r="J20" s="271" t="str">
        <f>IF(K20,"Ca","")</f>
        <v/>
      </c>
      <c r="K20" s="576"/>
      <c r="L20" s="271" t="str">
        <f>IF(M20,"Ca","")</f>
        <v/>
      </c>
      <c r="M20" s="576"/>
      <c r="N20" s="271" t="str">
        <f>IF(O20,"Ca","")</f>
        <v/>
      </c>
      <c r="O20" s="576"/>
      <c r="P20" s="271" t="str">
        <f>IF(Q20,"Ca","")</f>
        <v/>
      </c>
      <c r="Q20" s="576"/>
      <c r="R20" s="271" t="str">
        <f>IF(S20,"Ca","")</f>
        <v/>
      </c>
      <c r="S20" s="576"/>
      <c r="U20" s="321"/>
    </row>
    <row r="21" spans="2:21" x14ac:dyDescent="0.35">
      <c r="B21" s="271" t="str">
        <f>IF(C21,"ASAT","")</f>
        <v/>
      </c>
      <c r="C21" s="576"/>
      <c r="D21" s="271" t="str">
        <f>IF(E21,"ASAT","")</f>
        <v/>
      </c>
      <c r="E21" s="576"/>
      <c r="F21" s="271" t="str">
        <f>IF(G21,"ASAT","")</f>
        <v/>
      </c>
      <c r="G21" s="576"/>
      <c r="H21" s="271" t="str">
        <f>IF(I21,"ASAT","")</f>
        <v/>
      </c>
      <c r="I21" s="576"/>
      <c r="J21" s="271" t="str">
        <f>IF(K21,"ASAT","")</f>
        <v/>
      </c>
      <c r="K21" s="576"/>
      <c r="L21" s="271" t="str">
        <f>IF(M21,"ASAT","")</f>
        <v/>
      </c>
      <c r="M21" s="576"/>
      <c r="N21" s="271" t="str">
        <f>IF(O21,"ASAT","")</f>
        <v/>
      </c>
      <c r="O21" s="576"/>
      <c r="P21" s="271" t="str">
        <f>IF(Q21,"ASAT","")</f>
        <v/>
      </c>
      <c r="Q21" s="576"/>
      <c r="R21" s="271" t="str">
        <f>IF(S21,"ASAT","")</f>
        <v/>
      </c>
      <c r="S21" s="576"/>
      <c r="U21" s="321"/>
    </row>
    <row r="22" spans="2:21" x14ac:dyDescent="0.35">
      <c r="B22" s="271" t="str">
        <f>IF(C22,"ALAT","")</f>
        <v/>
      </c>
      <c r="C22" s="576"/>
      <c r="D22" s="271" t="str">
        <f>IF(E22,"ALAT","")</f>
        <v/>
      </c>
      <c r="E22" s="576"/>
      <c r="F22" s="271" t="str">
        <f>IF(G22,"ALAT","")</f>
        <v/>
      </c>
      <c r="G22" s="576"/>
      <c r="H22" s="271" t="str">
        <f>IF(I22,"ALAT","")</f>
        <v/>
      </c>
      <c r="I22" s="576"/>
      <c r="J22" s="271" t="str">
        <f>IF(K22,"ALAT","")</f>
        <v/>
      </c>
      <c r="K22" s="576"/>
      <c r="L22" s="271" t="str">
        <f>IF(M22,"ALAT","")</f>
        <v/>
      </c>
      <c r="M22" s="576"/>
      <c r="N22" s="271" t="str">
        <f>IF(O22,"ALAT","")</f>
        <v/>
      </c>
      <c r="O22" s="576"/>
      <c r="P22" s="271" t="str">
        <f>IF(Q22,"ALAT","")</f>
        <v/>
      </c>
      <c r="Q22" s="576"/>
      <c r="R22" s="271" t="str">
        <f>IF(S22,"ALAT","")</f>
        <v/>
      </c>
      <c r="S22" s="576"/>
      <c r="U22" s="321"/>
    </row>
    <row r="23" spans="2:21" x14ac:dyDescent="0.35">
      <c r="B23" s="271" t="str">
        <f>IF(C23,"GGT","")</f>
        <v/>
      </c>
      <c r="C23" s="576"/>
      <c r="D23" s="271" t="str">
        <f>IF(E23,"GGT","")</f>
        <v/>
      </c>
      <c r="E23" s="576"/>
      <c r="F23" s="271" t="str">
        <f>IF(G23,"GGT","")</f>
        <v/>
      </c>
      <c r="G23" s="576"/>
      <c r="H23" s="271" t="str">
        <f>IF(I23,"GGT","")</f>
        <v/>
      </c>
      <c r="I23" s="576"/>
      <c r="J23" s="271" t="str">
        <f>IF(K23,"GGT","")</f>
        <v/>
      </c>
      <c r="K23" s="576"/>
      <c r="L23" s="271" t="str">
        <f>IF(M23,"GGT","")</f>
        <v/>
      </c>
      <c r="M23" s="576"/>
      <c r="N23" s="271" t="str">
        <f>IF(O23,"GGT","")</f>
        <v/>
      </c>
      <c r="O23" s="576"/>
      <c r="P23" s="271" t="str">
        <f>IF(Q23,"GGT","")</f>
        <v/>
      </c>
      <c r="Q23" s="576"/>
      <c r="R23" s="271" t="str">
        <f>IF(S23,"GGT","")</f>
        <v/>
      </c>
      <c r="S23" s="576"/>
      <c r="U23" s="321"/>
    </row>
    <row r="24" spans="2:21" x14ac:dyDescent="0.35">
      <c r="B24" s="271" t="str">
        <f>IF(C24,"AF","")</f>
        <v/>
      </c>
      <c r="C24" s="576"/>
      <c r="D24" s="271" t="str">
        <f>IF(E24,"AF","")</f>
        <v/>
      </c>
      <c r="E24" s="576"/>
      <c r="F24" s="271" t="str">
        <f>IF(G24,"AF","")</f>
        <v/>
      </c>
      <c r="G24" s="576"/>
      <c r="H24" s="271" t="str">
        <f>IF(I24,"AF","")</f>
        <v/>
      </c>
      <c r="I24" s="576"/>
      <c r="J24" s="271" t="str">
        <f>IF(K24,"AF","")</f>
        <v/>
      </c>
      <c r="K24" s="576"/>
      <c r="L24" s="271" t="str">
        <f>IF(M24,"AF","")</f>
        <v/>
      </c>
      <c r="M24" s="576"/>
      <c r="N24" s="271" t="str">
        <f>IF(O24,"AF","")</f>
        <v/>
      </c>
      <c r="O24" s="576"/>
      <c r="P24" s="271" t="str">
        <f>IF(Q24,"AF","")</f>
        <v/>
      </c>
      <c r="Q24" s="576"/>
      <c r="R24" s="271" t="str">
        <f>IF(S24,"AF","")</f>
        <v/>
      </c>
      <c r="S24" s="576"/>
      <c r="U24" s="321"/>
    </row>
    <row r="25" spans="2:21" x14ac:dyDescent="0.35">
      <c r="B25" s="271" t="str">
        <f>IF(C25,"LDH","")</f>
        <v/>
      </c>
      <c r="C25" s="576"/>
      <c r="D25" s="271" t="str">
        <f>IF(E25,"LDH","")</f>
        <v/>
      </c>
      <c r="E25" s="576"/>
      <c r="F25" s="271" t="str">
        <f>IF(G25,"LDH","")</f>
        <v/>
      </c>
      <c r="G25" s="576"/>
      <c r="H25" s="271" t="str">
        <f>IF(I25,"LDH","")</f>
        <v/>
      </c>
      <c r="I25" s="576"/>
      <c r="J25" s="271" t="str">
        <f>IF(K25,"LDH","")</f>
        <v/>
      </c>
      <c r="K25" s="576"/>
      <c r="L25" s="271" t="str">
        <f>IF(M25,"LDH","")</f>
        <v/>
      </c>
      <c r="M25" s="576"/>
      <c r="N25" s="271" t="str">
        <f>IF(O25,"LDH","")</f>
        <v/>
      </c>
      <c r="O25" s="576"/>
      <c r="P25" s="271" t="str">
        <f>IF(Q25,"LDH","")</f>
        <v/>
      </c>
      <c r="Q25" s="576"/>
      <c r="R25" s="271" t="str">
        <f>IF(S25,"LDH","")</f>
        <v/>
      </c>
      <c r="S25" s="576"/>
      <c r="U25" s="321"/>
    </row>
    <row r="26" spans="2:21" x14ac:dyDescent="0.35">
      <c r="B26" s="271" t="str">
        <f>IF(C26,"Bili","")</f>
        <v/>
      </c>
      <c r="C26" s="576"/>
      <c r="D26" s="271" t="str">
        <f>IF(E26,"Bili","")</f>
        <v/>
      </c>
      <c r="E26" s="576"/>
      <c r="F26" s="271" t="str">
        <f>IF(G26,"Bili","")</f>
        <v/>
      </c>
      <c r="G26" s="576"/>
      <c r="H26" s="271" t="str">
        <f>IF(I26,"Bili","")</f>
        <v/>
      </c>
      <c r="I26" s="576"/>
      <c r="J26" s="271" t="str">
        <f>IF(K26,"Bili","")</f>
        <v/>
      </c>
      <c r="K26" s="576"/>
      <c r="L26" s="271" t="str">
        <f>IF(M26,"Bili","")</f>
        <v/>
      </c>
      <c r="M26" s="576"/>
      <c r="N26" s="271" t="str">
        <f>IF(O26,"Bili","")</f>
        <v/>
      </c>
      <c r="O26" s="576"/>
      <c r="P26" s="271" t="str">
        <f>IF(Q26,"Bili","")</f>
        <v/>
      </c>
      <c r="Q26" s="576"/>
      <c r="R26" s="271" t="str">
        <f>IF(S26,"Bili","")</f>
        <v/>
      </c>
      <c r="S26" s="576"/>
      <c r="U26" s="321"/>
    </row>
    <row r="27" spans="2:21" x14ac:dyDescent="0.35">
      <c r="B27" s="271" t="str">
        <f>IF(C27,"TG","")</f>
        <v/>
      </c>
      <c r="C27" s="576"/>
      <c r="D27" s="271" t="str">
        <f>IF(E27,"TG","")</f>
        <v/>
      </c>
      <c r="E27" s="576"/>
      <c r="F27" s="271" t="str">
        <f>IF(G27,"TG","")</f>
        <v/>
      </c>
      <c r="G27" s="576"/>
      <c r="H27" s="271" t="str">
        <f>IF(I27,"TG","")</f>
        <v/>
      </c>
      <c r="I27" s="576"/>
      <c r="J27" s="271" t="str">
        <f>IF(K27,"TG","")</f>
        <v/>
      </c>
      <c r="K27" s="576"/>
      <c r="L27" s="271" t="str">
        <f>IF(M27,"TG","")</f>
        <v/>
      </c>
      <c r="M27" s="576"/>
      <c r="N27" s="271" t="str">
        <f>IF(O27,"TG","")</f>
        <v/>
      </c>
      <c r="O27" s="576"/>
      <c r="P27" s="271" t="str">
        <f>IF(Q27,"TG","")</f>
        <v/>
      </c>
      <c r="Q27" s="576"/>
      <c r="R27" s="271" t="str">
        <f>IF(S27,"TG","")</f>
        <v/>
      </c>
      <c r="S27" s="576"/>
      <c r="U27" s="321"/>
    </row>
    <row r="28" spans="2:21" x14ac:dyDescent="0.35">
      <c r="B28" s="271" t="str">
        <f>IF(C28,"PT","")</f>
        <v/>
      </c>
      <c r="C28" s="576"/>
      <c r="D28" s="271" t="str">
        <f>IF(E28,"PT","")</f>
        <v/>
      </c>
      <c r="E28" s="576"/>
      <c r="F28" s="271" t="str">
        <f>IF(G28,"PT","")</f>
        <v/>
      </c>
      <c r="G28" s="576"/>
      <c r="H28" s="271" t="str">
        <f>IF(I28,"PT","")</f>
        <v/>
      </c>
      <c r="I28" s="576"/>
      <c r="J28" s="271" t="str">
        <f>IF(K28,"PT","")</f>
        <v/>
      </c>
      <c r="K28" s="576"/>
      <c r="L28" s="271" t="str">
        <f>IF(M28,"PT","")</f>
        <v/>
      </c>
      <c r="M28" s="576"/>
      <c r="N28" s="271" t="str">
        <f>IF(O28,"PT","")</f>
        <v/>
      </c>
      <c r="O28" s="576"/>
      <c r="P28" s="271" t="str">
        <f>IF(Q28,"PT","")</f>
        <v/>
      </c>
      <c r="Q28" s="576"/>
      <c r="R28" s="271" t="str">
        <f>IF(S28,"PT","")</f>
        <v/>
      </c>
      <c r="S28" s="576"/>
      <c r="U28" s="321"/>
    </row>
    <row r="29" spans="2:21" x14ac:dyDescent="0.35">
      <c r="B29" s="271" t="str">
        <f>IF(C29,"APPT","")</f>
        <v/>
      </c>
      <c r="C29" s="576"/>
      <c r="D29" s="271" t="str">
        <f>IF(E29,"APPT","")</f>
        <v/>
      </c>
      <c r="E29" s="576"/>
      <c r="F29" s="271" t="str">
        <f>IF(G29,"APPT","")</f>
        <v/>
      </c>
      <c r="G29" s="576"/>
      <c r="H29" s="271" t="str">
        <f>IF(I29,"APPT","")</f>
        <v/>
      </c>
      <c r="I29" s="576"/>
      <c r="J29" s="271" t="str">
        <f>IF(K29,"APPT","")</f>
        <v/>
      </c>
      <c r="K29" s="576"/>
      <c r="L29" s="271" t="str">
        <f>IF(M29,"APPT","")</f>
        <v/>
      </c>
      <c r="M29" s="576"/>
      <c r="N29" s="271" t="str">
        <f>IF(O29,"APPT","")</f>
        <v/>
      </c>
      <c r="O29" s="576"/>
      <c r="P29" s="271" t="str">
        <f>IF(Q29,"APPT","")</f>
        <v/>
      </c>
      <c r="Q29" s="576"/>
      <c r="R29" s="271" t="str">
        <f>IF(S29,"APPT","")</f>
        <v/>
      </c>
      <c r="S29" s="576"/>
      <c r="U29" s="321"/>
    </row>
    <row r="30" spans="2:21" x14ac:dyDescent="0.35">
      <c r="B30" s="271" t="str">
        <f>IF(C30,"NICU APPT","")</f>
        <v/>
      </c>
      <c r="C30" s="576"/>
      <c r="D30" s="271" t="str">
        <f>IF(E30,"NICU APPT","")</f>
        <v/>
      </c>
      <c r="E30" s="576"/>
      <c r="F30" s="271" t="str">
        <f>IF(G30,"NICU APPT","")</f>
        <v/>
      </c>
      <c r="G30" s="576"/>
      <c r="H30" s="271" t="str">
        <f>IF(I30,"NICU APPT","")</f>
        <v/>
      </c>
      <c r="I30" s="576"/>
      <c r="J30" s="271" t="str">
        <f>IF(K30,"NICU APPT","")</f>
        <v/>
      </c>
      <c r="K30" s="576"/>
      <c r="L30" s="271" t="str">
        <f>IF(M30,"NICU APPT","")</f>
        <v/>
      </c>
      <c r="M30" s="576"/>
      <c r="N30" s="271" t="str">
        <f>IF(O30,"NICU APPT","")</f>
        <v/>
      </c>
      <c r="O30" s="576"/>
      <c r="P30" s="271" t="str">
        <f>IF(Q30,"NICU APPT","")</f>
        <v/>
      </c>
      <c r="Q30" s="576"/>
      <c r="R30" s="271" t="str">
        <f>IF(S30,"NICU APPT","")</f>
        <v/>
      </c>
      <c r="S30" s="576"/>
      <c r="U30" s="321"/>
    </row>
    <row r="31" spans="2:21" x14ac:dyDescent="0.35">
      <c r="B31" s="271" t="str">
        <f>IF(C31,"BG","")</f>
        <v/>
      </c>
      <c r="C31" s="576"/>
      <c r="D31" s="271" t="str">
        <f>IF(E31,"BG","")</f>
        <v/>
      </c>
      <c r="E31" s="576"/>
      <c r="F31" s="271" t="str">
        <f>IF(G31,"BG","")</f>
        <v/>
      </c>
      <c r="G31" s="576"/>
      <c r="H31" s="271" t="str">
        <f>IF(I31,"BG","")</f>
        <v/>
      </c>
      <c r="I31" s="576"/>
      <c r="J31" s="271" t="str">
        <f>IF(K31,"BG","")</f>
        <v/>
      </c>
      <c r="K31" s="576"/>
      <c r="L31" s="271" t="str">
        <f>IF(M31,"BG","")</f>
        <v/>
      </c>
      <c r="M31" s="576"/>
      <c r="N31" s="271" t="str">
        <f>IF(O31,"BG","")</f>
        <v/>
      </c>
      <c r="O31" s="576"/>
      <c r="P31" s="271" t="str">
        <f>IF(Q31,"BG","")</f>
        <v/>
      </c>
      <c r="Q31" s="576"/>
      <c r="R31" s="271" t="str">
        <f>IF(S31,"BG","")</f>
        <v/>
      </c>
      <c r="S31" s="576"/>
      <c r="U31" s="321"/>
    </row>
    <row r="32" spans="2:21" x14ac:dyDescent="0.35">
      <c r="B32" s="271" t="str">
        <f>IF(C32,"antiAx","")</f>
        <v/>
      </c>
      <c r="C32" s="576"/>
      <c r="D32" s="271" t="str">
        <f>IF(E32,"antiAx","")</f>
        <v/>
      </c>
      <c r="E32" s="576"/>
      <c r="F32" s="271" t="str">
        <f>IF(G32,"antiAx","")</f>
        <v/>
      </c>
      <c r="G32" s="576"/>
      <c r="H32" s="271" t="str">
        <f>IF(I32,"antiAx","")</f>
        <v/>
      </c>
      <c r="I32" s="576"/>
      <c r="J32" s="271" t="str">
        <f>IF(K32,"antiAx","")</f>
        <v/>
      </c>
      <c r="K32" s="576"/>
      <c r="L32" s="271" t="str">
        <f>IF(M32,"antiAx","")</f>
        <v/>
      </c>
      <c r="M32" s="576"/>
      <c r="N32" s="271" t="str">
        <f>IF(O32,"antiAx","")</f>
        <v/>
      </c>
      <c r="O32" s="576"/>
      <c r="P32" s="271" t="str">
        <f>IF(Q32,"antiAx","")</f>
        <v/>
      </c>
      <c r="Q32" s="576"/>
      <c r="R32" s="271" t="str">
        <f>IF(S32,"antiAx","")</f>
        <v/>
      </c>
      <c r="S32" s="576"/>
      <c r="U32" s="321"/>
    </row>
    <row r="33" spans="2:21" x14ac:dyDescent="0.35">
      <c r="B33" s="271" t="str">
        <f>IF(C33,"BNP","")</f>
        <v/>
      </c>
      <c r="C33" s="576"/>
      <c r="D33" s="271" t="str">
        <f>IF(E33,"BNP","")</f>
        <v/>
      </c>
      <c r="E33" s="576"/>
      <c r="F33" s="271" t="str">
        <f>IF(G33,"BNP","")</f>
        <v/>
      </c>
      <c r="G33" s="576"/>
      <c r="H33" s="271" t="str">
        <f>IF(I33,"BNP","")</f>
        <v/>
      </c>
      <c r="I33" s="576"/>
      <c r="J33" s="271" t="str">
        <f>IF(K33,"BNP","")</f>
        <v/>
      </c>
      <c r="K33" s="576"/>
      <c r="L33" s="271" t="str">
        <f>IF(M33,"BNP","")</f>
        <v/>
      </c>
      <c r="M33" s="576"/>
      <c r="N33" s="271" t="str">
        <f>IF(O33,"BNP","")</f>
        <v/>
      </c>
      <c r="O33" s="576"/>
      <c r="P33" s="271" t="str">
        <f>IF(Q33,"BNP","")</f>
        <v/>
      </c>
      <c r="Q33" s="576"/>
      <c r="R33" s="271" t="str">
        <f>IF(S33,"BNP","")</f>
        <v/>
      </c>
      <c r="S33" s="576"/>
      <c r="U33" s="321"/>
    </row>
    <row r="34" spans="2:21" x14ac:dyDescent="0.35">
      <c r="B34" s="271" t="str">
        <f>IF(C34,"Troponine","")</f>
        <v/>
      </c>
      <c r="C34" s="576"/>
      <c r="D34" s="271" t="str">
        <f>IF(E34,"Troponine","")</f>
        <v/>
      </c>
      <c r="E34" s="576"/>
      <c r="F34" s="271" t="str">
        <f>IF(G34,"Troponine","")</f>
        <v/>
      </c>
      <c r="G34" s="576"/>
      <c r="H34" s="271" t="str">
        <f>IF(I34,"Troponine","")</f>
        <v/>
      </c>
      <c r="I34" s="576"/>
      <c r="J34" s="271" t="str">
        <f>IF(K34,"Troponine","")</f>
        <v/>
      </c>
      <c r="K34" s="576"/>
      <c r="L34" s="271" t="str">
        <f>IF(M34,"Troponine","")</f>
        <v/>
      </c>
      <c r="M34" s="576"/>
      <c r="N34" s="271" t="str">
        <f>IF(O34,"Troponine","")</f>
        <v/>
      </c>
      <c r="O34" s="576"/>
      <c r="P34" s="271" t="str">
        <f>IF(Q34,"Troponine","")</f>
        <v/>
      </c>
      <c r="Q34" s="576"/>
      <c r="R34" s="271" t="str">
        <f>IF(S34,"Troponine","")</f>
        <v/>
      </c>
      <c r="S34" s="576"/>
      <c r="U34" s="321"/>
    </row>
    <row r="35" spans="2:21" x14ac:dyDescent="0.35">
      <c r="B35" s="271" t="str">
        <f>IF(C35,"Coombs-test","")</f>
        <v/>
      </c>
      <c r="C35" s="576"/>
    </row>
    <row r="38" spans="2:21" x14ac:dyDescent="0.35">
      <c r="B38" s="271" t="s">
        <v>1641</v>
      </c>
      <c r="D38" s="576"/>
    </row>
  </sheetData>
  <pageMargins left="0.75" right="0.75" top="1" bottom="1" header="0.5" footer="0.5"/>
  <headerFooter alignWithMargins="0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uiAcuteOpvangNeo">
    <tabColor rgb="FF7030A0"/>
    <pageSetUpPr autoPageBreaks="0"/>
  </sheetPr>
  <dimension ref="A1:FIO439"/>
  <sheetViews>
    <sheetView zoomScaleNormal="100" zoomScaleSheetLayoutView="100" workbookViewId="0"/>
  </sheetViews>
  <sheetFormatPr defaultColWidth="9.1328125" defaultRowHeight="12.85" x14ac:dyDescent="0.35"/>
  <cols>
    <col min="1" max="1" width="9.1328125" style="45"/>
    <col min="2" max="2" width="10.265625" style="9" customWidth="1"/>
    <col min="3" max="3" width="19.73046875" style="45" customWidth="1"/>
    <col min="4" max="4" width="28.86328125" style="45" bestFit="1" customWidth="1"/>
    <col min="5" max="5" width="17.73046875" style="45" customWidth="1"/>
    <col min="6" max="7" width="18.73046875" style="45" customWidth="1"/>
    <col min="8" max="11" width="9.1328125" style="45"/>
    <col min="12" max="21" width="9.1328125" style="45" hidden="1" customWidth="1"/>
    <col min="22" max="22" width="0" style="45" hidden="1" customWidth="1"/>
    <col min="23" max="16384" width="9.1328125" style="45"/>
  </cols>
  <sheetData>
    <row r="1" spans="1:25 4305:4305" x14ac:dyDescent="0.35">
      <c r="A1" s="585"/>
      <c r="J1" s="544"/>
      <c r="K1" s="544"/>
      <c r="L1" s="544" t="s">
        <v>1521</v>
      </c>
      <c r="M1" s="544" t="s">
        <v>1529</v>
      </c>
      <c r="N1" s="544" t="s">
        <v>1522</v>
      </c>
      <c r="O1" s="544"/>
      <c r="P1" s="544"/>
      <c r="Q1" s="544"/>
      <c r="R1" s="544"/>
      <c r="S1" s="544" t="s">
        <v>1530</v>
      </c>
      <c r="T1" s="544" t="s">
        <v>1531</v>
      </c>
      <c r="U1" s="544"/>
      <c r="V1" s="544"/>
      <c r="W1" s="544"/>
      <c r="X1" s="544"/>
      <c r="Y1" s="185"/>
    </row>
    <row r="2" spans="1:25 4305:4305" ht="15" customHeight="1" x14ac:dyDescent="0.4">
      <c r="B2" s="176" t="str">
        <f>"Patient: "&amp;_AchterNaam&amp;", "&amp;_VoorNaam</f>
        <v>Patient: Achternaam, Voornaam</v>
      </c>
      <c r="C2" s="174"/>
      <c r="D2" s="132"/>
      <c r="E2" s="177"/>
      <c r="F2" s="132"/>
      <c r="G2" s="140"/>
      <c r="H2" s="46"/>
      <c r="I2" s="46"/>
      <c r="J2" s="544"/>
      <c r="K2" s="544"/>
      <c r="L2" s="544">
        <v>0</v>
      </c>
      <c r="M2" s="544">
        <v>40</v>
      </c>
      <c r="N2" s="544">
        <v>3.5</v>
      </c>
      <c r="O2" s="544">
        <v>0</v>
      </c>
      <c r="P2" s="544">
        <v>3.5</v>
      </c>
      <c r="Q2" s="544">
        <v>51</v>
      </c>
      <c r="R2" s="544"/>
      <c r="S2" s="544">
        <v>1</v>
      </c>
      <c r="T2" s="544">
        <v>1</v>
      </c>
      <c r="U2" s="544">
        <v>1</v>
      </c>
      <c r="V2" s="544"/>
      <c r="W2" s="544"/>
      <c r="X2" s="544"/>
      <c r="Y2" s="185"/>
      <c r="FIO2" s="45">
        <v>30</v>
      </c>
    </row>
    <row r="3" spans="1:25 4305:4305" ht="15" customHeight="1" x14ac:dyDescent="0.35">
      <c r="B3" s="176" t="str">
        <f>"Geb datum.: "</f>
        <v xml:space="preserve">Geb datum.: </v>
      </c>
      <c r="C3" s="190">
        <f>GebDatum</f>
        <v>42370</v>
      </c>
      <c r="D3" s="132"/>
      <c r="E3" s="177"/>
      <c r="F3" s="170"/>
      <c r="G3" s="140"/>
      <c r="H3" s="46"/>
      <c r="I3" s="46"/>
      <c r="J3" s="544"/>
      <c r="K3" s="544"/>
      <c r="L3" s="544">
        <v>1</v>
      </c>
      <c r="M3" s="544">
        <v>30</v>
      </c>
      <c r="N3" s="544">
        <v>4.5</v>
      </c>
      <c r="O3" s="544">
        <v>1</v>
      </c>
      <c r="P3" s="544">
        <v>4.2</v>
      </c>
      <c r="Q3" s="544">
        <v>54</v>
      </c>
      <c r="R3" s="544"/>
      <c r="S3" s="544">
        <v>2</v>
      </c>
      <c r="T3" s="544">
        <v>2</v>
      </c>
      <c r="U3" s="544">
        <v>2</v>
      </c>
      <c r="V3" s="544"/>
      <c r="W3" s="544"/>
      <c r="X3" s="544"/>
      <c r="Y3" s="185"/>
    </row>
    <row r="4" spans="1:25 4305:4305" ht="15.75" customHeight="1" x14ac:dyDescent="0.4">
      <c r="B4" s="163"/>
      <c r="C4" s="172" t="s">
        <v>1267</v>
      </c>
      <c r="D4" s="172" t="s">
        <v>1268</v>
      </c>
      <c r="E4" s="172" t="s">
        <v>1269</v>
      </c>
      <c r="F4" s="172"/>
      <c r="G4" s="172"/>
      <c r="H4" s="46"/>
      <c r="J4" s="545"/>
      <c r="K4" s="545"/>
      <c r="L4" s="544">
        <v>2</v>
      </c>
      <c r="M4" s="544">
        <v>25</v>
      </c>
      <c r="N4" s="544">
        <v>4.5</v>
      </c>
      <c r="O4" s="544">
        <v>2</v>
      </c>
      <c r="P4" s="544">
        <v>5</v>
      </c>
      <c r="Q4" s="544">
        <v>57</v>
      </c>
      <c r="R4" s="544"/>
      <c r="S4" s="544">
        <v>3</v>
      </c>
      <c r="T4" s="544">
        <v>3</v>
      </c>
      <c r="U4" s="544">
        <v>3</v>
      </c>
      <c r="V4" s="544"/>
      <c r="W4" s="544"/>
      <c r="X4" s="544"/>
      <c r="Y4" s="185"/>
    </row>
    <row r="5" spans="1:25 4305:4305" ht="15" customHeight="1" x14ac:dyDescent="0.4">
      <c r="B5" s="163"/>
      <c r="C5" s="172">
        <f>_Weken</f>
        <v>30</v>
      </c>
      <c r="D5" s="172">
        <f>_Dagen</f>
        <v>0</v>
      </c>
      <c r="E5" s="172">
        <f>_Gewicht</f>
        <v>10</v>
      </c>
      <c r="F5" s="172"/>
      <c r="G5" s="172"/>
      <c r="H5" s="46"/>
      <c r="J5" s="545"/>
      <c r="K5" s="545"/>
      <c r="L5" s="544">
        <v>3</v>
      </c>
      <c r="M5" s="544">
        <v>25</v>
      </c>
      <c r="N5" s="544">
        <v>5</v>
      </c>
      <c r="O5" s="544">
        <v>3</v>
      </c>
      <c r="P5" s="544">
        <v>5.7</v>
      </c>
      <c r="Q5" s="544">
        <v>60</v>
      </c>
      <c r="R5" s="544"/>
      <c r="S5" s="544">
        <v>4</v>
      </c>
      <c r="T5" s="544">
        <v>3</v>
      </c>
      <c r="U5" s="544"/>
      <c r="V5" s="544"/>
      <c r="W5" s="544"/>
      <c r="X5" s="544"/>
      <c r="Y5" s="185"/>
    </row>
    <row r="6" spans="1:25 4305:4305" ht="15" customHeight="1" thickBot="1" x14ac:dyDescent="0.45">
      <c r="A6" s="585"/>
      <c r="B6" s="24"/>
      <c r="C6" s="175"/>
      <c r="D6" s="175"/>
      <c r="E6" s="175"/>
      <c r="F6" s="175"/>
      <c r="G6" s="175"/>
      <c r="H6" s="46"/>
      <c r="J6" s="545"/>
      <c r="K6" s="545"/>
      <c r="L6" s="544">
        <v>4</v>
      </c>
      <c r="M6" s="544">
        <v>25</v>
      </c>
      <c r="N6" s="544">
        <v>5</v>
      </c>
      <c r="O6" s="544">
        <v>4</v>
      </c>
      <c r="P6" s="544">
        <v>6.5</v>
      </c>
      <c r="Q6" s="544">
        <v>63</v>
      </c>
      <c r="R6" s="544"/>
      <c r="S6" s="544">
        <v>5</v>
      </c>
      <c r="T6" s="544">
        <v>5</v>
      </c>
      <c r="U6" s="544">
        <v>5</v>
      </c>
      <c r="V6" s="544"/>
      <c r="W6" s="544"/>
      <c r="X6" s="544"/>
      <c r="Y6" s="185"/>
    </row>
    <row r="7" spans="1:25 4305:4305" ht="20.100000000000001" customHeight="1" x14ac:dyDescent="0.4">
      <c r="B7" s="163" t="s">
        <v>641</v>
      </c>
      <c r="C7" s="178" t="s">
        <v>98</v>
      </c>
      <c r="D7" s="179" t="str">
        <f>"Maat: "&amp;IF(_Gewicht&lt;1,2.5,IF(AND(_Gewicht&gt;=1,_Gewicht&lt;2),3,3.5))</f>
        <v>Maat: 3,5</v>
      </c>
      <c r="E7" s="180"/>
      <c r="F7" s="180"/>
      <c r="G7" s="239"/>
      <c r="H7" s="46"/>
      <c r="I7" s="46"/>
      <c r="J7" s="544"/>
      <c r="K7" s="544"/>
      <c r="L7" s="544">
        <v>5</v>
      </c>
      <c r="M7" s="544">
        <v>25</v>
      </c>
      <c r="N7" s="544">
        <v>5.5</v>
      </c>
      <c r="O7" s="544">
        <v>5</v>
      </c>
      <c r="P7" s="544">
        <v>7</v>
      </c>
      <c r="Q7" s="544">
        <v>65</v>
      </c>
      <c r="R7" s="544"/>
      <c r="S7" s="544">
        <v>6</v>
      </c>
      <c r="T7" s="544">
        <v>5</v>
      </c>
      <c r="U7" s="544"/>
      <c r="V7" s="544"/>
      <c r="W7" s="544"/>
      <c r="X7" s="544"/>
      <c r="Y7" s="185"/>
    </row>
    <row r="8" spans="1:25 4305:4305" ht="20.100000000000001" customHeight="1" x14ac:dyDescent="0.4">
      <c r="B8" s="163"/>
      <c r="C8" s="162"/>
      <c r="D8" s="47" t="str">
        <f>"Nasaal: "&amp;(_Gewicht+6)*1.2</f>
        <v>Nasaal: 19,2</v>
      </c>
      <c r="E8" s="46"/>
      <c r="F8" s="46"/>
      <c r="G8" s="240"/>
      <c r="H8" s="46"/>
      <c r="I8" s="46"/>
      <c r="J8" s="544"/>
      <c r="K8" s="544"/>
      <c r="L8" s="544">
        <v>6</v>
      </c>
      <c r="M8" s="544">
        <v>20</v>
      </c>
      <c r="N8" s="544">
        <v>5.5</v>
      </c>
      <c r="O8" s="544">
        <v>6</v>
      </c>
      <c r="P8" s="544">
        <v>7.7</v>
      </c>
      <c r="Q8" s="544">
        <v>67</v>
      </c>
      <c r="R8" s="544"/>
      <c r="S8" s="544">
        <v>7</v>
      </c>
      <c r="T8" s="544">
        <v>7</v>
      </c>
      <c r="U8" s="544">
        <v>7</v>
      </c>
      <c r="V8" s="544"/>
      <c r="W8" s="544"/>
      <c r="X8" s="544"/>
      <c r="Y8" s="185"/>
    </row>
    <row r="9" spans="1:25 4305:4305" ht="20.100000000000001" customHeight="1" x14ac:dyDescent="0.4">
      <c r="B9" s="163"/>
      <c r="C9" s="162"/>
      <c r="D9" s="47" t="str">
        <f>"Oraal: "&amp;(_Gewicht+6)</f>
        <v>Oraal: 16</v>
      </c>
      <c r="E9" s="46"/>
      <c r="F9" s="46"/>
      <c r="G9" s="240"/>
      <c r="H9" s="46"/>
      <c r="I9" s="46"/>
      <c r="J9" s="544"/>
      <c r="K9" s="544"/>
      <c r="L9" s="544">
        <v>7</v>
      </c>
      <c r="M9" s="544">
        <v>20</v>
      </c>
      <c r="N9" s="544">
        <v>6</v>
      </c>
      <c r="O9" s="544">
        <v>7</v>
      </c>
      <c r="P9" s="544">
        <v>8.1999999999999993</v>
      </c>
      <c r="Q9" s="544">
        <v>69</v>
      </c>
      <c r="R9" s="544"/>
      <c r="S9" s="544">
        <v>8</v>
      </c>
      <c r="T9" s="544">
        <v>7</v>
      </c>
      <c r="U9" s="544"/>
      <c r="V9" s="544"/>
      <c r="W9" s="544"/>
      <c r="X9" s="544"/>
      <c r="Y9" s="185"/>
    </row>
    <row r="10" spans="1:25 4305:4305" ht="20.100000000000001" customHeight="1" x14ac:dyDescent="0.4">
      <c r="B10" s="163"/>
      <c r="C10" s="162" t="s">
        <v>2628</v>
      </c>
      <c r="D10" s="832">
        <f>(1.5*_Gewicht)+5.5</f>
        <v>20.5</v>
      </c>
      <c r="E10" s="46"/>
      <c r="F10" s="46"/>
      <c r="G10" s="240"/>
      <c r="H10" s="46"/>
      <c r="I10" s="46"/>
      <c r="J10" s="544"/>
      <c r="K10" s="544"/>
      <c r="L10" s="544"/>
      <c r="M10" s="544"/>
      <c r="N10" s="544"/>
      <c r="O10" s="544"/>
      <c r="P10" s="544"/>
      <c r="Q10" s="544"/>
      <c r="R10" s="544"/>
      <c r="S10" s="544"/>
      <c r="T10" s="544"/>
      <c r="U10" s="544"/>
      <c r="V10" s="544"/>
      <c r="W10" s="544"/>
      <c r="X10" s="544"/>
      <c r="Y10" s="185"/>
    </row>
    <row r="11" spans="1:25 4305:4305" ht="20.100000000000001" customHeight="1" x14ac:dyDescent="0.4">
      <c r="B11" s="163"/>
      <c r="C11" s="162" t="s">
        <v>2629</v>
      </c>
      <c r="D11" s="832">
        <f>(4*_Gewicht)+7</f>
        <v>47</v>
      </c>
      <c r="E11" s="46"/>
      <c r="F11" s="46"/>
      <c r="G11" s="240"/>
      <c r="H11" s="46"/>
      <c r="I11" s="46"/>
      <c r="J11" s="544"/>
      <c r="K11" s="544"/>
      <c r="L11" s="544"/>
      <c r="M11" s="544"/>
      <c r="N11" s="544"/>
      <c r="O11" s="544"/>
      <c r="P11" s="544"/>
      <c r="Q11" s="544"/>
      <c r="R11" s="544"/>
      <c r="S11" s="544"/>
      <c r="T11" s="544"/>
      <c r="U11" s="544"/>
      <c r="V11" s="544"/>
      <c r="W11" s="544"/>
      <c r="X11" s="544"/>
      <c r="Y11" s="185"/>
    </row>
    <row r="12" spans="1:25 4305:4305" ht="20.100000000000001" customHeight="1" x14ac:dyDescent="0.4">
      <c r="B12" s="163"/>
      <c r="C12" s="162" t="s">
        <v>99</v>
      </c>
      <c r="D12" s="47" t="str">
        <f>IF(ROUND((E5)*4,0)&gt;150,150,VLOOKUP(ROUND(E5*4,0),S2:T347,2))&amp;" Joules Asynchroon"</f>
        <v>50 Joules Asynchroon</v>
      </c>
      <c r="E12" s="46"/>
      <c r="F12" s="46"/>
      <c r="G12" s="240" t="s">
        <v>0</v>
      </c>
      <c r="H12" s="46"/>
      <c r="I12" s="46"/>
      <c r="J12" s="544"/>
      <c r="K12" s="544"/>
      <c r="L12" s="544">
        <v>9</v>
      </c>
      <c r="M12" s="544">
        <v>20</v>
      </c>
      <c r="N12" s="544">
        <v>6.5</v>
      </c>
      <c r="O12" s="544">
        <v>9</v>
      </c>
      <c r="P12" s="544">
        <v>9</v>
      </c>
      <c r="Q12" s="544">
        <v>72</v>
      </c>
      <c r="R12" s="544"/>
      <c r="S12" s="544">
        <v>10</v>
      </c>
      <c r="T12" s="544">
        <v>10</v>
      </c>
      <c r="U12" s="544">
        <v>10</v>
      </c>
      <c r="V12" s="544"/>
      <c r="W12" s="544"/>
      <c r="X12" s="544"/>
      <c r="Y12" s="185"/>
    </row>
    <row r="13" spans="1:25 4305:4305" ht="20.100000000000001" customHeight="1" x14ac:dyDescent="0.4">
      <c r="B13" s="163"/>
      <c r="C13" s="162" t="s">
        <v>250</v>
      </c>
      <c r="D13" s="47" t="str">
        <f>IF(OR(ROUND(0.01*(E5),2)&gt;1,C5&gt;=18),"1 mg iv",ROUND(0.01*(E5),2)&amp;" mg iv")</f>
        <v>1 mg iv</v>
      </c>
      <c r="E13" s="46" t="str">
        <f>"= "&amp;IF(ROUND(0.01*(E5),2)&gt;1,"1 ml van 1mg = 10 ml (1:10.000)",ROUND(0.1*(E5),2)&amp;" ml van 1mg = 10 ml (1:10.000)")</f>
        <v>= 1 ml van 1mg = 10 ml (1:10.000)</v>
      </c>
      <c r="F13" s="46"/>
      <c r="G13" s="240" t="s">
        <v>1</v>
      </c>
      <c r="H13" s="46"/>
      <c r="I13" s="46"/>
      <c r="J13" s="544"/>
      <c r="K13" s="544"/>
      <c r="L13" s="544">
        <v>10</v>
      </c>
      <c r="M13" s="544">
        <v>20</v>
      </c>
      <c r="N13" s="544">
        <v>6.5</v>
      </c>
      <c r="O13" s="544">
        <v>10</v>
      </c>
      <c r="P13" s="544">
        <v>9.3000000000000007</v>
      </c>
      <c r="Q13" s="544">
        <v>73</v>
      </c>
      <c r="R13" s="544"/>
      <c r="S13" s="544">
        <v>11</v>
      </c>
      <c r="T13" s="544">
        <v>10</v>
      </c>
      <c r="U13" s="544"/>
      <c r="V13" s="544"/>
      <c r="W13" s="544"/>
      <c r="X13" s="544"/>
      <c r="Y13" s="185"/>
    </row>
    <row r="14" spans="1:25 4305:4305" ht="20.100000000000001" customHeight="1" x14ac:dyDescent="0.4">
      <c r="B14" s="163"/>
      <c r="C14" s="162" t="s">
        <v>1044</v>
      </c>
      <c r="D14" s="47" t="str">
        <f>IF(0.2*E5&lt;=25,0.2*E5&amp;" gram iv","25 gram iv")</f>
        <v>2 gram iv</v>
      </c>
      <c r="E14" s="46" t="str">
        <f>"="&amp;" "&amp;IF(2*E5&lt;=250,ROUND(2*E5,2)&amp;" ml Glucose 10%","250 ml Glucose 10%")</f>
        <v>= 20 ml Glucose 10%</v>
      </c>
      <c r="F14" s="46"/>
      <c r="G14" s="240" t="s">
        <v>3</v>
      </c>
      <c r="H14" s="46"/>
      <c r="I14" s="46"/>
      <c r="J14" s="544"/>
      <c r="K14" s="544"/>
      <c r="L14" s="544">
        <v>11</v>
      </c>
      <c r="M14" s="544">
        <v>20</v>
      </c>
      <c r="N14" s="544">
        <v>7</v>
      </c>
      <c r="O14" s="544">
        <v>11</v>
      </c>
      <c r="P14" s="544">
        <v>9.5</v>
      </c>
      <c r="Q14" s="544">
        <v>74</v>
      </c>
      <c r="R14" s="544"/>
      <c r="S14" s="544">
        <v>12</v>
      </c>
      <c r="T14" s="544">
        <v>10</v>
      </c>
      <c r="U14" s="544"/>
      <c r="V14" s="544"/>
      <c r="W14" s="544"/>
      <c r="X14" s="544"/>
      <c r="Y14" s="185"/>
    </row>
    <row r="15" spans="1:25 4305:4305" ht="20.100000000000001" customHeight="1" thickBot="1" x14ac:dyDescent="0.45">
      <c r="B15" s="163"/>
      <c r="C15" s="181" t="s">
        <v>1523</v>
      </c>
      <c r="D15" s="182" t="str">
        <f>IF(ROUND(20*E5/10,0)*10&gt;500,500,ROUND(20*E5/10,0)*10)&amp;" ml NaCl 0,9% iv per bolus"</f>
        <v>200 ml NaCl 0,9% iv per bolus</v>
      </c>
      <c r="E15" s="183"/>
      <c r="F15" s="183"/>
      <c r="G15" s="241" t="s">
        <v>4</v>
      </c>
      <c r="H15" s="46"/>
      <c r="I15" s="46"/>
      <c r="J15" s="544"/>
      <c r="K15" s="544"/>
      <c r="L15" s="544">
        <v>12</v>
      </c>
      <c r="M15" s="544">
        <v>15</v>
      </c>
      <c r="N15" s="544">
        <v>7</v>
      </c>
      <c r="O15" s="544">
        <v>12</v>
      </c>
      <c r="P15" s="544">
        <v>10</v>
      </c>
      <c r="Q15" s="544">
        <v>76</v>
      </c>
      <c r="R15" s="544"/>
      <c r="S15" s="544">
        <v>13</v>
      </c>
      <c r="T15" s="544">
        <v>10</v>
      </c>
      <c r="U15" s="544"/>
      <c r="V15" s="544"/>
      <c r="W15" s="544"/>
      <c r="X15" s="544"/>
      <c r="Y15" s="185"/>
    </row>
    <row r="16" spans="1:25 4305:4305" ht="20.100000000000001" customHeight="1" thickBot="1" x14ac:dyDescent="0.45">
      <c r="B16" s="24"/>
      <c r="C16" s="46"/>
      <c r="D16" s="47"/>
      <c r="E16" s="46"/>
      <c r="F16" s="46"/>
      <c r="G16" s="240"/>
      <c r="H16" s="46"/>
      <c r="I16" s="46"/>
      <c r="J16" s="544"/>
      <c r="K16" s="544"/>
      <c r="L16" s="544">
        <v>16</v>
      </c>
      <c r="M16" s="544">
        <v>15</v>
      </c>
      <c r="N16" s="544">
        <v>7</v>
      </c>
      <c r="O16" s="544"/>
      <c r="P16" s="544"/>
      <c r="Q16" s="544"/>
      <c r="R16" s="544"/>
      <c r="S16" s="544">
        <v>17</v>
      </c>
      <c r="T16" s="544">
        <v>20</v>
      </c>
      <c r="U16" s="544"/>
      <c r="V16" s="544"/>
      <c r="W16" s="544"/>
      <c r="X16" s="544"/>
      <c r="Y16" s="185"/>
    </row>
    <row r="17" spans="2:26" ht="20.100000000000001" customHeight="1" x14ac:dyDescent="0.4">
      <c r="B17" s="163" t="s">
        <v>772</v>
      </c>
      <c r="C17" s="178" t="s">
        <v>1524</v>
      </c>
      <c r="D17" s="179" t="str">
        <f>IF(0.1*E5&gt;2,"2 mg iv",0.1*E5&amp;" mg iv")</f>
        <v>1 mg iv</v>
      </c>
      <c r="E17" s="180" t="str">
        <f>"= "&amp;IF(0.1*E5&gt;2,"0,1 ml van een 10 mg/ml oplossing",ROUND(0.1*E5,2)&amp;" ml van een 10 mg/ml oplossing")</f>
        <v>= 1 ml van een 10 mg/ml oplossing</v>
      </c>
      <c r="F17" s="180"/>
      <c r="G17" s="239" t="s">
        <v>1270</v>
      </c>
      <c r="H17" s="46"/>
      <c r="I17" s="46"/>
      <c r="J17" s="544"/>
      <c r="K17" s="544"/>
      <c r="L17" s="544">
        <v>17</v>
      </c>
      <c r="M17" s="544">
        <v>15</v>
      </c>
      <c r="N17" s="544">
        <v>7</v>
      </c>
      <c r="O17" s="544"/>
      <c r="P17" s="544"/>
      <c r="Q17" s="544"/>
      <c r="R17" s="544"/>
      <c r="S17" s="544">
        <v>18</v>
      </c>
      <c r="T17" s="544">
        <v>20</v>
      </c>
      <c r="U17" s="544"/>
      <c r="V17" s="544"/>
      <c r="W17" s="544"/>
      <c r="X17" s="544"/>
      <c r="Y17" s="185"/>
    </row>
    <row r="18" spans="2:26" ht="15.75" customHeight="1" thickBot="1" x14ac:dyDescent="0.45">
      <c r="B18" s="24"/>
      <c r="C18" s="143"/>
      <c r="D18" s="47"/>
      <c r="E18" s="833"/>
      <c r="F18" s="833"/>
      <c r="G18" s="240"/>
      <c r="H18" s="171"/>
      <c r="I18" s="171"/>
      <c r="J18" s="546"/>
      <c r="K18" s="544"/>
      <c r="L18" s="544">
        <v>18</v>
      </c>
      <c r="M18" s="544">
        <v>15</v>
      </c>
      <c r="N18" s="544">
        <v>7</v>
      </c>
      <c r="O18" s="544"/>
      <c r="P18" s="544"/>
      <c r="Q18" s="544"/>
      <c r="R18" s="544"/>
      <c r="S18" s="544">
        <v>19</v>
      </c>
      <c r="T18" s="544">
        <v>20</v>
      </c>
      <c r="U18" s="544"/>
      <c r="V18" s="544"/>
      <c r="W18" s="544"/>
      <c r="X18" s="544"/>
      <c r="Y18" s="185"/>
    </row>
    <row r="19" spans="2:26" ht="20.100000000000001" customHeight="1" x14ac:dyDescent="0.4">
      <c r="B19" s="163" t="s">
        <v>565</v>
      </c>
      <c r="C19" s="178" t="s">
        <v>1525</v>
      </c>
      <c r="D19" s="179" t="str">
        <f>0.1*E5&amp;" mg iv"</f>
        <v>1 mg iv</v>
      </c>
      <c r="E19" s="180" t="str">
        <f>"= "&amp;ROUND((0.1*E5),2)&amp;" ml van Anexate 0,1 mg/ml"</f>
        <v>= 1 ml van Anexate 0,1 mg/ml</v>
      </c>
      <c r="F19" s="180"/>
      <c r="G19" s="239"/>
      <c r="H19" s="171"/>
      <c r="I19" s="171"/>
      <c r="J19" s="546"/>
      <c r="K19" s="544"/>
      <c r="L19" s="544"/>
      <c r="M19" s="544"/>
      <c r="N19" s="544"/>
      <c r="O19" s="544"/>
      <c r="P19" s="544"/>
      <c r="Q19" s="544"/>
      <c r="R19" s="544"/>
      <c r="S19" s="544">
        <v>20</v>
      </c>
      <c r="T19" s="544">
        <v>20</v>
      </c>
      <c r="U19" s="544">
        <v>20</v>
      </c>
      <c r="V19" s="544"/>
      <c r="W19" s="544"/>
      <c r="X19" s="544"/>
      <c r="Y19" s="185"/>
    </row>
    <row r="20" spans="2:26" ht="20.100000000000001" customHeight="1" x14ac:dyDescent="0.4">
      <c r="B20" s="163"/>
      <c r="C20" s="162" t="s">
        <v>1526</v>
      </c>
      <c r="D20" s="47" t="str">
        <f>IF(0.01*E5&gt;0.4,"0,4 mg iv",0.01*E5&amp;" mg iv")</f>
        <v>0,1 mg iv</v>
      </c>
      <c r="E20" s="876" t="str">
        <f>"= "&amp;IF(0.01*E5&gt;0.4,"20 ml van Naloxon 20 mcg/ml of "&amp;"1 ml van 0,4 mg/ml",ROUND((0.01*E5)/0.02,1)&amp;" ml van Naloxon 20 mcg/ml of "&amp;ROUND((0.01*E5)/0.4,1)&amp;" ml van 0,4 mg/ml")</f>
        <v>= 5 ml van Naloxon 20 mcg/ml of 0,3 ml van 0,4 mg/ml</v>
      </c>
      <c r="F20" s="876"/>
      <c r="G20" s="240" t="s">
        <v>9</v>
      </c>
      <c r="H20" s="46"/>
      <c r="I20" s="46"/>
      <c r="J20" s="544"/>
      <c r="K20" s="544"/>
      <c r="L20" s="544"/>
      <c r="M20" s="544"/>
      <c r="N20" s="544"/>
      <c r="O20" s="544"/>
      <c r="P20" s="544"/>
      <c r="Q20" s="544"/>
      <c r="R20" s="544"/>
      <c r="S20" s="544">
        <v>21</v>
      </c>
      <c r="T20" s="544">
        <v>30</v>
      </c>
      <c r="U20" s="544"/>
      <c r="V20" s="544"/>
      <c r="W20" s="544"/>
      <c r="X20" s="544"/>
      <c r="Y20" s="185"/>
    </row>
    <row r="21" spans="2:26" ht="20.100000000000001" customHeight="1" thickBot="1" x14ac:dyDescent="0.45">
      <c r="B21" s="163"/>
      <c r="C21" s="181"/>
      <c r="D21" s="182"/>
      <c r="E21" s="877"/>
      <c r="F21" s="877"/>
      <c r="G21" s="241"/>
      <c r="H21" s="46"/>
      <c r="I21" s="46"/>
      <c r="J21" s="544"/>
      <c r="K21" s="544"/>
      <c r="L21" s="544" t="s">
        <v>2626</v>
      </c>
      <c r="M21" s="544" t="s">
        <v>2627</v>
      </c>
      <c r="N21" s="544" t="s">
        <v>1522</v>
      </c>
      <c r="O21" s="544"/>
      <c r="P21" s="544"/>
      <c r="Q21" s="544"/>
      <c r="R21" s="544"/>
      <c r="S21" s="544">
        <v>22</v>
      </c>
      <c r="T21" s="544">
        <v>30</v>
      </c>
      <c r="U21" s="544"/>
      <c r="V21" s="544"/>
      <c r="W21" s="544"/>
      <c r="X21" s="544"/>
      <c r="Y21" s="185"/>
    </row>
    <row r="22" spans="2:26" ht="20.100000000000001" customHeight="1" thickBot="1" x14ac:dyDescent="0.45">
      <c r="B22" s="24"/>
      <c r="C22" s="143"/>
      <c r="D22" s="47"/>
      <c r="E22" s="833"/>
      <c r="F22" s="833"/>
      <c r="G22" s="240"/>
      <c r="H22" s="46"/>
      <c r="I22" s="46"/>
      <c r="J22" s="544"/>
      <c r="K22" s="544"/>
      <c r="L22" s="544">
        <v>0</v>
      </c>
      <c r="M22" s="544">
        <v>1</v>
      </c>
      <c r="N22" s="544">
        <v>2.5</v>
      </c>
      <c r="O22" s="544"/>
      <c r="P22" s="544"/>
      <c r="Q22" s="544"/>
      <c r="R22" s="544"/>
      <c r="S22" s="544">
        <v>23</v>
      </c>
      <c r="T22" s="544">
        <v>30</v>
      </c>
      <c r="U22" s="544"/>
      <c r="V22" s="544"/>
      <c r="W22" s="544"/>
      <c r="X22" s="544"/>
      <c r="Y22" s="185"/>
    </row>
    <row r="23" spans="2:26" ht="20.100000000000001" customHeight="1" x14ac:dyDescent="0.4">
      <c r="B23" s="163" t="s">
        <v>566</v>
      </c>
      <c r="C23" s="178" t="s">
        <v>1492</v>
      </c>
      <c r="D23" s="835" t="str">
        <f>CONCATENATE(0.0144*_Gewicht, " mg in 12 ml glucose 10%")</f>
        <v>0,144 mg in 12 ml glucose 10%</v>
      </c>
      <c r="E23" s="180" t="s">
        <v>2630</v>
      </c>
      <c r="F23" s="180"/>
      <c r="G23" s="239" t="s">
        <v>1271</v>
      </c>
      <c r="H23" s="46"/>
      <c r="I23" s="46"/>
      <c r="J23" s="544"/>
      <c r="K23" s="544"/>
      <c r="L23" s="544">
        <v>1</v>
      </c>
      <c r="M23" s="544">
        <v>2</v>
      </c>
      <c r="N23" s="544">
        <v>3</v>
      </c>
      <c r="O23" s="544"/>
      <c r="P23" s="544"/>
      <c r="Q23" s="544"/>
      <c r="R23" s="544"/>
      <c r="S23" s="544">
        <v>24</v>
      </c>
      <c r="T23" s="544">
        <v>30</v>
      </c>
      <c r="U23" s="544"/>
      <c r="V23" s="544"/>
      <c r="W23" s="544"/>
      <c r="X23" s="544"/>
      <c r="Y23" s="185"/>
    </row>
    <row r="24" spans="2:26" ht="20.100000000000001" customHeight="1" x14ac:dyDescent="0.45">
      <c r="B24" s="163"/>
      <c r="C24" s="162" t="s">
        <v>1527</v>
      </c>
      <c r="D24" s="47" t="str">
        <f>CONCATENATE(7.2*_Gewicht, " mg in 12 ml glucose 10%")</f>
        <v>72 mg in 12 ml glucose 10%</v>
      </c>
      <c r="E24" s="46" t="s">
        <v>2631</v>
      </c>
      <c r="F24" s="46"/>
      <c r="G24" s="240" t="s">
        <v>682</v>
      </c>
      <c r="H24" s="46"/>
      <c r="I24" s="46"/>
      <c r="J24" s="549"/>
      <c r="K24" s="544"/>
      <c r="L24" s="544">
        <v>2</v>
      </c>
      <c r="M24" s="544">
        <v>150</v>
      </c>
      <c r="N24" s="544">
        <v>3.5</v>
      </c>
      <c r="O24" s="544"/>
      <c r="P24" s="544"/>
      <c r="Q24" s="544"/>
      <c r="R24" s="544"/>
      <c r="S24" s="544">
        <v>25</v>
      </c>
      <c r="T24" s="544">
        <v>30</v>
      </c>
      <c r="U24" s="544"/>
      <c r="V24" s="544"/>
      <c r="W24" s="544"/>
      <c r="X24" s="544"/>
      <c r="Y24" s="185"/>
    </row>
    <row r="25" spans="2:26" ht="20.100000000000001" customHeight="1" thickBot="1" x14ac:dyDescent="0.45">
      <c r="B25" s="163"/>
      <c r="C25" s="181" t="s">
        <v>1528</v>
      </c>
      <c r="D25" s="182" t="str">
        <f>CONCATENATE(0.072*_Gewicht, " mg in 12 ml glucose 10%")</f>
        <v>0,72 mg in 12 ml glucose 10%</v>
      </c>
      <c r="E25" s="836" t="s">
        <v>2632</v>
      </c>
      <c r="F25" s="183"/>
      <c r="G25" s="241" t="s">
        <v>837</v>
      </c>
      <c r="H25" s="46"/>
      <c r="I25" s="46"/>
      <c r="J25" s="544"/>
      <c r="K25" s="544"/>
      <c r="L25" s="544"/>
      <c r="M25" s="544"/>
      <c r="N25" s="544"/>
      <c r="O25" s="544"/>
      <c r="P25" s="544"/>
      <c r="Q25" s="544"/>
      <c r="R25" s="544"/>
      <c r="S25" s="544">
        <v>29</v>
      </c>
      <c r="T25" s="544">
        <v>30</v>
      </c>
      <c r="U25" s="544"/>
      <c r="V25" s="544"/>
      <c r="W25" s="544"/>
      <c r="X25" s="544"/>
      <c r="Y25" s="185"/>
    </row>
    <row r="26" spans="2:26" ht="20.100000000000001" customHeight="1" thickBot="1" x14ac:dyDescent="0.45">
      <c r="B26" s="24"/>
      <c r="C26" s="46"/>
      <c r="D26" s="47"/>
      <c r="E26" s="46"/>
      <c r="F26" s="46"/>
      <c r="G26" s="240"/>
      <c r="H26" s="46"/>
      <c r="I26" s="46"/>
      <c r="J26" s="544"/>
      <c r="K26" s="544"/>
      <c r="L26" s="544"/>
      <c r="M26" s="544"/>
      <c r="N26" s="544"/>
      <c r="O26" s="544"/>
      <c r="P26" s="544"/>
      <c r="Q26" s="544"/>
      <c r="R26" s="544"/>
      <c r="S26" s="544">
        <v>32</v>
      </c>
      <c r="T26" s="544">
        <v>50</v>
      </c>
      <c r="U26" s="544"/>
      <c r="V26" s="544"/>
      <c r="W26" s="544"/>
      <c r="X26" s="544"/>
      <c r="Y26" s="185"/>
    </row>
    <row r="27" spans="2:26" ht="26.05" thickBot="1" x14ac:dyDescent="0.45">
      <c r="B27" s="844" t="s">
        <v>189</v>
      </c>
      <c r="C27" s="840" t="s">
        <v>569</v>
      </c>
      <c r="D27" s="838" t="str">
        <f>CONCATENATE(0.1*_Gewicht, " mg")</f>
        <v>1 mg</v>
      </c>
      <c r="E27" s="839" t="str">
        <f>"= "&amp;0.02*_Gewicht&amp;" ml van Midazolam 5mg/ml oplossing"</f>
        <v>= 0,2 ml van Midazolam 5mg/ml oplossing</v>
      </c>
      <c r="F27" s="839"/>
      <c r="G27" s="845"/>
      <c r="H27" s="46"/>
      <c r="I27" s="46"/>
      <c r="J27" s="544"/>
      <c r="K27" s="544"/>
      <c r="L27" s="544"/>
      <c r="M27" s="544"/>
      <c r="N27" s="544"/>
      <c r="O27" s="544"/>
      <c r="P27" s="544"/>
      <c r="Q27" s="544"/>
      <c r="R27" s="544"/>
      <c r="S27" s="544">
        <v>33</v>
      </c>
      <c r="T27" s="544">
        <v>50</v>
      </c>
      <c r="U27" s="544"/>
      <c r="V27" s="544"/>
      <c r="W27" s="544"/>
      <c r="X27" s="544"/>
      <c r="Y27" s="185"/>
    </row>
    <row r="28" spans="2:26" ht="20.100000000000001" customHeight="1" thickBot="1" x14ac:dyDescent="0.45">
      <c r="B28" s="837"/>
      <c r="C28" s="840" t="s">
        <v>2633</v>
      </c>
      <c r="D28" s="841" t="str">
        <f>CONCATENATE(20*_Gewicht, " mg")</f>
        <v>200 mg</v>
      </c>
      <c r="E28" s="842" t="str">
        <f>"= "&amp;0.4*_Gewicht&amp;" ml van Fenobarbital 50mg/ml oplossing"</f>
        <v>= 4 ml van Fenobarbital 50mg/ml oplossing</v>
      </c>
      <c r="F28" s="842"/>
      <c r="G28" s="843"/>
      <c r="H28" s="46"/>
      <c r="I28" s="46"/>
      <c r="J28" s="544"/>
      <c r="K28" s="544"/>
      <c r="L28" s="544"/>
      <c r="M28" s="544"/>
      <c r="N28" s="544"/>
      <c r="O28" s="544"/>
      <c r="P28" s="544"/>
      <c r="Q28" s="544"/>
      <c r="R28" s="544"/>
      <c r="S28" s="544">
        <v>41</v>
      </c>
      <c r="T28" s="544">
        <v>50</v>
      </c>
      <c r="U28" s="544"/>
      <c r="V28" s="544"/>
      <c r="W28" s="544"/>
      <c r="X28" s="544"/>
      <c r="Y28" s="185"/>
    </row>
    <row r="29" spans="2:26" ht="13.5" customHeight="1" thickBot="1" x14ac:dyDescent="0.45">
      <c r="B29" s="24"/>
      <c r="C29" s="46"/>
      <c r="D29" s="47"/>
      <c r="E29" s="46"/>
      <c r="F29" s="46"/>
      <c r="G29" s="244"/>
      <c r="H29" s="46"/>
      <c r="I29" s="46"/>
      <c r="J29" s="544"/>
      <c r="K29" s="544"/>
      <c r="L29" s="544"/>
      <c r="M29" s="544"/>
      <c r="N29" s="544"/>
      <c r="O29" s="544"/>
      <c r="P29" s="544"/>
      <c r="Q29" s="544"/>
      <c r="R29" s="544"/>
      <c r="S29" s="544">
        <v>42</v>
      </c>
      <c r="T29" s="544">
        <v>50</v>
      </c>
      <c r="U29" s="544"/>
      <c r="V29" s="544"/>
      <c r="W29" s="544"/>
      <c r="X29" s="544"/>
      <c r="Y29" s="185"/>
    </row>
    <row r="30" spans="2:26" ht="19.55" customHeight="1" x14ac:dyDescent="0.4">
      <c r="B30" s="854" t="s">
        <v>1332</v>
      </c>
      <c r="C30" s="855" t="s">
        <v>2634</v>
      </c>
      <c r="D30" s="867" t="str">
        <f>CONCATENATE(0.225*_Gewicht," (mmol IV)")</f>
        <v>2,25 (mmol IV)</v>
      </c>
      <c r="E30" s="856" t="str">
        <f>"= "&amp;1*_Gewicht&amp;" ml IV van Calcium gluconaat 10%"</f>
        <v>= 10 ml IV van Calcium gluconaat 10%</v>
      </c>
      <c r="F30" s="856"/>
      <c r="G30" s="861"/>
      <c r="H30" s="849"/>
      <c r="I30" s="849"/>
      <c r="J30" s="865"/>
      <c r="K30" s="865"/>
      <c r="L30" s="865"/>
      <c r="M30" s="865"/>
      <c r="N30" s="865"/>
      <c r="O30" s="865"/>
      <c r="P30" s="865"/>
      <c r="Q30" s="865"/>
      <c r="R30" s="865"/>
      <c r="S30" s="865">
        <v>45</v>
      </c>
      <c r="T30" s="865">
        <v>50</v>
      </c>
      <c r="U30" s="865"/>
      <c r="V30" s="865"/>
      <c r="W30" s="865"/>
      <c r="X30" s="865"/>
      <c r="Y30" s="860"/>
      <c r="Z30" s="185"/>
    </row>
    <row r="31" spans="2:26" ht="19.55" customHeight="1" x14ac:dyDescent="0.45">
      <c r="B31" s="854"/>
      <c r="C31" s="853" t="s">
        <v>260</v>
      </c>
      <c r="D31" s="850" t="str">
        <f>CONCATENATE(0.1*_Gewicht," mg")</f>
        <v>1 mg</v>
      </c>
      <c r="E31" s="849" t="str">
        <f>"= "&amp;0.1*_Gewicht&amp;" ml van Morfine 1mg/1ml oplossing"</f>
        <v>= 1 ml van Morfine 1mg/1ml oplossing</v>
      </c>
      <c r="F31" s="849"/>
      <c r="G31" s="862"/>
      <c r="H31" s="849"/>
      <c r="I31" s="849"/>
      <c r="J31" s="866"/>
      <c r="K31" s="865"/>
      <c r="L31" s="865"/>
      <c r="M31" s="865"/>
      <c r="N31" s="865"/>
      <c r="O31" s="865"/>
      <c r="P31" s="865"/>
      <c r="Q31" s="865"/>
      <c r="R31" s="865"/>
      <c r="S31" s="865">
        <v>46</v>
      </c>
      <c r="T31" s="865">
        <v>50</v>
      </c>
      <c r="U31" s="865"/>
      <c r="V31" s="865"/>
      <c r="W31" s="865"/>
      <c r="X31" s="865"/>
      <c r="Y31" s="860"/>
    </row>
    <row r="32" spans="2:26" ht="19.55" customHeight="1" thickBot="1" x14ac:dyDescent="0.45">
      <c r="B32" s="854"/>
      <c r="C32" s="857" t="s">
        <v>1513</v>
      </c>
      <c r="D32" s="858" t="str">
        <f>CONCATENATE(0.6*_Gewicht," mg")</f>
        <v>6 mg</v>
      </c>
      <c r="E32" s="859" t="str">
        <f>"= "&amp;0.06*_Gewicht&amp;" ml van Rocorium 10mg/1ml oplossing"</f>
        <v>= 0,6 ml van Rocorium 10mg/1ml oplossing</v>
      </c>
      <c r="F32" s="859"/>
      <c r="G32" s="863"/>
      <c r="H32" s="849"/>
      <c r="I32" s="849"/>
      <c r="J32" s="865"/>
      <c r="K32" s="865"/>
      <c r="L32" s="865"/>
      <c r="M32" s="865"/>
      <c r="N32" s="865"/>
      <c r="O32" s="865"/>
      <c r="P32" s="865"/>
      <c r="Q32" s="865"/>
      <c r="R32" s="865"/>
      <c r="S32" s="865">
        <v>47</v>
      </c>
      <c r="T32" s="865">
        <v>50</v>
      </c>
      <c r="U32" s="865"/>
      <c r="V32" s="865"/>
      <c r="W32" s="865"/>
      <c r="X32" s="865"/>
      <c r="Y32" s="860"/>
    </row>
    <row r="33" spans="2:25" ht="19.55" customHeight="1" x14ac:dyDescent="0.35">
      <c r="B33" s="848"/>
      <c r="C33" s="846"/>
      <c r="D33" s="846"/>
      <c r="E33" s="846"/>
      <c r="F33" s="846"/>
      <c r="G33" s="846"/>
      <c r="H33" s="849"/>
      <c r="I33" s="849"/>
      <c r="J33" s="865"/>
      <c r="K33" s="865"/>
      <c r="L33" s="865"/>
      <c r="M33" s="865"/>
      <c r="N33" s="865"/>
      <c r="O33" s="865"/>
      <c r="P33" s="865"/>
      <c r="Q33" s="865"/>
      <c r="R33" s="865"/>
      <c r="S33" s="865">
        <v>48</v>
      </c>
      <c r="T33" s="865">
        <v>50</v>
      </c>
      <c r="U33" s="865"/>
      <c r="V33" s="865"/>
      <c r="W33" s="865"/>
      <c r="X33" s="865"/>
      <c r="Y33" s="860"/>
    </row>
    <row r="34" spans="2:25" ht="13.2" x14ac:dyDescent="0.4">
      <c r="B34" s="848"/>
      <c r="C34" s="849"/>
      <c r="D34" s="850"/>
      <c r="E34" s="849"/>
      <c r="F34" s="849"/>
      <c r="G34" s="864"/>
      <c r="H34" s="849"/>
      <c r="I34" s="849"/>
      <c r="J34" s="865"/>
      <c r="K34" s="865"/>
      <c r="L34" s="865"/>
      <c r="M34" s="865"/>
      <c r="N34" s="865"/>
      <c r="O34" s="865"/>
      <c r="P34" s="865"/>
      <c r="Q34" s="865"/>
      <c r="R34" s="865"/>
      <c r="S34" s="865">
        <v>49</v>
      </c>
      <c r="T34" s="865">
        <v>50</v>
      </c>
      <c r="U34" s="865"/>
      <c r="V34" s="865"/>
      <c r="W34" s="865"/>
      <c r="X34" s="865"/>
      <c r="Y34" s="860"/>
    </row>
    <row r="35" spans="2:25" x14ac:dyDescent="0.35">
      <c r="B35" s="847"/>
      <c r="C35" s="849"/>
      <c r="D35" s="849"/>
      <c r="E35" s="849"/>
      <c r="F35" s="849"/>
      <c r="G35" s="849"/>
      <c r="H35" s="849"/>
      <c r="I35" s="849"/>
      <c r="J35" s="865"/>
      <c r="K35" s="865"/>
      <c r="L35" s="865"/>
      <c r="M35" s="865"/>
      <c r="N35" s="865"/>
      <c r="O35" s="865"/>
      <c r="P35" s="865"/>
      <c r="Q35" s="865"/>
      <c r="R35" s="865"/>
      <c r="S35" s="865">
        <v>50</v>
      </c>
      <c r="T35" s="865">
        <v>50</v>
      </c>
      <c r="U35" s="865">
        <v>50</v>
      </c>
      <c r="V35" s="865"/>
      <c r="W35" s="865"/>
      <c r="X35" s="865"/>
      <c r="Y35" s="860"/>
    </row>
    <row r="36" spans="2:25" x14ac:dyDescent="0.35">
      <c r="B36" s="852" t="s">
        <v>182</v>
      </c>
      <c r="C36" s="851"/>
      <c r="D36" s="849"/>
      <c r="E36" s="849"/>
      <c r="F36" s="849"/>
      <c r="G36" s="849"/>
      <c r="H36" s="849"/>
      <c r="I36" s="849"/>
      <c r="J36" s="865"/>
      <c r="K36" s="865"/>
      <c r="L36" s="865"/>
      <c r="M36" s="865"/>
      <c r="N36" s="865"/>
      <c r="O36" s="865"/>
      <c r="P36" s="865"/>
      <c r="Q36" s="865"/>
      <c r="R36" s="865"/>
      <c r="S36" s="865">
        <v>51</v>
      </c>
      <c r="T36" s="865">
        <v>70</v>
      </c>
      <c r="U36" s="865"/>
      <c r="V36" s="865"/>
      <c r="W36" s="865"/>
      <c r="X36" s="865"/>
      <c r="Y36" s="860"/>
    </row>
    <row r="37" spans="2:25" x14ac:dyDescent="0.35">
      <c r="B37" s="55"/>
      <c r="C37" s="46"/>
      <c r="D37" s="46"/>
      <c r="E37" s="46"/>
      <c r="F37" s="46"/>
      <c r="G37" s="46"/>
      <c r="H37" s="46"/>
      <c r="I37" s="46"/>
      <c r="J37" s="544"/>
      <c r="K37" s="544"/>
      <c r="L37" s="544"/>
      <c r="M37" s="544"/>
      <c r="N37" s="544"/>
      <c r="O37" s="544"/>
      <c r="P37" s="544"/>
      <c r="Q37" s="544"/>
      <c r="R37" s="544"/>
      <c r="S37" s="544">
        <v>50</v>
      </c>
      <c r="T37" s="544">
        <v>50</v>
      </c>
      <c r="U37" s="544">
        <v>50</v>
      </c>
      <c r="V37" s="544"/>
      <c r="W37" s="544"/>
      <c r="X37" s="544"/>
      <c r="Y37" s="185"/>
    </row>
    <row r="38" spans="2:25" x14ac:dyDescent="0.35">
      <c r="B38" s="55"/>
      <c r="C38" s="46"/>
      <c r="D38" s="46"/>
      <c r="E38" s="46"/>
      <c r="F38" s="46"/>
      <c r="G38" s="46"/>
      <c r="H38" s="46"/>
      <c r="I38" s="46"/>
      <c r="J38" s="544"/>
      <c r="K38" s="544"/>
      <c r="L38" s="544"/>
      <c r="M38" s="544"/>
      <c r="N38" s="544"/>
      <c r="O38" s="544"/>
      <c r="P38" s="544"/>
      <c r="Q38" s="544"/>
      <c r="R38" s="544"/>
      <c r="S38" s="544">
        <v>51</v>
      </c>
      <c r="T38" s="544">
        <v>70</v>
      </c>
      <c r="U38" s="544"/>
      <c r="V38" s="544"/>
      <c r="W38" s="544"/>
      <c r="X38" s="544"/>
      <c r="Y38" s="185"/>
    </row>
    <row r="39" spans="2:25" x14ac:dyDescent="0.35">
      <c r="B39" s="55"/>
      <c r="C39" s="46"/>
      <c r="D39" s="46"/>
      <c r="E39" s="46"/>
      <c r="F39" s="46"/>
      <c r="G39" s="46"/>
      <c r="H39" s="46"/>
      <c r="I39" s="46"/>
      <c r="J39" s="544"/>
      <c r="K39" s="544"/>
      <c r="L39" s="544"/>
      <c r="M39" s="544"/>
      <c r="N39" s="544"/>
      <c r="O39" s="544"/>
      <c r="P39" s="544"/>
      <c r="Q39" s="544"/>
      <c r="R39" s="544"/>
      <c r="S39" s="544">
        <v>52</v>
      </c>
      <c r="T39" s="544">
        <v>70</v>
      </c>
      <c r="U39" s="544"/>
      <c r="V39" s="544"/>
      <c r="W39" s="544"/>
      <c r="X39" s="544"/>
      <c r="Y39" s="185"/>
    </row>
    <row r="40" spans="2:25" x14ac:dyDescent="0.35">
      <c r="B40" s="55"/>
      <c r="C40" s="46"/>
      <c r="D40" s="46"/>
      <c r="E40" s="46"/>
      <c r="F40" s="46"/>
      <c r="G40" s="46"/>
      <c r="H40" s="46"/>
      <c r="I40" s="46"/>
      <c r="J40" s="544"/>
      <c r="K40" s="544"/>
      <c r="L40" s="544"/>
      <c r="M40" s="544"/>
      <c r="N40" s="544"/>
      <c r="O40" s="544"/>
      <c r="P40" s="544"/>
      <c r="Q40" s="544"/>
      <c r="R40" s="544"/>
      <c r="S40" s="544">
        <v>53</v>
      </c>
      <c r="T40" s="544">
        <v>70</v>
      </c>
      <c r="U40" s="544"/>
      <c r="V40" s="544"/>
      <c r="W40" s="544"/>
      <c r="X40" s="544"/>
      <c r="Y40" s="185"/>
    </row>
    <row r="41" spans="2:25" x14ac:dyDescent="0.35">
      <c r="B41" s="55"/>
      <c r="C41" s="46"/>
      <c r="D41" s="46"/>
      <c r="E41" s="46"/>
      <c r="F41" s="46"/>
      <c r="G41" s="46"/>
      <c r="H41" s="46"/>
      <c r="I41" s="46"/>
      <c r="J41" s="544"/>
      <c r="K41" s="544"/>
      <c r="L41" s="544"/>
      <c r="M41" s="544"/>
      <c r="N41" s="544"/>
      <c r="O41" s="544"/>
      <c r="P41" s="544"/>
      <c r="Q41" s="544"/>
      <c r="R41" s="544"/>
      <c r="S41" s="544">
        <v>54</v>
      </c>
      <c r="T41" s="544">
        <v>70</v>
      </c>
      <c r="U41" s="544"/>
      <c r="V41" s="544"/>
      <c r="W41" s="544"/>
      <c r="X41" s="544"/>
      <c r="Y41" s="185"/>
    </row>
    <row r="42" spans="2:25" x14ac:dyDescent="0.35">
      <c r="B42" s="55"/>
      <c r="C42" s="46"/>
      <c r="D42" s="46"/>
      <c r="E42" s="46"/>
      <c r="F42" s="46"/>
      <c r="G42" s="46"/>
      <c r="H42" s="46"/>
      <c r="I42" s="46"/>
      <c r="J42" s="544"/>
      <c r="K42" s="544"/>
      <c r="L42" s="544"/>
      <c r="M42" s="544"/>
      <c r="N42" s="544"/>
      <c r="O42" s="544"/>
      <c r="P42" s="544"/>
      <c r="Q42" s="544"/>
      <c r="R42" s="544"/>
      <c r="S42" s="544">
        <v>55</v>
      </c>
      <c r="T42" s="544">
        <v>70</v>
      </c>
      <c r="U42" s="544"/>
      <c r="V42" s="544"/>
      <c r="W42" s="544"/>
      <c r="X42" s="544"/>
      <c r="Y42" s="185"/>
    </row>
    <row r="43" spans="2:25" x14ac:dyDescent="0.35">
      <c r="B43" s="55"/>
      <c r="C43" s="46"/>
      <c r="D43" s="46"/>
      <c r="E43" s="46"/>
      <c r="F43" s="46"/>
      <c r="G43" s="46"/>
      <c r="H43" s="46"/>
      <c r="I43" s="46"/>
      <c r="J43" s="544"/>
      <c r="K43" s="544"/>
      <c r="L43" s="544"/>
      <c r="M43" s="544"/>
      <c r="N43" s="544"/>
      <c r="O43" s="544"/>
      <c r="P43" s="544"/>
      <c r="Q43" s="544"/>
      <c r="R43" s="544"/>
      <c r="S43" s="544">
        <v>56</v>
      </c>
      <c r="T43" s="544">
        <v>70</v>
      </c>
      <c r="U43" s="544"/>
      <c r="V43" s="544"/>
      <c r="W43" s="544"/>
      <c r="X43" s="544"/>
      <c r="Y43" s="185"/>
    </row>
    <row r="44" spans="2:25" x14ac:dyDescent="0.35">
      <c r="B44" s="55"/>
      <c r="C44" s="46"/>
      <c r="D44" s="46"/>
      <c r="E44" s="46"/>
      <c r="F44" s="46"/>
      <c r="G44" s="46"/>
      <c r="H44" s="46"/>
      <c r="I44" s="46"/>
      <c r="J44" s="544"/>
      <c r="K44" s="544"/>
      <c r="L44" s="544"/>
      <c r="M44" s="544"/>
      <c r="N44" s="544"/>
      <c r="O44" s="544"/>
      <c r="P44" s="544"/>
      <c r="Q44" s="544"/>
      <c r="R44" s="544"/>
      <c r="S44" s="544">
        <v>57</v>
      </c>
      <c r="T44" s="544">
        <v>70</v>
      </c>
      <c r="U44" s="544"/>
      <c r="V44" s="544"/>
      <c r="W44" s="544"/>
      <c r="X44" s="544"/>
      <c r="Y44" s="185"/>
    </row>
    <row r="45" spans="2:25" x14ac:dyDescent="0.35">
      <c r="B45" s="55"/>
      <c r="C45" s="46"/>
      <c r="D45" s="46"/>
      <c r="E45" s="46"/>
      <c r="F45" s="46"/>
      <c r="G45" s="46"/>
      <c r="H45" s="46"/>
      <c r="I45" s="46"/>
      <c r="J45" s="544"/>
      <c r="K45" s="544"/>
      <c r="L45" s="544"/>
      <c r="M45" s="544"/>
      <c r="N45" s="544"/>
      <c r="O45" s="544"/>
      <c r="P45" s="544"/>
      <c r="Q45" s="544"/>
      <c r="R45" s="544"/>
      <c r="S45" s="544">
        <v>58</v>
      </c>
      <c r="T45" s="544">
        <v>70</v>
      </c>
      <c r="U45" s="544"/>
      <c r="V45" s="544"/>
      <c r="W45" s="544"/>
      <c r="X45" s="544"/>
      <c r="Y45" s="185"/>
    </row>
    <row r="46" spans="2:25" x14ac:dyDescent="0.35">
      <c r="B46" s="55"/>
      <c r="C46" s="46"/>
      <c r="D46" s="46"/>
      <c r="E46" s="46"/>
      <c r="F46" s="46"/>
      <c r="G46" s="46"/>
      <c r="H46" s="46"/>
      <c r="I46" s="46"/>
      <c r="J46" s="544"/>
      <c r="K46" s="544"/>
      <c r="L46" s="544"/>
      <c r="M46" s="544"/>
      <c r="N46" s="544"/>
      <c r="O46" s="544"/>
      <c r="P46" s="544"/>
      <c r="Q46" s="544"/>
      <c r="R46" s="544"/>
      <c r="S46" s="544">
        <v>59</v>
      </c>
      <c r="T46" s="544">
        <v>70</v>
      </c>
      <c r="U46" s="544"/>
      <c r="V46" s="544"/>
      <c r="W46" s="544"/>
      <c r="X46" s="544"/>
      <c r="Y46" s="185"/>
    </row>
    <row r="47" spans="2:25" x14ac:dyDescent="0.35">
      <c r="B47" s="55"/>
      <c r="C47" s="46"/>
      <c r="D47" s="46"/>
      <c r="E47" s="46"/>
      <c r="F47" s="46"/>
      <c r="G47" s="46"/>
      <c r="H47" s="46"/>
      <c r="I47" s="46"/>
      <c r="J47" s="544"/>
      <c r="K47" s="544"/>
      <c r="L47" s="544"/>
      <c r="M47" s="544"/>
      <c r="N47" s="544"/>
      <c r="O47" s="544"/>
      <c r="P47" s="544"/>
      <c r="Q47" s="544"/>
      <c r="R47" s="544"/>
      <c r="S47" s="544">
        <v>60</v>
      </c>
      <c r="T47" s="544">
        <v>70</v>
      </c>
      <c r="U47" s="544"/>
      <c r="V47" s="544"/>
      <c r="W47" s="544"/>
      <c r="X47" s="544"/>
      <c r="Y47" s="185"/>
    </row>
    <row r="48" spans="2:25" x14ac:dyDescent="0.35">
      <c r="B48" s="55"/>
      <c r="C48" s="46"/>
      <c r="D48" s="46"/>
      <c r="E48" s="46"/>
      <c r="F48" s="46"/>
      <c r="G48" s="46"/>
      <c r="H48" s="46"/>
      <c r="I48" s="46"/>
      <c r="J48" s="544"/>
      <c r="K48" s="544"/>
      <c r="L48" s="544"/>
      <c r="M48" s="544"/>
      <c r="N48" s="544"/>
      <c r="O48" s="544"/>
      <c r="P48" s="544"/>
      <c r="Q48" s="544"/>
      <c r="R48" s="544"/>
      <c r="S48" s="544">
        <v>61</v>
      </c>
      <c r="T48" s="544">
        <v>70</v>
      </c>
      <c r="U48" s="544"/>
      <c r="V48" s="544"/>
      <c r="W48" s="544"/>
      <c r="X48" s="544"/>
      <c r="Y48" s="185"/>
    </row>
    <row r="49" spans="2:25" x14ac:dyDescent="0.35">
      <c r="B49" s="55"/>
      <c r="C49" s="46"/>
      <c r="D49" s="46"/>
      <c r="E49" s="46"/>
      <c r="F49" s="46"/>
      <c r="G49" s="46"/>
      <c r="H49" s="46"/>
      <c r="I49" s="46"/>
      <c r="J49" s="544"/>
      <c r="K49" s="544"/>
      <c r="L49" s="544"/>
      <c r="M49" s="544"/>
      <c r="N49" s="544"/>
      <c r="O49" s="544"/>
      <c r="P49" s="544"/>
      <c r="Q49" s="544"/>
      <c r="R49" s="544"/>
      <c r="S49" s="544">
        <v>62</v>
      </c>
      <c r="T49" s="544">
        <v>70</v>
      </c>
      <c r="U49" s="544"/>
      <c r="V49" s="544"/>
      <c r="W49" s="544"/>
      <c r="X49" s="544"/>
      <c r="Y49" s="185"/>
    </row>
    <row r="50" spans="2:25" x14ac:dyDescent="0.35">
      <c r="B50" s="55"/>
      <c r="C50" s="46"/>
      <c r="D50" s="46"/>
      <c r="E50" s="46"/>
      <c r="F50" s="46"/>
      <c r="G50" s="46"/>
      <c r="H50" s="46"/>
      <c r="I50" s="46"/>
      <c r="J50" s="544"/>
      <c r="K50" s="544"/>
      <c r="L50" s="544"/>
      <c r="M50" s="544"/>
      <c r="N50" s="544"/>
      <c r="O50" s="544"/>
      <c r="P50" s="544"/>
      <c r="Q50" s="544"/>
      <c r="R50" s="544"/>
      <c r="S50" s="544">
        <v>63</v>
      </c>
      <c r="T50" s="544">
        <v>70</v>
      </c>
      <c r="U50" s="544"/>
      <c r="V50" s="544"/>
      <c r="W50" s="544"/>
      <c r="X50" s="544"/>
      <c r="Y50" s="185"/>
    </row>
    <row r="51" spans="2:25" x14ac:dyDescent="0.35">
      <c r="B51" s="55"/>
      <c r="C51" s="46"/>
      <c r="D51" s="46"/>
      <c r="E51" s="46"/>
      <c r="F51" s="46"/>
      <c r="G51" s="46"/>
      <c r="H51" s="46"/>
      <c r="I51" s="46"/>
      <c r="J51" s="544"/>
      <c r="K51" s="544"/>
      <c r="L51" s="544"/>
      <c r="M51" s="544"/>
      <c r="N51" s="544"/>
      <c r="O51" s="544"/>
      <c r="P51" s="544"/>
      <c r="Q51" s="544"/>
      <c r="R51" s="544"/>
      <c r="S51" s="544">
        <v>64</v>
      </c>
      <c r="T51" s="544">
        <v>70</v>
      </c>
      <c r="U51" s="544"/>
      <c r="V51" s="544"/>
      <c r="W51" s="544"/>
      <c r="X51" s="544"/>
      <c r="Y51" s="185"/>
    </row>
    <row r="52" spans="2:25" x14ac:dyDescent="0.35">
      <c r="B52" s="55"/>
      <c r="C52" s="46"/>
      <c r="D52" s="46"/>
      <c r="E52" s="46"/>
      <c r="F52" s="46"/>
      <c r="G52" s="46"/>
      <c r="H52" s="46"/>
      <c r="I52" s="46"/>
      <c r="J52" s="544"/>
      <c r="K52" s="544"/>
      <c r="L52" s="544"/>
      <c r="M52" s="544"/>
      <c r="N52" s="544"/>
      <c r="O52" s="544"/>
      <c r="P52" s="544"/>
      <c r="Q52" s="544"/>
      <c r="R52" s="544"/>
      <c r="S52" s="544">
        <v>65</v>
      </c>
      <c r="T52" s="544">
        <v>70</v>
      </c>
      <c r="U52" s="544"/>
      <c r="V52" s="544"/>
      <c r="W52" s="544"/>
      <c r="X52" s="544"/>
      <c r="Y52" s="185"/>
    </row>
    <row r="53" spans="2:25" x14ac:dyDescent="0.35">
      <c r="B53" s="55"/>
      <c r="C53" s="46"/>
      <c r="D53" s="46"/>
      <c r="E53" s="46"/>
      <c r="F53" s="46"/>
      <c r="G53" s="46"/>
      <c r="H53" s="46"/>
      <c r="I53" s="46"/>
      <c r="J53" s="544"/>
      <c r="K53" s="544"/>
      <c r="L53" s="544"/>
      <c r="M53" s="544"/>
      <c r="N53" s="544"/>
      <c r="O53" s="544"/>
      <c r="P53" s="544"/>
      <c r="Q53" s="544"/>
      <c r="R53" s="544"/>
      <c r="S53" s="544">
        <v>66</v>
      </c>
      <c r="T53" s="544">
        <v>70</v>
      </c>
      <c r="U53" s="544"/>
      <c r="V53" s="544"/>
      <c r="W53" s="544"/>
      <c r="X53" s="544"/>
      <c r="Y53" s="185"/>
    </row>
    <row r="54" spans="2:25" x14ac:dyDescent="0.35">
      <c r="B54" s="55"/>
      <c r="C54" s="46"/>
      <c r="D54" s="46"/>
      <c r="E54" s="46"/>
      <c r="F54" s="46"/>
      <c r="G54" s="46"/>
      <c r="H54" s="46"/>
      <c r="I54" s="46"/>
      <c r="J54" s="544"/>
      <c r="K54" s="544"/>
      <c r="L54" s="544"/>
      <c r="M54" s="544"/>
      <c r="N54" s="544"/>
      <c r="O54" s="544"/>
      <c r="P54" s="544"/>
      <c r="Q54" s="544"/>
      <c r="R54" s="544"/>
      <c r="S54" s="544">
        <v>67</v>
      </c>
      <c r="T54" s="544">
        <v>70</v>
      </c>
      <c r="U54" s="544"/>
      <c r="V54" s="544"/>
      <c r="W54" s="544"/>
      <c r="X54" s="544"/>
      <c r="Y54" s="185"/>
    </row>
    <row r="55" spans="2:25" x14ac:dyDescent="0.35">
      <c r="B55" s="55"/>
      <c r="C55" s="46"/>
      <c r="D55" s="46"/>
      <c r="E55" s="46"/>
      <c r="F55" s="46"/>
      <c r="G55" s="46"/>
      <c r="H55" s="46"/>
      <c r="I55" s="46"/>
      <c r="J55" s="544"/>
      <c r="K55" s="544"/>
      <c r="L55" s="544"/>
      <c r="M55" s="544"/>
      <c r="N55" s="544"/>
      <c r="O55" s="544"/>
      <c r="P55" s="544"/>
      <c r="Q55" s="544"/>
      <c r="R55" s="544"/>
      <c r="S55" s="544">
        <v>68</v>
      </c>
      <c r="T55" s="544">
        <v>70</v>
      </c>
      <c r="U55" s="544"/>
      <c r="V55" s="544"/>
      <c r="W55" s="544"/>
      <c r="X55" s="544"/>
      <c r="Y55" s="185"/>
    </row>
    <row r="56" spans="2:25" x14ac:dyDescent="0.35">
      <c r="B56" s="55"/>
      <c r="C56" s="46"/>
      <c r="D56" s="46"/>
      <c r="E56" s="46"/>
      <c r="F56" s="46"/>
      <c r="G56" s="46"/>
      <c r="H56" s="46"/>
      <c r="I56" s="46"/>
      <c r="J56" s="544"/>
      <c r="K56" s="544"/>
      <c r="L56" s="544"/>
      <c r="M56" s="544"/>
      <c r="N56" s="544"/>
      <c r="O56" s="544"/>
      <c r="P56" s="544"/>
      <c r="Q56" s="544"/>
      <c r="R56" s="544"/>
      <c r="S56" s="544">
        <v>69</v>
      </c>
      <c r="T56" s="544">
        <v>70</v>
      </c>
      <c r="U56" s="544"/>
      <c r="V56" s="544"/>
      <c r="W56" s="544"/>
      <c r="X56" s="544"/>
      <c r="Y56" s="185"/>
    </row>
    <row r="57" spans="2:25" x14ac:dyDescent="0.35">
      <c r="B57" s="55"/>
      <c r="C57" s="46"/>
      <c r="D57" s="46"/>
      <c r="E57" s="46"/>
      <c r="F57" s="46"/>
      <c r="G57" s="46"/>
      <c r="H57" s="46"/>
      <c r="I57" s="46"/>
      <c r="J57" s="544"/>
      <c r="K57" s="544"/>
      <c r="L57" s="544"/>
      <c r="M57" s="544"/>
      <c r="N57" s="544"/>
      <c r="O57" s="544"/>
      <c r="P57" s="544"/>
      <c r="Q57" s="544"/>
      <c r="R57" s="544"/>
      <c r="S57" s="544">
        <v>70</v>
      </c>
      <c r="T57" s="544">
        <v>70</v>
      </c>
      <c r="U57" s="544">
        <v>70</v>
      </c>
      <c r="V57" s="544"/>
      <c r="W57" s="544"/>
      <c r="X57" s="544"/>
      <c r="Y57" s="185"/>
    </row>
    <row r="58" spans="2:25" x14ac:dyDescent="0.35">
      <c r="B58" s="55"/>
      <c r="C58" s="46"/>
      <c r="D58" s="46"/>
      <c r="E58" s="46"/>
      <c r="F58" s="46"/>
      <c r="G58" s="46"/>
      <c r="H58" s="46"/>
      <c r="I58" s="46"/>
      <c r="J58" s="544"/>
      <c r="K58" s="544"/>
      <c r="L58" s="544"/>
      <c r="M58" s="544"/>
      <c r="N58" s="544"/>
      <c r="O58" s="544"/>
      <c r="P58" s="544"/>
      <c r="Q58" s="544"/>
      <c r="R58" s="544"/>
      <c r="S58" s="544">
        <v>71</v>
      </c>
      <c r="T58" s="544">
        <v>100</v>
      </c>
      <c r="U58" s="544"/>
      <c r="V58" s="544"/>
      <c r="W58" s="544"/>
      <c r="X58" s="544"/>
      <c r="Y58" s="185"/>
    </row>
    <row r="59" spans="2:25" x14ac:dyDescent="0.35">
      <c r="B59" s="55"/>
      <c r="C59" s="46"/>
      <c r="D59" s="46"/>
      <c r="E59" s="46"/>
      <c r="F59" s="46"/>
      <c r="G59" s="46"/>
      <c r="H59" s="46"/>
      <c r="I59" s="46"/>
      <c r="J59" s="544"/>
      <c r="K59" s="544"/>
      <c r="L59" s="544"/>
      <c r="M59" s="544"/>
      <c r="N59" s="544"/>
      <c r="O59" s="544"/>
      <c r="P59" s="544"/>
      <c r="Q59" s="544"/>
      <c r="R59" s="544"/>
      <c r="S59" s="544">
        <v>72</v>
      </c>
      <c r="T59" s="544">
        <v>100</v>
      </c>
      <c r="U59" s="544"/>
      <c r="V59" s="544"/>
      <c r="W59" s="544"/>
      <c r="X59" s="544"/>
      <c r="Y59" s="185"/>
    </row>
    <row r="60" spans="2:25" x14ac:dyDescent="0.35">
      <c r="B60" s="55"/>
      <c r="C60" s="46"/>
      <c r="D60" s="46"/>
      <c r="E60" s="46"/>
      <c r="F60" s="46"/>
      <c r="G60" s="46"/>
      <c r="H60" s="46"/>
      <c r="I60" s="46"/>
      <c r="J60" s="544"/>
      <c r="K60" s="544"/>
      <c r="L60" s="544"/>
      <c r="M60" s="544"/>
      <c r="N60" s="544"/>
      <c r="O60" s="544"/>
      <c r="P60" s="544"/>
      <c r="Q60" s="544"/>
      <c r="R60" s="544"/>
      <c r="S60" s="544">
        <v>73</v>
      </c>
      <c r="T60" s="544">
        <v>100</v>
      </c>
      <c r="U60" s="544"/>
      <c r="V60" s="544"/>
      <c r="W60" s="544"/>
      <c r="X60" s="544"/>
      <c r="Y60" s="185"/>
    </row>
    <row r="61" spans="2:25" x14ac:dyDescent="0.35">
      <c r="B61" s="55"/>
      <c r="C61" s="46"/>
      <c r="D61" s="46"/>
      <c r="E61" s="46"/>
      <c r="F61" s="46"/>
      <c r="G61" s="46"/>
      <c r="H61" s="46"/>
      <c r="I61" s="46"/>
      <c r="J61" s="544"/>
      <c r="K61" s="544"/>
      <c r="L61" s="544"/>
      <c r="M61" s="544"/>
      <c r="N61" s="544"/>
      <c r="O61" s="544"/>
      <c r="P61" s="544"/>
      <c r="Q61" s="544"/>
      <c r="R61" s="544"/>
      <c r="S61" s="544">
        <v>74</v>
      </c>
      <c r="T61" s="544">
        <v>100</v>
      </c>
      <c r="U61" s="544"/>
      <c r="V61" s="544"/>
      <c r="W61" s="544"/>
      <c r="X61" s="544"/>
      <c r="Y61" s="185"/>
    </row>
    <row r="62" spans="2:25" x14ac:dyDescent="0.35">
      <c r="B62" s="55"/>
      <c r="C62" s="46"/>
      <c r="D62" s="46"/>
      <c r="E62" s="46"/>
      <c r="F62" s="46"/>
      <c r="G62" s="46"/>
      <c r="H62" s="46"/>
      <c r="I62" s="46"/>
      <c r="J62" s="544"/>
      <c r="K62" s="544"/>
      <c r="L62" s="544"/>
      <c r="M62" s="544"/>
      <c r="N62" s="544"/>
      <c r="O62" s="544"/>
      <c r="P62" s="544"/>
      <c r="Q62" s="544"/>
      <c r="R62" s="544"/>
      <c r="S62" s="544">
        <v>75</v>
      </c>
      <c r="T62" s="544">
        <v>100</v>
      </c>
      <c r="U62" s="544"/>
      <c r="V62" s="544"/>
      <c r="W62" s="544"/>
      <c r="X62" s="544"/>
      <c r="Y62" s="185"/>
    </row>
    <row r="63" spans="2:25" x14ac:dyDescent="0.35">
      <c r="B63" s="55"/>
      <c r="C63" s="46"/>
      <c r="D63" s="46"/>
      <c r="E63" s="46"/>
      <c r="F63" s="46"/>
      <c r="G63" s="46"/>
      <c r="H63" s="46"/>
      <c r="I63" s="46"/>
      <c r="J63" s="544"/>
      <c r="K63" s="544"/>
      <c r="L63" s="544"/>
      <c r="M63" s="544"/>
      <c r="N63" s="544"/>
      <c r="O63" s="544"/>
      <c r="P63" s="544"/>
      <c r="Q63" s="544"/>
      <c r="R63" s="544"/>
      <c r="S63" s="544">
        <v>76</v>
      </c>
      <c r="T63" s="544">
        <v>100</v>
      </c>
      <c r="U63" s="544"/>
      <c r="V63" s="544"/>
      <c r="W63" s="544"/>
      <c r="X63" s="544"/>
      <c r="Y63" s="185"/>
    </row>
    <row r="64" spans="2:25" x14ac:dyDescent="0.35">
      <c r="H64" s="46"/>
      <c r="I64" s="46"/>
      <c r="J64" s="544"/>
      <c r="K64" s="544"/>
      <c r="L64" s="544"/>
      <c r="M64" s="544"/>
      <c r="N64" s="544"/>
      <c r="O64" s="544"/>
      <c r="P64" s="544"/>
      <c r="Q64" s="544"/>
      <c r="R64" s="544"/>
      <c r="S64" s="544">
        <v>77</v>
      </c>
      <c r="T64" s="544">
        <v>100</v>
      </c>
      <c r="U64" s="544"/>
      <c r="V64" s="544"/>
      <c r="W64" s="544"/>
      <c r="X64" s="544"/>
      <c r="Y64" s="185"/>
    </row>
    <row r="65" spans="10:25" x14ac:dyDescent="0.35">
      <c r="J65" s="544"/>
      <c r="K65" s="544"/>
      <c r="L65" s="544"/>
      <c r="M65" s="544"/>
      <c r="N65" s="544"/>
      <c r="O65" s="544"/>
      <c r="P65" s="544"/>
      <c r="Q65" s="544"/>
      <c r="R65" s="544"/>
      <c r="S65" s="544">
        <v>78</v>
      </c>
      <c r="T65" s="544">
        <v>100</v>
      </c>
      <c r="U65" s="544"/>
      <c r="V65" s="544"/>
      <c r="W65" s="544"/>
      <c r="X65" s="544"/>
      <c r="Y65" s="185"/>
    </row>
    <row r="66" spans="10:25" x14ac:dyDescent="0.35">
      <c r="J66" s="544"/>
      <c r="K66" s="544"/>
      <c r="L66" s="544"/>
      <c r="M66" s="544"/>
      <c r="N66" s="544"/>
      <c r="O66" s="544"/>
      <c r="P66" s="544"/>
      <c r="Q66" s="544"/>
      <c r="R66" s="544"/>
      <c r="S66" s="544">
        <v>79</v>
      </c>
      <c r="T66" s="544">
        <v>100</v>
      </c>
      <c r="U66" s="544"/>
      <c r="V66" s="544"/>
      <c r="W66" s="544"/>
      <c r="X66" s="544"/>
      <c r="Y66" s="185"/>
    </row>
    <row r="67" spans="10:25" x14ac:dyDescent="0.35">
      <c r="J67" s="544"/>
      <c r="K67" s="544"/>
      <c r="L67" s="544"/>
      <c r="M67" s="544"/>
      <c r="N67" s="544"/>
      <c r="O67" s="544"/>
      <c r="P67" s="544"/>
      <c r="Q67" s="544"/>
      <c r="R67" s="544"/>
      <c r="S67" s="544">
        <v>80</v>
      </c>
      <c r="T67" s="544">
        <v>100</v>
      </c>
      <c r="U67" s="544"/>
      <c r="V67" s="544"/>
      <c r="W67" s="544"/>
      <c r="X67" s="544"/>
      <c r="Y67" s="185"/>
    </row>
    <row r="68" spans="10:25" x14ac:dyDescent="0.35">
      <c r="J68" s="544"/>
      <c r="K68" s="544"/>
      <c r="L68" s="544"/>
      <c r="M68" s="544"/>
      <c r="N68" s="544"/>
      <c r="O68" s="544"/>
      <c r="P68" s="544"/>
      <c r="Q68" s="544"/>
      <c r="R68" s="544"/>
      <c r="S68" s="544">
        <v>81</v>
      </c>
      <c r="T68" s="544">
        <v>100</v>
      </c>
      <c r="U68" s="544"/>
      <c r="V68" s="544"/>
      <c r="W68" s="544"/>
      <c r="X68" s="544"/>
      <c r="Y68" s="185"/>
    </row>
    <row r="69" spans="10:25" x14ac:dyDescent="0.35">
      <c r="J69" s="544"/>
      <c r="K69" s="544"/>
      <c r="L69" s="544"/>
      <c r="M69" s="544"/>
      <c r="N69" s="544"/>
      <c r="O69" s="544"/>
      <c r="P69" s="544"/>
      <c r="Q69" s="544"/>
      <c r="R69" s="544"/>
      <c r="S69" s="544">
        <v>82</v>
      </c>
      <c r="T69" s="544">
        <v>100</v>
      </c>
      <c r="U69" s="544"/>
      <c r="V69" s="544"/>
      <c r="W69" s="544"/>
      <c r="X69" s="544"/>
      <c r="Y69" s="185"/>
    </row>
    <row r="70" spans="10:25" x14ac:dyDescent="0.35">
      <c r="J70" s="544"/>
      <c r="K70" s="544"/>
      <c r="L70" s="544"/>
      <c r="M70" s="544"/>
      <c r="N70" s="544"/>
      <c r="O70" s="544"/>
      <c r="P70" s="544"/>
      <c r="Q70" s="544"/>
      <c r="R70" s="544"/>
      <c r="S70" s="544">
        <v>83</v>
      </c>
      <c r="T70" s="544">
        <v>100</v>
      </c>
      <c r="U70" s="544"/>
      <c r="V70" s="544"/>
      <c r="W70" s="544"/>
      <c r="X70" s="544"/>
      <c r="Y70" s="185"/>
    </row>
    <row r="71" spans="10:25" x14ac:dyDescent="0.35">
      <c r="J71" s="544"/>
      <c r="K71" s="544"/>
      <c r="L71" s="544"/>
      <c r="M71" s="544"/>
      <c r="N71" s="544"/>
      <c r="O71" s="544"/>
      <c r="P71" s="544"/>
      <c r="Q71" s="544"/>
      <c r="R71" s="544"/>
      <c r="S71" s="544">
        <v>84</v>
      </c>
      <c r="T71" s="544">
        <v>100</v>
      </c>
      <c r="U71" s="544"/>
      <c r="V71" s="544"/>
      <c r="W71" s="544"/>
      <c r="X71" s="544"/>
      <c r="Y71" s="185"/>
    </row>
    <row r="72" spans="10:25" x14ac:dyDescent="0.35">
      <c r="J72" s="544"/>
      <c r="K72" s="544"/>
      <c r="L72" s="544"/>
      <c r="M72" s="544"/>
      <c r="N72" s="544"/>
      <c r="O72" s="544"/>
      <c r="P72" s="544"/>
      <c r="Q72" s="544"/>
      <c r="R72" s="544"/>
      <c r="S72" s="544">
        <v>85</v>
      </c>
      <c r="T72" s="544">
        <v>100</v>
      </c>
      <c r="U72" s="544"/>
      <c r="V72" s="544"/>
      <c r="W72" s="544"/>
      <c r="X72" s="544"/>
      <c r="Y72" s="185"/>
    </row>
    <row r="73" spans="10:25" x14ac:dyDescent="0.35">
      <c r="J73" s="544"/>
      <c r="K73" s="544"/>
      <c r="L73" s="544"/>
      <c r="M73" s="544"/>
      <c r="N73" s="544"/>
      <c r="O73" s="544"/>
      <c r="P73" s="544"/>
      <c r="Q73" s="544"/>
      <c r="R73" s="544"/>
      <c r="S73" s="544">
        <v>86</v>
      </c>
      <c r="T73" s="544">
        <v>100</v>
      </c>
      <c r="U73" s="544"/>
      <c r="V73" s="544"/>
      <c r="W73" s="544"/>
      <c r="X73" s="544"/>
      <c r="Y73" s="185"/>
    </row>
    <row r="74" spans="10:25" x14ac:dyDescent="0.35">
      <c r="J74" s="544"/>
      <c r="K74" s="544"/>
      <c r="L74" s="544"/>
      <c r="M74" s="544"/>
      <c r="N74" s="544"/>
      <c r="O74" s="544"/>
      <c r="P74" s="544"/>
      <c r="Q74" s="544"/>
      <c r="R74" s="544"/>
      <c r="S74" s="544">
        <v>87</v>
      </c>
      <c r="T74" s="544">
        <v>100</v>
      </c>
      <c r="U74" s="544"/>
      <c r="V74" s="544"/>
      <c r="W74" s="544"/>
      <c r="X74" s="544"/>
      <c r="Y74" s="185"/>
    </row>
    <row r="75" spans="10:25" x14ac:dyDescent="0.35">
      <c r="J75" s="544"/>
      <c r="K75" s="544"/>
      <c r="L75" s="544"/>
      <c r="M75" s="544"/>
      <c r="N75" s="544"/>
      <c r="O75" s="544"/>
      <c r="P75" s="544"/>
      <c r="Q75" s="544"/>
      <c r="R75" s="544"/>
      <c r="S75" s="544">
        <v>88</v>
      </c>
      <c r="T75" s="544">
        <v>100</v>
      </c>
      <c r="U75" s="544"/>
      <c r="V75" s="544"/>
      <c r="W75" s="544"/>
      <c r="X75" s="544"/>
      <c r="Y75" s="185"/>
    </row>
    <row r="76" spans="10:25" x14ac:dyDescent="0.35">
      <c r="J76" s="544"/>
      <c r="K76" s="544"/>
      <c r="L76" s="544"/>
      <c r="M76" s="544"/>
      <c r="N76" s="544"/>
      <c r="O76" s="544"/>
      <c r="P76" s="544"/>
      <c r="Q76" s="544"/>
      <c r="R76" s="544"/>
      <c r="S76" s="544">
        <v>89</v>
      </c>
      <c r="T76" s="544">
        <v>100</v>
      </c>
      <c r="U76" s="544"/>
      <c r="V76" s="544"/>
      <c r="W76" s="544"/>
      <c r="X76" s="544"/>
      <c r="Y76" s="185"/>
    </row>
    <row r="77" spans="10:25" x14ac:dyDescent="0.35">
      <c r="J77" s="544"/>
      <c r="K77" s="544"/>
      <c r="L77" s="544"/>
      <c r="M77" s="544"/>
      <c r="N77" s="544"/>
      <c r="O77" s="544"/>
      <c r="P77" s="544"/>
      <c r="Q77" s="544"/>
      <c r="R77" s="544"/>
      <c r="S77" s="544">
        <v>90</v>
      </c>
      <c r="T77" s="544">
        <v>100</v>
      </c>
      <c r="U77" s="544"/>
      <c r="V77" s="544"/>
      <c r="W77" s="544"/>
      <c r="X77" s="544"/>
      <c r="Y77" s="185"/>
    </row>
    <row r="78" spans="10:25" x14ac:dyDescent="0.35">
      <c r="J78" s="544"/>
      <c r="K78" s="544"/>
      <c r="L78" s="544"/>
      <c r="M78" s="544"/>
      <c r="N78" s="544"/>
      <c r="O78" s="544"/>
      <c r="P78" s="544"/>
      <c r="Q78" s="544"/>
      <c r="R78" s="544"/>
      <c r="S78" s="544">
        <v>91</v>
      </c>
      <c r="T78" s="544">
        <v>100</v>
      </c>
      <c r="U78" s="544"/>
      <c r="V78" s="544"/>
      <c r="W78" s="544"/>
      <c r="X78" s="544"/>
      <c r="Y78" s="185"/>
    </row>
    <row r="79" spans="10:25" x14ac:dyDescent="0.35">
      <c r="J79" s="544"/>
      <c r="K79" s="544"/>
      <c r="L79" s="544"/>
      <c r="M79" s="544"/>
      <c r="N79" s="544"/>
      <c r="O79" s="544"/>
      <c r="P79" s="544"/>
      <c r="Q79" s="544"/>
      <c r="R79" s="544"/>
      <c r="S79" s="544">
        <v>92</v>
      </c>
      <c r="T79" s="544">
        <v>100</v>
      </c>
      <c r="U79" s="544"/>
      <c r="V79" s="544"/>
      <c r="W79" s="544"/>
      <c r="X79" s="544"/>
      <c r="Y79" s="185"/>
    </row>
    <row r="80" spans="10:25" x14ac:dyDescent="0.35">
      <c r="J80" s="544"/>
      <c r="K80" s="544"/>
      <c r="L80" s="544"/>
      <c r="M80" s="544"/>
      <c r="N80" s="544"/>
      <c r="O80" s="544"/>
      <c r="P80" s="544"/>
      <c r="Q80" s="544"/>
      <c r="R80" s="544"/>
      <c r="S80" s="544">
        <v>93</v>
      </c>
      <c r="T80" s="544">
        <v>100</v>
      </c>
      <c r="U80" s="544"/>
      <c r="V80" s="544"/>
      <c r="W80" s="544"/>
      <c r="X80" s="544"/>
      <c r="Y80" s="185"/>
    </row>
    <row r="81" spans="10:25" x14ac:dyDescent="0.35">
      <c r="J81" s="544"/>
      <c r="K81" s="544"/>
      <c r="L81" s="544"/>
      <c r="M81" s="544"/>
      <c r="N81" s="544"/>
      <c r="O81" s="544"/>
      <c r="P81" s="544"/>
      <c r="Q81" s="544"/>
      <c r="R81" s="544"/>
      <c r="S81" s="544">
        <v>94</v>
      </c>
      <c r="T81" s="544">
        <v>100</v>
      </c>
      <c r="U81" s="544"/>
      <c r="V81" s="544"/>
      <c r="W81" s="544"/>
      <c r="X81" s="544"/>
      <c r="Y81" s="185"/>
    </row>
    <row r="82" spans="10:25" x14ac:dyDescent="0.35">
      <c r="J82" s="544"/>
      <c r="K82" s="544"/>
      <c r="L82" s="544"/>
      <c r="M82" s="544"/>
      <c r="N82" s="544"/>
      <c r="O82" s="544"/>
      <c r="P82" s="544"/>
      <c r="Q82" s="544"/>
      <c r="R82" s="544"/>
      <c r="S82" s="544">
        <v>95</v>
      </c>
      <c r="T82" s="544">
        <v>100</v>
      </c>
      <c r="U82" s="544"/>
      <c r="V82" s="544"/>
      <c r="W82" s="544"/>
      <c r="X82" s="544"/>
      <c r="Y82" s="185"/>
    </row>
    <row r="83" spans="10:25" x14ac:dyDescent="0.35">
      <c r="J83" s="544"/>
      <c r="K83" s="544"/>
      <c r="L83" s="544"/>
      <c r="M83" s="544"/>
      <c r="N83" s="544"/>
      <c r="O83" s="544"/>
      <c r="P83" s="544"/>
      <c r="Q83" s="544"/>
      <c r="R83" s="544"/>
      <c r="S83" s="544">
        <v>96</v>
      </c>
      <c r="T83" s="544">
        <v>100</v>
      </c>
      <c r="U83" s="544"/>
      <c r="V83" s="544"/>
      <c r="W83" s="544"/>
      <c r="X83" s="544"/>
      <c r="Y83" s="185"/>
    </row>
    <row r="84" spans="10:25" x14ac:dyDescent="0.35">
      <c r="J84" s="544"/>
      <c r="K84" s="544"/>
      <c r="L84" s="544"/>
      <c r="M84" s="544"/>
      <c r="N84" s="544"/>
      <c r="O84" s="544"/>
      <c r="P84" s="544"/>
      <c r="Q84" s="544"/>
      <c r="R84" s="544"/>
      <c r="S84" s="544">
        <v>97</v>
      </c>
      <c r="T84" s="544">
        <v>100</v>
      </c>
      <c r="U84" s="544"/>
      <c r="V84" s="544"/>
      <c r="W84" s="544"/>
      <c r="X84" s="544"/>
      <c r="Y84" s="185"/>
    </row>
    <row r="85" spans="10:25" x14ac:dyDescent="0.35">
      <c r="J85" s="544"/>
      <c r="K85" s="544"/>
      <c r="L85" s="544"/>
      <c r="M85" s="544"/>
      <c r="N85" s="544"/>
      <c r="O85" s="544"/>
      <c r="P85" s="544"/>
      <c r="Q85" s="544"/>
      <c r="R85" s="544"/>
      <c r="S85" s="544">
        <v>98</v>
      </c>
      <c r="T85" s="544">
        <v>100</v>
      </c>
      <c r="U85" s="544"/>
      <c r="V85" s="544"/>
      <c r="W85" s="544"/>
      <c r="X85" s="544"/>
      <c r="Y85" s="185"/>
    </row>
    <row r="86" spans="10:25" x14ac:dyDescent="0.35">
      <c r="J86" s="544"/>
      <c r="K86" s="544"/>
      <c r="L86" s="544"/>
      <c r="M86" s="544"/>
      <c r="N86" s="544"/>
      <c r="O86" s="544"/>
      <c r="P86" s="544"/>
      <c r="Q86" s="544"/>
      <c r="R86" s="544"/>
      <c r="S86" s="544">
        <v>99</v>
      </c>
      <c r="T86" s="544">
        <v>100</v>
      </c>
      <c r="U86" s="544"/>
      <c r="V86" s="544"/>
      <c r="W86" s="544"/>
      <c r="X86" s="544"/>
      <c r="Y86" s="185"/>
    </row>
    <row r="87" spans="10:25" x14ac:dyDescent="0.35">
      <c r="J87" s="544"/>
      <c r="K87" s="544"/>
      <c r="L87" s="544"/>
      <c r="M87" s="544"/>
      <c r="N87" s="544"/>
      <c r="O87" s="544"/>
      <c r="P87" s="544"/>
      <c r="Q87" s="544"/>
      <c r="R87" s="544"/>
      <c r="S87" s="544">
        <v>100</v>
      </c>
      <c r="T87" s="544">
        <v>100</v>
      </c>
      <c r="U87" s="544">
        <v>100</v>
      </c>
      <c r="V87" s="544"/>
      <c r="W87" s="544"/>
      <c r="X87" s="544"/>
      <c r="Y87" s="185"/>
    </row>
    <row r="88" spans="10:25" x14ac:dyDescent="0.35">
      <c r="J88" s="544"/>
      <c r="K88" s="544"/>
      <c r="L88" s="544"/>
      <c r="M88" s="544"/>
      <c r="N88" s="544"/>
      <c r="O88" s="544"/>
      <c r="P88" s="544"/>
      <c r="Q88" s="544"/>
      <c r="R88" s="544"/>
      <c r="S88" s="544">
        <v>101</v>
      </c>
      <c r="T88" s="544">
        <v>150</v>
      </c>
      <c r="U88" s="544"/>
      <c r="V88" s="544"/>
      <c r="W88" s="544"/>
      <c r="X88" s="544"/>
      <c r="Y88" s="185"/>
    </row>
    <row r="89" spans="10:25" x14ac:dyDescent="0.35">
      <c r="J89" s="544"/>
      <c r="K89" s="544"/>
      <c r="L89" s="544"/>
      <c r="M89" s="544"/>
      <c r="N89" s="544"/>
      <c r="O89" s="544"/>
      <c r="P89" s="544"/>
      <c r="Q89" s="544"/>
      <c r="R89" s="544"/>
      <c r="S89" s="544">
        <v>102</v>
      </c>
      <c r="T89" s="544">
        <v>150</v>
      </c>
      <c r="U89" s="544"/>
      <c r="V89" s="544"/>
      <c r="W89" s="544"/>
      <c r="X89" s="544"/>
      <c r="Y89" s="185"/>
    </row>
    <row r="90" spans="10:25" x14ac:dyDescent="0.35">
      <c r="J90" s="544"/>
      <c r="K90" s="544"/>
      <c r="L90" s="544"/>
      <c r="M90" s="544"/>
      <c r="N90" s="544"/>
      <c r="O90" s="544"/>
      <c r="P90" s="544"/>
      <c r="Q90" s="544"/>
      <c r="R90" s="544"/>
      <c r="S90" s="544">
        <v>103</v>
      </c>
      <c r="T90" s="544">
        <v>150</v>
      </c>
      <c r="U90" s="544"/>
      <c r="V90" s="544"/>
      <c r="W90" s="544"/>
      <c r="X90" s="544"/>
      <c r="Y90" s="185"/>
    </row>
    <row r="91" spans="10:25" x14ac:dyDescent="0.35">
      <c r="J91" s="544"/>
      <c r="K91" s="544"/>
      <c r="L91" s="544"/>
      <c r="M91" s="544"/>
      <c r="N91" s="544"/>
      <c r="O91" s="544"/>
      <c r="P91" s="544"/>
      <c r="Q91" s="544"/>
      <c r="R91" s="544"/>
      <c r="S91" s="544">
        <v>104</v>
      </c>
      <c r="T91" s="544">
        <v>150</v>
      </c>
      <c r="U91" s="544"/>
      <c r="V91" s="544"/>
      <c r="W91" s="544"/>
      <c r="X91" s="544"/>
      <c r="Y91" s="185"/>
    </row>
    <row r="92" spans="10:25" x14ac:dyDescent="0.35">
      <c r="J92" s="544"/>
      <c r="K92" s="544"/>
      <c r="L92" s="544"/>
      <c r="M92" s="544"/>
      <c r="N92" s="544"/>
      <c r="O92" s="544"/>
      <c r="P92" s="544"/>
      <c r="Q92" s="544"/>
      <c r="R92" s="544"/>
      <c r="S92" s="544">
        <v>105</v>
      </c>
      <c r="T92" s="544">
        <v>150</v>
      </c>
      <c r="U92" s="544"/>
      <c r="V92" s="544"/>
      <c r="W92" s="544"/>
      <c r="X92" s="544"/>
      <c r="Y92" s="185"/>
    </row>
    <row r="93" spans="10:25" x14ac:dyDescent="0.35">
      <c r="J93" s="544"/>
      <c r="K93" s="544"/>
      <c r="L93" s="544"/>
      <c r="M93" s="544"/>
      <c r="N93" s="544"/>
      <c r="O93" s="544"/>
      <c r="P93" s="544"/>
      <c r="Q93" s="544"/>
      <c r="R93" s="544"/>
      <c r="S93" s="544">
        <v>106</v>
      </c>
      <c r="T93" s="544">
        <v>150</v>
      </c>
      <c r="U93" s="544"/>
      <c r="V93" s="544"/>
      <c r="W93" s="544"/>
      <c r="X93" s="544"/>
      <c r="Y93" s="185"/>
    </row>
    <row r="94" spans="10:25" x14ac:dyDescent="0.35">
      <c r="J94" s="544"/>
      <c r="K94" s="544"/>
      <c r="L94" s="544"/>
      <c r="M94" s="544"/>
      <c r="N94" s="544"/>
      <c r="O94" s="544"/>
      <c r="P94" s="544"/>
      <c r="Q94" s="544"/>
      <c r="R94" s="544"/>
      <c r="S94" s="544">
        <v>107</v>
      </c>
      <c r="T94" s="544">
        <v>150</v>
      </c>
      <c r="U94" s="544"/>
      <c r="V94" s="544"/>
      <c r="W94" s="544"/>
      <c r="X94" s="544"/>
      <c r="Y94" s="185"/>
    </row>
    <row r="95" spans="10:25" x14ac:dyDescent="0.35">
      <c r="J95" s="544"/>
      <c r="K95" s="544"/>
      <c r="L95" s="544"/>
      <c r="M95" s="544"/>
      <c r="N95" s="544"/>
      <c r="O95" s="544"/>
      <c r="P95" s="544"/>
      <c r="Q95" s="544"/>
      <c r="R95" s="544"/>
      <c r="S95" s="544">
        <v>108</v>
      </c>
      <c r="T95" s="544">
        <v>150</v>
      </c>
      <c r="U95" s="544"/>
      <c r="V95" s="544"/>
      <c r="W95" s="544"/>
      <c r="X95" s="544"/>
      <c r="Y95" s="185"/>
    </row>
    <row r="96" spans="10:25" x14ac:dyDescent="0.35">
      <c r="J96" s="544"/>
      <c r="K96" s="544"/>
      <c r="L96" s="544"/>
      <c r="M96" s="544"/>
      <c r="N96" s="544"/>
      <c r="O96" s="544"/>
      <c r="P96" s="544"/>
      <c r="Q96" s="544"/>
      <c r="R96" s="544"/>
      <c r="S96" s="544">
        <v>109</v>
      </c>
      <c r="T96" s="544">
        <v>150</v>
      </c>
      <c r="U96" s="544"/>
      <c r="V96" s="544"/>
      <c r="W96" s="544"/>
      <c r="X96" s="544"/>
      <c r="Y96" s="185"/>
    </row>
    <row r="97" spans="10:25" x14ac:dyDescent="0.35">
      <c r="J97" s="544"/>
      <c r="K97" s="544"/>
      <c r="L97" s="544"/>
      <c r="M97" s="544"/>
      <c r="N97" s="544"/>
      <c r="O97" s="544"/>
      <c r="P97" s="544"/>
      <c r="Q97" s="544"/>
      <c r="R97" s="544"/>
      <c r="S97" s="544">
        <v>110</v>
      </c>
      <c r="T97" s="544">
        <v>150</v>
      </c>
      <c r="U97" s="544"/>
      <c r="V97" s="544"/>
      <c r="W97" s="544"/>
      <c r="X97" s="544"/>
      <c r="Y97" s="185"/>
    </row>
    <row r="98" spans="10:25" x14ac:dyDescent="0.35">
      <c r="J98" s="544"/>
      <c r="K98" s="544"/>
      <c r="L98" s="544"/>
      <c r="M98" s="544"/>
      <c r="N98" s="544"/>
      <c r="O98" s="544"/>
      <c r="P98" s="544"/>
      <c r="Q98" s="544"/>
      <c r="R98" s="544"/>
      <c r="S98" s="544">
        <v>111</v>
      </c>
      <c r="T98" s="544">
        <v>150</v>
      </c>
      <c r="U98" s="544"/>
      <c r="V98" s="544"/>
      <c r="W98" s="544"/>
      <c r="X98" s="544"/>
      <c r="Y98" s="185"/>
    </row>
    <row r="99" spans="10:25" x14ac:dyDescent="0.35">
      <c r="J99" s="544"/>
      <c r="K99" s="544"/>
      <c r="L99" s="544"/>
      <c r="M99" s="544"/>
      <c r="N99" s="544"/>
      <c r="O99" s="544"/>
      <c r="P99" s="544"/>
      <c r="Q99" s="544"/>
      <c r="R99" s="544"/>
      <c r="S99" s="544">
        <v>112</v>
      </c>
      <c r="T99" s="544">
        <v>150</v>
      </c>
      <c r="U99" s="544"/>
      <c r="V99" s="544"/>
      <c r="W99" s="544"/>
      <c r="X99" s="544"/>
      <c r="Y99" s="185"/>
    </row>
    <row r="100" spans="10:25" x14ac:dyDescent="0.35">
      <c r="J100" s="544"/>
      <c r="K100" s="544"/>
      <c r="L100" s="544"/>
      <c r="M100" s="544"/>
      <c r="N100" s="544"/>
      <c r="O100" s="544"/>
      <c r="P100" s="544"/>
      <c r="Q100" s="544"/>
      <c r="R100" s="544"/>
      <c r="S100" s="544">
        <v>113</v>
      </c>
      <c r="T100" s="544">
        <v>150</v>
      </c>
      <c r="U100" s="544"/>
      <c r="V100" s="544"/>
      <c r="W100" s="544"/>
      <c r="X100" s="544"/>
      <c r="Y100" s="185"/>
    </row>
    <row r="101" spans="10:25" x14ac:dyDescent="0.35">
      <c r="J101" s="544"/>
      <c r="K101" s="544"/>
      <c r="L101" s="544"/>
      <c r="M101" s="544"/>
      <c r="N101" s="544"/>
      <c r="O101" s="544"/>
      <c r="P101" s="544"/>
      <c r="Q101" s="544"/>
      <c r="R101" s="544"/>
      <c r="S101" s="544">
        <v>114</v>
      </c>
      <c r="T101" s="544">
        <v>150</v>
      </c>
      <c r="U101" s="544"/>
      <c r="V101" s="544"/>
      <c r="W101" s="544"/>
      <c r="X101" s="544"/>
      <c r="Y101" s="185"/>
    </row>
    <row r="102" spans="10:25" x14ac:dyDescent="0.35">
      <c r="J102" s="544"/>
      <c r="K102" s="544"/>
      <c r="L102" s="544"/>
      <c r="M102" s="544"/>
      <c r="N102" s="544"/>
      <c r="O102" s="544"/>
      <c r="P102" s="544"/>
      <c r="Q102" s="544"/>
      <c r="R102" s="544"/>
      <c r="S102" s="544">
        <v>115</v>
      </c>
      <c r="T102" s="544">
        <v>150</v>
      </c>
      <c r="U102" s="544"/>
      <c r="V102" s="544"/>
      <c r="W102" s="544"/>
      <c r="X102" s="544"/>
      <c r="Y102" s="185"/>
    </row>
    <row r="103" spans="10:25" x14ac:dyDescent="0.35">
      <c r="J103" s="544"/>
      <c r="K103" s="544"/>
      <c r="L103" s="544"/>
      <c r="M103" s="544"/>
      <c r="N103" s="544"/>
      <c r="O103" s="544"/>
      <c r="P103" s="544"/>
      <c r="Q103" s="544"/>
      <c r="R103" s="544"/>
      <c r="S103" s="544">
        <v>116</v>
      </c>
      <c r="T103" s="544">
        <v>150</v>
      </c>
      <c r="U103" s="544"/>
      <c r="V103" s="544"/>
      <c r="W103" s="544"/>
      <c r="X103" s="544"/>
      <c r="Y103" s="185"/>
    </row>
    <row r="104" spans="10:25" x14ac:dyDescent="0.35">
      <c r="J104" s="544"/>
      <c r="K104" s="544"/>
      <c r="L104" s="544"/>
      <c r="M104" s="544"/>
      <c r="N104" s="544"/>
      <c r="O104" s="544"/>
      <c r="P104" s="544"/>
      <c r="Q104" s="544"/>
      <c r="R104" s="544"/>
      <c r="S104" s="544">
        <v>117</v>
      </c>
      <c r="T104" s="544">
        <v>150</v>
      </c>
      <c r="U104" s="544"/>
      <c r="V104" s="544"/>
      <c r="W104" s="544"/>
      <c r="X104" s="544"/>
      <c r="Y104" s="185"/>
    </row>
    <row r="105" spans="10:25" x14ac:dyDescent="0.35">
      <c r="J105" s="544"/>
      <c r="K105" s="544"/>
      <c r="L105" s="544"/>
      <c r="M105" s="544"/>
      <c r="N105" s="544"/>
      <c r="O105" s="544"/>
      <c r="P105" s="544"/>
      <c r="Q105" s="544"/>
      <c r="R105" s="544"/>
      <c r="S105" s="544">
        <v>118</v>
      </c>
      <c r="T105" s="544">
        <v>150</v>
      </c>
      <c r="U105" s="544"/>
      <c r="V105" s="544"/>
      <c r="W105" s="544"/>
      <c r="X105" s="544"/>
      <c r="Y105" s="185"/>
    </row>
    <row r="106" spans="10:25" x14ac:dyDescent="0.35">
      <c r="J106" s="544"/>
      <c r="K106" s="544"/>
      <c r="L106" s="544"/>
      <c r="M106" s="544"/>
      <c r="N106" s="544"/>
      <c r="O106" s="544"/>
      <c r="P106" s="544"/>
      <c r="Q106" s="544"/>
      <c r="R106" s="544"/>
      <c r="S106" s="544">
        <v>119</v>
      </c>
      <c r="T106" s="544">
        <v>150</v>
      </c>
      <c r="U106" s="544"/>
      <c r="V106" s="544"/>
      <c r="W106" s="544"/>
      <c r="X106" s="544"/>
      <c r="Y106" s="185"/>
    </row>
    <row r="107" spans="10:25" x14ac:dyDescent="0.35">
      <c r="J107" s="544"/>
      <c r="K107" s="544"/>
      <c r="L107" s="544"/>
      <c r="M107" s="544"/>
      <c r="N107" s="544"/>
      <c r="O107" s="544"/>
      <c r="P107" s="544"/>
      <c r="Q107" s="544"/>
      <c r="R107" s="544"/>
      <c r="S107" s="544">
        <v>120</v>
      </c>
      <c r="T107" s="544">
        <v>150</v>
      </c>
      <c r="U107" s="544"/>
      <c r="V107" s="544"/>
      <c r="W107" s="544"/>
      <c r="X107" s="544"/>
      <c r="Y107" s="185"/>
    </row>
    <row r="108" spans="10:25" x14ac:dyDescent="0.35">
      <c r="J108" s="544"/>
      <c r="K108" s="544"/>
      <c r="L108" s="544"/>
      <c r="M108" s="544"/>
      <c r="N108" s="544"/>
      <c r="O108" s="544"/>
      <c r="P108" s="544"/>
      <c r="Q108" s="544"/>
      <c r="R108" s="544"/>
      <c r="S108" s="544">
        <v>121</v>
      </c>
      <c r="T108" s="544">
        <v>150</v>
      </c>
      <c r="U108" s="544"/>
      <c r="V108" s="544"/>
      <c r="W108" s="544"/>
      <c r="X108" s="544"/>
      <c r="Y108" s="185"/>
    </row>
    <row r="109" spans="10:25" x14ac:dyDescent="0.35">
      <c r="J109" s="544"/>
      <c r="K109" s="544"/>
      <c r="L109" s="544"/>
      <c r="M109" s="544"/>
      <c r="N109" s="544"/>
      <c r="O109" s="544"/>
      <c r="P109" s="544"/>
      <c r="Q109" s="544"/>
      <c r="R109" s="544"/>
      <c r="S109" s="544">
        <v>122</v>
      </c>
      <c r="T109" s="544">
        <v>150</v>
      </c>
      <c r="U109" s="544"/>
      <c r="V109" s="544"/>
      <c r="W109" s="544"/>
      <c r="X109" s="544"/>
      <c r="Y109" s="185"/>
    </row>
    <row r="110" spans="10:25" x14ac:dyDescent="0.35">
      <c r="J110" s="544"/>
      <c r="K110" s="544"/>
      <c r="L110" s="544"/>
      <c r="M110" s="544"/>
      <c r="N110" s="544"/>
      <c r="O110" s="544"/>
      <c r="P110" s="544"/>
      <c r="Q110" s="544"/>
      <c r="R110" s="544"/>
      <c r="S110" s="544">
        <v>123</v>
      </c>
      <c r="T110" s="544">
        <v>150</v>
      </c>
      <c r="U110" s="544"/>
      <c r="V110" s="544"/>
      <c r="W110" s="544"/>
      <c r="X110" s="544"/>
      <c r="Y110" s="185"/>
    </row>
    <row r="111" spans="10:25" x14ac:dyDescent="0.35">
      <c r="J111" s="544"/>
      <c r="K111" s="544"/>
      <c r="L111" s="544"/>
      <c r="M111" s="544"/>
      <c r="N111" s="544"/>
      <c r="O111" s="544"/>
      <c r="P111" s="544"/>
      <c r="Q111" s="544"/>
      <c r="R111" s="544"/>
      <c r="S111" s="544">
        <v>124</v>
      </c>
      <c r="T111" s="544">
        <v>150</v>
      </c>
      <c r="U111" s="544"/>
      <c r="V111" s="544"/>
      <c r="W111" s="544"/>
      <c r="X111" s="544"/>
      <c r="Y111" s="185"/>
    </row>
    <row r="112" spans="10:25" x14ac:dyDescent="0.35">
      <c r="J112" s="544"/>
      <c r="K112" s="544"/>
      <c r="L112" s="544"/>
      <c r="M112" s="544"/>
      <c r="N112" s="544"/>
      <c r="O112" s="544"/>
      <c r="P112" s="544"/>
      <c r="Q112" s="544"/>
      <c r="R112" s="544"/>
      <c r="S112" s="544">
        <v>125</v>
      </c>
      <c r="T112" s="544">
        <v>150</v>
      </c>
      <c r="U112" s="544"/>
      <c r="V112" s="544"/>
      <c r="W112" s="544"/>
      <c r="X112" s="544"/>
      <c r="Y112" s="185"/>
    </row>
    <row r="113" spans="10:25" x14ac:dyDescent="0.35">
      <c r="J113" s="544"/>
      <c r="K113" s="544"/>
      <c r="L113" s="544"/>
      <c r="M113" s="544"/>
      <c r="N113" s="544"/>
      <c r="O113" s="544"/>
      <c r="P113" s="544"/>
      <c r="Q113" s="544"/>
      <c r="R113" s="544"/>
      <c r="S113" s="544">
        <v>126</v>
      </c>
      <c r="T113" s="544">
        <v>150</v>
      </c>
      <c r="U113" s="544"/>
      <c r="V113" s="544"/>
      <c r="W113" s="544"/>
      <c r="X113" s="544"/>
      <c r="Y113" s="185"/>
    </row>
    <row r="114" spans="10:25" x14ac:dyDescent="0.35">
      <c r="J114" s="544"/>
      <c r="K114" s="544"/>
      <c r="L114" s="544"/>
      <c r="M114" s="544"/>
      <c r="N114" s="544"/>
      <c r="O114" s="544"/>
      <c r="P114" s="544"/>
      <c r="Q114" s="544"/>
      <c r="R114" s="544"/>
      <c r="S114" s="544">
        <v>127</v>
      </c>
      <c r="T114" s="544">
        <v>150</v>
      </c>
      <c r="U114" s="544"/>
      <c r="V114" s="544"/>
      <c r="W114" s="544"/>
      <c r="X114" s="544"/>
      <c r="Y114" s="185"/>
    </row>
    <row r="115" spans="10:25" x14ac:dyDescent="0.35">
      <c r="J115" s="544"/>
      <c r="K115" s="544"/>
      <c r="L115" s="544"/>
      <c r="M115" s="544"/>
      <c r="N115" s="544"/>
      <c r="O115" s="544"/>
      <c r="P115" s="544"/>
      <c r="Q115" s="544"/>
      <c r="R115" s="544"/>
      <c r="S115" s="544">
        <v>128</v>
      </c>
      <c r="T115" s="544">
        <v>150</v>
      </c>
      <c r="U115" s="544"/>
      <c r="V115" s="544"/>
      <c r="W115" s="544"/>
      <c r="X115" s="544"/>
      <c r="Y115" s="185"/>
    </row>
    <row r="116" spans="10:25" x14ac:dyDescent="0.35">
      <c r="J116" s="544"/>
      <c r="K116" s="544"/>
      <c r="L116" s="544"/>
      <c r="M116" s="544"/>
      <c r="N116" s="544"/>
      <c r="O116" s="544"/>
      <c r="P116" s="544"/>
      <c r="Q116" s="544"/>
      <c r="R116" s="544"/>
      <c r="S116" s="544">
        <v>129</v>
      </c>
      <c r="T116" s="544">
        <v>150</v>
      </c>
      <c r="U116" s="544"/>
      <c r="V116" s="544"/>
      <c r="W116" s="544"/>
      <c r="X116" s="544"/>
      <c r="Y116" s="185"/>
    </row>
    <row r="117" spans="10:25" x14ac:dyDescent="0.35">
      <c r="J117" s="544"/>
      <c r="K117" s="544"/>
      <c r="L117" s="544"/>
      <c r="M117" s="544"/>
      <c r="N117" s="544"/>
      <c r="O117" s="544"/>
      <c r="P117" s="544"/>
      <c r="Q117" s="544"/>
      <c r="R117" s="544"/>
      <c r="S117" s="544">
        <v>130</v>
      </c>
      <c r="T117" s="544">
        <v>150</v>
      </c>
      <c r="U117" s="544"/>
      <c r="V117" s="544"/>
      <c r="W117" s="544"/>
      <c r="X117" s="544"/>
      <c r="Y117" s="185"/>
    </row>
    <row r="118" spans="10:25" x14ac:dyDescent="0.35">
      <c r="J118" s="544"/>
      <c r="K118" s="544"/>
      <c r="L118" s="544"/>
      <c r="M118" s="544"/>
      <c r="N118" s="544"/>
      <c r="O118" s="544"/>
      <c r="P118" s="544"/>
      <c r="Q118" s="544"/>
      <c r="R118" s="544"/>
      <c r="S118" s="544">
        <v>131</v>
      </c>
      <c r="T118" s="544">
        <v>150</v>
      </c>
      <c r="U118" s="544"/>
      <c r="V118" s="544"/>
      <c r="W118" s="544"/>
      <c r="X118" s="544"/>
      <c r="Y118" s="185"/>
    </row>
    <row r="119" spans="10:25" x14ac:dyDescent="0.35">
      <c r="J119" s="544"/>
      <c r="K119" s="544"/>
      <c r="L119" s="544"/>
      <c r="M119" s="544"/>
      <c r="N119" s="544"/>
      <c r="O119" s="544"/>
      <c r="P119" s="544"/>
      <c r="Q119" s="544"/>
      <c r="R119" s="544"/>
      <c r="S119" s="544">
        <v>132</v>
      </c>
      <c r="T119" s="544">
        <v>150</v>
      </c>
      <c r="U119" s="544"/>
      <c r="V119" s="544"/>
      <c r="W119" s="544"/>
      <c r="X119" s="544"/>
      <c r="Y119" s="185"/>
    </row>
    <row r="120" spans="10:25" x14ac:dyDescent="0.35">
      <c r="J120" s="544"/>
      <c r="K120" s="544"/>
      <c r="L120" s="544"/>
      <c r="M120" s="544"/>
      <c r="N120" s="544"/>
      <c r="O120" s="544"/>
      <c r="P120" s="544"/>
      <c r="Q120" s="544"/>
      <c r="R120" s="544"/>
      <c r="S120" s="544">
        <v>133</v>
      </c>
      <c r="T120" s="544">
        <v>150</v>
      </c>
      <c r="U120" s="544"/>
      <c r="V120" s="544"/>
      <c r="W120" s="544"/>
      <c r="X120" s="544"/>
      <c r="Y120" s="185"/>
    </row>
    <row r="121" spans="10:25" x14ac:dyDescent="0.35">
      <c r="J121" s="544"/>
      <c r="K121" s="544"/>
      <c r="L121" s="544"/>
      <c r="M121" s="544"/>
      <c r="N121" s="544"/>
      <c r="O121" s="544"/>
      <c r="P121" s="544"/>
      <c r="Q121" s="544"/>
      <c r="R121" s="544"/>
      <c r="S121" s="544">
        <v>134</v>
      </c>
      <c r="T121" s="544">
        <v>150</v>
      </c>
      <c r="U121" s="544"/>
      <c r="V121" s="544"/>
      <c r="W121" s="544"/>
      <c r="X121" s="544"/>
      <c r="Y121" s="185"/>
    </row>
    <row r="122" spans="10:25" x14ac:dyDescent="0.35">
      <c r="J122" s="544"/>
      <c r="K122" s="544"/>
      <c r="L122" s="544"/>
      <c r="M122" s="544"/>
      <c r="N122" s="544"/>
      <c r="O122" s="544"/>
      <c r="P122" s="544"/>
      <c r="Q122" s="544"/>
      <c r="R122" s="544"/>
      <c r="S122" s="544">
        <v>135</v>
      </c>
      <c r="T122" s="544">
        <v>150</v>
      </c>
      <c r="U122" s="544"/>
      <c r="V122" s="544"/>
      <c r="W122" s="544"/>
      <c r="X122" s="544"/>
      <c r="Y122" s="185"/>
    </row>
    <row r="123" spans="10:25" x14ac:dyDescent="0.35">
      <c r="J123" s="544"/>
      <c r="K123" s="544"/>
      <c r="L123" s="544"/>
      <c r="M123" s="544"/>
      <c r="N123" s="544"/>
      <c r="O123" s="544"/>
      <c r="P123" s="544"/>
      <c r="Q123" s="544"/>
      <c r="R123" s="544"/>
      <c r="S123" s="544">
        <v>136</v>
      </c>
      <c r="T123" s="544">
        <v>150</v>
      </c>
      <c r="U123" s="544"/>
      <c r="V123" s="544"/>
      <c r="W123" s="544"/>
      <c r="X123" s="544"/>
      <c r="Y123" s="185"/>
    </row>
    <row r="124" spans="10:25" x14ac:dyDescent="0.35">
      <c r="J124" s="544"/>
      <c r="K124" s="544"/>
      <c r="L124" s="544"/>
      <c r="M124" s="544"/>
      <c r="N124" s="544"/>
      <c r="O124" s="544"/>
      <c r="P124" s="544"/>
      <c r="Q124" s="544"/>
      <c r="R124" s="544"/>
      <c r="S124" s="544">
        <v>137</v>
      </c>
      <c r="T124" s="544">
        <v>150</v>
      </c>
      <c r="U124" s="544"/>
      <c r="V124" s="544"/>
      <c r="W124" s="544"/>
      <c r="X124" s="544"/>
      <c r="Y124" s="185"/>
    </row>
    <row r="125" spans="10:25" x14ac:dyDescent="0.35">
      <c r="J125" s="544"/>
      <c r="K125" s="544"/>
      <c r="L125" s="544"/>
      <c r="M125" s="544"/>
      <c r="N125" s="544"/>
      <c r="O125" s="544"/>
      <c r="P125" s="544"/>
      <c r="Q125" s="544"/>
      <c r="R125" s="544"/>
      <c r="S125" s="544">
        <v>138</v>
      </c>
      <c r="T125" s="544">
        <v>150</v>
      </c>
      <c r="U125" s="544"/>
      <c r="V125" s="544"/>
      <c r="W125" s="544"/>
      <c r="X125" s="544"/>
      <c r="Y125" s="185"/>
    </row>
    <row r="126" spans="10:25" x14ac:dyDescent="0.35">
      <c r="J126" s="544"/>
      <c r="K126" s="544"/>
      <c r="L126" s="544"/>
      <c r="M126" s="544"/>
      <c r="N126" s="544"/>
      <c r="O126" s="544"/>
      <c r="P126" s="544"/>
      <c r="Q126" s="544"/>
      <c r="R126" s="544"/>
      <c r="S126" s="544">
        <v>139</v>
      </c>
      <c r="T126" s="544">
        <v>150</v>
      </c>
      <c r="U126" s="544"/>
      <c r="V126" s="544"/>
      <c r="W126" s="544"/>
      <c r="X126" s="544"/>
      <c r="Y126" s="185"/>
    </row>
    <row r="127" spans="10:25" x14ac:dyDescent="0.35">
      <c r="J127" s="544"/>
      <c r="K127" s="544"/>
      <c r="L127" s="544"/>
      <c r="M127" s="544"/>
      <c r="N127" s="544"/>
      <c r="O127" s="544"/>
      <c r="P127" s="544"/>
      <c r="Q127" s="544"/>
      <c r="R127" s="544"/>
      <c r="S127" s="544">
        <v>140</v>
      </c>
      <c r="T127" s="544">
        <v>150</v>
      </c>
      <c r="U127" s="544"/>
      <c r="V127" s="544"/>
      <c r="W127" s="544"/>
      <c r="X127" s="544"/>
      <c r="Y127" s="185"/>
    </row>
    <row r="128" spans="10:25" x14ac:dyDescent="0.35">
      <c r="J128" s="544"/>
      <c r="K128" s="544"/>
      <c r="L128" s="544"/>
      <c r="M128" s="544"/>
      <c r="N128" s="544"/>
      <c r="O128" s="544"/>
      <c r="P128" s="544"/>
      <c r="Q128" s="544"/>
      <c r="R128" s="544"/>
      <c r="S128" s="544">
        <v>141</v>
      </c>
      <c r="T128" s="544">
        <v>150</v>
      </c>
      <c r="U128" s="544"/>
      <c r="V128" s="544"/>
      <c r="W128" s="544"/>
      <c r="X128" s="544"/>
      <c r="Y128" s="185"/>
    </row>
    <row r="129" spans="10:25" x14ac:dyDescent="0.35">
      <c r="J129" s="544"/>
      <c r="K129" s="544"/>
      <c r="L129" s="544"/>
      <c r="M129" s="544"/>
      <c r="N129" s="544"/>
      <c r="O129" s="544"/>
      <c r="P129" s="544"/>
      <c r="Q129" s="544"/>
      <c r="R129" s="544"/>
      <c r="S129" s="544">
        <v>142</v>
      </c>
      <c r="T129" s="544">
        <v>150</v>
      </c>
      <c r="U129" s="544"/>
      <c r="V129" s="544"/>
      <c r="W129" s="544"/>
      <c r="X129" s="544"/>
      <c r="Y129" s="185"/>
    </row>
    <row r="130" spans="10:25" x14ac:dyDescent="0.35">
      <c r="J130" s="544"/>
      <c r="K130" s="544"/>
      <c r="L130" s="544"/>
      <c r="M130" s="544"/>
      <c r="N130" s="544"/>
      <c r="O130" s="544"/>
      <c r="P130" s="544"/>
      <c r="Q130" s="544"/>
      <c r="R130" s="544"/>
      <c r="S130" s="544">
        <v>143</v>
      </c>
      <c r="T130" s="544">
        <v>150</v>
      </c>
      <c r="U130" s="544"/>
      <c r="V130" s="544"/>
      <c r="W130" s="544"/>
      <c r="X130" s="544"/>
      <c r="Y130" s="185"/>
    </row>
    <row r="131" spans="10:25" x14ac:dyDescent="0.35">
      <c r="J131" s="544"/>
      <c r="K131" s="544"/>
      <c r="L131" s="544"/>
      <c r="M131" s="544"/>
      <c r="N131" s="544"/>
      <c r="O131" s="544"/>
      <c r="P131" s="544"/>
      <c r="Q131" s="544"/>
      <c r="R131" s="544"/>
      <c r="S131" s="544">
        <v>144</v>
      </c>
      <c r="T131" s="544">
        <v>150</v>
      </c>
      <c r="U131" s="544"/>
      <c r="V131" s="544"/>
      <c r="W131" s="544"/>
      <c r="X131" s="544"/>
      <c r="Y131" s="185"/>
    </row>
    <row r="132" spans="10:25" x14ac:dyDescent="0.35">
      <c r="J132" s="544"/>
      <c r="K132" s="544"/>
      <c r="L132" s="544"/>
      <c r="M132" s="544"/>
      <c r="N132" s="544"/>
      <c r="O132" s="544"/>
      <c r="P132" s="544"/>
      <c r="Q132" s="544"/>
      <c r="R132" s="544"/>
      <c r="S132" s="544">
        <v>145</v>
      </c>
      <c r="T132" s="544">
        <v>150</v>
      </c>
      <c r="U132" s="544"/>
      <c r="V132" s="544"/>
      <c r="W132" s="544"/>
      <c r="X132" s="544"/>
      <c r="Y132" s="185"/>
    </row>
    <row r="133" spans="10:25" x14ac:dyDescent="0.35">
      <c r="J133" s="544"/>
      <c r="K133" s="544"/>
      <c r="L133" s="544"/>
      <c r="M133" s="544"/>
      <c r="N133" s="544"/>
      <c r="O133" s="544"/>
      <c r="P133" s="544"/>
      <c r="Q133" s="544"/>
      <c r="R133" s="544"/>
      <c r="S133" s="544">
        <v>146</v>
      </c>
      <c r="T133" s="544">
        <v>150</v>
      </c>
      <c r="U133" s="544"/>
      <c r="V133" s="544"/>
      <c r="W133" s="544"/>
      <c r="X133" s="544"/>
      <c r="Y133" s="185"/>
    </row>
    <row r="134" spans="10:25" x14ac:dyDescent="0.35">
      <c r="J134" s="544"/>
      <c r="K134" s="544"/>
      <c r="L134" s="544"/>
      <c r="M134" s="544"/>
      <c r="N134" s="544"/>
      <c r="O134" s="544"/>
      <c r="P134" s="544"/>
      <c r="Q134" s="544"/>
      <c r="R134" s="544"/>
      <c r="S134" s="544">
        <v>147</v>
      </c>
      <c r="T134" s="544">
        <v>150</v>
      </c>
      <c r="U134" s="544"/>
      <c r="V134" s="544"/>
      <c r="W134" s="544"/>
      <c r="X134" s="544"/>
      <c r="Y134" s="185"/>
    </row>
    <row r="135" spans="10:25" x14ac:dyDescent="0.35">
      <c r="J135" s="544"/>
      <c r="K135" s="544"/>
      <c r="L135" s="544"/>
      <c r="M135" s="544"/>
      <c r="N135" s="544"/>
      <c r="O135" s="544"/>
      <c r="P135" s="544"/>
      <c r="Q135" s="544"/>
      <c r="R135" s="544"/>
      <c r="S135" s="544">
        <v>148</v>
      </c>
      <c r="T135" s="544">
        <v>150</v>
      </c>
      <c r="U135" s="544"/>
      <c r="V135" s="544"/>
      <c r="W135" s="544"/>
      <c r="X135" s="544"/>
      <c r="Y135" s="185"/>
    </row>
    <row r="136" spans="10:25" x14ac:dyDescent="0.35">
      <c r="J136" s="544"/>
      <c r="K136" s="544"/>
      <c r="L136" s="544"/>
      <c r="M136" s="544"/>
      <c r="N136" s="544"/>
      <c r="O136" s="544"/>
      <c r="P136" s="544"/>
      <c r="Q136" s="544"/>
      <c r="R136" s="544"/>
      <c r="S136" s="544">
        <v>149</v>
      </c>
      <c r="T136" s="544">
        <v>150</v>
      </c>
      <c r="U136" s="544"/>
      <c r="V136" s="544"/>
      <c r="W136" s="544"/>
      <c r="X136" s="544"/>
      <c r="Y136" s="185"/>
    </row>
    <row r="137" spans="10:25" x14ac:dyDescent="0.35">
      <c r="J137" s="544"/>
      <c r="K137" s="544"/>
      <c r="L137" s="544"/>
      <c r="M137" s="544"/>
      <c r="N137" s="544"/>
      <c r="O137" s="544"/>
      <c r="P137" s="544"/>
      <c r="Q137" s="544"/>
      <c r="R137" s="544"/>
      <c r="S137" s="544">
        <v>150</v>
      </c>
      <c r="T137" s="544">
        <v>150</v>
      </c>
      <c r="U137" s="544">
        <v>150</v>
      </c>
      <c r="V137" s="544"/>
      <c r="W137" s="544"/>
      <c r="X137" s="544"/>
      <c r="Y137" s="185"/>
    </row>
    <row r="138" spans="10:25" x14ac:dyDescent="0.35">
      <c r="J138" s="544"/>
      <c r="K138" s="544"/>
      <c r="L138" s="544"/>
      <c r="M138" s="544"/>
      <c r="N138" s="544"/>
      <c r="O138" s="544"/>
      <c r="P138" s="544"/>
      <c r="Q138" s="544"/>
      <c r="R138" s="544"/>
      <c r="S138" s="544">
        <v>151</v>
      </c>
      <c r="T138" s="544">
        <v>150</v>
      </c>
      <c r="U138" s="544"/>
      <c r="V138" s="544"/>
      <c r="W138" s="544"/>
      <c r="X138" s="544"/>
      <c r="Y138" s="185"/>
    </row>
    <row r="139" spans="10:25" x14ac:dyDescent="0.35">
      <c r="J139" s="544"/>
      <c r="K139" s="544"/>
      <c r="L139" s="544"/>
      <c r="M139" s="544"/>
      <c r="N139" s="544"/>
      <c r="O139" s="544"/>
      <c r="P139" s="544"/>
      <c r="Q139" s="544"/>
      <c r="R139" s="544"/>
      <c r="S139" s="544">
        <v>152</v>
      </c>
      <c r="T139" s="544">
        <v>150</v>
      </c>
      <c r="U139" s="544"/>
      <c r="V139" s="544"/>
      <c r="W139" s="544"/>
      <c r="X139" s="544"/>
      <c r="Y139" s="185"/>
    </row>
    <row r="140" spans="10:25" x14ac:dyDescent="0.35">
      <c r="J140" s="544"/>
      <c r="K140" s="544"/>
      <c r="L140" s="544"/>
      <c r="M140" s="544"/>
      <c r="N140" s="544"/>
      <c r="O140" s="544"/>
      <c r="P140" s="544"/>
      <c r="Q140" s="544"/>
      <c r="R140" s="544"/>
      <c r="S140" s="544">
        <v>153</v>
      </c>
      <c r="T140" s="544">
        <v>150</v>
      </c>
      <c r="U140" s="544"/>
      <c r="V140" s="544"/>
      <c r="W140" s="544"/>
      <c r="X140" s="544"/>
      <c r="Y140" s="185"/>
    </row>
    <row r="141" spans="10:25" x14ac:dyDescent="0.35">
      <c r="J141" s="544"/>
      <c r="K141" s="544"/>
      <c r="L141" s="544"/>
      <c r="M141" s="544"/>
      <c r="N141" s="544"/>
      <c r="O141" s="544"/>
      <c r="P141" s="544"/>
      <c r="Q141" s="544"/>
      <c r="R141" s="544"/>
      <c r="S141" s="544">
        <v>154</v>
      </c>
      <c r="T141" s="544">
        <v>150</v>
      </c>
      <c r="U141" s="544"/>
      <c r="V141" s="544"/>
      <c r="W141" s="544"/>
      <c r="X141" s="544"/>
      <c r="Y141" s="185"/>
    </row>
    <row r="142" spans="10:25" x14ac:dyDescent="0.35">
      <c r="J142" s="544"/>
      <c r="K142" s="544"/>
      <c r="L142" s="544"/>
      <c r="M142" s="544"/>
      <c r="N142" s="544"/>
      <c r="O142" s="544"/>
      <c r="P142" s="544"/>
      <c r="Q142" s="544"/>
      <c r="R142" s="544"/>
      <c r="S142" s="544">
        <v>155</v>
      </c>
      <c r="T142" s="544">
        <v>150</v>
      </c>
      <c r="U142" s="544"/>
      <c r="V142" s="544"/>
      <c r="W142" s="544"/>
      <c r="X142" s="544"/>
      <c r="Y142" s="185"/>
    </row>
    <row r="143" spans="10:25" x14ac:dyDescent="0.35">
      <c r="J143" s="544"/>
      <c r="K143" s="544"/>
      <c r="L143" s="544"/>
      <c r="M143" s="544"/>
      <c r="N143" s="544"/>
      <c r="O143" s="544"/>
      <c r="P143" s="544"/>
      <c r="Q143" s="544"/>
      <c r="R143" s="544"/>
      <c r="S143" s="544">
        <v>156</v>
      </c>
      <c r="T143" s="544">
        <v>150</v>
      </c>
      <c r="U143" s="544"/>
      <c r="V143" s="544"/>
      <c r="W143" s="544"/>
      <c r="X143" s="544"/>
      <c r="Y143" s="185"/>
    </row>
    <row r="144" spans="10:25" x14ac:dyDescent="0.35">
      <c r="J144" s="544"/>
      <c r="K144" s="544"/>
      <c r="L144" s="544"/>
      <c r="M144" s="544"/>
      <c r="N144" s="544"/>
      <c r="O144" s="544"/>
      <c r="P144" s="544"/>
      <c r="Q144" s="544"/>
      <c r="R144" s="544"/>
      <c r="S144" s="544">
        <v>157</v>
      </c>
      <c r="T144" s="544">
        <v>150</v>
      </c>
      <c r="U144" s="544"/>
      <c r="V144" s="544"/>
      <c r="W144" s="544"/>
      <c r="X144" s="544"/>
      <c r="Y144" s="185"/>
    </row>
    <row r="145" spans="10:25" x14ac:dyDescent="0.35">
      <c r="J145" s="544"/>
      <c r="K145" s="544"/>
      <c r="L145" s="544"/>
      <c r="M145" s="544"/>
      <c r="N145" s="544"/>
      <c r="O145" s="544"/>
      <c r="P145" s="544"/>
      <c r="Q145" s="544"/>
      <c r="R145" s="544"/>
      <c r="S145" s="544">
        <v>158</v>
      </c>
      <c r="T145" s="544">
        <v>150</v>
      </c>
      <c r="U145" s="544"/>
      <c r="V145" s="544"/>
      <c r="W145" s="544"/>
      <c r="X145" s="544"/>
      <c r="Y145" s="185"/>
    </row>
    <row r="146" spans="10:25" x14ac:dyDescent="0.35">
      <c r="J146" s="544"/>
      <c r="K146" s="544"/>
      <c r="L146" s="544"/>
      <c r="M146" s="544"/>
      <c r="N146" s="544"/>
      <c r="O146" s="544"/>
      <c r="P146" s="544"/>
      <c r="Q146" s="544"/>
      <c r="R146" s="544"/>
      <c r="S146" s="544">
        <v>159</v>
      </c>
      <c r="T146" s="544">
        <v>150</v>
      </c>
      <c r="U146" s="544"/>
      <c r="V146" s="544"/>
      <c r="W146" s="544"/>
      <c r="X146" s="544"/>
      <c r="Y146" s="185"/>
    </row>
    <row r="147" spans="10:25" x14ac:dyDescent="0.35">
      <c r="J147" s="544"/>
      <c r="K147" s="544"/>
      <c r="L147" s="544"/>
      <c r="M147" s="544"/>
      <c r="N147" s="544"/>
      <c r="O147" s="544"/>
      <c r="P147" s="544"/>
      <c r="Q147" s="544"/>
      <c r="R147" s="544"/>
      <c r="S147" s="544">
        <v>160</v>
      </c>
      <c r="T147" s="544">
        <v>150</v>
      </c>
      <c r="U147" s="544"/>
      <c r="V147" s="544"/>
      <c r="W147" s="544"/>
      <c r="X147" s="544"/>
      <c r="Y147" s="185"/>
    </row>
    <row r="148" spans="10:25" x14ac:dyDescent="0.35">
      <c r="J148" s="544"/>
      <c r="K148" s="544"/>
      <c r="L148" s="544"/>
      <c r="M148" s="544"/>
      <c r="N148" s="544"/>
      <c r="O148" s="544"/>
      <c r="P148" s="544"/>
      <c r="Q148" s="544"/>
      <c r="R148" s="544"/>
      <c r="S148" s="544">
        <v>161</v>
      </c>
      <c r="T148" s="544">
        <v>150</v>
      </c>
      <c r="U148" s="544"/>
      <c r="V148" s="544"/>
      <c r="W148" s="544"/>
      <c r="X148" s="544"/>
      <c r="Y148" s="185"/>
    </row>
    <row r="149" spans="10:25" x14ac:dyDescent="0.35">
      <c r="J149" s="544"/>
      <c r="K149" s="544"/>
      <c r="L149" s="544"/>
      <c r="M149" s="544"/>
      <c r="N149" s="544"/>
      <c r="O149" s="544"/>
      <c r="P149" s="544"/>
      <c r="Q149" s="544"/>
      <c r="R149" s="544"/>
      <c r="S149" s="544">
        <v>162</v>
      </c>
      <c r="T149" s="544">
        <v>150</v>
      </c>
      <c r="U149" s="544"/>
      <c r="V149" s="544"/>
      <c r="W149" s="544"/>
      <c r="X149" s="544"/>
      <c r="Y149" s="185"/>
    </row>
    <row r="150" spans="10:25" x14ac:dyDescent="0.35">
      <c r="J150" s="544"/>
      <c r="K150" s="544"/>
      <c r="L150" s="544"/>
      <c r="M150" s="544"/>
      <c r="N150" s="544"/>
      <c r="O150" s="544"/>
      <c r="P150" s="544"/>
      <c r="Q150" s="544"/>
      <c r="R150" s="544"/>
      <c r="S150" s="544">
        <v>163</v>
      </c>
      <c r="T150" s="544">
        <v>150</v>
      </c>
      <c r="U150" s="544"/>
      <c r="V150" s="544"/>
      <c r="W150" s="544"/>
      <c r="X150" s="544"/>
      <c r="Y150" s="185"/>
    </row>
    <row r="151" spans="10:25" x14ac:dyDescent="0.35">
      <c r="J151" s="544"/>
      <c r="K151" s="544"/>
      <c r="L151" s="544"/>
      <c r="M151" s="544"/>
      <c r="N151" s="544"/>
      <c r="O151" s="544"/>
      <c r="P151" s="544"/>
      <c r="Q151" s="544"/>
      <c r="R151" s="544"/>
      <c r="S151" s="544">
        <v>164</v>
      </c>
      <c r="T151" s="544">
        <v>150</v>
      </c>
      <c r="U151" s="544"/>
      <c r="V151" s="544"/>
      <c r="W151" s="544"/>
      <c r="X151" s="544"/>
      <c r="Y151" s="185"/>
    </row>
    <row r="152" spans="10:25" x14ac:dyDescent="0.35">
      <c r="J152" s="544"/>
      <c r="K152" s="544"/>
      <c r="L152" s="544"/>
      <c r="M152" s="544"/>
      <c r="N152" s="544"/>
      <c r="O152" s="544"/>
      <c r="P152" s="544"/>
      <c r="Q152" s="544"/>
      <c r="R152" s="544"/>
      <c r="S152" s="544">
        <v>165</v>
      </c>
      <c r="T152" s="544">
        <v>150</v>
      </c>
      <c r="U152" s="544"/>
      <c r="V152" s="544"/>
      <c r="W152" s="544"/>
      <c r="X152" s="544"/>
      <c r="Y152" s="185"/>
    </row>
    <row r="153" spans="10:25" x14ac:dyDescent="0.35">
      <c r="J153" s="544"/>
      <c r="K153" s="544"/>
      <c r="L153" s="544"/>
      <c r="M153" s="544"/>
      <c r="N153" s="544"/>
      <c r="O153" s="544"/>
      <c r="P153" s="544"/>
      <c r="Q153" s="544"/>
      <c r="R153" s="544"/>
      <c r="S153" s="544">
        <v>166</v>
      </c>
      <c r="T153" s="544">
        <v>150</v>
      </c>
      <c r="U153" s="544"/>
      <c r="V153" s="544"/>
      <c r="W153" s="544"/>
      <c r="X153" s="544"/>
      <c r="Y153" s="185"/>
    </row>
    <row r="154" spans="10:25" x14ac:dyDescent="0.35">
      <c r="J154" s="544"/>
      <c r="K154" s="544"/>
      <c r="L154" s="544"/>
      <c r="M154" s="544"/>
      <c r="N154" s="544"/>
      <c r="O154" s="544"/>
      <c r="P154" s="544"/>
      <c r="Q154" s="544"/>
      <c r="R154" s="544"/>
      <c r="S154" s="544">
        <v>167</v>
      </c>
      <c r="T154" s="544">
        <v>150</v>
      </c>
      <c r="U154" s="544"/>
      <c r="V154" s="544"/>
      <c r="W154" s="544"/>
      <c r="X154" s="544"/>
      <c r="Y154" s="185"/>
    </row>
    <row r="155" spans="10:25" x14ac:dyDescent="0.35">
      <c r="J155" s="544"/>
      <c r="K155" s="544"/>
      <c r="L155" s="544"/>
      <c r="M155" s="544"/>
      <c r="N155" s="544"/>
      <c r="O155" s="544"/>
      <c r="P155" s="544"/>
      <c r="Q155" s="544"/>
      <c r="R155" s="544"/>
      <c r="S155" s="544">
        <v>168</v>
      </c>
      <c r="T155" s="544">
        <v>150</v>
      </c>
      <c r="U155" s="544"/>
      <c r="V155" s="544"/>
      <c r="W155" s="544"/>
      <c r="X155" s="544"/>
      <c r="Y155" s="185"/>
    </row>
    <row r="156" spans="10:25" x14ac:dyDescent="0.35">
      <c r="J156" s="544"/>
      <c r="K156" s="544"/>
      <c r="L156" s="544"/>
      <c r="M156" s="544"/>
      <c r="N156" s="544"/>
      <c r="O156" s="544"/>
      <c r="P156" s="544"/>
      <c r="Q156" s="544"/>
      <c r="R156" s="544"/>
      <c r="S156" s="544">
        <v>169</v>
      </c>
      <c r="T156" s="544">
        <v>150</v>
      </c>
      <c r="U156" s="544"/>
      <c r="V156" s="544"/>
      <c r="W156" s="544"/>
      <c r="X156" s="544"/>
      <c r="Y156" s="185"/>
    </row>
    <row r="157" spans="10:25" x14ac:dyDescent="0.35">
      <c r="J157" s="544"/>
      <c r="K157" s="544"/>
      <c r="L157" s="544"/>
      <c r="M157" s="544"/>
      <c r="N157" s="544"/>
      <c r="O157" s="544"/>
      <c r="P157" s="544"/>
      <c r="Q157" s="544"/>
      <c r="R157" s="544"/>
      <c r="S157" s="544">
        <v>170</v>
      </c>
      <c r="T157" s="544">
        <v>150</v>
      </c>
      <c r="U157" s="544"/>
      <c r="V157" s="544"/>
      <c r="W157" s="544"/>
      <c r="X157" s="544"/>
      <c r="Y157" s="185"/>
    </row>
    <row r="158" spans="10:25" x14ac:dyDescent="0.35">
      <c r="J158" s="544"/>
      <c r="K158" s="544"/>
      <c r="L158" s="544"/>
      <c r="M158" s="544"/>
      <c r="N158" s="544"/>
      <c r="O158" s="544"/>
      <c r="P158" s="544"/>
      <c r="Q158" s="544"/>
      <c r="R158" s="544"/>
      <c r="S158" s="544">
        <v>171</v>
      </c>
      <c r="T158" s="544">
        <v>150</v>
      </c>
      <c r="U158" s="544"/>
      <c r="V158" s="544"/>
      <c r="W158" s="544"/>
      <c r="X158" s="544"/>
      <c r="Y158" s="185"/>
    </row>
    <row r="159" spans="10:25" x14ac:dyDescent="0.35">
      <c r="J159" s="544"/>
      <c r="K159" s="544"/>
      <c r="L159" s="544"/>
      <c r="M159" s="544"/>
      <c r="N159" s="544"/>
      <c r="O159" s="544"/>
      <c r="P159" s="544"/>
      <c r="Q159" s="544"/>
      <c r="R159" s="544"/>
      <c r="S159" s="544">
        <v>172</v>
      </c>
      <c r="T159" s="544">
        <v>150</v>
      </c>
      <c r="U159" s="544"/>
      <c r="V159" s="544"/>
      <c r="W159" s="544"/>
      <c r="X159" s="544"/>
      <c r="Y159" s="185"/>
    </row>
    <row r="160" spans="10:25" x14ac:dyDescent="0.35">
      <c r="J160" s="544"/>
      <c r="K160" s="544"/>
      <c r="L160" s="544"/>
      <c r="M160" s="544"/>
      <c r="N160" s="544"/>
      <c r="O160" s="544"/>
      <c r="P160" s="544"/>
      <c r="Q160" s="544"/>
      <c r="R160" s="544"/>
      <c r="S160" s="544">
        <v>173</v>
      </c>
      <c r="T160" s="544">
        <v>150</v>
      </c>
      <c r="U160" s="544"/>
      <c r="V160" s="544"/>
      <c r="W160" s="544"/>
      <c r="X160" s="544"/>
      <c r="Y160" s="185"/>
    </row>
    <row r="161" spans="10:25" x14ac:dyDescent="0.35">
      <c r="J161" s="544"/>
      <c r="K161" s="544"/>
      <c r="L161" s="544"/>
      <c r="M161" s="544"/>
      <c r="N161" s="544"/>
      <c r="O161" s="544"/>
      <c r="P161" s="544"/>
      <c r="Q161" s="544"/>
      <c r="R161" s="544"/>
      <c r="S161" s="544">
        <v>174</v>
      </c>
      <c r="T161" s="544">
        <v>150</v>
      </c>
      <c r="U161" s="544"/>
      <c r="V161" s="544"/>
      <c r="W161" s="544"/>
      <c r="X161" s="544"/>
      <c r="Y161" s="185"/>
    </row>
    <row r="162" spans="10:25" x14ac:dyDescent="0.35">
      <c r="J162" s="544"/>
      <c r="K162" s="544"/>
      <c r="L162" s="544"/>
      <c r="M162" s="544"/>
      <c r="N162" s="544"/>
      <c r="O162" s="544"/>
      <c r="P162" s="544"/>
      <c r="Q162" s="544"/>
      <c r="R162" s="544"/>
      <c r="S162" s="544">
        <v>175</v>
      </c>
      <c r="T162" s="544">
        <v>150</v>
      </c>
      <c r="U162" s="544"/>
      <c r="V162" s="544"/>
      <c r="W162" s="544"/>
      <c r="X162" s="544"/>
      <c r="Y162" s="185"/>
    </row>
    <row r="163" spans="10:25" x14ac:dyDescent="0.35">
      <c r="J163" s="544"/>
      <c r="K163" s="544"/>
      <c r="L163" s="544"/>
      <c r="M163" s="544"/>
      <c r="N163" s="544"/>
      <c r="O163" s="544"/>
      <c r="P163" s="544"/>
      <c r="Q163" s="544"/>
      <c r="R163" s="544"/>
      <c r="S163" s="544">
        <v>176</v>
      </c>
      <c r="T163" s="544">
        <v>150</v>
      </c>
      <c r="U163" s="544"/>
      <c r="V163" s="544"/>
      <c r="W163" s="544"/>
      <c r="X163" s="544"/>
      <c r="Y163" s="185"/>
    </row>
    <row r="164" spans="10:25" x14ac:dyDescent="0.35">
      <c r="J164" s="544"/>
      <c r="K164" s="544"/>
      <c r="L164" s="544"/>
      <c r="M164" s="544"/>
      <c r="N164" s="544"/>
      <c r="O164" s="544"/>
      <c r="P164" s="544"/>
      <c r="Q164" s="544"/>
      <c r="R164" s="544"/>
      <c r="S164" s="544">
        <v>177</v>
      </c>
      <c r="T164" s="544">
        <v>150</v>
      </c>
      <c r="U164" s="544"/>
      <c r="V164" s="544"/>
      <c r="W164" s="544"/>
      <c r="X164" s="544"/>
      <c r="Y164" s="185"/>
    </row>
    <row r="165" spans="10:25" x14ac:dyDescent="0.35">
      <c r="J165" s="544"/>
      <c r="K165" s="544"/>
      <c r="L165" s="544"/>
      <c r="M165" s="544"/>
      <c r="N165" s="544"/>
      <c r="O165" s="544"/>
      <c r="P165" s="544"/>
      <c r="Q165" s="544"/>
      <c r="R165" s="544"/>
      <c r="S165" s="544">
        <v>178</v>
      </c>
      <c r="T165" s="544">
        <v>150</v>
      </c>
      <c r="U165" s="544"/>
      <c r="V165" s="544"/>
      <c r="W165" s="544"/>
      <c r="X165" s="544"/>
      <c r="Y165" s="185"/>
    </row>
    <row r="166" spans="10:25" x14ac:dyDescent="0.35">
      <c r="J166" s="544"/>
      <c r="K166" s="544"/>
      <c r="L166" s="544"/>
      <c r="M166" s="544"/>
      <c r="N166" s="544"/>
      <c r="O166" s="544"/>
      <c r="P166" s="544"/>
      <c r="Q166" s="544"/>
      <c r="R166" s="544"/>
      <c r="S166" s="544">
        <v>179</v>
      </c>
      <c r="T166" s="544">
        <v>150</v>
      </c>
      <c r="U166" s="544"/>
      <c r="V166" s="544"/>
      <c r="W166" s="544"/>
      <c r="X166" s="544"/>
      <c r="Y166" s="185"/>
    </row>
    <row r="167" spans="10:25" x14ac:dyDescent="0.35">
      <c r="J167" s="544"/>
      <c r="K167" s="544"/>
      <c r="L167" s="544"/>
      <c r="M167" s="544"/>
      <c r="N167" s="544"/>
      <c r="O167" s="544"/>
      <c r="P167" s="544"/>
      <c r="Q167" s="544"/>
      <c r="R167" s="544"/>
      <c r="S167" s="544">
        <v>180</v>
      </c>
      <c r="T167" s="544">
        <v>150</v>
      </c>
      <c r="U167" s="544"/>
      <c r="V167" s="544"/>
      <c r="W167" s="544"/>
      <c r="X167" s="544"/>
      <c r="Y167" s="185"/>
    </row>
    <row r="168" spans="10:25" x14ac:dyDescent="0.35">
      <c r="J168" s="544"/>
      <c r="K168" s="544"/>
      <c r="L168" s="544"/>
      <c r="M168" s="544"/>
      <c r="N168" s="544"/>
      <c r="O168" s="544"/>
      <c r="P168" s="544"/>
      <c r="Q168" s="544"/>
      <c r="R168" s="544"/>
      <c r="S168" s="544">
        <v>181</v>
      </c>
      <c r="T168" s="544">
        <v>150</v>
      </c>
      <c r="U168" s="544"/>
      <c r="V168" s="544"/>
      <c r="W168" s="544"/>
      <c r="X168" s="544"/>
      <c r="Y168" s="185"/>
    </row>
    <row r="169" spans="10:25" x14ac:dyDescent="0.35">
      <c r="J169" s="544"/>
      <c r="K169" s="544"/>
      <c r="L169" s="544"/>
      <c r="M169" s="544"/>
      <c r="N169" s="544"/>
      <c r="O169" s="544"/>
      <c r="P169" s="544"/>
      <c r="Q169" s="544"/>
      <c r="R169" s="544"/>
      <c r="S169" s="544">
        <v>182</v>
      </c>
      <c r="T169" s="544">
        <v>150</v>
      </c>
      <c r="U169" s="544"/>
      <c r="V169" s="544"/>
      <c r="W169" s="544"/>
      <c r="X169" s="544"/>
      <c r="Y169" s="185"/>
    </row>
    <row r="170" spans="10:25" x14ac:dyDescent="0.35">
      <c r="J170" s="544"/>
      <c r="K170" s="544"/>
      <c r="L170" s="544"/>
      <c r="M170" s="544"/>
      <c r="N170" s="544"/>
      <c r="O170" s="544"/>
      <c r="P170" s="544"/>
      <c r="Q170" s="544"/>
      <c r="R170" s="544"/>
      <c r="S170" s="544">
        <v>183</v>
      </c>
      <c r="T170" s="544">
        <v>150</v>
      </c>
      <c r="U170" s="544"/>
      <c r="V170" s="544"/>
      <c r="W170" s="544"/>
      <c r="X170" s="544"/>
      <c r="Y170" s="185"/>
    </row>
    <row r="171" spans="10:25" x14ac:dyDescent="0.35">
      <c r="J171" s="544"/>
      <c r="K171" s="544"/>
      <c r="L171" s="544"/>
      <c r="M171" s="544"/>
      <c r="N171" s="544"/>
      <c r="O171" s="544"/>
      <c r="P171" s="544"/>
      <c r="Q171" s="544"/>
      <c r="R171" s="544"/>
      <c r="S171" s="544">
        <v>184</v>
      </c>
      <c r="T171" s="544">
        <v>150</v>
      </c>
      <c r="U171" s="544"/>
      <c r="V171" s="544"/>
      <c r="W171" s="544"/>
      <c r="X171" s="544"/>
      <c r="Y171" s="185"/>
    </row>
    <row r="172" spans="10:25" x14ac:dyDescent="0.35">
      <c r="J172" s="544"/>
      <c r="K172" s="544"/>
      <c r="L172" s="544"/>
      <c r="M172" s="544"/>
      <c r="N172" s="544"/>
      <c r="O172" s="544"/>
      <c r="P172" s="544"/>
      <c r="Q172" s="544"/>
      <c r="R172" s="544"/>
      <c r="S172" s="544">
        <v>185</v>
      </c>
      <c r="T172" s="544">
        <v>150</v>
      </c>
      <c r="U172" s="544"/>
      <c r="V172" s="544"/>
      <c r="W172" s="544"/>
      <c r="X172" s="544"/>
      <c r="Y172" s="185"/>
    </row>
    <row r="173" spans="10:25" x14ac:dyDescent="0.35">
      <c r="J173" s="544"/>
      <c r="K173" s="544"/>
      <c r="L173" s="544"/>
      <c r="M173" s="544"/>
      <c r="N173" s="544"/>
      <c r="O173" s="544"/>
      <c r="P173" s="544"/>
      <c r="Q173" s="544"/>
      <c r="R173" s="544"/>
      <c r="S173" s="544">
        <v>186</v>
      </c>
      <c r="T173" s="544">
        <v>150</v>
      </c>
      <c r="U173" s="544"/>
      <c r="V173" s="544"/>
      <c r="W173" s="544"/>
      <c r="X173" s="544"/>
      <c r="Y173" s="185"/>
    </row>
    <row r="174" spans="10:25" x14ac:dyDescent="0.35">
      <c r="J174" s="544"/>
      <c r="K174" s="544"/>
      <c r="L174" s="544"/>
      <c r="M174" s="544"/>
      <c r="N174" s="544"/>
      <c r="O174" s="544"/>
      <c r="P174" s="544"/>
      <c r="Q174" s="544"/>
      <c r="R174" s="544"/>
      <c r="S174" s="544">
        <v>187</v>
      </c>
      <c r="T174" s="544">
        <v>150</v>
      </c>
      <c r="U174" s="544"/>
      <c r="V174" s="544"/>
      <c r="W174" s="544"/>
      <c r="X174" s="544"/>
      <c r="Y174" s="185"/>
    </row>
    <row r="175" spans="10:25" x14ac:dyDescent="0.35">
      <c r="J175" s="544"/>
      <c r="K175" s="544"/>
      <c r="L175" s="544"/>
      <c r="M175" s="544"/>
      <c r="N175" s="544"/>
      <c r="O175" s="544"/>
      <c r="P175" s="544"/>
      <c r="Q175" s="544"/>
      <c r="R175" s="544"/>
      <c r="S175" s="544">
        <v>188</v>
      </c>
      <c r="T175" s="544">
        <v>150</v>
      </c>
      <c r="U175" s="544"/>
      <c r="V175" s="544"/>
      <c r="W175" s="544"/>
      <c r="X175" s="544"/>
      <c r="Y175" s="185"/>
    </row>
    <row r="176" spans="10:25" x14ac:dyDescent="0.35">
      <c r="J176" s="544"/>
      <c r="K176" s="544"/>
      <c r="L176" s="544"/>
      <c r="M176" s="544"/>
      <c r="N176" s="544"/>
      <c r="O176" s="544"/>
      <c r="P176" s="544"/>
      <c r="Q176" s="544"/>
      <c r="R176" s="544"/>
      <c r="S176" s="544">
        <v>189</v>
      </c>
      <c r="T176" s="544">
        <v>150</v>
      </c>
      <c r="U176" s="544"/>
      <c r="V176" s="544"/>
      <c r="W176" s="544"/>
      <c r="X176" s="544"/>
      <c r="Y176" s="185"/>
    </row>
    <row r="177" spans="10:25" x14ac:dyDescent="0.35">
      <c r="J177" s="544"/>
      <c r="K177" s="544"/>
      <c r="L177" s="544"/>
      <c r="M177" s="544"/>
      <c r="N177" s="544"/>
      <c r="O177" s="544"/>
      <c r="P177" s="544"/>
      <c r="Q177" s="544"/>
      <c r="R177" s="544"/>
      <c r="S177" s="544">
        <v>190</v>
      </c>
      <c r="T177" s="544">
        <v>150</v>
      </c>
      <c r="U177" s="544"/>
      <c r="V177" s="544"/>
      <c r="W177" s="544"/>
      <c r="X177" s="544"/>
      <c r="Y177" s="185"/>
    </row>
    <row r="178" spans="10:25" x14ac:dyDescent="0.35">
      <c r="J178" s="544"/>
      <c r="K178" s="544"/>
      <c r="L178" s="544"/>
      <c r="M178" s="544"/>
      <c r="N178" s="544"/>
      <c r="O178" s="544"/>
      <c r="P178" s="544"/>
      <c r="Q178" s="544"/>
      <c r="R178" s="544"/>
      <c r="S178" s="544">
        <v>191</v>
      </c>
      <c r="T178" s="544">
        <v>150</v>
      </c>
      <c r="U178" s="544"/>
      <c r="V178" s="544"/>
      <c r="W178" s="544"/>
      <c r="X178" s="544"/>
      <c r="Y178" s="185"/>
    </row>
    <row r="179" spans="10:25" x14ac:dyDescent="0.35">
      <c r="J179" s="544"/>
      <c r="K179" s="544"/>
      <c r="L179" s="544"/>
      <c r="M179" s="544"/>
      <c r="N179" s="544"/>
      <c r="O179" s="544"/>
      <c r="P179" s="544"/>
      <c r="Q179" s="544"/>
      <c r="R179" s="544"/>
      <c r="S179" s="544">
        <v>192</v>
      </c>
      <c r="T179" s="544">
        <v>150</v>
      </c>
      <c r="U179" s="544"/>
      <c r="V179" s="544"/>
      <c r="W179" s="544"/>
      <c r="X179" s="544"/>
      <c r="Y179" s="185"/>
    </row>
    <row r="180" spans="10:25" x14ac:dyDescent="0.35">
      <c r="J180" s="544"/>
      <c r="K180" s="544"/>
      <c r="L180" s="544"/>
      <c r="M180" s="544"/>
      <c r="N180" s="544"/>
      <c r="O180" s="544"/>
      <c r="P180" s="544"/>
      <c r="Q180" s="544"/>
      <c r="R180" s="544"/>
      <c r="S180" s="544">
        <v>193</v>
      </c>
      <c r="T180" s="544">
        <v>150</v>
      </c>
      <c r="U180" s="544"/>
      <c r="V180" s="544"/>
      <c r="W180" s="544"/>
      <c r="X180" s="544"/>
      <c r="Y180" s="185"/>
    </row>
    <row r="181" spans="10:25" x14ac:dyDescent="0.35">
      <c r="J181" s="544"/>
      <c r="K181" s="544"/>
      <c r="L181" s="544"/>
      <c r="M181" s="544"/>
      <c r="N181" s="544"/>
      <c r="O181" s="544"/>
      <c r="P181" s="544"/>
      <c r="Q181" s="544"/>
      <c r="R181" s="544"/>
      <c r="S181" s="544">
        <v>194</v>
      </c>
      <c r="T181" s="544">
        <v>150</v>
      </c>
      <c r="U181" s="544"/>
      <c r="V181" s="544"/>
      <c r="W181" s="544"/>
      <c r="X181" s="544"/>
      <c r="Y181" s="185"/>
    </row>
    <row r="182" spans="10:25" x14ac:dyDescent="0.35">
      <c r="J182" s="544"/>
      <c r="K182" s="544"/>
      <c r="L182" s="544"/>
      <c r="M182" s="544"/>
      <c r="N182" s="544"/>
      <c r="O182" s="544"/>
      <c r="P182" s="544"/>
      <c r="Q182" s="544"/>
      <c r="R182" s="544"/>
      <c r="S182" s="544">
        <v>195</v>
      </c>
      <c r="T182" s="544">
        <v>150</v>
      </c>
      <c r="U182" s="544"/>
      <c r="V182" s="544"/>
      <c r="W182" s="544"/>
      <c r="X182" s="544"/>
      <c r="Y182" s="185"/>
    </row>
    <row r="183" spans="10:25" x14ac:dyDescent="0.35">
      <c r="J183" s="544"/>
      <c r="K183" s="544"/>
      <c r="L183" s="544"/>
      <c r="M183" s="544"/>
      <c r="N183" s="544"/>
      <c r="O183" s="544"/>
      <c r="P183" s="544"/>
      <c r="Q183" s="544"/>
      <c r="R183" s="544"/>
      <c r="S183" s="544">
        <v>196</v>
      </c>
      <c r="T183" s="544">
        <v>150</v>
      </c>
      <c r="U183" s="544"/>
      <c r="V183" s="544"/>
      <c r="W183" s="544"/>
      <c r="X183" s="544"/>
      <c r="Y183" s="185"/>
    </row>
    <row r="184" spans="10:25" x14ac:dyDescent="0.35">
      <c r="J184" s="544"/>
      <c r="K184" s="544"/>
      <c r="L184" s="544"/>
      <c r="M184" s="544"/>
      <c r="N184" s="544"/>
      <c r="O184" s="544"/>
      <c r="P184" s="544"/>
      <c r="Q184" s="544"/>
      <c r="R184" s="544"/>
      <c r="S184" s="544">
        <v>197</v>
      </c>
      <c r="T184" s="544">
        <v>150</v>
      </c>
      <c r="U184" s="544"/>
      <c r="V184" s="544"/>
      <c r="W184" s="544"/>
      <c r="X184" s="544"/>
      <c r="Y184" s="185"/>
    </row>
    <row r="185" spans="10:25" x14ac:dyDescent="0.35">
      <c r="J185" s="544"/>
      <c r="K185" s="544"/>
      <c r="L185" s="544"/>
      <c r="M185" s="544"/>
      <c r="N185" s="544"/>
      <c r="O185" s="544"/>
      <c r="P185" s="544"/>
      <c r="Q185" s="544"/>
      <c r="R185" s="544"/>
      <c r="S185" s="544">
        <v>198</v>
      </c>
      <c r="T185" s="544">
        <v>150</v>
      </c>
      <c r="U185" s="544"/>
      <c r="V185" s="544"/>
      <c r="W185" s="544"/>
      <c r="X185" s="544"/>
      <c r="Y185" s="185"/>
    </row>
    <row r="186" spans="10:25" x14ac:dyDescent="0.35">
      <c r="J186" s="544"/>
      <c r="K186" s="544"/>
      <c r="L186" s="544"/>
      <c r="M186" s="544"/>
      <c r="N186" s="544"/>
      <c r="O186" s="544"/>
      <c r="P186" s="544"/>
      <c r="Q186" s="544"/>
      <c r="R186" s="544"/>
      <c r="S186" s="544">
        <v>199</v>
      </c>
      <c r="T186" s="544">
        <v>150</v>
      </c>
      <c r="U186" s="544"/>
      <c r="V186" s="544"/>
      <c r="W186" s="544"/>
      <c r="X186" s="544"/>
      <c r="Y186" s="185"/>
    </row>
    <row r="187" spans="10:25" x14ac:dyDescent="0.35">
      <c r="J187" s="544"/>
      <c r="K187" s="544"/>
      <c r="L187" s="544"/>
      <c r="M187" s="544"/>
      <c r="N187" s="544"/>
      <c r="O187" s="544"/>
      <c r="P187" s="544"/>
      <c r="Q187" s="544"/>
      <c r="R187" s="544"/>
      <c r="S187" s="544">
        <v>200</v>
      </c>
      <c r="T187" s="544">
        <v>150</v>
      </c>
      <c r="U187" s="544">
        <v>200</v>
      </c>
      <c r="V187" s="544"/>
      <c r="W187" s="544"/>
      <c r="X187" s="544"/>
      <c r="Y187" s="185"/>
    </row>
    <row r="188" spans="10:25" x14ac:dyDescent="0.35">
      <c r="J188" s="544"/>
      <c r="K188" s="544"/>
      <c r="L188" s="544"/>
      <c r="M188" s="544"/>
      <c r="N188" s="544"/>
      <c r="O188" s="544"/>
      <c r="P188" s="544"/>
      <c r="Q188" s="544"/>
      <c r="R188" s="544"/>
      <c r="S188" s="544">
        <v>201</v>
      </c>
      <c r="T188" s="544">
        <v>150</v>
      </c>
      <c r="U188" s="544"/>
      <c r="V188" s="544"/>
      <c r="W188" s="544"/>
      <c r="X188" s="544"/>
      <c r="Y188" s="185"/>
    </row>
    <row r="189" spans="10:25" x14ac:dyDescent="0.35">
      <c r="J189" s="544"/>
      <c r="K189" s="544"/>
      <c r="L189" s="544"/>
      <c r="M189" s="544"/>
      <c r="N189" s="544"/>
      <c r="O189" s="544"/>
      <c r="P189" s="544"/>
      <c r="Q189" s="544"/>
      <c r="R189" s="544"/>
      <c r="S189" s="544">
        <v>202</v>
      </c>
      <c r="T189" s="544">
        <v>150</v>
      </c>
      <c r="U189" s="544"/>
      <c r="V189" s="544"/>
      <c r="W189" s="544"/>
      <c r="X189" s="544"/>
      <c r="Y189" s="185"/>
    </row>
    <row r="190" spans="10:25" x14ac:dyDescent="0.35">
      <c r="J190" s="544"/>
      <c r="K190" s="544"/>
      <c r="L190" s="544"/>
      <c r="M190" s="544"/>
      <c r="N190" s="544"/>
      <c r="O190" s="544"/>
      <c r="P190" s="544"/>
      <c r="Q190" s="544"/>
      <c r="R190" s="544"/>
      <c r="S190" s="544">
        <v>203</v>
      </c>
      <c r="T190" s="544">
        <v>150</v>
      </c>
      <c r="U190" s="544"/>
      <c r="V190" s="544"/>
      <c r="W190" s="544"/>
      <c r="X190" s="544"/>
      <c r="Y190" s="185"/>
    </row>
    <row r="191" spans="10:25" x14ac:dyDescent="0.35">
      <c r="J191" s="544"/>
      <c r="K191" s="544"/>
      <c r="L191" s="544"/>
      <c r="M191" s="544"/>
      <c r="N191" s="544"/>
      <c r="O191" s="544"/>
      <c r="P191" s="544"/>
      <c r="Q191" s="544"/>
      <c r="R191" s="544"/>
      <c r="S191" s="544">
        <v>204</v>
      </c>
      <c r="T191" s="544">
        <v>150</v>
      </c>
      <c r="U191" s="544"/>
      <c r="V191" s="544"/>
      <c r="W191" s="544"/>
      <c r="X191" s="544"/>
      <c r="Y191" s="185"/>
    </row>
    <row r="192" spans="10:25" x14ac:dyDescent="0.35">
      <c r="J192" s="544"/>
      <c r="K192" s="544"/>
      <c r="L192" s="544"/>
      <c r="M192" s="544"/>
      <c r="N192" s="544"/>
      <c r="O192" s="544"/>
      <c r="P192" s="544"/>
      <c r="Q192" s="544"/>
      <c r="R192" s="544"/>
      <c r="S192" s="544">
        <v>205</v>
      </c>
      <c r="T192" s="544">
        <v>150</v>
      </c>
      <c r="U192" s="544"/>
      <c r="V192" s="544"/>
      <c r="W192" s="544"/>
      <c r="X192" s="544"/>
      <c r="Y192" s="185"/>
    </row>
    <row r="193" spans="10:25" x14ac:dyDescent="0.35">
      <c r="J193" s="544"/>
      <c r="K193" s="544"/>
      <c r="L193" s="544"/>
      <c r="M193" s="544"/>
      <c r="N193" s="544"/>
      <c r="O193" s="544"/>
      <c r="P193" s="544"/>
      <c r="Q193" s="544"/>
      <c r="R193" s="544"/>
      <c r="S193" s="544">
        <v>206</v>
      </c>
      <c r="T193" s="544">
        <v>150</v>
      </c>
      <c r="U193" s="544"/>
      <c r="V193" s="544"/>
      <c r="W193" s="544"/>
      <c r="X193" s="544"/>
      <c r="Y193" s="185"/>
    </row>
    <row r="194" spans="10:25" x14ac:dyDescent="0.35">
      <c r="J194" s="544"/>
      <c r="K194" s="544"/>
      <c r="L194" s="544"/>
      <c r="M194" s="544"/>
      <c r="N194" s="544"/>
      <c r="O194" s="544"/>
      <c r="P194" s="544"/>
      <c r="Q194" s="544"/>
      <c r="R194" s="544"/>
      <c r="S194" s="544">
        <v>207</v>
      </c>
      <c r="T194" s="544">
        <v>150</v>
      </c>
      <c r="U194" s="544"/>
      <c r="V194" s="544"/>
      <c r="W194" s="544"/>
      <c r="X194" s="544"/>
      <c r="Y194" s="185"/>
    </row>
    <row r="195" spans="10:25" x14ac:dyDescent="0.35">
      <c r="J195" s="544"/>
      <c r="K195" s="544"/>
      <c r="L195" s="544"/>
      <c r="M195" s="544"/>
      <c r="N195" s="544"/>
      <c r="O195" s="544"/>
      <c r="P195" s="544"/>
      <c r="Q195" s="544"/>
      <c r="R195" s="544"/>
      <c r="S195" s="544">
        <v>208</v>
      </c>
      <c r="T195" s="544">
        <v>150</v>
      </c>
      <c r="U195" s="544"/>
      <c r="V195" s="544"/>
      <c r="W195" s="544"/>
      <c r="X195" s="544"/>
      <c r="Y195" s="185"/>
    </row>
    <row r="196" spans="10:25" x14ac:dyDescent="0.35">
      <c r="J196" s="544"/>
      <c r="K196" s="544"/>
      <c r="L196" s="544"/>
      <c r="M196" s="544"/>
      <c r="N196" s="544"/>
      <c r="O196" s="544"/>
      <c r="P196" s="544"/>
      <c r="Q196" s="544"/>
      <c r="R196" s="544"/>
      <c r="S196" s="544">
        <v>209</v>
      </c>
      <c r="T196" s="544">
        <v>150</v>
      </c>
      <c r="U196" s="544"/>
      <c r="V196" s="544"/>
      <c r="W196" s="544"/>
      <c r="X196" s="544"/>
      <c r="Y196" s="185"/>
    </row>
    <row r="197" spans="10:25" x14ac:dyDescent="0.35">
      <c r="J197" s="544"/>
      <c r="K197" s="544"/>
      <c r="L197" s="544"/>
      <c r="M197" s="544"/>
      <c r="N197" s="544"/>
      <c r="O197" s="544"/>
      <c r="P197" s="544"/>
      <c r="Q197" s="544"/>
      <c r="R197" s="544"/>
      <c r="S197" s="544">
        <v>210</v>
      </c>
      <c r="T197" s="544">
        <v>150</v>
      </c>
      <c r="U197" s="544"/>
      <c r="V197" s="544"/>
      <c r="W197" s="544"/>
      <c r="X197" s="544"/>
      <c r="Y197" s="185"/>
    </row>
    <row r="198" spans="10:25" x14ac:dyDescent="0.35">
      <c r="J198" s="544"/>
      <c r="K198" s="544"/>
      <c r="L198" s="544"/>
      <c r="M198" s="544"/>
      <c r="N198" s="544"/>
      <c r="O198" s="544"/>
      <c r="P198" s="544"/>
      <c r="Q198" s="544"/>
      <c r="R198" s="544"/>
      <c r="S198" s="544">
        <v>211</v>
      </c>
      <c r="T198" s="544">
        <v>150</v>
      </c>
      <c r="U198" s="544"/>
      <c r="V198" s="544"/>
      <c r="W198" s="544"/>
      <c r="X198" s="544"/>
      <c r="Y198" s="185"/>
    </row>
    <row r="199" spans="10:25" x14ac:dyDescent="0.35">
      <c r="J199" s="544"/>
      <c r="K199" s="544"/>
      <c r="L199" s="544"/>
      <c r="M199" s="544"/>
      <c r="N199" s="544"/>
      <c r="O199" s="544"/>
      <c r="P199" s="544"/>
      <c r="Q199" s="544"/>
      <c r="R199" s="544"/>
      <c r="S199" s="544">
        <v>212</v>
      </c>
      <c r="T199" s="544">
        <v>150</v>
      </c>
      <c r="U199" s="544"/>
      <c r="V199" s="544"/>
      <c r="W199" s="544"/>
      <c r="X199" s="544"/>
      <c r="Y199" s="185"/>
    </row>
    <row r="200" spans="10:25" x14ac:dyDescent="0.35">
      <c r="J200" s="544"/>
      <c r="K200" s="544"/>
      <c r="L200" s="544"/>
      <c r="M200" s="544"/>
      <c r="N200" s="544"/>
      <c r="O200" s="544"/>
      <c r="P200" s="544"/>
      <c r="Q200" s="544"/>
      <c r="R200" s="544"/>
      <c r="S200" s="544">
        <v>213</v>
      </c>
      <c r="T200" s="544">
        <v>150</v>
      </c>
      <c r="U200" s="544"/>
      <c r="V200" s="544"/>
      <c r="W200" s="544"/>
      <c r="X200" s="544"/>
      <c r="Y200" s="185"/>
    </row>
    <row r="201" spans="10:25" x14ac:dyDescent="0.35">
      <c r="J201" s="544"/>
      <c r="K201" s="544"/>
      <c r="L201" s="544"/>
      <c r="M201" s="544"/>
      <c r="N201" s="544"/>
      <c r="O201" s="544"/>
      <c r="P201" s="544"/>
      <c r="Q201" s="544"/>
      <c r="R201" s="544"/>
      <c r="S201" s="544">
        <v>214</v>
      </c>
      <c r="T201" s="544">
        <v>150</v>
      </c>
      <c r="U201" s="544"/>
      <c r="V201" s="544"/>
      <c r="W201" s="544"/>
      <c r="X201" s="544"/>
      <c r="Y201" s="185"/>
    </row>
    <row r="202" spans="10:25" x14ac:dyDescent="0.35">
      <c r="J202" s="544"/>
      <c r="K202" s="544"/>
      <c r="L202" s="544"/>
      <c r="M202" s="544"/>
      <c r="N202" s="544"/>
      <c r="O202" s="544"/>
      <c r="P202" s="544"/>
      <c r="Q202" s="544"/>
      <c r="R202" s="544"/>
      <c r="S202" s="544">
        <v>215</v>
      </c>
      <c r="T202" s="544">
        <v>150</v>
      </c>
      <c r="U202" s="544"/>
      <c r="V202" s="544"/>
      <c r="W202" s="544"/>
      <c r="X202" s="544"/>
      <c r="Y202" s="185"/>
    </row>
    <row r="203" spans="10:25" x14ac:dyDescent="0.35">
      <c r="J203" s="544"/>
      <c r="K203" s="544"/>
      <c r="L203" s="544"/>
      <c r="M203" s="544"/>
      <c r="N203" s="544"/>
      <c r="O203" s="544"/>
      <c r="P203" s="544"/>
      <c r="Q203" s="544"/>
      <c r="R203" s="544"/>
      <c r="S203" s="544">
        <v>216</v>
      </c>
      <c r="T203" s="544">
        <v>150</v>
      </c>
      <c r="U203" s="544"/>
      <c r="V203" s="544"/>
      <c r="W203" s="544"/>
      <c r="X203" s="544"/>
      <c r="Y203" s="185"/>
    </row>
    <row r="204" spans="10:25" x14ac:dyDescent="0.35">
      <c r="J204" s="544"/>
      <c r="K204" s="544"/>
      <c r="L204" s="544"/>
      <c r="M204" s="544"/>
      <c r="N204" s="544"/>
      <c r="O204" s="544"/>
      <c r="P204" s="544"/>
      <c r="Q204" s="544"/>
      <c r="R204" s="544"/>
      <c r="S204" s="544">
        <v>217</v>
      </c>
      <c r="T204" s="544">
        <v>150</v>
      </c>
      <c r="U204" s="544"/>
      <c r="V204" s="544"/>
      <c r="W204" s="544"/>
      <c r="X204" s="544"/>
      <c r="Y204" s="185"/>
    </row>
    <row r="205" spans="10:25" x14ac:dyDescent="0.35">
      <c r="J205" s="544"/>
      <c r="K205" s="544"/>
      <c r="L205" s="544"/>
      <c r="M205" s="544"/>
      <c r="N205" s="544"/>
      <c r="O205" s="544"/>
      <c r="P205" s="544"/>
      <c r="Q205" s="544"/>
      <c r="R205" s="544"/>
      <c r="S205" s="544">
        <v>218</v>
      </c>
      <c r="T205" s="544">
        <v>150</v>
      </c>
      <c r="U205" s="544"/>
      <c r="V205" s="544"/>
      <c r="W205" s="544"/>
      <c r="X205" s="544"/>
      <c r="Y205" s="185"/>
    </row>
    <row r="206" spans="10:25" x14ac:dyDescent="0.35">
      <c r="J206" s="544"/>
      <c r="K206" s="544"/>
      <c r="L206" s="544"/>
      <c r="M206" s="544"/>
      <c r="N206" s="544"/>
      <c r="O206" s="544"/>
      <c r="P206" s="544"/>
      <c r="Q206" s="544"/>
      <c r="R206" s="544"/>
      <c r="S206" s="544">
        <v>219</v>
      </c>
      <c r="T206" s="544">
        <v>150</v>
      </c>
      <c r="U206" s="544"/>
      <c r="V206" s="544"/>
      <c r="W206" s="544"/>
      <c r="X206" s="544"/>
      <c r="Y206" s="185"/>
    </row>
    <row r="207" spans="10:25" x14ac:dyDescent="0.35">
      <c r="J207" s="544"/>
      <c r="K207" s="544"/>
      <c r="L207" s="544"/>
      <c r="M207" s="544"/>
      <c r="N207" s="544"/>
      <c r="O207" s="544"/>
      <c r="P207" s="544"/>
      <c r="Q207" s="544"/>
      <c r="R207" s="544"/>
      <c r="S207" s="544">
        <v>220</v>
      </c>
      <c r="T207" s="544">
        <v>150</v>
      </c>
      <c r="U207" s="544"/>
      <c r="V207" s="544"/>
      <c r="W207" s="544"/>
      <c r="X207" s="544"/>
      <c r="Y207" s="185"/>
    </row>
    <row r="208" spans="10:25" x14ac:dyDescent="0.35">
      <c r="J208" s="544"/>
      <c r="K208" s="544"/>
      <c r="L208" s="544"/>
      <c r="M208" s="544"/>
      <c r="N208" s="544"/>
      <c r="O208" s="544"/>
      <c r="P208" s="544"/>
      <c r="Q208" s="544"/>
      <c r="R208" s="544"/>
      <c r="S208" s="544">
        <v>221</v>
      </c>
      <c r="T208" s="544">
        <v>150</v>
      </c>
      <c r="U208" s="544"/>
      <c r="V208" s="544"/>
      <c r="W208" s="544"/>
      <c r="X208" s="544"/>
      <c r="Y208" s="185"/>
    </row>
    <row r="209" spans="10:25" x14ac:dyDescent="0.35">
      <c r="J209" s="544"/>
      <c r="K209" s="544"/>
      <c r="L209" s="544"/>
      <c r="M209" s="544"/>
      <c r="N209" s="544"/>
      <c r="O209" s="544"/>
      <c r="P209" s="544"/>
      <c r="Q209" s="544"/>
      <c r="R209" s="544"/>
      <c r="S209" s="544">
        <v>222</v>
      </c>
      <c r="T209" s="544">
        <v>150</v>
      </c>
      <c r="U209" s="544"/>
      <c r="V209" s="544"/>
      <c r="W209" s="544"/>
      <c r="X209" s="544"/>
      <c r="Y209" s="185"/>
    </row>
    <row r="210" spans="10:25" x14ac:dyDescent="0.35">
      <c r="J210" s="544"/>
      <c r="K210" s="544"/>
      <c r="L210" s="544"/>
      <c r="M210" s="544"/>
      <c r="N210" s="544"/>
      <c r="O210" s="544"/>
      <c r="P210" s="544"/>
      <c r="Q210" s="544"/>
      <c r="R210" s="544"/>
      <c r="S210" s="544">
        <v>223</v>
      </c>
      <c r="T210" s="544">
        <v>150</v>
      </c>
      <c r="U210" s="544"/>
      <c r="V210" s="544"/>
      <c r="W210" s="544"/>
      <c r="X210" s="544"/>
      <c r="Y210" s="185"/>
    </row>
    <row r="211" spans="10:25" x14ac:dyDescent="0.35">
      <c r="J211" s="544"/>
      <c r="K211" s="544"/>
      <c r="L211" s="544"/>
      <c r="M211" s="544"/>
      <c r="N211" s="544"/>
      <c r="O211" s="544"/>
      <c r="P211" s="544"/>
      <c r="Q211" s="544"/>
      <c r="R211" s="544"/>
      <c r="S211" s="544">
        <v>224</v>
      </c>
      <c r="T211" s="544">
        <v>150</v>
      </c>
      <c r="U211" s="544"/>
      <c r="V211" s="544"/>
      <c r="W211" s="544"/>
      <c r="X211" s="544"/>
      <c r="Y211" s="185"/>
    </row>
    <row r="212" spans="10:25" x14ac:dyDescent="0.35">
      <c r="J212" s="544"/>
      <c r="K212" s="544"/>
      <c r="L212" s="544"/>
      <c r="M212" s="544"/>
      <c r="N212" s="544"/>
      <c r="O212" s="544"/>
      <c r="P212" s="544"/>
      <c r="Q212" s="544"/>
      <c r="R212" s="544"/>
      <c r="S212" s="544">
        <v>225</v>
      </c>
      <c r="T212" s="544">
        <v>150</v>
      </c>
      <c r="U212" s="544"/>
      <c r="V212" s="544"/>
      <c r="W212" s="544"/>
      <c r="X212" s="544"/>
      <c r="Y212" s="185"/>
    </row>
    <row r="213" spans="10:25" x14ac:dyDescent="0.35">
      <c r="J213" s="544"/>
      <c r="K213" s="544"/>
      <c r="L213" s="544"/>
      <c r="M213" s="544"/>
      <c r="N213" s="544"/>
      <c r="O213" s="544"/>
      <c r="P213" s="544"/>
      <c r="Q213" s="544"/>
      <c r="R213" s="544"/>
      <c r="S213" s="544">
        <v>226</v>
      </c>
      <c r="T213" s="544">
        <v>150</v>
      </c>
      <c r="U213" s="544"/>
      <c r="V213" s="544"/>
      <c r="W213" s="544"/>
      <c r="X213" s="544"/>
      <c r="Y213" s="185"/>
    </row>
    <row r="214" spans="10:25" x14ac:dyDescent="0.35">
      <c r="J214" s="544"/>
      <c r="K214" s="544"/>
      <c r="L214" s="544"/>
      <c r="M214" s="544"/>
      <c r="N214" s="544"/>
      <c r="O214" s="544"/>
      <c r="P214" s="544"/>
      <c r="Q214" s="544"/>
      <c r="R214" s="544"/>
      <c r="S214" s="544">
        <v>227</v>
      </c>
      <c r="T214" s="544">
        <v>150</v>
      </c>
      <c r="U214" s="544"/>
      <c r="V214" s="544"/>
      <c r="W214" s="544"/>
      <c r="X214" s="544"/>
      <c r="Y214" s="185"/>
    </row>
    <row r="215" spans="10:25" x14ac:dyDescent="0.35">
      <c r="J215" s="544"/>
      <c r="K215" s="544"/>
      <c r="L215" s="544"/>
      <c r="M215" s="544"/>
      <c r="N215" s="544"/>
      <c r="O215" s="544"/>
      <c r="P215" s="544"/>
      <c r="Q215" s="544"/>
      <c r="R215" s="544"/>
      <c r="S215" s="544">
        <v>228</v>
      </c>
      <c r="T215" s="544">
        <v>150</v>
      </c>
      <c r="U215" s="544"/>
      <c r="V215" s="544"/>
      <c r="W215" s="544"/>
      <c r="X215" s="544"/>
      <c r="Y215" s="185"/>
    </row>
    <row r="216" spans="10:25" x14ac:dyDescent="0.35">
      <c r="J216" s="544"/>
      <c r="K216" s="544"/>
      <c r="L216" s="544"/>
      <c r="M216" s="544"/>
      <c r="N216" s="544"/>
      <c r="O216" s="544"/>
      <c r="P216" s="544"/>
      <c r="Q216" s="544"/>
      <c r="R216" s="544"/>
      <c r="S216" s="544">
        <v>229</v>
      </c>
      <c r="T216" s="544">
        <v>150</v>
      </c>
      <c r="U216" s="544"/>
      <c r="V216" s="544"/>
      <c r="W216" s="544"/>
      <c r="X216" s="544"/>
      <c r="Y216" s="185"/>
    </row>
    <row r="217" spans="10:25" x14ac:dyDescent="0.35">
      <c r="J217" s="544"/>
      <c r="K217" s="544"/>
      <c r="L217" s="544"/>
      <c r="M217" s="544"/>
      <c r="N217" s="544"/>
      <c r="O217" s="544"/>
      <c r="P217" s="544"/>
      <c r="Q217" s="544"/>
      <c r="R217" s="544"/>
      <c r="S217" s="544">
        <v>230</v>
      </c>
      <c r="T217" s="544">
        <v>150</v>
      </c>
      <c r="U217" s="544"/>
      <c r="V217" s="544"/>
      <c r="W217" s="544"/>
      <c r="X217" s="544"/>
      <c r="Y217" s="185"/>
    </row>
    <row r="218" spans="10:25" x14ac:dyDescent="0.35">
      <c r="J218" s="544"/>
      <c r="K218" s="544"/>
      <c r="L218" s="544"/>
      <c r="M218" s="544"/>
      <c r="N218" s="544"/>
      <c r="O218" s="544"/>
      <c r="P218" s="544"/>
      <c r="Q218" s="544"/>
      <c r="R218" s="544"/>
      <c r="S218" s="544">
        <v>231</v>
      </c>
      <c r="T218" s="544">
        <v>150</v>
      </c>
      <c r="U218" s="544"/>
      <c r="V218" s="544"/>
      <c r="W218" s="544"/>
      <c r="X218" s="544"/>
      <c r="Y218" s="185"/>
    </row>
    <row r="219" spans="10:25" x14ac:dyDescent="0.35">
      <c r="J219" s="544"/>
      <c r="K219" s="544"/>
      <c r="L219" s="544"/>
      <c r="M219" s="544"/>
      <c r="N219" s="544"/>
      <c r="O219" s="544"/>
      <c r="P219" s="544"/>
      <c r="Q219" s="544"/>
      <c r="R219" s="544"/>
      <c r="S219" s="544">
        <v>232</v>
      </c>
      <c r="T219" s="544">
        <v>150</v>
      </c>
      <c r="U219" s="544"/>
      <c r="V219" s="544"/>
      <c r="W219" s="544"/>
      <c r="X219" s="544"/>
      <c r="Y219" s="185"/>
    </row>
    <row r="220" spans="10:25" x14ac:dyDescent="0.35">
      <c r="J220" s="544"/>
      <c r="K220" s="544"/>
      <c r="L220" s="544"/>
      <c r="M220" s="544"/>
      <c r="N220" s="544"/>
      <c r="O220" s="544"/>
      <c r="P220" s="544"/>
      <c r="Q220" s="544"/>
      <c r="R220" s="544"/>
      <c r="S220" s="544">
        <v>233</v>
      </c>
      <c r="T220" s="544">
        <v>150</v>
      </c>
      <c r="U220" s="544"/>
      <c r="V220" s="544"/>
      <c r="W220" s="544"/>
      <c r="X220" s="544"/>
      <c r="Y220" s="185"/>
    </row>
    <row r="221" spans="10:25" x14ac:dyDescent="0.35">
      <c r="J221" s="544"/>
      <c r="K221" s="544"/>
      <c r="L221" s="544"/>
      <c r="M221" s="544"/>
      <c r="N221" s="544"/>
      <c r="O221" s="544"/>
      <c r="P221" s="544"/>
      <c r="Q221" s="544"/>
      <c r="R221" s="544"/>
      <c r="S221" s="544">
        <v>234</v>
      </c>
      <c r="T221" s="544">
        <v>150</v>
      </c>
      <c r="U221" s="544"/>
      <c r="V221" s="544"/>
      <c r="W221" s="544"/>
      <c r="X221" s="544"/>
      <c r="Y221" s="185"/>
    </row>
    <row r="222" spans="10:25" x14ac:dyDescent="0.35">
      <c r="J222" s="544"/>
      <c r="K222" s="544"/>
      <c r="L222" s="544"/>
      <c r="M222" s="544"/>
      <c r="N222" s="544"/>
      <c r="O222" s="544"/>
      <c r="P222" s="544"/>
      <c r="Q222" s="544"/>
      <c r="R222" s="544"/>
      <c r="S222" s="544">
        <v>235</v>
      </c>
      <c r="T222" s="544">
        <v>150</v>
      </c>
      <c r="U222" s="544"/>
      <c r="V222" s="544"/>
      <c r="W222" s="544"/>
      <c r="X222" s="544"/>
      <c r="Y222" s="185"/>
    </row>
    <row r="223" spans="10:25" x14ac:dyDescent="0.35">
      <c r="J223" s="544"/>
      <c r="K223" s="544"/>
      <c r="L223" s="544"/>
      <c r="M223" s="544"/>
      <c r="N223" s="544"/>
      <c r="O223" s="544"/>
      <c r="P223" s="544"/>
      <c r="Q223" s="544"/>
      <c r="R223" s="544"/>
      <c r="S223" s="544">
        <v>236</v>
      </c>
      <c r="T223" s="544">
        <v>150</v>
      </c>
      <c r="U223" s="544"/>
      <c r="V223" s="544"/>
      <c r="W223" s="544"/>
      <c r="X223" s="544"/>
      <c r="Y223" s="185"/>
    </row>
    <row r="224" spans="10:25" x14ac:dyDescent="0.35">
      <c r="J224" s="544"/>
      <c r="K224" s="544"/>
      <c r="L224" s="544"/>
      <c r="M224" s="544"/>
      <c r="N224" s="544"/>
      <c r="O224" s="544"/>
      <c r="P224" s="544"/>
      <c r="Q224" s="544"/>
      <c r="R224" s="544"/>
      <c r="S224" s="544">
        <v>237</v>
      </c>
      <c r="T224" s="544">
        <v>150</v>
      </c>
      <c r="U224" s="544"/>
      <c r="V224" s="544"/>
      <c r="W224" s="544"/>
      <c r="X224" s="544"/>
      <c r="Y224" s="185"/>
    </row>
    <row r="225" spans="10:25" x14ac:dyDescent="0.35">
      <c r="J225" s="544"/>
      <c r="K225" s="544"/>
      <c r="L225" s="544"/>
      <c r="M225" s="544"/>
      <c r="N225" s="544"/>
      <c r="O225" s="544"/>
      <c r="P225" s="544"/>
      <c r="Q225" s="544"/>
      <c r="R225" s="544"/>
      <c r="S225" s="544">
        <v>238</v>
      </c>
      <c r="T225" s="544">
        <v>150</v>
      </c>
      <c r="U225" s="544"/>
      <c r="V225" s="544"/>
      <c r="W225" s="544"/>
      <c r="X225" s="544"/>
      <c r="Y225" s="185"/>
    </row>
    <row r="226" spans="10:25" x14ac:dyDescent="0.35">
      <c r="J226" s="544"/>
      <c r="K226" s="544"/>
      <c r="L226" s="544"/>
      <c r="M226" s="544"/>
      <c r="N226" s="544"/>
      <c r="O226" s="544"/>
      <c r="P226" s="544"/>
      <c r="Q226" s="544"/>
      <c r="R226" s="544"/>
      <c r="S226" s="544">
        <v>239</v>
      </c>
      <c r="T226" s="544">
        <v>150</v>
      </c>
      <c r="U226" s="544"/>
      <c r="V226" s="544"/>
      <c r="W226" s="544"/>
      <c r="X226" s="544"/>
      <c r="Y226" s="185"/>
    </row>
    <row r="227" spans="10:25" x14ac:dyDescent="0.35">
      <c r="J227" s="544"/>
      <c r="K227" s="544"/>
      <c r="L227" s="544"/>
      <c r="M227" s="544"/>
      <c r="N227" s="544"/>
      <c r="O227" s="544"/>
      <c r="P227" s="544"/>
      <c r="Q227" s="544"/>
      <c r="R227" s="544"/>
      <c r="S227" s="544">
        <v>240</v>
      </c>
      <c r="T227" s="544">
        <v>150</v>
      </c>
      <c r="U227" s="544"/>
      <c r="V227" s="544"/>
      <c r="W227" s="544"/>
      <c r="X227" s="544"/>
      <c r="Y227" s="185"/>
    </row>
    <row r="228" spans="10:25" x14ac:dyDescent="0.35">
      <c r="J228" s="544"/>
      <c r="K228" s="544"/>
      <c r="L228" s="544"/>
      <c r="M228" s="544"/>
      <c r="N228" s="544"/>
      <c r="O228" s="544"/>
      <c r="P228" s="544"/>
      <c r="Q228" s="544"/>
      <c r="R228" s="544"/>
      <c r="S228" s="544">
        <v>241</v>
      </c>
      <c r="T228" s="544">
        <v>150</v>
      </c>
      <c r="U228" s="544"/>
      <c r="V228" s="544"/>
      <c r="W228" s="544"/>
      <c r="X228" s="544"/>
      <c r="Y228" s="185"/>
    </row>
    <row r="229" spans="10:25" x14ac:dyDescent="0.35">
      <c r="J229" s="544"/>
      <c r="K229" s="544"/>
      <c r="L229" s="544"/>
      <c r="M229" s="544"/>
      <c r="N229" s="544"/>
      <c r="O229" s="544"/>
      <c r="P229" s="544"/>
      <c r="Q229" s="544"/>
      <c r="R229" s="544"/>
      <c r="S229" s="544">
        <v>242</v>
      </c>
      <c r="T229" s="544">
        <v>150</v>
      </c>
      <c r="U229" s="544"/>
      <c r="V229" s="544"/>
      <c r="W229" s="544"/>
      <c r="X229" s="544"/>
      <c r="Y229" s="185"/>
    </row>
    <row r="230" spans="10:25" x14ac:dyDescent="0.35">
      <c r="J230" s="544"/>
      <c r="K230" s="544"/>
      <c r="L230" s="544"/>
      <c r="M230" s="544"/>
      <c r="N230" s="544"/>
      <c r="O230" s="544"/>
      <c r="P230" s="544"/>
      <c r="Q230" s="544"/>
      <c r="R230" s="544"/>
      <c r="S230" s="544">
        <v>243</v>
      </c>
      <c r="T230" s="544">
        <v>150</v>
      </c>
      <c r="U230" s="544"/>
      <c r="V230" s="544"/>
      <c r="W230" s="544"/>
      <c r="X230" s="544"/>
      <c r="Y230" s="185"/>
    </row>
    <row r="231" spans="10:25" x14ac:dyDescent="0.35">
      <c r="J231" s="544"/>
      <c r="K231" s="544"/>
      <c r="L231" s="544"/>
      <c r="M231" s="544"/>
      <c r="N231" s="544"/>
      <c r="O231" s="544"/>
      <c r="P231" s="544"/>
      <c r="Q231" s="544"/>
      <c r="R231" s="544"/>
      <c r="S231" s="544">
        <v>244</v>
      </c>
      <c r="T231" s="544">
        <v>150</v>
      </c>
      <c r="U231" s="544"/>
      <c r="V231" s="544"/>
      <c r="W231" s="544"/>
      <c r="X231" s="544"/>
      <c r="Y231" s="185"/>
    </row>
    <row r="232" spans="10:25" x14ac:dyDescent="0.35">
      <c r="J232" s="544"/>
      <c r="K232" s="544"/>
      <c r="L232" s="544"/>
      <c r="M232" s="544"/>
      <c r="N232" s="544"/>
      <c r="O232" s="544"/>
      <c r="P232" s="544"/>
      <c r="Q232" s="544"/>
      <c r="R232" s="544"/>
      <c r="S232" s="544">
        <v>245</v>
      </c>
      <c r="T232" s="544">
        <v>150</v>
      </c>
      <c r="U232" s="544"/>
      <c r="V232" s="544"/>
      <c r="W232" s="544"/>
      <c r="X232" s="544"/>
      <c r="Y232" s="185"/>
    </row>
    <row r="233" spans="10:25" x14ac:dyDescent="0.35">
      <c r="J233" s="544"/>
      <c r="K233" s="544"/>
      <c r="L233" s="544"/>
      <c r="M233" s="544"/>
      <c r="N233" s="544"/>
      <c r="O233" s="544"/>
      <c r="P233" s="544"/>
      <c r="Q233" s="544"/>
      <c r="R233" s="544"/>
      <c r="S233" s="544">
        <v>246</v>
      </c>
      <c r="T233" s="544">
        <v>150</v>
      </c>
      <c r="U233" s="544"/>
      <c r="V233" s="544"/>
      <c r="W233" s="544"/>
      <c r="X233" s="544"/>
      <c r="Y233" s="185"/>
    </row>
    <row r="234" spans="10:25" x14ac:dyDescent="0.35">
      <c r="J234" s="544"/>
      <c r="K234" s="544"/>
      <c r="L234" s="544"/>
      <c r="M234" s="544"/>
      <c r="N234" s="544"/>
      <c r="O234" s="544"/>
      <c r="P234" s="544"/>
      <c r="Q234" s="544"/>
      <c r="R234" s="544"/>
      <c r="S234" s="544">
        <v>247</v>
      </c>
      <c r="T234" s="544">
        <v>150</v>
      </c>
      <c r="U234" s="544"/>
      <c r="V234" s="544"/>
      <c r="W234" s="544"/>
      <c r="X234" s="544"/>
      <c r="Y234" s="185"/>
    </row>
    <row r="235" spans="10:25" x14ac:dyDescent="0.35">
      <c r="J235" s="544"/>
      <c r="K235" s="544"/>
      <c r="L235" s="544"/>
      <c r="M235" s="544"/>
      <c r="N235" s="544"/>
      <c r="O235" s="544"/>
      <c r="P235" s="544"/>
      <c r="Q235" s="544"/>
      <c r="R235" s="544"/>
      <c r="S235" s="544">
        <v>248</v>
      </c>
      <c r="T235" s="544">
        <v>150</v>
      </c>
      <c r="U235" s="544"/>
      <c r="V235" s="544"/>
      <c r="W235" s="544"/>
      <c r="X235" s="544"/>
      <c r="Y235" s="185"/>
    </row>
    <row r="236" spans="10:25" x14ac:dyDescent="0.35">
      <c r="J236" s="544"/>
      <c r="K236" s="544"/>
      <c r="L236" s="544"/>
      <c r="M236" s="544"/>
      <c r="N236" s="544"/>
      <c r="O236" s="544"/>
      <c r="P236" s="544"/>
      <c r="Q236" s="544"/>
      <c r="R236" s="544"/>
      <c r="S236" s="544">
        <v>249</v>
      </c>
      <c r="T236" s="544">
        <v>150</v>
      </c>
      <c r="U236" s="544"/>
      <c r="V236" s="544"/>
      <c r="W236" s="544"/>
      <c r="X236" s="544"/>
      <c r="Y236" s="185"/>
    </row>
    <row r="237" spans="10:25" x14ac:dyDescent="0.35">
      <c r="J237" s="544"/>
      <c r="K237" s="544"/>
      <c r="L237" s="544"/>
      <c r="M237" s="544"/>
      <c r="N237" s="544"/>
      <c r="O237" s="544"/>
      <c r="P237" s="544"/>
      <c r="Q237" s="544"/>
      <c r="R237" s="544"/>
      <c r="S237" s="544">
        <v>250</v>
      </c>
      <c r="T237" s="544">
        <v>150</v>
      </c>
      <c r="U237" s="544"/>
      <c r="V237" s="544"/>
      <c r="W237" s="544"/>
      <c r="X237" s="544"/>
      <c r="Y237" s="185"/>
    </row>
    <row r="238" spans="10:25" x14ac:dyDescent="0.35">
      <c r="J238" s="544"/>
      <c r="K238" s="544"/>
      <c r="L238" s="544"/>
      <c r="M238" s="544"/>
      <c r="N238" s="544"/>
      <c r="O238" s="544"/>
      <c r="P238" s="544"/>
      <c r="Q238" s="544"/>
      <c r="R238" s="544"/>
      <c r="S238" s="544">
        <v>251</v>
      </c>
      <c r="T238" s="544">
        <v>150</v>
      </c>
      <c r="U238" s="544"/>
      <c r="V238" s="544"/>
      <c r="W238" s="544"/>
      <c r="X238" s="544"/>
      <c r="Y238" s="185"/>
    </row>
    <row r="239" spans="10:25" x14ac:dyDescent="0.35">
      <c r="J239" s="544"/>
      <c r="K239" s="544"/>
      <c r="L239" s="544"/>
      <c r="M239" s="544"/>
      <c r="N239" s="544"/>
      <c r="O239" s="544"/>
      <c r="P239" s="544"/>
      <c r="Q239" s="544"/>
      <c r="R239" s="544"/>
      <c r="S239" s="544">
        <v>252</v>
      </c>
      <c r="T239" s="544">
        <v>150</v>
      </c>
      <c r="U239" s="544"/>
      <c r="V239" s="544"/>
      <c r="W239" s="544"/>
      <c r="X239" s="544"/>
      <c r="Y239" s="185"/>
    </row>
    <row r="240" spans="10:25" x14ac:dyDescent="0.35">
      <c r="J240" s="544"/>
      <c r="K240" s="544"/>
      <c r="L240" s="544"/>
      <c r="M240" s="544"/>
      <c r="N240" s="544"/>
      <c r="O240" s="544"/>
      <c r="P240" s="544"/>
      <c r="Q240" s="544"/>
      <c r="R240" s="544"/>
      <c r="S240" s="544">
        <v>253</v>
      </c>
      <c r="T240" s="544">
        <v>150</v>
      </c>
      <c r="U240" s="544"/>
      <c r="V240" s="544"/>
      <c r="W240" s="544"/>
      <c r="X240" s="544"/>
      <c r="Y240" s="185"/>
    </row>
    <row r="241" spans="10:25" x14ac:dyDescent="0.35">
      <c r="J241" s="544"/>
      <c r="K241" s="544"/>
      <c r="L241" s="544"/>
      <c r="M241" s="544"/>
      <c r="N241" s="544"/>
      <c r="O241" s="544"/>
      <c r="P241" s="544"/>
      <c r="Q241" s="544"/>
      <c r="R241" s="544"/>
      <c r="S241" s="544">
        <v>254</v>
      </c>
      <c r="T241" s="544">
        <v>150</v>
      </c>
      <c r="U241" s="544"/>
      <c r="V241" s="544"/>
      <c r="W241" s="544"/>
      <c r="X241" s="544"/>
      <c r="Y241" s="185"/>
    </row>
    <row r="242" spans="10:25" x14ac:dyDescent="0.35">
      <c r="J242" s="544"/>
      <c r="K242" s="544"/>
      <c r="L242" s="544"/>
      <c r="M242" s="544"/>
      <c r="N242" s="544"/>
      <c r="O242" s="544"/>
      <c r="P242" s="544"/>
      <c r="Q242" s="544"/>
      <c r="R242" s="544"/>
      <c r="S242" s="544">
        <v>255</v>
      </c>
      <c r="T242" s="544">
        <v>150</v>
      </c>
      <c r="U242" s="544"/>
      <c r="V242" s="544"/>
      <c r="W242" s="544"/>
      <c r="X242" s="544"/>
      <c r="Y242" s="185"/>
    </row>
    <row r="243" spans="10:25" x14ac:dyDescent="0.35">
      <c r="J243" s="544"/>
      <c r="K243" s="544"/>
      <c r="L243" s="544"/>
      <c r="M243" s="544"/>
      <c r="N243" s="544"/>
      <c r="O243" s="544"/>
      <c r="P243" s="544"/>
      <c r="Q243" s="544"/>
      <c r="R243" s="544"/>
      <c r="S243" s="544">
        <v>256</v>
      </c>
      <c r="T243" s="544">
        <v>150</v>
      </c>
      <c r="U243" s="544"/>
      <c r="V243" s="544"/>
      <c r="W243" s="544"/>
      <c r="X243" s="544"/>
      <c r="Y243" s="185"/>
    </row>
    <row r="244" spans="10:25" x14ac:dyDescent="0.35">
      <c r="J244" s="544"/>
      <c r="K244" s="544"/>
      <c r="L244" s="544"/>
      <c r="M244" s="544"/>
      <c r="N244" s="544"/>
      <c r="O244" s="544"/>
      <c r="P244" s="544"/>
      <c r="Q244" s="544"/>
      <c r="R244" s="544"/>
      <c r="S244" s="544">
        <v>257</v>
      </c>
      <c r="T244" s="544">
        <v>150</v>
      </c>
      <c r="U244" s="544"/>
      <c r="V244" s="544"/>
      <c r="W244" s="544"/>
      <c r="X244" s="544"/>
      <c r="Y244" s="185"/>
    </row>
    <row r="245" spans="10:25" x14ac:dyDescent="0.35">
      <c r="J245" s="544"/>
      <c r="K245" s="544"/>
      <c r="L245" s="544"/>
      <c r="M245" s="544"/>
      <c r="N245" s="544"/>
      <c r="O245" s="544"/>
      <c r="P245" s="544"/>
      <c r="Q245" s="544"/>
      <c r="R245" s="544"/>
      <c r="S245" s="544">
        <v>258</v>
      </c>
      <c r="T245" s="544">
        <v>150</v>
      </c>
      <c r="U245" s="544"/>
      <c r="V245" s="544"/>
      <c r="W245" s="544"/>
      <c r="X245" s="544"/>
      <c r="Y245" s="185"/>
    </row>
    <row r="246" spans="10:25" x14ac:dyDescent="0.35">
      <c r="J246" s="544"/>
      <c r="K246" s="544"/>
      <c r="L246" s="544"/>
      <c r="M246" s="544"/>
      <c r="N246" s="544"/>
      <c r="O246" s="544"/>
      <c r="P246" s="544"/>
      <c r="Q246" s="544"/>
      <c r="R246" s="544"/>
      <c r="S246" s="544">
        <v>259</v>
      </c>
      <c r="T246" s="544">
        <v>150</v>
      </c>
      <c r="U246" s="544"/>
      <c r="V246" s="544"/>
      <c r="W246" s="544"/>
      <c r="X246" s="544"/>
      <c r="Y246" s="185"/>
    </row>
    <row r="247" spans="10:25" x14ac:dyDescent="0.35">
      <c r="J247" s="544"/>
      <c r="K247" s="544"/>
      <c r="L247" s="544"/>
      <c r="M247" s="544"/>
      <c r="N247" s="544"/>
      <c r="O247" s="544"/>
      <c r="P247" s="544"/>
      <c r="Q247" s="544"/>
      <c r="R247" s="544"/>
      <c r="S247" s="544">
        <v>260</v>
      </c>
      <c r="T247" s="544">
        <v>150</v>
      </c>
      <c r="U247" s="544"/>
      <c r="V247" s="544"/>
      <c r="W247" s="544"/>
      <c r="X247" s="544"/>
      <c r="Y247" s="185"/>
    </row>
    <row r="248" spans="10:25" x14ac:dyDescent="0.35">
      <c r="J248" s="544"/>
      <c r="K248" s="544"/>
      <c r="L248" s="544"/>
      <c r="M248" s="544"/>
      <c r="N248" s="544"/>
      <c r="O248" s="544"/>
      <c r="P248" s="544"/>
      <c r="Q248" s="544"/>
      <c r="R248" s="544"/>
      <c r="S248" s="544">
        <v>261</v>
      </c>
      <c r="T248" s="544">
        <v>150</v>
      </c>
      <c r="U248" s="544"/>
      <c r="V248" s="544"/>
      <c r="W248" s="544"/>
      <c r="X248" s="544"/>
      <c r="Y248" s="185"/>
    </row>
    <row r="249" spans="10:25" x14ac:dyDescent="0.35">
      <c r="J249" s="544"/>
      <c r="K249" s="544"/>
      <c r="L249" s="544"/>
      <c r="M249" s="544"/>
      <c r="N249" s="544"/>
      <c r="O249" s="544"/>
      <c r="P249" s="544"/>
      <c r="Q249" s="544"/>
      <c r="R249" s="544"/>
      <c r="S249" s="544">
        <v>262</v>
      </c>
      <c r="T249" s="544">
        <v>150</v>
      </c>
      <c r="U249" s="544"/>
      <c r="V249" s="544"/>
      <c r="W249" s="544"/>
      <c r="X249" s="544"/>
      <c r="Y249" s="185"/>
    </row>
    <row r="250" spans="10:25" x14ac:dyDescent="0.35">
      <c r="J250" s="544"/>
      <c r="K250" s="544"/>
      <c r="L250" s="544"/>
      <c r="M250" s="544"/>
      <c r="N250" s="544"/>
      <c r="O250" s="544"/>
      <c r="P250" s="544"/>
      <c r="Q250" s="544"/>
      <c r="R250" s="544"/>
      <c r="S250" s="544">
        <v>263</v>
      </c>
      <c r="T250" s="544">
        <v>150</v>
      </c>
      <c r="U250" s="544"/>
      <c r="V250" s="544"/>
      <c r="W250" s="544"/>
      <c r="X250" s="544"/>
      <c r="Y250" s="185"/>
    </row>
    <row r="251" spans="10:25" x14ac:dyDescent="0.35">
      <c r="J251" s="544"/>
      <c r="K251" s="544"/>
      <c r="L251" s="544"/>
      <c r="M251" s="544"/>
      <c r="N251" s="544"/>
      <c r="O251" s="544"/>
      <c r="P251" s="544"/>
      <c r="Q251" s="544"/>
      <c r="R251" s="544"/>
      <c r="S251" s="544">
        <v>264</v>
      </c>
      <c r="T251" s="544">
        <v>150</v>
      </c>
      <c r="U251" s="544"/>
      <c r="V251" s="544"/>
      <c r="W251" s="544"/>
      <c r="X251" s="544"/>
      <c r="Y251" s="185"/>
    </row>
    <row r="252" spans="10:25" x14ac:dyDescent="0.35">
      <c r="J252" s="544"/>
      <c r="K252" s="544"/>
      <c r="L252" s="544"/>
      <c r="M252" s="544"/>
      <c r="N252" s="544"/>
      <c r="O252" s="544"/>
      <c r="P252" s="544"/>
      <c r="Q252" s="544"/>
      <c r="R252" s="544"/>
      <c r="S252" s="544">
        <v>265</v>
      </c>
      <c r="T252" s="544">
        <v>150</v>
      </c>
      <c r="U252" s="544"/>
      <c r="V252" s="544"/>
      <c r="W252" s="544"/>
      <c r="X252" s="544"/>
      <c r="Y252" s="185"/>
    </row>
    <row r="253" spans="10:25" x14ac:dyDescent="0.35">
      <c r="J253" s="544"/>
      <c r="K253" s="544"/>
      <c r="L253" s="544"/>
      <c r="M253" s="544"/>
      <c r="N253" s="544"/>
      <c r="O253" s="544"/>
      <c r="P253" s="544"/>
      <c r="Q253" s="544"/>
      <c r="R253" s="544"/>
      <c r="S253" s="544">
        <v>266</v>
      </c>
      <c r="T253" s="544">
        <v>150</v>
      </c>
      <c r="U253" s="544"/>
      <c r="V253" s="544"/>
      <c r="W253" s="544"/>
      <c r="X253" s="544"/>
      <c r="Y253" s="185"/>
    </row>
    <row r="254" spans="10:25" x14ac:dyDescent="0.35">
      <c r="J254" s="544"/>
      <c r="K254" s="544"/>
      <c r="L254" s="544"/>
      <c r="M254" s="544"/>
      <c r="N254" s="544"/>
      <c r="O254" s="544"/>
      <c r="P254" s="544"/>
      <c r="Q254" s="544"/>
      <c r="R254" s="544"/>
      <c r="S254" s="544">
        <v>267</v>
      </c>
      <c r="T254" s="544">
        <v>150</v>
      </c>
      <c r="U254" s="544"/>
      <c r="V254" s="544"/>
      <c r="W254" s="544"/>
      <c r="X254" s="544"/>
      <c r="Y254" s="185"/>
    </row>
    <row r="255" spans="10:25" x14ac:dyDescent="0.35">
      <c r="J255" s="544"/>
      <c r="K255" s="544"/>
      <c r="L255" s="544"/>
      <c r="M255" s="544"/>
      <c r="N255" s="544"/>
      <c r="O255" s="544"/>
      <c r="P255" s="544"/>
      <c r="Q255" s="544"/>
      <c r="R255" s="544"/>
      <c r="S255" s="544">
        <v>268</v>
      </c>
      <c r="T255" s="544">
        <v>150</v>
      </c>
      <c r="U255" s="544"/>
      <c r="V255" s="544"/>
      <c r="W255" s="544"/>
      <c r="X255" s="544"/>
      <c r="Y255" s="185"/>
    </row>
    <row r="256" spans="10:25" x14ac:dyDescent="0.35">
      <c r="J256" s="544"/>
      <c r="K256" s="544"/>
      <c r="L256" s="544"/>
      <c r="M256" s="544"/>
      <c r="N256" s="544"/>
      <c r="O256" s="544"/>
      <c r="P256" s="544"/>
      <c r="Q256" s="544"/>
      <c r="R256" s="544"/>
      <c r="S256" s="544">
        <v>269</v>
      </c>
      <c r="T256" s="544">
        <v>150</v>
      </c>
      <c r="U256" s="544"/>
      <c r="V256" s="544"/>
      <c r="W256" s="544"/>
      <c r="X256" s="544"/>
      <c r="Y256" s="185"/>
    </row>
    <row r="257" spans="10:25" x14ac:dyDescent="0.35">
      <c r="J257" s="544"/>
      <c r="K257" s="544"/>
      <c r="L257" s="544"/>
      <c r="M257" s="544"/>
      <c r="N257" s="544"/>
      <c r="O257" s="544"/>
      <c r="P257" s="544"/>
      <c r="Q257" s="544"/>
      <c r="R257" s="544"/>
      <c r="S257" s="544">
        <v>270</v>
      </c>
      <c r="T257" s="544">
        <v>150</v>
      </c>
      <c r="U257" s="544"/>
      <c r="V257" s="544"/>
      <c r="W257" s="544"/>
      <c r="X257" s="544"/>
      <c r="Y257" s="185"/>
    </row>
    <row r="258" spans="10:25" x14ac:dyDescent="0.35">
      <c r="J258" s="544"/>
      <c r="K258" s="544"/>
      <c r="L258" s="544"/>
      <c r="M258" s="544"/>
      <c r="N258" s="544"/>
      <c r="O258" s="544"/>
      <c r="P258" s="544"/>
      <c r="Q258" s="544"/>
      <c r="R258" s="544"/>
      <c r="S258" s="544">
        <v>271</v>
      </c>
      <c r="T258" s="544">
        <v>150</v>
      </c>
      <c r="U258" s="544"/>
      <c r="V258" s="544"/>
      <c r="W258" s="544"/>
      <c r="X258" s="544"/>
      <c r="Y258" s="185"/>
    </row>
    <row r="259" spans="10:25" x14ac:dyDescent="0.35">
      <c r="J259" s="544"/>
      <c r="K259" s="544"/>
      <c r="L259" s="544"/>
      <c r="M259" s="544"/>
      <c r="N259" s="544"/>
      <c r="O259" s="544"/>
      <c r="P259" s="544"/>
      <c r="Q259" s="544"/>
      <c r="R259" s="544"/>
      <c r="S259" s="544">
        <v>272</v>
      </c>
      <c r="T259" s="544">
        <v>150</v>
      </c>
      <c r="U259" s="544"/>
      <c r="V259" s="544"/>
      <c r="W259" s="544"/>
      <c r="X259" s="544"/>
      <c r="Y259" s="185"/>
    </row>
    <row r="260" spans="10:25" x14ac:dyDescent="0.35">
      <c r="J260" s="544"/>
      <c r="K260" s="544"/>
      <c r="L260" s="544"/>
      <c r="M260" s="544"/>
      <c r="N260" s="544"/>
      <c r="O260" s="544"/>
      <c r="P260" s="544"/>
      <c r="Q260" s="544"/>
      <c r="R260" s="544"/>
      <c r="S260" s="544">
        <v>273</v>
      </c>
      <c r="T260" s="544">
        <v>150</v>
      </c>
      <c r="U260" s="544"/>
      <c r="V260" s="544"/>
      <c r="W260" s="544"/>
      <c r="X260" s="544"/>
      <c r="Y260" s="185"/>
    </row>
    <row r="261" spans="10:25" x14ac:dyDescent="0.35">
      <c r="J261" s="544"/>
      <c r="K261" s="544"/>
      <c r="L261" s="544"/>
      <c r="M261" s="544"/>
      <c r="N261" s="544"/>
      <c r="O261" s="544"/>
      <c r="P261" s="544"/>
      <c r="Q261" s="544"/>
      <c r="R261" s="544"/>
      <c r="S261" s="544">
        <v>274</v>
      </c>
      <c r="T261" s="544">
        <v>150</v>
      </c>
      <c r="U261" s="544"/>
      <c r="V261" s="544"/>
      <c r="W261" s="544"/>
      <c r="X261" s="544"/>
      <c r="Y261" s="185"/>
    </row>
    <row r="262" spans="10:25" x14ac:dyDescent="0.35">
      <c r="J262" s="544"/>
      <c r="K262" s="544"/>
      <c r="L262" s="544"/>
      <c r="M262" s="544"/>
      <c r="N262" s="544"/>
      <c r="O262" s="544"/>
      <c r="P262" s="544"/>
      <c r="Q262" s="544"/>
      <c r="R262" s="544"/>
      <c r="S262" s="544">
        <v>275</v>
      </c>
      <c r="T262" s="544">
        <v>150</v>
      </c>
      <c r="U262" s="544"/>
      <c r="V262" s="544"/>
      <c r="W262" s="544"/>
      <c r="X262" s="544"/>
      <c r="Y262" s="185"/>
    </row>
    <row r="263" spans="10:25" x14ac:dyDescent="0.35">
      <c r="J263" s="544"/>
      <c r="K263" s="544"/>
      <c r="L263" s="544"/>
      <c r="M263" s="544"/>
      <c r="N263" s="544"/>
      <c r="O263" s="544"/>
      <c r="P263" s="544"/>
      <c r="Q263" s="544"/>
      <c r="R263" s="544"/>
      <c r="S263" s="544">
        <v>276</v>
      </c>
      <c r="T263" s="544">
        <v>150</v>
      </c>
      <c r="U263" s="544"/>
      <c r="V263" s="544"/>
      <c r="W263" s="544"/>
      <c r="X263" s="544"/>
      <c r="Y263" s="185"/>
    </row>
    <row r="264" spans="10:25" x14ac:dyDescent="0.35">
      <c r="J264" s="544"/>
      <c r="K264" s="544"/>
      <c r="L264" s="544"/>
      <c r="M264" s="544"/>
      <c r="N264" s="544"/>
      <c r="O264" s="544"/>
      <c r="P264" s="544"/>
      <c r="Q264" s="544"/>
      <c r="R264" s="544"/>
      <c r="S264" s="544">
        <v>277</v>
      </c>
      <c r="T264" s="544">
        <v>150</v>
      </c>
      <c r="U264" s="544"/>
      <c r="V264" s="544"/>
      <c r="W264" s="544"/>
      <c r="X264" s="544"/>
      <c r="Y264" s="185"/>
    </row>
    <row r="265" spans="10:25" x14ac:dyDescent="0.35">
      <c r="J265" s="544"/>
      <c r="K265" s="544"/>
      <c r="L265" s="544"/>
      <c r="M265" s="544"/>
      <c r="N265" s="544"/>
      <c r="O265" s="544"/>
      <c r="P265" s="544"/>
      <c r="Q265" s="544"/>
      <c r="R265" s="544"/>
      <c r="S265" s="544">
        <v>278</v>
      </c>
      <c r="T265" s="544">
        <v>150</v>
      </c>
      <c r="U265" s="544"/>
      <c r="V265" s="544"/>
      <c r="W265" s="544"/>
      <c r="X265" s="544"/>
      <c r="Y265" s="185"/>
    </row>
    <row r="266" spans="10:25" x14ac:dyDescent="0.35">
      <c r="J266" s="544"/>
      <c r="K266" s="544"/>
      <c r="L266" s="544"/>
      <c r="M266" s="544"/>
      <c r="N266" s="544"/>
      <c r="O266" s="544"/>
      <c r="P266" s="544"/>
      <c r="Q266" s="544"/>
      <c r="R266" s="544"/>
      <c r="S266" s="544">
        <v>279</v>
      </c>
      <c r="T266" s="544">
        <v>150</v>
      </c>
      <c r="U266" s="544"/>
      <c r="V266" s="544"/>
      <c r="W266" s="544"/>
      <c r="X266" s="544"/>
      <c r="Y266" s="185"/>
    </row>
    <row r="267" spans="10:25" x14ac:dyDescent="0.35">
      <c r="J267" s="544"/>
      <c r="K267" s="544"/>
      <c r="L267" s="544"/>
      <c r="M267" s="544"/>
      <c r="N267" s="544"/>
      <c r="O267" s="544"/>
      <c r="P267" s="544"/>
      <c r="Q267" s="544"/>
      <c r="R267" s="544"/>
      <c r="S267" s="544">
        <v>280</v>
      </c>
      <c r="T267" s="544">
        <v>150</v>
      </c>
      <c r="U267" s="544"/>
      <c r="V267" s="544"/>
      <c r="W267" s="544"/>
      <c r="X267" s="544"/>
      <c r="Y267" s="185"/>
    </row>
    <row r="268" spans="10:25" x14ac:dyDescent="0.35">
      <c r="J268" s="544"/>
      <c r="K268" s="544"/>
      <c r="L268" s="544"/>
      <c r="M268" s="544"/>
      <c r="N268" s="544"/>
      <c r="O268" s="544"/>
      <c r="P268" s="544"/>
      <c r="Q268" s="544"/>
      <c r="R268" s="544"/>
      <c r="S268" s="544">
        <v>281</v>
      </c>
      <c r="T268" s="544">
        <v>150</v>
      </c>
      <c r="U268" s="544"/>
      <c r="V268" s="544"/>
      <c r="W268" s="544"/>
      <c r="X268" s="544"/>
      <c r="Y268" s="185"/>
    </row>
    <row r="269" spans="10:25" x14ac:dyDescent="0.35">
      <c r="J269" s="544"/>
      <c r="K269" s="544"/>
      <c r="L269" s="544"/>
      <c r="M269" s="544"/>
      <c r="N269" s="544"/>
      <c r="O269" s="544"/>
      <c r="P269" s="544"/>
      <c r="Q269" s="544"/>
      <c r="R269" s="544"/>
      <c r="S269" s="544">
        <v>282</v>
      </c>
      <c r="T269" s="544">
        <v>150</v>
      </c>
      <c r="U269" s="544"/>
      <c r="V269" s="544"/>
      <c r="W269" s="544"/>
      <c r="X269" s="544"/>
      <c r="Y269" s="185"/>
    </row>
    <row r="270" spans="10:25" x14ac:dyDescent="0.35">
      <c r="J270" s="544"/>
      <c r="K270" s="544"/>
      <c r="L270" s="544"/>
      <c r="M270" s="544"/>
      <c r="N270" s="544"/>
      <c r="O270" s="544"/>
      <c r="P270" s="544"/>
      <c r="Q270" s="544"/>
      <c r="R270" s="544"/>
      <c r="S270" s="544">
        <v>283</v>
      </c>
      <c r="T270" s="544">
        <v>150</v>
      </c>
      <c r="U270" s="544"/>
      <c r="V270" s="544"/>
      <c r="W270" s="544"/>
      <c r="X270" s="544"/>
      <c r="Y270" s="185"/>
    </row>
    <row r="271" spans="10:25" x14ac:dyDescent="0.35">
      <c r="J271" s="544"/>
      <c r="K271" s="544"/>
      <c r="L271" s="544"/>
      <c r="M271" s="544"/>
      <c r="N271" s="544"/>
      <c r="O271" s="544"/>
      <c r="P271" s="544"/>
      <c r="Q271" s="544"/>
      <c r="R271" s="544"/>
      <c r="S271" s="544">
        <v>284</v>
      </c>
      <c r="T271" s="544">
        <v>150</v>
      </c>
      <c r="U271" s="544"/>
      <c r="V271" s="544"/>
      <c r="W271" s="544"/>
      <c r="X271" s="544"/>
      <c r="Y271" s="185"/>
    </row>
    <row r="272" spans="10:25" x14ac:dyDescent="0.35">
      <c r="J272" s="544"/>
      <c r="K272" s="544"/>
      <c r="L272" s="544"/>
      <c r="M272" s="544"/>
      <c r="N272" s="544"/>
      <c r="O272" s="544"/>
      <c r="P272" s="544"/>
      <c r="Q272" s="544"/>
      <c r="R272" s="544"/>
      <c r="S272" s="544">
        <v>285</v>
      </c>
      <c r="T272" s="544">
        <v>150</v>
      </c>
      <c r="U272" s="544"/>
      <c r="V272" s="544"/>
      <c r="W272" s="544"/>
      <c r="X272" s="544"/>
      <c r="Y272" s="185"/>
    </row>
    <row r="273" spans="10:25" x14ac:dyDescent="0.35">
      <c r="J273" s="544"/>
      <c r="K273" s="544"/>
      <c r="L273" s="544"/>
      <c r="M273" s="544"/>
      <c r="N273" s="544"/>
      <c r="O273" s="544"/>
      <c r="P273" s="544"/>
      <c r="Q273" s="544"/>
      <c r="R273" s="544"/>
      <c r="S273" s="544">
        <v>286</v>
      </c>
      <c r="T273" s="544">
        <v>150</v>
      </c>
      <c r="U273" s="544"/>
      <c r="V273" s="544"/>
      <c r="W273" s="544"/>
      <c r="X273" s="544"/>
      <c r="Y273" s="185"/>
    </row>
    <row r="274" spans="10:25" x14ac:dyDescent="0.35">
      <c r="J274" s="544"/>
      <c r="K274" s="544"/>
      <c r="L274" s="544"/>
      <c r="M274" s="544"/>
      <c r="N274" s="544"/>
      <c r="O274" s="544"/>
      <c r="P274" s="544"/>
      <c r="Q274" s="544"/>
      <c r="R274" s="544"/>
      <c r="S274" s="544">
        <v>287</v>
      </c>
      <c r="T274" s="544">
        <v>150</v>
      </c>
      <c r="U274" s="544"/>
      <c r="V274" s="544"/>
      <c r="W274" s="544"/>
      <c r="X274" s="544"/>
      <c r="Y274" s="185"/>
    </row>
    <row r="275" spans="10:25" x14ac:dyDescent="0.35">
      <c r="J275" s="544"/>
      <c r="K275" s="544"/>
      <c r="L275" s="544"/>
      <c r="M275" s="544"/>
      <c r="N275" s="544"/>
      <c r="O275" s="544"/>
      <c r="P275" s="544"/>
      <c r="Q275" s="544"/>
      <c r="R275" s="544"/>
      <c r="S275" s="544">
        <v>288</v>
      </c>
      <c r="T275" s="544">
        <v>150</v>
      </c>
      <c r="U275" s="544"/>
      <c r="V275" s="544"/>
      <c r="W275" s="544"/>
      <c r="X275" s="544"/>
      <c r="Y275" s="185"/>
    </row>
    <row r="276" spans="10:25" x14ac:dyDescent="0.35">
      <c r="J276" s="544"/>
      <c r="K276" s="544"/>
      <c r="L276" s="544"/>
      <c r="M276" s="544"/>
      <c r="N276" s="544"/>
      <c r="O276" s="544"/>
      <c r="P276" s="544"/>
      <c r="Q276" s="544"/>
      <c r="R276" s="544"/>
      <c r="S276" s="544">
        <v>289</v>
      </c>
      <c r="T276" s="544">
        <v>150</v>
      </c>
      <c r="U276" s="544"/>
      <c r="V276" s="544"/>
      <c r="W276" s="544"/>
      <c r="X276" s="544"/>
      <c r="Y276" s="185"/>
    </row>
    <row r="277" spans="10:25" x14ac:dyDescent="0.35">
      <c r="J277" s="544"/>
      <c r="K277" s="544"/>
      <c r="L277" s="544"/>
      <c r="M277" s="544"/>
      <c r="N277" s="544"/>
      <c r="O277" s="544"/>
      <c r="P277" s="544"/>
      <c r="Q277" s="544"/>
      <c r="R277" s="544"/>
      <c r="S277" s="544">
        <v>290</v>
      </c>
      <c r="T277" s="544">
        <v>150</v>
      </c>
      <c r="U277" s="544"/>
      <c r="V277" s="544"/>
      <c r="W277" s="544"/>
      <c r="X277" s="544"/>
      <c r="Y277" s="185"/>
    </row>
    <row r="278" spans="10:25" x14ac:dyDescent="0.35">
      <c r="J278" s="544"/>
      <c r="K278" s="544"/>
      <c r="L278" s="544"/>
      <c r="M278" s="544"/>
      <c r="N278" s="544"/>
      <c r="O278" s="544"/>
      <c r="P278" s="544"/>
      <c r="Q278" s="544"/>
      <c r="R278" s="544"/>
      <c r="S278" s="544">
        <v>291</v>
      </c>
      <c r="T278" s="544">
        <v>150</v>
      </c>
      <c r="U278" s="544"/>
      <c r="V278" s="544"/>
      <c r="W278" s="544"/>
      <c r="X278" s="544"/>
      <c r="Y278" s="185"/>
    </row>
    <row r="279" spans="10:25" x14ac:dyDescent="0.35">
      <c r="J279" s="544"/>
      <c r="K279" s="544"/>
      <c r="L279" s="544"/>
      <c r="M279" s="544"/>
      <c r="N279" s="544"/>
      <c r="O279" s="544"/>
      <c r="P279" s="544"/>
      <c r="Q279" s="544"/>
      <c r="R279" s="544"/>
      <c r="S279" s="544">
        <v>292</v>
      </c>
      <c r="T279" s="544">
        <v>150</v>
      </c>
      <c r="U279" s="544"/>
      <c r="V279" s="544"/>
      <c r="W279" s="544"/>
      <c r="X279" s="544"/>
      <c r="Y279" s="185"/>
    </row>
    <row r="280" spans="10:25" x14ac:dyDescent="0.35">
      <c r="J280" s="544"/>
      <c r="K280" s="544"/>
      <c r="L280" s="544"/>
      <c r="M280" s="544"/>
      <c r="N280" s="544"/>
      <c r="O280" s="544"/>
      <c r="P280" s="544"/>
      <c r="Q280" s="544"/>
      <c r="R280" s="544"/>
      <c r="S280" s="544">
        <v>293</v>
      </c>
      <c r="T280" s="544">
        <v>150</v>
      </c>
      <c r="U280" s="544"/>
      <c r="V280" s="544"/>
      <c r="W280" s="544"/>
      <c r="X280" s="544"/>
      <c r="Y280" s="185"/>
    </row>
    <row r="281" spans="10:25" x14ac:dyDescent="0.35">
      <c r="J281" s="544"/>
      <c r="K281" s="544"/>
      <c r="L281" s="544"/>
      <c r="M281" s="544"/>
      <c r="N281" s="544"/>
      <c r="O281" s="544"/>
      <c r="P281" s="544"/>
      <c r="Q281" s="544"/>
      <c r="R281" s="544"/>
      <c r="S281" s="544">
        <v>294</v>
      </c>
      <c r="T281" s="544">
        <v>150</v>
      </c>
      <c r="U281" s="544"/>
      <c r="V281" s="544"/>
      <c r="W281" s="544"/>
      <c r="X281" s="544"/>
      <c r="Y281" s="185"/>
    </row>
    <row r="282" spans="10:25" x14ac:dyDescent="0.35">
      <c r="J282" s="544"/>
      <c r="K282" s="544"/>
      <c r="L282" s="544"/>
      <c r="M282" s="544"/>
      <c r="N282" s="544"/>
      <c r="O282" s="544"/>
      <c r="P282" s="544"/>
      <c r="Q282" s="544"/>
      <c r="R282" s="544"/>
      <c r="S282" s="544">
        <v>295</v>
      </c>
      <c r="T282" s="544">
        <v>150</v>
      </c>
      <c r="U282" s="544"/>
      <c r="V282" s="544"/>
      <c r="W282" s="544"/>
      <c r="X282" s="544"/>
      <c r="Y282" s="185"/>
    </row>
    <row r="283" spans="10:25" x14ac:dyDescent="0.35">
      <c r="J283" s="544"/>
      <c r="K283" s="544"/>
      <c r="L283" s="544"/>
      <c r="M283" s="544"/>
      <c r="N283" s="544"/>
      <c r="O283" s="544"/>
      <c r="P283" s="544"/>
      <c r="Q283" s="544"/>
      <c r="R283" s="544"/>
      <c r="S283" s="544">
        <v>296</v>
      </c>
      <c r="T283" s="544">
        <v>150</v>
      </c>
      <c r="U283" s="544"/>
      <c r="V283" s="544"/>
      <c r="W283" s="544"/>
      <c r="X283" s="544"/>
      <c r="Y283" s="185"/>
    </row>
    <row r="284" spans="10:25" x14ac:dyDescent="0.35">
      <c r="J284" s="544"/>
      <c r="K284" s="544"/>
      <c r="L284" s="544"/>
      <c r="M284" s="544"/>
      <c r="N284" s="544"/>
      <c r="O284" s="544"/>
      <c r="P284" s="544"/>
      <c r="Q284" s="544"/>
      <c r="R284" s="544"/>
      <c r="S284" s="544">
        <v>297</v>
      </c>
      <c r="T284" s="544">
        <v>150</v>
      </c>
      <c r="U284" s="544"/>
      <c r="V284" s="544"/>
      <c r="W284" s="544"/>
      <c r="X284" s="544"/>
      <c r="Y284" s="185"/>
    </row>
    <row r="285" spans="10:25" x14ac:dyDescent="0.35">
      <c r="J285" s="544"/>
      <c r="K285" s="544"/>
      <c r="L285" s="544"/>
      <c r="M285" s="544"/>
      <c r="N285" s="544"/>
      <c r="O285" s="544"/>
      <c r="P285" s="544"/>
      <c r="Q285" s="544"/>
      <c r="R285" s="544"/>
      <c r="S285" s="544">
        <v>298</v>
      </c>
      <c r="T285" s="544">
        <v>150</v>
      </c>
      <c r="U285" s="544"/>
      <c r="V285" s="544"/>
      <c r="W285" s="544"/>
      <c r="X285" s="544"/>
      <c r="Y285" s="185"/>
    </row>
    <row r="286" spans="10:25" x14ac:dyDescent="0.35">
      <c r="J286" s="544"/>
      <c r="K286" s="544"/>
      <c r="L286" s="544"/>
      <c r="M286" s="544"/>
      <c r="N286" s="544"/>
      <c r="O286" s="544"/>
      <c r="P286" s="544"/>
      <c r="Q286" s="544"/>
      <c r="R286" s="544"/>
      <c r="S286" s="544">
        <v>299</v>
      </c>
      <c r="T286" s="544">
        <v>150</v>
      </c>
      <c r="U286" s="544"/>
      <c r="V286" s="544"/>
      <c r="W286" s="544"/>
      <c r="X286" s="544"/>
      <c r="Y286" s="185"/>
    </row>
    <row r="287" spans="10:25" x14ac:dyDescent="0.35">
      <c r="J287" s="544"/>
      <c r="K287" s="544"/>
      <c r="L287" s="544"/>
      <c r="M287" s="544"/>
      <c r="N287" s="544"/>
      <c r="O287" s="544"/>
      <c r="P287" s="544"/>
      <c r="Q287" s="544"/>
      <c r="R287" s="544"/>
      <c r="S287" s="544">
        <v>300</v>
      </c>
      <c r="T287" s="544">
        <v>150</v>
      </c>
      <c r="U287" s="544">
        <v>300</v>
      </c>
      <c r="V287" s="544"/>
      <c r="W287" s="544"/>
      <c r="X287" s="544"/>
      <c r="Y287" s="185"/>
    </row>
    <row r="288" spans="10:25" x14ac:dyDescent="0.35">
      <c r="J288" s="544"/>
      <c r="K288" s="544"/>
      <c r="L288" s="544"/>
      <c r="M288" s="544"/>
      <c r="N288" s="544"/>
      <c r="O288" s="544"/>
      <c r="P288" s="544"/>
      <c r="Q288" s="544"/>
      <c r="R288" s="544"/>
      <c r="S288" s="544">
        <v>301</v>
      </c>
      <c r="T288" s="544">
        <v>150</v>
      </c>
      <c r="U288" s="544"/>
      <c r="V288" s="544"/>
      <c r="W288" s="544"/>
      <c r="X288" s="544"/>
      <c r="Y288" s="185"/>
    </row>
    <row r="289" spans="10:25" x14ac:dyDescent="0.35">
      <c r="J289" s="544"/>
      <c r="K289" s="544"/>
      <c r="L289" s="544"/>
      <c r="M289" s="544"/>
      <c r="N289" s="544"/>
      <c r="O289" s="544"/>
      <c r="P289" s="544"/>
      <c r="Q289" s="544"/>
      <c r="R289" s="544"/>
      <c r="S289" s="544">
        <v>302</v>
      </c>
      <c r="T289" s="544">
        <v>150</v>
      </c>
      <c r="U289" s="544"/>
      <c r="V289" s="544"/>
      <c r="W289" s="544"/>
      <c r="X289" s="544"/>
      <c r="Y289" s="185"/>
    </row>
    <row r="290" spans="10:25" x14ac:dyDescent="0.35">
      <c r="J290" s="544"/>
      <c r="K290" s="544"/>
      <c r="L290" s="544"/>
      <c r="M290" s="544"/>
      <c r="N290" s="544"/>
      <c r="O290" s="544"/>
      <c r="P290" s="544"/>
      <c r="Q290" s="544"/>
      <c r="R290" s="544"/>
      <c r="S290" s="544">
        <v>303</v>
      </c>
      <c r="T290" s="544">
        <v>150</v>
      </c>
      <c r="U290" s="544"/>
      <c r="V290" s="544"/>
      <c r="W290" s="544"/>
      <c r="X290" s="544"/>
      <c r="Y290" s="185"/>
    </row>
    <row r="291" spans="10:25" x14ac:dyDescent="0.35">
      <c r="J291" s="544"/>
      <c r="K291" s="544"/>
      <c r="L291" s="544"/>
      <c r="M291" s="544"/>
      <c r="N291" s="544"/>
      <c r="O291" s="544"/>
      <c r="P291" s="544"/>
      <c r="Q291" s="544"/>
      <c r="R291" s="544"/>
      <c r="S291" s="544">
        <v>304</v>
      </c>
      <c r="T291" s="544">
        <v>150</v>
      </c>
      <c r="U291" s="544"/>
      <c r="V291" s="544"/>
      <c r="W291" s="544"/>
      <c r="X291" s="544"/>
      <c r="Y291" s="185"/>
    </row>
    <row r="292" spans="10:25" x14ac:dyDescent="0.35">
      <c r="J292" s="544"/>
      <c r="K292" s="544"/>
      <c r="L292" s="544"/>
      <c r="M292" s="544"/>
      <c r="N292" s="544"/>
      <c r="O292" s="544"/>
      <c r="P292" s="544"/>
      <c r="Q292" s="544"/>
      <c r="R292" s="544"/>
      <c r="S292" s="544">
        <v>305</v>
      </c>
      <c r="T292" s="544">
        <v>150</v>
      </c>
      <c r="U292" s="544"/>
      <c r="V292" s="544"/>
      <c r="W292" s="544"/>
      <c r="X292" s="544"/>
      <c r="Y292" s="185"/>
    </row>
    <row r="293" spans="10:25" x14ac:dyDescent="0.35">
      <c r="J293" s="544"/>
      <c r="K293" s="544"/>
      <c r="L293" s="544"/>
      <c r="M293" s="544"/>
      <c r="N293" s="544"/>
      <c r="O293" s="544"/>
      <c r="P293" s="544"/>
      <c r="Q293" s="544"/>
      <c r="R293" s="544"/>
      <c r="S293" s="544">
        <v>306</v>
      </c>
      <c r="T293" s="544">
        <v>150</v>
      </c>
      <c r="U293" s="544"/>
      <c r="V293" s="544"/>
      <c r="W293" s="544"/>
      <c r="X293" s="544"/>
      <c r="Y293" s="185"/>
    </row>
    <row r="294" spans="10:25" x14ac:dyDescent="0.35">
      <c r="J294" s="544"/>
      <c r="K294" s="544"/>
      <c r="L294" s="544"/>
      <c r="M294" s="544"/>
      <c r="N294" s="544"/>
      <c r="O294" s="544"/>
      <c r="P294" s="544"/>
      <c r="Q294" s="544"/>
      <c r="R294" s="544"/>
      <c r="S294" s="544">
        <v>307</v>
      </c>
      <c r="T294" s="544">
        <v>150</v>
      </c>
      <c r="U294" s="544"/>
      <c r="V294" s="544"/>
      <c r="W294" s="544"/>
      <c r="X294" s="544"/>
      <c r="Y294" s="185"/>
    </row>
    <row r="295" spans="10:25" x14ac:dyDescent="0.35">
      <c r="J295" s="544"/>
      <c r="K295" s="544"/>
      <c r="L295" s="544"/>
      <c r="M295" s="544"/>
      <c r="N295" s="544"/>
      <c r="O295" s="544"/>
      <c r="P295" s="544"/>
      <c r="Q295" s="544"/>
      <c r="R295" s="544"/>
      <c r="S295" s="544">
        <v>308</v>
      </c>
      <c r="T295" s="544">
        <v>150</v>
      </c>
      <c r="U295" s="544"/>
      <c r="V295" s="544"/>
      <c r="W295" s="544"/>
      <c r="X295" s="544"/>
      <c r="Y295" s="185"/>
    </row>
    <row r="296" spans="10:25" x14ac:dyDescent="0.35">
      <c r="J296" s="544"/>
      <c r="K296" s="544"/>
      <c r="L296" s="544"/>
      <c r="M296" s="544"/>
      <c r="N296" s="544"/>
      <c r="O296" s="544"/>
      <c r="P296" s="544"/>
      <c r="Q296" s="544"/>
      <c r="R296" s="544"/>
      <c r="S296" s="544">
        <v>309</v>
      </c>
      <c r="T296" s="544">
        <v>150</v>
      </c>
      <c r="U296" s="544"/>
      <c r="V296" s="544"/>
      <c r="W296" s="544"/>
      <c r="X296" s="544"/>
      <c r="Y296" s="185"/>
    </row>
    <row r="297" spans="10:25" x14ac:dyDescent="0.35">
      <c r="J297" s="544"/>
      <c r="K297" s="544"/>
      <c r="L297" s="544"/>
      <c r="M297" s="544"/>
      <c r="N297" s="544"/>
      <c r="O297" s="544"/>
      <c r="P297" s="544"/>
      <c r="Q297" s="544"/>
      <c r="R297" s="544"/>
      <c r="S297" s="544">
        <v>310</v>
      </c>
      <c r="T297" s="544">
        <v>150</v>
      </c>
      <c r="U297" s="544"/>
      <c r="V297" s="544"/>
      <c r="W297" s="544"/>
      <c r="X297" s="544"/>
      <c r="Y297" s="185"/>
    </row>
    <row r="298" spans="10:25" x14ac:dyDescent="0.35">
      <c r="J298" s="544"/>
      <c r="K298" s="544"/>
      <c r="L298" s="544"/>
      <c r="M298" s="544"/>
      <c r="N298" s="544"/>
      <c r="O298" s="544"/>
      <c r="P298" s="544"/>
      <c r="Q298" s="544"/>
      <c r="R298" s="544"/>
      <c r="S298" s="544">
        <v>311</v>
      </c>
      <c r="T298" s="544">
        <v>150</v>
      </c>
      <c r="U298" s="544"/>
      <c r="V298" s="544"/>
      <c r="W298" s="544"/>
      <c r="X298" s="544"/>
      <c r="Y298" s="185"/>
    </row>
    <row r="299" spans="10:25" x14ac:dyDescent="0.35">
      <c r="J299" s="544"/>
      <c r="K299" s="544"/>
      <c r="L299" s="544"/>
      <c r="M299" s="544"/>
      <c r="N299" s="544"/>
      <c r="O299" s="544"/>
      <c r="P299" s="544"/>
      <c r="Q299" s="544"/>
      <c r="R299" s="544"/>
      <c r="S299" s="544">
        <v>312</v>
      </c>
      <c r="T299" s="544">
        <v>150</v>
      </c>
      <c r="U299" s="544"/>
      <c r="V299" s="544"/>
      <c r="W299" s="544"/>
      <c r="X299" s="544"/>
      <c r="Y299" s="185"/>
    </row>
    <row r="300" spans="10:25" x14ac:dyDescent="0.35">
      <c r="J300" s="544"/>
      <c r="K300" s="544"/>
      <c r="L300" s="544"/>
      <c r="M300" s="544"/>
      <c r="N300" s="544"/>
      <c r="O300" s="544"/>
      <c r="P300" s="544"/>
      <c r="Q300" s="544"/>
      <c r="R300" s="544"/>
      <c r="S300" s="544">
        <v>313</v>
      </c>
      <c r="T300" s="544">
        <v>150</v>
      </c>
      <c r="U300" s="544"/>
      <c r="V300" s="544"/>
      <c r="W300" s="544"/>
      <c r="X300" s="544"/>
      <c r="Y300" s="185"/>
    </row>
    <row r="301" spans="10:25" x14ac:dyDescent="0.35">
      <c r="J301" s="544"/>
      <c r="K301" s="544"/>
      <c r="L301" s="544"/>
      <c r="M301" s="544"/>
      <c r="N301" s="544"/>
      <c r="O301" s="544"/>
      <c r="P301" s="544"/>
      <c r="Q301" s="544"/>
      <c r="R301" s="544"/>
      <c r="S301" s="544">
        <v>314</v>
      </c>
      <c r="T301" s="544">
        <v>150</v>
      </c>
      <c r="U301" s="544"/>
      <c r="V301" s="544"/>
      <c r="W301" s="544"/>
      <c r="X301" s="544"/>
      <c r="Y301" s="185"/>
    </row>
    <row r="302" spans="10:25" x14ac:dyDescent="0.35">
      <c r="J302" s="544"/>
      <c r="K302" s="544"/>
      <c r="L302" s="544"/>
      <c r="M302" s="544"/>
      <c r="N302" s="544"/>
      <c r="O302" s="544"/>
      <c r="P302" s="544"/>
      <c r="Q302" s="544"/>
      <c r="R302" s="544"/>
      <c r="S302" s="544">
        <v>315</v>
      </c>
      <c r="T302" s="544">
        <v>150</v>
      </c>
      <c r="U302" s="544"/>
      <c r="V302" s="544"/>
      <c r="W302" s="544"/>
      <c r="X302" s="544"/>
      <c r="Y302" s="185"/>
    </row>
    <row r="303" spans="10:25" x14ac:dyDescent="0.35">
      <c r="J303" s="544"/>
      <c r="K303" s="544"/>
      <c r="L303" s="544"/>
      <c r="M303" s="544"/>
      <c r="N303" s="544"/>
      <c r="O303" s="544"/>
      <c r="P303" s="544"/>
      <c r="Q303" s="544"/>
      <c r="R303" s="544"/>
      <c r="S303" s="544">
        <v>316</v>
      </c>
      <c r="T303" s="544">
        <v>150</v>
      </c>
      <c r="U303" s="544"/>
      <c r="V303" s="544"/>
      <c r="W303" s="544"/>
      <c r="X303" s="544"/>
      <c r="Y303" s="185"/>
    </row>
    <row r="304" spans="10:25" x14ac:dyDescent="0.35">
      <c r="J304" s="544"/>
      <c r="K304" s="544"/>
      <c r="L304" s="544"/>
      <c r="M304" s="544"/>
      <c r="N304" s="544"/>
      <c r="O304" s="544"/>
      <c r="P304" s="544"/>
      <c r="Q304" s="544"/>
      <c r="R304" s="544"/>
      <c r="S304" s="544">
        <v>317</v>
      </c>
      <c r="T304" s="544">
        <v>150</v>
      </c>
      <c r="U304" s="544"/>
      <c r="V304" s="544"/>
      <c r="W304" s="544"/>
      <c r="X304" s="544"/>
      <c r="Y304" s="185"/>
    </row>
    <row r="305" spans="10:25" x14ac:dyDescent="0.35">
      <c r="J305" s="544"/>
      <c r="K305" s="544"/>
      <c r="L305" s="544"/>
      <c r="M305" s="544"/>
      <c r="N305" s="544"/>
      <c r="O305" s="544"/>
      <c r="P305" s="544"/>
      <c r="Q305" s="544"/>
      <c r="R305" s="544"/>
      <c r="S305" s="544">
        <v>318</v>
      </c>
      <c r="T305" s="544">
        <v>150</v>
      </c>
      <c r="U305" s="544"/>
      <c r="V305" s="544"/>
      <c r="W305" s="544"/>
      <c r="X305" s="544"/>
      <c r="Y305" s="185"/>
    </row>
    <row r="306" spans="10:25" x14ac:dyDescent="0.35">
      <c r="J306" s="544"/>
      <c r="K306" s="544"/>
      <c r="L306" s="544"/>
      <c r="M306" s="544"/>
      <c r="N306" s="544"/>
      <c r="O306" s="544"/>
      <c r="P306" s="544"/>
      <c r="Q306" s="544"/>
      <c r="R306" s="544"/>
      <c r="S306" s="544">
        <v>319</v>
      </c>
      <c r="T306" s="544">
        <v>150</v>
      </c>
      <c r="U306" s="544"/>
      <c r="V306" s="544"/>
      <c r="W306" s="544"/>
      <c r="X306" s="544"/>
      <c r="Y306" s="185"/>
    </row>
    <row r="307" spans="10:25" x14ac:dyDescent="0.35">
      <c r="J307" s="544"/>
      <c r="K307" s="544"/>
      <c r="L307" s="544"/>
      <c r="M307" s="544"/>
      <c r="N307" s="544"/>
      <c r="O307" s="544"/>
      <c r="P307" s="544"/>
      <c r="Q307" s="544"/>
      <c r="R307" s="544"/>
      <c r="S307" s="544">
        <v>320</v>
      </c>
      <c r="T307" s="544">
        <v>150</v>
      </c>
      <c r="U307" s="544"/>
      <c r="V307" s="544"/>
      <c r="W307" s="544"/>
      <c r="X307" s="544"/>
      <c r="Y307" s="185"/>
    </row>
    <row r="308" spans="10:25" x14ac:dyDescent="0.35">
      <c r="J308" s="544"/>
      <c r="K308" s="544"/>
      <c r="L308" s="544"/>
      <c r="M308" s="544"/>
      <c r="N308" s="544"/>
      <c r="O308" s="544"/>
      <c r="P308" s="544"/>
      <c r="Q308" s="544"/>
      <c r="R308" s="544"/>
      <c r="S308" s="544">
        <v>321</v>
      </c>
      <c r="T308" s="544">
        <v>150</v>
      </c>
      <c r="U308" s="544"/>
      <c r="V308" s="544"/>
      <c r="W308" s="544"/>
      <c r="X308" s="544"/>
      <c r="Y308" s="185"/>
    </row>
    <row r="309" spans="10:25" x14ac:dyDescent="0.35">
      <c r="J309" s="544"/>
      <c r="K309" s="544"/>
      <c r="L309" s="544"/>
      <c r="M309" s="544"/>
      <c r="N309" s="544"/>
      <c r="O309" s="544"/>
      <c r="P309" s="544"/>
      <c r="Q309" s="544"/>
      <c r="R309" s="544"/>
      <c r="S309" s="544">
        <v>322</v>
      </c>
      <c r="T309" s="544">
        <v>150</v>
      </c>
      <c r="U309" s="544"/>
      <c r="V309" s="544"/>
      <c r="W309" s="544"/>
      <c r="X309" s="544"/>
      <c r="Y309" s="185"/>
    </row>
    <row r="310" spans="10:25" x14ac:dyDescent="0.35">
      <c r="J310" s="544"/>
      <c r="K310" s="544"/>
      <c r="L310" s="544"/>
      <c r="M310" s="544"/>
      <c r="N310" s="544"/>
      <c r="O310" s="544"/>
      <c r="P310" s="544"/>
      <c r="Q310" s="544"/>
      <c r="R310" s="544"/>
      <c r="S310" s="544">
        <v>323</v>
      </c>
      <c r="T310" s="544">
        <v>150</v>
      </c>
      <c r="U310" s="544"/>
      <c r="V310" s="544"/>
      <c r="W310" s="544"/>
      <c r="X310" s="544"/>
      <c r="Y310" s="185"/>
    </row>
    <row r="311" spans="10:25" x14ac:dyDescent="0.35">
      <c r="J311" s="544"/>
      <c r="K311" s="544"/>
      <c r="L311" s="544"/>
      <c r="M311" s="544"/>
      <c r="N311" s="544"/>
      <c r="O311" s="544"/>
      <c r="P311" s="544"/>
      <c r="Q311" s="544"/>
      <c r="R311" s="544"/>
      <c r="S311" s="544">
        <v>324</v>
      </c>
      <c r="T311" s="544">
        <v>150</v>
      </c>
      <c r="U311" s="544"/>
      <c r="V311" s="544"/>
      <c r="W311" s="544"/>
      <c r="X311" s="544"/>
      <c r="Y311" s="185"/>
    </row>
    <row r="312" spans="10:25" x14ac:dyDescent="0.35">
      <c r="J312" s="544"/>
      <c r="K312" s="544"/>
      <c r="L312" s="544"/>
      <c r="M312" s="544"/>
      <c r="N312" s="544"/>
      <c r="O312" s="544"/>
      <c r="P312" s="544"/>
      <c r="Q312" s="544"/>
      <c r="R312" s="544"/>
      <c r="S312" s="544">
        <v>325</v>
      </c>
      <c r="T312" s="544">
        <v>150</v>
      </c>
      <c r="U312" s="544"/>
      <c r="V312" s="544"/>
      <c r="W312" s="544"/>
      <c r="X312" s="544"/>
      <c r="Y312" s="185"/>
    </row>
    <row r="313" spans="10:25" x14ac:dyDescent="0.35">
      <c r="J313" s="544"/>
      <c r="K313" s="544"/>
      <c r="L313" s="544"/>
      <c r="M313" s="544"/>
      <c r="N313" s="544"/>
      <c r="O313" s="544"/>
      <c r="P313" s="544"/>
      <c r="Q313" s="544"/>
      <c r="R313" s="544"/>
      <c r="S313" s="544">
        <v>326</v>
      </c>
      <c r="T313" s="544">
        <v>150</v>
      </c>
      <c r="U313" s="544"/>
      <c r="V313" s="544"/>
      <c r="W313" s="544"/>
      <c r="X313" s="544"/>
      <c r="Y313" s="185"/>
    </row>
    <row r="314" spans="10:25" x14ac:dyDescent="0.35">
      <c r="J314" s="544"/>
      <c r="K314" s="544"/>
      <c r="L314" s="544"/>
      <c r="M314" s="544"/>
      <c r="N314" s="544"/>
      <c r="O314" s="544"/>
      <c r="P314" s="544"/>
      <c r="Q314" s="544"/>
      <c r="R314" s="544"/>
      <c r="S314" s="544">
        <v>327</v>
      </c>
      <c r="T314" s="544">
        <v>150</v>
      </c>
      <c r="U314" s="544"/>
      <c r="V314" s="544"/>
      <c r="W314" s="544"/>
      <c r="X314" s="544"/>
      <c r="Y314" s="185"/>
    </row>
    <row r="315" spans="10:25" x14ac:dyDescent="0.35">
      <c r="J315" s="544"/>
      <c r="K315" s="544"/>
      <c r="L315" s="544"/>
      <c r="M315" s="544"/>
      <c r="N315" s="544"/>
      <c r="O315" s="544"/>
      <c r="P315" s="544"/>
      <c r="Q315" s="544"/>
      <c r="R315" s="544"/>
      <c r="S315" s="544">
        <v>328</v>
      </c>
      <c r="T315" s="544">
        <v>150</v>
      </c>
      <c r="U315" s="544"/>
      <c r="V315" s="544"/>
      <c r="W315" s="544"/>
      <c r="X315" s="544"/>
      <c r="Y315" s="185"/>
    </row>
    <row r="316" spans="10:25" x14ac:dyDescent="0.35">
      <c r="J316" s="544"/>
      <c r="K316" s="544"/>
      <c r="L316" s="544"/>
      <c r="M316" s="544"/>
      <c r="N316" s="544"/>
      <c r="O316" s="544"/>
      <c r="P316" s="544"/>
      <c r="Q316" s="544"/>
      <c r="R316" s="544"/>
      <c r="S316" s="544">
        <v>329</v>
      </c>
      <c r="T316" s="544">
        <v>150</v>
      </c>
      <c r="U316" s="544"/>
      <c r="V316" s="544"/>
      <c r="W316" s="544"/>
      <c r="X316" s="544"/>
      <c r="Y316" s="185"/>
    </row>
    <row r="317" spans="10:25" x14ac:dyDescent="0.35">
      <c r="J317" s="544"/>
      <c r="K317" s="544"/>
      <c r="L317" s="544"/>
      <c r="M317" s="544"/>
      <c r="N317" s="544"/>
      <c r="O317" s="544"/>
      <c r="P317" s="544"/>
      <c r="Q317" s="544"/>
      <c r="R317" s="544"/>
      <c r="S317" s="544">
        <v>330</v>
      </c>
      <c r="T317" s="544">
        <v>150</v>
      </c>
      <c r="U317" s="544"/>
      <c r="V317" s="544"/>
      <c r="W317" s="544"/>
      <c r="X317" s="544"/>
      <c r="Y317" s="185"/>
    </row>
    <row r="318" spans="10:25" x14ac:dyDescent="0.35">
      <c r="J318" s="544"/>
      <c r="K318" s="544"/>
      <c r="L318" s="544"/>
      <c r="M318" s="544"/>
      <c r="N318" s="544"/>
      <c r="O318" s="544"/>
      <c r="P318" s="544"/>
      <c r="Q318" s="544"/>
      <c r="R318" s="544"/>
      <c r="S318" s="544">
        <v>331</v>
      </c>
      <c r="T318" s="544">
        <v>150</v>
      </c>
      <c r="U318" s="544"/>
      <c r="V318" s="544"/>
      <c r="W318" s="544"/>
      <c r="X318" s="544"/>
      <c r="Y318" s="185"/>
    </row>
    <row r="319" spans="10:25" x14ac:dyDescent="0.35">
      <c r="J319" s="544"/>
      <c r="K319" s="544"/>
      <c r="L319" s="544"/>
      <c r="M319" s="544"/>
      <c r="N319" s="544"/>
      <c r="O319" s="544"/>
      <c r="P319" s="544"/>
      <c r="Q319" s="544"/>
      <c r="R319" s="544"/>
      <c r="S319" s="544">
        <v>332</v>
      </c>
      <c r="T319" s="544">
        <v>150</v>
      </c>
      <c r="U319" s="544"/>
      <c r="V319" s="544"/>
      <c r="W319" s="544"/>
      <c r="X319" s="544"/>
      <c r="Y319" s="185"/>
    </row>
    <row r="320" spans="10:25" x14ac:dyDescent="0.35">
      <c r="J320" s="544"/>
      <c r="K320" s="544"/>
      <c r="L320" s="544"/>
      <c r="M320" s="544"/>
      <c r="N320" s="544"/>
      <c r="O320" s="544"/>
      <c r="P320" s="544"/>
      <c r="Q320" s="544"/>
      <c r="R320" s="544"/>
      <c r="S320" s="544">
        <v>333</v>
      </c>
      <c r="T320" s="544">
        <v>150</v>
      </c>
      <c r="U320" s="544"/>
      <c r="V320" s="544"/>
      <c r="W320" s="544"/>
      <c r="X320" s="544"/>
      <c r="Y320" s="185"/>
    </row>
    <row r="321" spans="10:25" x14ac:dyDescent="0.35">
      <c r="J321" s="544"/>
      <c r="K321" s="544"/>
      <c r="L321" s="544"/>
      <c r="M321" s="544"/>
      <c r="N321" s="544"/>
      <c r="O321" s="544"/>
      <c r="P321" s="544"/>
      <c r="Q321" s="544"/>
      <c r="R321" s="544"/>
      <c r="S321" s="544">
        <v>334</v>
      </c>
      <c r="T321" s="544">
        <v>150</v>
      </c>
      <c r="U321" s="544"/>
      <c r="V321" s="544"/>
      <c r="W321" s="544"/>
      <c r="X321" s="544"/>
      <c r="Y321" s="185"/>
    </row>
    <row r="322" spans="10:25" x14ac:dyDescent="0.35">
      <c r="J322" s="544"/>
      <c r="K322" s="544"/>
      <c r="L322" s="544"/>
      <c r="M322" s="544"/>
      <c r="N322" s="544"/>
      <c r="O322" s="544"/>
      <c r="P322" s="544"/>
      <c r="Q322" s="544"/>
      <c r="R322" s="544"/>
      <c r="S322" s="544">
        <v>335</v>
      </c>
      <c r="T322" s="544">
        <v>150</v>
      </c>
      <c r="U322" s="544"/>
      <c r="V322" s="544"/>
      <c r="W322" s="544"/>
      <c r="X322" s="544"/>
      <c r="Y322" s="185"/>
    </row>
    <row r="323" spans="10:25" x14ac:dyDescent="0.35">
      <c r="J323" s="544"/>
      <c r="K323" s="544"/>
      <c r="L323" s="544"/>
      <c r="M323" s="544"/>
      <c r="N323" s="544"/>
      <c r="O323" s="544"/>
      <c r="P323" s="544"/>
      <c r="Q323" s="544"/>
      <c r="R323" s="544"/>
      <c r="S323" s="544">
        <v>336</v>
      </c>
      <c r="T323" s="544">
        <v>150</v>
      </c>
      <c r="U323" s="544"/>
      <c r="V323" s="544"/>
      <c r="W323" s="544"/>
      <c r="X323" s="544"/>
      <c r="Y323" s="185"/>
    </row>
    <row r="324" spans="10:25" x14ac:dyDescent="0.35">
      <c r="J324" s="544"/>
      <c r="K324" s="544"/>
      <c r="L324" s="544"/>
      <c r="M324" s="544"/>
      <c r="N324" s="544"/>
      <c r="O324" s="544"/>
      <c r="P324" s="544"/>
      <c r="Q324" s="544"/>
      <c r="R324" s="544"/>
      <c r="S324" s="544">
        <v>337</v>
      </c>
      <c r="T324" s="544">
        <v>150</v>
      </c>
      <c r="U324" s="544"/>
      <c r="V324" s="544"/>
      <c r="W324" s="544"/>
      <c r="X324" s="544"/>
      <c r="Y324" s="185"/>
    </row>
    <row r="325" spans="10:25" x14ac:dyDescent="0.35">
      <c r="J325" s="544"/>
      <c r="K325" s="544"/>
      <c r="L325" s="544"/>
      <c r="M325" s="544"/>
      <c r="N325" s="544"/>
      <c r="O325" s="544"/>
      <c r="P325" s="544"/>
      <c r="Q325" s="544"/>
      <c r="R325" s="544"/>
      <c r="S325" s="544">
        <v>338</v>
      </c>
      <c r="T325" s="544">
        <v>150</v>
      </c>
      <c r="U325" s="544"/>
      <c r="V325" s="544"/>
      <c r="W325" s="544"/>
      <c r="X325" s="544"/>
      <c r="Y325" s="185"/>
    </row>
    <row r="326" spans="10:25" x14ac:dyDescent="0.35">
      <c r="J326" s="544"/>
      <c r="K326" s="544"/>
      <c r="L326" s="544"/>
      <c r="M326" s="544"/>
      <c r="N326" s="544"/>
      <c r="O326" s="544"/>
      <c r="P326" s="544"/>
      <c r="Q326" s="544"/>
      <c r="R326" s="544"/>
      <c r="S326" s="544">
        <v>339</v>
      </c>
      <c r="T326" s="544">
        <v>150</v>
      </c>
      <c r="U326" s="544"/>
      <c r="V326" s="544"/>
      <c r="W326" s="544"/>
      <c r="X326" s="544"/>
      <c r="Y326" s="185"/>
    </row>
    <row r="327" spans="10:25" x14ac:dyDescent="0.35">
      <c r="J327" s="544"/>
      <c r="K327" s="544"/>
      <c r="L327" s="544"/>
      <c r="M327" s="544"/>
      <c r="N327" s="544"/>
      <c r="O327" s="544"/>
      <c r="P327" s="544"/>
      <c r="Q327" s="544"/>
      <c r="R327" s="544"/>
      <c r="S327" s="544">
        <v>340</v>
      </c>
      <c r="T327" s="544">
        <v>150</v>
      </c>
      <c r="U327" s="544"/>
      <c r="V327" s="544"/>
      <c r="W327" s="544"/>
      <c r="X327" s="544"/>
      <c r="Y327" s="185"/>
    </row>
    <row r="328" spans="10:25" x14ac:dyDescent="0.35">
      <c r="J328" s="544"/>
      <c r="K328" s="544"/>
      <c r="L328" s="544"/>
      <c r="M328" s="544"/>
      <c r="N328" s="544"/>
      <c r="O328" s="544"/>
      <c r="P328" s="544"/>
      <c r="Q328" s="544"/>
      <c r="R328" s="544"/>
      <c r="S328" s="544">
        <v>341</v>
      </c>
      <c r="T328" s="544">
        <v>150</v>
      </c>
      <c r="U328" s="544"/>
      <c r="V328" s="544"/>
      <c r="W328" s="544"/>
      <c r="X328" s="544"/>
      <c r="Y328" s="185"/>
    </row>
    <row r="329" spans="10:25" x14ac:dyDescent="0.35">
      <c r="J329" s="544"/>
      <c r="K329" s="544"/>
      <c r="L329" s="544"/>
      <c r="M329" s="544"/>
      <c r="N329" s="544"/>
      <c r="O329" s="544"/>
      <c r="P329" s="544"/>
      <c r="Q329" s="544"/>
      <c r="R329" s="544"/>
      <c r="S329" s="544">
        <v>342</v>
      </c>
      <c r="T329" s="544">
        <v>150</v>
      </c>
      <c r="U329" s="544"/>
      <c r="V329" s="544"/>
      <c r="W329" s="544"/>
      <c r="X329" s="544"/>
      <c r="Y329" s="185"/>
    </row>
    <row r="330" spans="10:25" x14ac:dyDescent="0.35">
      <c r="J330" s="544"/>
      <c r="K330" s="544"/>
      <c r="L330" s="544"/>
      <c r="M330" s="544"/>
      <c r="N330" s="544"/>
      <c r="O330" s="544"/>
      <c r="P330" s="544"/>
      <c r="Q330" s="544"/>
      <c r="R330" s="544"/>
      <c r="S330" s="544">
        <v>343</v>
      </c>
      <c r="T330" s="544">
        <v>150</v>
      </c>
      <c r="U330" s="544"/>
      <c r="V330" s="544"/>
      <c r="W330" s="544"/>
      <c r="X330" s="544"/>
      <c r="Y330" s="185"/>
    </row>
    <row r="331" spans="10:25" x14ac:dyDescent="0.35">
      <c r="J331" s="544"/>
      <c r="K331" s="544"/>
      <c r="L331" s="544"/>
      <c r="M331" s="544"/>
      <c r="N331" s="544"/>
      <c r="O331" s="544"/>
      <c r="P331" s="544"/>
      <c r="Q331" s="544"/>
      <c r="R331" s="544"/>
      <c r="S331" s="544">
        <v>344</v>
      </c>
      <c r="T331" s="544">
        <v>150</v>
      </c>
      <c r="U331" s="544"/>
      <c r="V331" s="544"/>
      <c r="W331" s="544"/>
      <c r="X331" s="544"/>
      <c r="Y331" s="185"/>
    </row>
    <row r="332" spans="10:25" x14ac:dyDescent="0.35">
      <c r="J332" s="544"/>
      <c r="K332" s="544"/>
      <c r="L332" s="544"/>
      <c r="M332" s="544"/>
      <c r="N332" s="544"/>
      <c r="O332" s="544"/>
      <c r="P332" s="544"/>
      <c r="Q332" s="544"/>
      <c r="R332" s="544"/>
      <c r="S332" s="544">
        <v>345</v>
      </c>
      <c r="T332" s="544">
        <v>150</v>
      </c>
      <c r="U332" s="544"/>
      <c r="V332" s="544"/>
      <c r="W332" s="544"/>
      <c r="X332" s="544"/>
      <c r="Y332" s="185"/>
    </row>
    <row r="333" spans="10:25" x14ac:dyDescent="0.35">
      <c r="J333" s="544"/>
      <c r="K333" s="544"/>
      <c r="L333" s="544"/>
      <c r="M333" s="544"/>
      <c r="N333" s="544"/>
      <c r="O333" s="544"/>
      <c r="P333" s="544"/>
      <c r="Q333" s="544"/>
      <c r="R333" s="544"/>
      <c r="S333" s="544">
        <v>346</v>
      </c>
      <c r="T333" s="544">
        <v>150</v>
      </c>
      <c r="U333" s="544"/>
      <c r="V333" s="544"/>
      <c r="W333" s="544"/>
      <c r="X333" s="544"/>
      <c r="Y333" s="185"/>
    </row>
    <row r="334" spans="10:25" x14ac:dyDescent="0.35">
      <c r="J334" s="544"/>
      <c r="K334" s="544"/>
      <c r="L334" s="544"/>
      <c r="M334" s="544"/>
      <c r="N334" s="544"/>
      <c r="O334" s="544"/>
      <c r="P334" s="544"/>
      <c r="Q334" s="544"/>
      <c r="R334" s="544"/>
      <c r="S334" s="544">
        <v>347</v>
      </c>
      <c r="T334" s="544">
        <v>150</v>
      </c>
      <c r="U334" s="544"/>
      <c r="V334" s="544"/>
      <c r="W334" s="544"/>
      <c r="X334" s="544"/>
      <c r="Y334" s="185"/>
    </row>
    <row r="335" spans="10:25" x14ac:dyDescent="0.35">
      <c r="J335" s="544"/>
      <c r="K335" s="544"/>
      <c r="L335" s="544"/>
      <c r="M335" s="544"/>
      <c r="N335" s="544"/>
      <c r="O335" s="544"/>
      <c r="P335" s="544"/>
      <c r="Q335" s="544"/>
      <c r="R335" s="544"/>
      <c r="S335" s="544">
        <v>348</v>
      </c>
      <c r="T335" s="544">
        <v>150</v>
      </c>
      <c r="U335" s="544"/>
      <c r="V335" s="544"/>
      <c r="W335" s="544"/>
      <c r="X335" s="544"/>
      <c r="Y335" s="185"/>
    </row>
    <row r="336" spans="10:25" x14ac:dyDescent="0.35">
      <c r="J336" s="544"/>
      <c r="K336" s="544"/>
      <c r="L336" s="544"/>
      <c r="M336" s="544"/>
      <c r="N336" s="544"/>
      <c r="O336" s="544"/>
      <c r="P336" s="544"/>
      <c r="Q336" s="544"/>
      <c r="R336" s="544"/>
      <c r="S336" s="544">
        <v>349</v>
      </c>
      <c r="T336" s="544">
        <v>150</v>
      </c>
      <c r="U336" s="544"/>
      <c r="V336" s="544"/>
      <c r="W336" s="544"/>
      <c r="X336" s="544"/>
      <c r="Y336" s="185"/>
    </row>
    <row r="337" spans="10:25" x14ac:dyDescent="0.35">
      <c r="J337" s="544"/>
      <c r="K337" s="544"/>
      <c r="L337" s="544"/>
      <c r="M337" s="544"/>
      <c r="N337" s="544"/>
      <c r="O337" s="544"/>
      <c r="P337" s="544"/>
      <c r="Q337" s="544"/>
      <c r="R337" s="544"/>
      <c r="S337" s="544">
        <v>350</v>
      </c>
      <c r="T337" s="544">
        <v>150</v>
      </c>
      <c r="U337" s="544"/>
      <c r="V337" s="544"/>
      <c r="W337" s="544"/>
      <c r="X337" s="544"/>
      <c r="Y337" s="185"/>
    </row>
    <row r="338" spans="10:25" x14ac:dyDescent="0.35">
      <c r="J338" s="544"/>
      <c r="K338" s="544"/>
      <c r="L338" s="544"/>
      <c r="M338" s="544"/>
      <c r="N338" s="544"/>
      <c r="O338" s="544"/>
      <c r="P338" s="544"/>
      <c r="Q338" s="544"/>
      <c r="R338" s="544"/>
      <c r="S338" s="544">
        <v>351</v>
      </c>
      <c r="T338" s="544">
        <v>150</v>
      </c>
      <c r="U338" s="544"/>
      <c r="V338" s="544"/>
      <c r="W338" s="544"/>
      <c r="X338" s="544"/>
      <c r="Y338" s="185"/>
    </row>
    <row r="339" spans="10:25" x14ac:dyDescent="0.35">
      <c r="J339" s="544"/>
      <c r="K339" s="544"/>
      <c r="L339" s="544"/>
      <c r="M339" s="544"/>
      <c r="N339" s="544"/>
      <c r="O339" s="544"/>
      <c r="P339" s="544"/>
      <c r="Q339" s="544"/>
      <c r="R339" s="544"/>
      <c r="S339" s="544">
        <v>352</v>
      </c>
      <c r="T339" s="544">
        <v>150</v>
      </c>
      <c r="U339" s="544"/>
      <c r="V339" s="544"/>
      <c r="W339" s="544"/>
      <c r="X339" s="544"/>
      <c r="Y339" s="185"/>
    </row>
    <row r="340" spans="10:25" x14ac:dyDescent="0.35">
      <c r="J340" s="544"/>
      <c r="K340" s="544"/>
      <c r="L340" s="544"/>
      <c r="M340" s="544"/>
      <c r="N340" s="544"/>
      <c r="O340" s="544"/>
      <c r="P340" s="544"/>
      <c r="Q340" s="544"/>
      <c r="R340" s="544"/>
      <c r="S340" s="544">
        <v>353</v>
      </c>
      <c r="T340" s="544">
        <v>150</v>
      </c>
      <c r="U340" s="544"/>
      <c r="V340" s="544"/>
      <c r="W340" s="544"/>
      <c r="X340" s="544"/>
      <c r="Y340" s="185"/>
    </row>
    <row r="341" spans="10:25" x14ac:dyDescent="0.35">
      <c r="J341" s="544"/>
      <c r="K341" s="544"/>
      <c r="L341" s="544"/>
      <c r="M341" s="544"/>
      <c r="N341" s="544"/>
      <c r="O341" s="544"/>
      <c r="P341" s="544"/>
      <c r="Q341" s="544"/>
      <c r="R341" s="544"/>
      <c r="S341" s="544">
        <v>354</v>
      </c>
      <c r="T341" s="544">
        <v>150</v>
      </c>
      <c r="U341" s="544"/>
      <c r="V341" s="544"/>
      <c r="W341" s="544"/>
      <c r="X341" s="544"/>
      <c r="Y341" s="185"/>
    </row>
    <row r="342" spans="10:25" x14ac:dyDescent="0.35">
      <c r="J342" s="544"/>
      <c r="K342" s="544"/>
      <c r="L342" s="544"/>
      <c r="M342" s="544"/>
      <c r="N342" s="544"/>
      <c r="O342" s="544"/>
      <c r="P342" s="544"/>
      <c r="Q342" s="544"/>
      <c r="R342" s="544"/>
      <c r="S342" s="544">
        <v>355</v>
      </c>
      <c r="T342" s="544">
        <v>150</v>
      </c>
      <c r="U342" s="544"/>
      <c r="V342" s="544"/>
      <c r="W342" s="544"/>
      <c r="X342" s="544"/>
      <c r="Y342" s="185"/>
    </row>
    <row r="343" spans="10:25" x14ac:dyDescent="0.35">
      <c r="J343" s="544"/>
      <c r="K343" s="544"/>
      <c r="L343" s="544"/>
      <c r="M343" s="544"/>
      <c r="N343" s="544"/>
      <c r="O343" s="544"/>
      <c r="P343" s="544"/>
      <c r="Q343" s="544"/>
      <c r="R343" s="544"/>
      <c r="S343" s="544">
        <v>356</v>
      </c>
      <c r="T343" s="544">
        <v>150</v>
      </c>
      <c r="U343" s="544"/>
      <c r="V343" s="544"/>
      <c r="W343" s="544"/>
      <c r="X343" s="544"/>
      <c r="Y343" s="185"/>
    </row>
    <row r="344" spans="10:25" x14ac:dyDescent="0.35">
      <c r="J344" s="544"/>
      <c r="K344" s="544"/>
      <c r="L344" s="544"/>
      <c r="M344" s="544"/>
      <c r="N344" s="544"/>
      <c r="O344" s="544"/>
      <c r="P344" s="544"/>
      <c r="Q344" s="544"/>
      <c r="R344" s="544"/>
      <c r="S344" s="544">
        <v>357</v>
      </c>
      <c r="T344" s="544">
        <v>150</v>
      </c>
      <c r="U344" s="544"/>
      <c r="V344" s="544"/>
      <c r="W344" s="544"/>
      <c r="X344" s="544"/>
      <c r="Y344" s="185"/>
    </row>
    <row r="345" spans="10:25" x14ac:dyDescent="0.35">
      <c r="J345" s="544"/>
      <c r="K345" s="544"/>
      <c r="L345" s="544"/>
      <c r="M345" s="544"/>
      <c r="N345" s="544"/>
      <c r="O345" s="544"/>
      <c r="P345" s="544"/>
      <c r="Q345" s="544"/>
      <c r="R345" s="544"/>
      <c r="S345" s="544">
        <v>358</v>
      </c>
      <c r="T345" s="544">
        <v>150</v>
      </c>
      <c r="U345" s="544"/>
      <c r="V345" s="544"/>
      <c r="W345" s="544"/>
      <c r="X345" s="544"/>
      <c r="Y345" s="185"/>
    </row>
    <row r="346" spans="10:25" x14ac:dyDescent="0.35">
      <c r="J346" s="544"/>
      <c r="K346" s="544"/>
      <c r="L346" s="544"/>
      <c r="M346" s="544"/>
      <c r="N346" s="544"/>
      <c r="O346" s="544"/>
      <c r="P346" s="544"/>
      <c r="Q346" s="544"/>
      <c r="R346" s="544"/>
      <c r="S346" s="544">
        <v>359</v>
      </c>
      <c r="T346" s="544">
        <v>150</v>
      </c>
      <c r="U346" s="544"/>
      <c r="V346" s="544"/>
      <c r="W346" s="544"/>
      <c r="X346" s="544"/>
      <c r="Y346" s="185"/>
    </row>
    <row r="347" spans="10:25" x14ac:dyDescent="0.35">
      <c r="J347" s="544"/>
      <c r="K347" s="544"/>
      <c r="L347" s="544"/>
      <c r="M347" s="544"/>
      <c r="N347" s="544"/>
      <c r="O347" s="544"/>
      <c r="P347" s="544"/>
      <c r="Q347" s="544"/>
      <c r="R347" s="544"/>
      <c r="S347" s="544">
        <v>360</v>
      </c>
      <c r="T347" s="544">
        <v>150</v>
      </c>
      <c r="U347" s="544">
        <v>360</v>
      </c>
      <c r="V347" s="544"/>
      <c r="W347" s="544"/>
      <c r="X347" s="544"/>
      <c r="Y347" s="185"/>
    </row>
    <row r="348" spans="10:25" x14ac:dyDescent="0.35">
      <c r="J348" s="544"/>
      <c r="K348" s="544"/>
      <c r="L348" s="544"/>
      <c r="M348" s="544"/>
      <c r="N348" s="544"/>
      <c r="O348" s="544"/>
      <c r="P348" s="544"/>
      <c r="Q348" s="544"/>
      <c r="R348" s="544"/>
      <c r="S348" s="544"/>
      <c r="T348" s="544"/>
      <c r="U348" s="544"/>
      <c r="V348" s="544"/>
      <c r="W348" s="544"/>
      <c r="X348" s="544"/>
      <c r="Y348" s="185"/>
    </row>
    <row r="349" spans="10:25" x14ac:dyDescent="0.35">
      <c r="J349" s="544"/>
      <c r="K349" s="544"/>
      <c r="L349" s="544"/>
      <c r="M349" s="544"/>
      <c r="N349" s="544"/>
      <c r="O349" s="544"/>
      <c r="P349" s="544"/>
      <c r="Q349" s="544"/>
      <c r="R349" s="544"/>
      <c r="S349" s="544"/>
      <c r="T349" s="544"/>
      <c r="U349" s="544"/>
      <c r="V349" s="544"/>
      <c r="W349" s="544"/>
      <c r="X349" s="544"/>
      <c r="Y349" s="185"/>
    </row>
    <row r="350" spans="10:25" x14ac:dyDescent="0.35">
      <c r="J350" s="544"/>
      <c r="K350" s="544"/>
      <c r="L350" s="544"/>
      <c r="M350" s="544"/>
      <c r="N350" s="544"/>
      <c r="O350" s="544"/>
      <c r="P350" s="544"/>
      <c r="Q350" s="544"/>
      <c r="R350" s="544"/>
      <c r="S350" s="544"/>
      <c r="T350" s="544"/>
      <c r="U350" s="544"/>
      <c r="V350" s="544"/>
      <c r="W350" s="544"/>
      <c r="X350" s="544"/>
      <c r="Y350" s="185"/>
    </row>
    <row r="351" spans="10:25" x14ac:dyDescent="0.35">
      <c r="J351" s="544"/>
      <c r="K351" s="544"/>
      <c r="L351" s="544"/>
      <c r="M351" s="544"/>
      <c r="N351" s="544"/>
      <c r="O351" s="544"/>
      <c r="P351" s="544"/>
      <c r="Q351" s="544"/>
      <c r="R351" s="544"/>
      <c r="S351" s="544"/>
      <c r="T351" s="544"/>
      <c r="U351" s="544"/>
      <c r="V351" s="544"/>
      <c r="W351" s="544"/>
      <c r="X351" s="544"/>
      <c r="Y351" s="185"/>
    </row>
    <row r="352" spans="10:25" x14ac:dyDescent="0.35">
      <c r="J352" s="544"/>
      <c r="K352" s="544"/>
      <c r="L352" s="544"/>
      <c r="M352" s="544"/>
      <c r="N352" s="544"/>
      <c r="O352" s="544"/>
      <c r="P352" s="544"/>
      <c r="Q352" s="544"/>
      <c r="R352" s="544"/>
      <c r="S352" s="544"/>
      <c r="T352" s="544"/>
      <c r="U352" s="544"/>
      <c r="V352" s="544"/>
      <c r="W352" s="544"/>
      <c r="X352" s="544"/>
      <c r="Y352" s="185"/>
    </row>
    <row r="353" spans="10:25" x14ac:dyDescent="0.35">
      <c r="J353" s="544"/>
      <c r="K353" s="544"/>
      <c r="L353" s="544"/>
      <c r="M353" s="544"/>
      <c r="N353" s="544"/>
      <c r="O353" s="544"/>
      <c r="P353" s="544"/>
      <c r="Q353" s="544"/>
      <c r="R353" s="544"/>
      <c r="S353" s="544"/>
      <c r="T353" s="544"/>
      <c r="U353" s="544"/>
      <c r="V353" s="544"/>
      <c r="W353" s="544"/>
      <c r="X353" s="544"/>
      <c r="Y353" s="185"/>
    </row>
    <row r="354" spans="10:25" x14ac:dyDescent="0.35">
      <c r="J354" s="544"/>
      <c r="K354" s="544"/>
      <c r="L354" s="544"/>
      <c r="M354" s="544"/>
      <c r="N354" s="544"/>
      <c r="O354" s="544"/>
      <c r="P354" s="544"/>
      <c r="Q354" s="544"/>
      <c r="R354" s="544"/>
      <c r="S354" s="544"/>
      <c r="T354" s="544"/>
      <c r="U354" s="544"/>
      <c r="V354" s="544"/>
      <c r="W354" s="544"/>
      <c r="X354" s="544"/>
      <c r="Y354" s="185"/>
    </row>
    <row r="355" spans="10:25" x14ac:dyDescent="0.35">
      <c r="J355" s="544"/>
      <c r="K355" s="544"/>
      <c r="L355" s="544"/>
      <c r="M355" s="544"/>
      <c r="N355" s="544"/>
      <c r="O355" s="544"/>
      <c r="P355" s="544"/>
      <c r="Q355" s="544"/>
      <c r="R355" s="544"/>
      <c r="S355" s="544"/>
      <c r="T355" s="544"/>
      <c r="U355" s="544"/>
      <c r="V355" s="544"/>
      <c r="W355" s="544"/>
      <c r="X355" s="544"/>
      <c r="Y355" s="185"/>
    </row>
    <row r="356" spans="10:25" x14ac:dyDescent="0.35">
      <c r="J356" s="544"/>
      <c r="K356" s="544"/>
      <c r="L356" s="544"/>
      <c r="M356" s="544"/>
      <c r="N356" s="544"/>
      <c r="O356" s="544"/>
      <c r="P356" s="544"/>
      <c r="Q356" s="544"/>
      <c r="R356" s="544"/>
      <c r="S356" s="544"/>
      <c r="T356" s="544"/>
      <c r="U356" s="544"/>
      <c r="V356" s="544"/>
      <c r="W356" s="544"/>
      <c r="X356" s="544"/>
      <c r="Y356" s="185"/>
    </row>
    <row r="357" spans="10:25" x14ac:dyDescent="0.35">
      <c r="J357" s="544"/>
      <c r="K357" s="544"/>
      <c r="L357" s="544"/>
      <c r="M357" s="544"/>
      <c r="N357" s="544"/>
      <c r="O357" s="544"/>
      <c r="P357" s="544"/>
      <c r="Q357" s="544"/>
      <c r="R357" s="544"/>
      <c r="S357" s="544"/>
      <c r="T357" s="544"/>
      <c r="U357" s="544"/>
      <c r="V357" s="544"/>
      <c r="W357" s="544"/>
      <c r="X357" s="544"/>
      <c r="Y357" s="185"/>
    </row>
    <row r="358" spans="10:25" x14ac:dyDescent="0.35">
      <c r="J358" s="544"/>
      <c r="K358" s="544"/>
      <c r="L358" s="544"/>
      <c r="M358" s="544"/>
      <c r="N358" s="544"/>
      <c r="O358" s="544"/>
      <c r="P358" s="544"/>
      <c r="Q358" s="544"/>
      <c r="R358" s="544"/>
      <c r="S358" s="544"/>
      <c r="T358" s="544"/>
      <c r="U358" s="544"/>
      <c r="V358" s="544"/>
      <c r="W358" s="544"/>
      <c r="X358" s="544"/>
      <c r="Y358" s="185"/>
    </row>
    <row r="359" spans="10:25" x14ac:dyDescent="0.35">
      <c r="J359" s="544"/>
      <c r="K359" s="544"/>
      <c r="L359" s="544"/>
      <c r="M359" s="544"/>
      <c r="N359" s="544"/>
      <c r="O359" s="544"/>
      <c r="P359" s="544"/>
      <c r="Q359" s="544"/>
      <c r="R359" s="544"/>
      <c r="S359" s="544"/>
      <c r="T359" s="544"/>
      <c r="U359" s="544"/>
      <c r="V359" s="544"/>
      <c r="W359" s="544"/>
      <c r="X359" s="544"/>
      <c r="Y359" s="185"/>
    </row>
    <row r="360" spans="10:25" x14ac:dyDescent="0.35">
      <c r="J360" s="544"/>
      <c r="K360" s="544"/>
      <c r="L360" s="544"/>
      <c r="M360" s="544"/>
      <c r="N360" s="544"/>
      <c r="O360" s="544"/>
      <c r="P360" s="544"/>
      <c r="Q360" s="544"/>
      <c r="R360" s="544"/>
      <c r="S360" s="544"/>
      <c r="T360" s="544"/>
      <c r="U360" s="544"/>
      <c r="V360" s="544"/>
      <c r="W360" s="544"/>
      <c r="X360" s="544"/>
      <c r="Y360" s="185"/>
    </row>
    <row r="361" spans="10:25" x14ac:dyDescent="0.35">
      <c r="J361" s="544"/>
      <c r="K361" s="544"/>
      <c r="L361" s="544"/>
      <c r="M361" s="544"/>
      <c r="N361" s="544"/>
      <c r="O361" s="544"/>
      <c r="P361" s="544"/>
      <c r="Q361" s="544"/>
      <c r="R361" s="544"/>
      <c r="S361" s="544"/>
      <c r="T361" s="544"/>
      <c r="U361" s="544"/>
      <c r="V361" s="544"/>
      <c r="W361" s="544"/>
      <c r="X361" s="544"/>
      <c r="Y361" s="185"/>
    </row>
    <row r="362" spans="10:25" x14ac:dyDescent="0.35">
      <c r="J362" s="544"/>
      <c r="K362" s="544"/>
      <c r="L362" s="544"/>
      <c r="M362" s="544"/>
      <c r="N362" s="544"/>
      <c r="O362" s="544"/>
      <c r="P362" s="544"/>
      <c r="Q362" s="544"/>
      <c r="R362" s="544"/>
      <c r="S362" s="544"/>
      <c r="T362" s="544"/>
      <c r="U362" s="544"/>
      <c r="V362" s="544"/>
      <c r="W362" s="544"/>
      <c r="X362" s="544"/>
      <c r="Y362" s="185"/>
    </row>
    <row r="363" spans="10:25" x14ac:dyDescent="0.35">
      <c r="J363" s="544"/>
      <c r="K363" s="544"/>
      <c r="L363" s="544"/>
      <c r="M363" s="544"/>
      <c r="N363" s="544"/>
      <c r="O363" s="544"/>
      <c r="P363" s="544"/>
      <c r="Q363" s="544"/>
      <c r="R363" s="544"/>
      <c r="S363" s="544"/>
      <c r="T363" s="544"/>
      <c r="U363" s="544"/>
      <c r="V363" s="544"/>
      <c r="W363" s="544"/>
      <c r="X363" s="544"/>
      <c r="Y363" s="185"/>
    </row>
    <row r="364" spans="10:25" x14ac:dyDescent="0.35">
      <c r="J364" s="544"/>
      <c r="K364" s="544"/>
      <c r="L364" s="544"/>
      <c r="M364" s="544"/>
      <c r="N364" s="544"/>
      <c r="O364" s="544"/>
      <c r="P364" s="544"/>
      <c r="Q364" s="544"/>
      <c r="R364" s="544"/>
      <c r="S364" s="544"/>
      <c r="T364" s="544"/>
      <c r="U364" s="544"/>
      <c r="V364" s="544"/>
      <c r="W364" s="544"/>
      <c r="X364" s="544"/>
      <c r="Y364" s="185"/>
    </row>
    <row r="365" spans="10:25" x14ac:dyDescent="0.35">
      <c r="J365" s="544"/>
      <c r="K365" s="544"/>
      <c r="L365" s="544"/>
      <c r="M365" s="544"/>
      <c r="N365" s="544"/>
      <c r="O365" s="544"/>
      <c r="P365" s="544"/>
      <c r="Q365" s="544"/>
      <c r="R365" s="544"/>
      <c r="S365" s="544"/>
      <c r="T365" s="544"/>
      <c r="U365" s="544"/>
      <c r="V365" s="544"/>
      <c r="W365" s="544"/>
      <c r="X365" s="544"/>
      <c r="Y365" s="185"/>
    </row>
    <row r="366" spans="10:25" x14ac:dyDescent="0.35">
      <c r="J366" s="544"/>
      <c r="K366" s="544"/>
      <c r="L366" s="544"/>
      <c r="M366" s="544"/>
      <c r="N366" s="544"/>
      <c r="O366" s="544"/>
      <c r="P366" s="544"/>
      <c r="Q366" s="544"/>
      <c r="R366" s="544"/>
      <c r="S366" s="544"/>
      <c r="T366" s="544"/>
      <c r="U366" s="544"/>
      <c r="V366" s="544"/>
      <c r="W366" s="544"/>
      <c r="X366" s="544"/>
      <c r="Y366" s="185"/>
    </row>
    <row r="367" spans="10:25" x14ac:dyDescent="0.35">
      <c r="J367" s="544"/>
      <c r="K367" s="544"/>
      <c r="L367" s="544"/>
      <c r="M367" s="544"/>
      <c r="N367" s="544"/>
      <c r="O367" s="544"/>
      <c r="P367" s="544"/>
      <c r="Q367" s="544"/>
      <c r="R367" s="544"/>
      <c r="S367" s="544"/>
      <c r="T367" s="544"/>
      <c r="U367" s="544"/>
      <c r="V367" s="544"/>
      <c r="W367" s="544"/>
      <c r="X367" s="544"/>
      <c r="Y367" s="185"/>
    </row>
    <row r="368" spans="10:25" x14ac:dyDescent="0.35">
      <c r="J368" s="544"/>
      <c r="K368" s="544"/>
      <c r="L368" s="544"/>
      <c r="M368" s="544"/>
      <c r="N368" s="544"/>
      <c r="O368" s="544"/>
      <c r="P368" s="544"/>
      <c r="Q368" s="544"/>
      <c r="R368" s="544"/>
      <c r="S368" s="544"/>
      <c r="T368" s="544"/>
      <c r="U368" s="544"/>
      <c r="V368" s="544"/>
      <c r="W368" s="544"/>
      <c r="X368" s="544"/>
      <c r="Y368" s="185"/>
    </row>
    <row r="369" spans="10:25" x14ac:dyDescent="0.35">
      <c r="J369" s="544"/>
      <c r="K369" s="544"/>
      <c r="L369" s="544"/>
      <c r="M369" s="544"/>
      <c r="N369" s="544"/>
      <c r="O369" s="544"/>
      <c r="P369" s="544"/>
      <c r="Q369" s="544"/>
      <c r="R369" s="544"/>
      <c r="S369" s="544"/>
      <c r="T369" s="544"/>
      <c r="U369" s="544"/>
      <c r="V369" s="544"/>
      <c r="W369" s="544"/>
      <c r="X369" s="544"/>
      <c r="Y369" s="185"/>
    </row>
    <row r="370" spans="10:25" x14ac:dyDescent="0.35">
      <c r="J370" s="544"/>
      <c r="K370" s="544"/>
      <c r="L370" s="544"/>
      <c r="M370" s="544"/>
      <c r="N370" s="544"/>
      <c r="O370" s="544"/>
      <c r="P370" s="544"/>
      <c r="Q370" s="544"/>
      <c r="R370" s="544"/>
      <c r="S370" s="544"/>
      <c r="T370" s="544"/>
      <c r="U370" s="544"/>
      <c r="V370" s="544"/>
      <c r="W370" s="544"/>
      <c r="X370" s="544"/>
      <c r="Y370" s="185"/>
    </row>
    <row r="371" spans="10:25" x14ac:dyDescent="0.35">
      <c r="J371" s="544"/>
      <c r="K371" s="544"/>
      <c r="L371" s="544"/>
      <c r="M371" s="544"/>
      <c r="N371" s="544"/>
      <c r="O371" s="544"/>
      <c r="P371" s="544"/>
      <c r="Q371" s="544"/>
      <c r="R371" s="544"/>
      <c r="S371" s="544"/>
      <c r="T371" s="544"/>
      <c r="U371" s="544"/>
      <c r="V371" s="544"/>
      <c r="W371" s="544"/>
      <c r="X371" s="544"/>
      <c r="Y371" s="185"/>
    </row>
    <row r="372" spans="10:25" x14ac:dyDescent="0.35">
      <c r="J372" s="544"/>
      <c r="K372" s="544"/>
      <c r="L372" s="544"/>
      <c r="M372" s="544"/>
      <c r="N372" s="544"/>
      <c r="O372" s="544"/>
      <c r="P372" s="544"/>
      <c r="Q372" s="544"/>
      <c r="R372" s="544"/>
      <c r="S372" s="544"/>
      <c r="T372" s="544"/>
      <c r="U372" s="544"/>
      <c r="V372" s="544"/>
      <c r="W372" s="544"/>
      <c r="X372" s="544"/>
      <c r="Y372" s="185"/>
    </row>
    <row r="373" spans="10:25" x14ac:dyDescent="0.35">
      <c r="J373" s="544"/>
      <c r="K373" s="544"/>
      <c r="L373" s="544"/>
      <c r="M373" s="544"/>
      <c r="N373" s="544"/>
      <c r="O373" s="544"/>
      <c r="P373" s="544"/>
      <c r="Q373" s="544"/>
      <c r="R373" s="544"/>
      <c r="S373" s="544"/>
      <c r="T373" s="544"/>
      <c r="U373" s="544"/>
      <c r="V373" s="544"/>
      <c r="W373" s="544"/>
      <c r="X373" s="544"/>
      <c r="Y373" s="185"/>
    </row>
    <row r="374" spans="10:25" x14ac:dyDescent="0.35">
      <c r="J374" s="544"/>
      <c r="K374" s="544"/>
      <c r="L374" s="544"/>
      <c r="M374" s="544"/>
      <c r="N374" s="544"/>
      <c r="O374" s="544"/>
      <c r="P374" s="544"/>
      <c r="Q374" s="544"/>
      <c r="R374" s="544"/>
      <c r="S374" s="544"/>
      <c r="T374" s="544"/>
      <c r="U374" s="544"/>
      <c r="V374" s="544"/>
      <c r="W374" s="544"/>
      <c r="X374" s="544"/>
      <c r="Y374" s="185"/>
    </row>
    <row r="375" spans="10:25" x14ac:dyDescent="0.35">
      <c r="J375" s="544"/>
      <c r="K375" s="544"/>
      <c r="L375" s="544"/>
      <c r="M375" s="544"/>
      <c r="N375" s="544"/>
      <c r="O375" s="544"/>
      <c r="P375" s="544"/>
      <c r="Q375" s="544"/>
      <c r="R375" s="544"/>
      <c r="S375" s="544"/>
      <c r="T375" s="544"/>
      <c r="U375" s="544"/>
      <c r="V375" s="544"/>
      <c r="W375" s="544"/>
      <c r="X375" s="544"/>
      <c r="Y375" s="185"/>
    </row>
    <row r="376" spans="10:25" x14ac:dyDescent="0.35">
      <c r="J376" s="544"/>
      <c r="K376" s="544"/>
      <c r="L376" s="544"/>
      <c r="M376" s="544"/>
      <c r="N376" s="544"/>
      <c r="O376" s="544"/>
      <c r="P376" s="544"/>
      <c r="Q376" s="544"/>
      <c r="R376" s="544"/>
      <c r="S376" s="544"/>
      <c r="T376" s="544"/>
      <c r="U376" s="544"/>
      <c r="V376" s="544"/>
      <c r="W376" s="544"/>
      <c r="X376" s="544"/>
      <c r="Y376" s="185"/>
    </row>
    <row r="377" spans="10:25" x14ac:dyDescent="0.35">
      <c r="J377" s="544"/>
      <c r="K377" s="544"/>
      <c r="L377" s="544"/>
      <c r="M377" s="544"/>
      <c r="N377" s="544"/>
      <c r="O377" s="544"/>
      <c r="P377" s="544"/>
      <c r="Q377" s="544"/>
      <c r="R377" s="544"/>
      <c r="S377" s="544"/>
      <c r="T377" s="544"/>
      <c r="U377" s="544"/>
      <c r="V377" s="544"/>
      <c r="W377" s="544"/>
      <c r="X377" s="544"/>
      <c r="Y377" s="185"/>
    </row>
    <row r="378" spans="10:25" x14ac:dyDescent="0.35">
      <c r="J378" s="544"/>
      <c r="K378" s="544"/>
      <c r="L378" s="544"/>
      <c r="M378" s="544"/>
      <c r="N378" s="544"/>
      <c r="O378" s="544"/>
      <c r="P378" s="544"/>
      <c r="Q378" s="544"/>
      <c r="R378" s="544"/>
      <c r="S378" s="544"/>
      <c r="T378" s="544"/>
      <c r="U378" s="544"/>
      <c r="V378" s="544"/>
      <c r="W378" s="544"/>
      <c r="X378" s="544"/>
      <c r="Y378" s="185"/>
    </row>
    <row r="379" spans="10:25" x14ac:dyDescent="0.35">
      <c r="J379" s="544"/>
      <c r="K379" s="544"/>
      <c r="L379" s="544"/>
      <c r="M379" s="544"/>
      <c r="N379" s="544"/>
      <c r="O379" s="544"/>
      <c r="P379" s="544"/>
      <c r="Q379" s="544"/>
      <c r="R379" s="544"/>
      <c r="S379" s="544"/>
      <c r="T379" s="544"/>
      <c r="U379" s="544"/>
      <c r="V379" s="544"/>
      <c r="W379" s="544"/>
      <c r="X379" s="544"/>
      <c r="Y379" s="185"/>
    </row>
    <row r="380" spans="10:25" x14ac:dyDescent="0.35">
      <c r="J380" s="544"/>
      <c r="K380" s="544"/>
      <c r="L380" s="544"/>
      <c r="M380" s="544"/>
      <c r="N380" s="544"/>
      <c r="O380" s="544"/>
      <c r="P380" s="544"/>
      <c r="Q380" s="544"/>
      <c r="R380" s="544"/>
      <c r="S380" s="544"/>
      <c r="T380" s="544"/>
      <c r="U380" s="544"/>
      <c r="V380" s="544"/>
      <c r="W380" s="544"/>
      <c r="X380" s="544"/>
      <c r="Y380" s="185"/>
    </row>
    <row r="381" spans="10:25" x14ac:dyDescent="0.35">
      <c r="J381" s="544"/>
      <c r="K381" s="544"/>
      <c r="L381" s="544"/>
      <c r="M381" s="544"/>
      <c r="N381" s="544"/>
      <c r="O381" s="544"/>
      <c r="P381" s="544"/>
      <c r="Q381" s="544"/>
      <c r="R381" s="544"/>
      <c r="S381" s="544"/>
      <c r="T381" s="544"/>
      <c r="U381" s="544"/>
      <c r="V381" s="544"/>
      <c r="W381" s="544"/>
      <c r="X381" s="544"/>
      <c r="Y381" s="185"/>
    </row>
    <row r="382" spans="10:25" x14ac:dyDescent="0.35">
      <c r="J382" s="544"/>
      <c r="K382" s="544"/>
      <c r="L382" s="544"/>
      <c r="M382" s="544"/>
      <c r="N382" s="544"/>
      <c r="O382" s="544"/>
      <c r="P382" s="544"/>
      <c r="Q382" s="544"/>
      <c r="R382" s="544"/>
      <c r="S382" s="544"/>
      <c r="T382" s="544"/>
      <c r="U382" s="544"/>
      <c r="V382" s="544"/>
      <c r="W382" s="544"/>
      <c r="X382" s="544"/>
      <c r="Y382" s="185"/>
    </row>
    <row r="383" spans="10:25" x14ac:dyDescent="0.35">
      <c r="J383" s="544"/>
      <c r="K383" s="544"/>
      <c r="L383" s="544"/>
      <c r="M383" s="544"/>
      <c r="N383" s="544"/>
      <c r="O383" s="544"/>
      <c r="P383" s="544"/>
      <c r="Q383" s="544"/>
      <c r="R383" s="544"/>
      <c r="S383" s="544"/>
      <c r="T383" s="544"/>
      <c r="U383" s="544"/>
      <c r="V383" s="544"/>
      <c r="W383" s="544"/>
      <c r="X383" s="544"/>
      <c r="Y383" s="185"/>
    </row>
    <row r="384" spans="10:25" x14ac:dyDescent="0.35">
      <c r="J384" s="544"/>
      <c r="K384" s="544"/>
      <c r="L384" s="544"/>
      <c r="M384" s="544"/>
      <c r="N384" s="544"/>
      <c r="O384" s="544"/>
      <c r="P384" s="544"/>
      <c r="Q384" s="544"/>
      <c r="R384" s="544"/>
      <c r="S384" s="544"/>
      <c r="T384" s="544"/>
      <c r="U384" s="544"/>
      <c r="V384" s="544"/>
      <c r="W384" s="544"/>
      <c r="X384" s="544"/>
      <c r="Y384" s="185"/>
    </row>
    <row r="385" spans="10:25" x14ac:dyDescent="0.35">
      <c r="J385" s="544"/>
      <c r="K385" s="544"/>
      <c r="L385" s="544"/>
      <c r="M385" s="544"/>
      <c r="N385" s="544"/>
      <c r="O385" s="544"/>
      <c r="P385" s="544"/>
      <c r="Q385" s="544"/>
      <c r="R385" s="544"/>
      <c r="S385" s="544"/>
      <c r="T385" s="544"/>
      <c r="U385" s="544"/>
      <c r="V385" s="544"/>
      <c r="W385" s="544"/>
      <c r="X385" s="544"/>
      <c r="Y385" s="185"/>
    </row>
    <row r="386" spans="10:25" x14ac:dyDescent="0.35">
      <c r="J386" s="544"/>
      <c r="K386" s="544"/>
      <c r="L386" s="544"/>
      <c r="M386" s="544"/>
      <c r="N386" s="544"/>
      <c r="O386" s="544"/>
      <c r="P386" s="544"/>
      <c r="Q386" s="544"/>
      <c r="R386" s="544"/>
      <c r="S386" s="544"/>
      <c r="T386" s="544"/>
      <c r="U386" s="544"/>
      <c r="V386" s="544"/>
      <c r="W386" s="544"/>
      <c r="X386" s="544"/>
      <c r="Y386" s="185"/>
    </row>
    <row r="387" spans="10:25" x14ac:dyDescent="0.35">
      <c r="J387" s="544"/>
      <c r="K387" s="544"/>
      <c r="L387" s="544"/>
      <c r="M387" s="544"/>
      <c r="N387" s="544"/>
      <c r="O387" s="544"/>
      <c r="P387" s="544"/>
      <c r="Q387" s="544"/>
      <c r="R387" s="544"/>
      <c r="S387" s="544"/>
      <c r="T387" s="544"/>
      <c r="U387" s="544"/>
      <c r="V387" s="544"/>
      <c r="W387" s="544"/>
      <c r="X387" s="544"/>
      <c r="Y387" s="185"/>
    </row>
    <row r="388" spans="10:25" x14ac:dyDescent="0.35">
      <c r="J388" s="544"/>
      <c r="K388" s="544"/>
      <c r="L388" s="544"/>
      <c r="M388" s="544"/>
      <c r="N388" s="544"/>
      <c r="O388" s="544"/>
      <c r="P388" s="544"/>
      <c r="Q388" s="544"/>
      <c r="R388" s="544"/>
      <c r="S388" s="544"/>
      <c r="T388" s="544"/>
      <c r="U388" s="544"/>
      <c r="V388" s="544"/>
      <c r="W388" s="544"/>
      <c r="X388" s="544"/>
      <c r="Y388" s="185"/>
    </row>
    <row r="389" spans="10:25" x14ac:dyDescent="0.35">
      <c r="J389" s="544"/>
      <c r="K389" s="544"/>
      <c r="L389" s="544"/>
      <c r="M389" s="544"/>
      <c r="N389" s="544"/>
      <c r="O389" s="544"/>
      <c r="P389" s="544"/>
      <c r="Q389" s="544"/>
      <c r="R389" s="544"/>
      <c r="S389" s="544"/>
      <c r="T389" s="544"/>
      <c r="U389" s="544"/>
      <c r="V389" s="544"/>
      <c r="W389" s="544"/>
      <c r="X389" s="544"/>
      <c r="Y389" s="185"/>
    </row>
    <row r="390" spans="10:25" x14ac:dyDescent="0.35">
      <c r="J390" s="544"/>
      <c r="K390" s="544"/>
      <c r="L390" s="544"/>
      <c r="M390" s="544"/>
      <c r="N390" s="544"/>
      <c r="O390" s="544"/>
      <c r="P390" s="544"/>
      <c r="Q390" s="544"/>
      <c r="R390" s="544"/>
      <c r="S390" s="544"/>
      <c r="T390" s="544"/>
      <c r="U390" s="544"/>
      <c r="V390" s="544"/>
      <c r="W390" s="544"/>
      <c r="X390" s="544"/>
      <c r="Y390" s="185"/>
    </row>
    <row r="391" spans="10:25" x14ac:dyDescent="0.35">
      <c r="J391" s="544"/>
      <c r="K391" s="544"/>
      <c r="L391" s="544"/>
      <c r="M391" s="544"/>
      <c r="N391" s="544"/>
      <c r="O391" s="544"/>
      <c r="P391" s="544"/>
      <c r="Q391" s="544"/>
      <c r="R391" s="544"/>
      <c r="S391" s="544"/>
      <c r="T391" s="544"/>
      <c r="U391" s="544"/>
      <c r="V391" s="544"/>
      <c r="W391" s="544"/>
      <c r="X391" s="544"/>
      <c r="Y391" s="185"/>
    </row>
    <row r="392" spans="10:25" x14ac:dyDescent="0.35">
      <c r="J392" s="544"/>
      <c r="K392" s="544"/>
      <c r="L392" s="544"/>
      <c r="M392" s="544"/>
      <c r="N392" s="544"/>
      <c r="O392" s="544"/>
      <c r="P392" s="544"/>
      <c r="Q392" s="544"/>
      <c r="R392" s="544"/>
      <c r="S392" s="544"/>
      <c r="T392" s="544"/>
      <c r="U392" s="544"/>
      <c r="V392" s="544"/>
      <c r="W392" s="544"/>
      <c r="X392" s="544"/>
      <c r="Y392" s="185"/>
    </row>
    <row r="393" spans="10:25" x14ac:dyDescent="0.35">
      <c r="J393" s="544"/>
      <c r="K393" s="544"/>
      <c r="L393" s="544"/>
      <c r="M393" s="544"/>
      <c r="N393" s="544"/>
      <c r="O393" s="544"/>
      <c r="P393" s="544"/>
      <c r="Q393" s="544"/>
      <c r="R393" s="544"/>
      <c r="S393" s="544"/>
      <c r="T393" s="544"/>
      <c r="U393" s="544"/>
      <c r="V393" s="544"/>
      <c r="W393" s="544"/>
      <c r="X393" s="544"/>
      <c r="Y393" s="185"/>
    </row>
    <row r="394" spans="10:25" x14ac:dyDescent="0.35">
      <c r="J394" s="544"/>
      <c r="K394" s="544"/>
      <c r="L394" s="544"/>
      <c r="M394" s="544"/>
      <c r="N394" s="544"/>
      <c r="O394" s="544"/>
      <c r="P394" s="544"/>
      <c r="Q394" s="544"/>
      <c r="R394" s="544"/>
      <c r="S394" s="544"/>
      <c r="T394" s="544"/>
      <c r="U394" s="544"/>
      <c r="V394" s="544"/>
      <c r="W394" s="544"/>
      <c r="X394" s="544"/>
      <c r="Y394" s="185"/>
    </row>
    <row r="395" spans="10:25" x14ac:dyDescent="0.35">
      <c r="J395" s="544"/>
      <c r="K395" s="544"/>
      <c r="L395" s="544"/>
      <c r="M395" s="544"/>
      <c r="N395" s="544"/>
      <c r="O395" s="544"/>
      <c r="P395" s="544"/>
      <c r="Q395" s="544"/>
      <c r="R395" s="544"/>
      <c r="S395" s="544"/>
      <c r="T395" s="544"/>
      <c r="U395" s="544"/>
      <c r="V395" s="544"/>
      <c r="W395" s="544"/>
      <c r="X395" s="544"/>
      <c r="Y395" s="185"/>
    </row>
    <row r="396" spans="10:25" x14ac:dyDescent="0.35">
      <c r="J396" s="544"/>
      <c r="K396" s="544"/>
      <c r="L396" s="544"/>
      <c r="M396" s="544"/>
      <c r="N396" s="544"/>
      <c r="O396" s="544"/>
      <c r="P396" s="544"/>
      <c r="Q396" s="544"/>
      <c r="R396" s="544"/>
      <c r="S396" s="544"/>
      <c r="T396" s="544"/>
      <c r="U396" s="544"/>
      <c r="V396" s="544"/>
      <c r="W396" s="544"/>
      <c r="X396" s="544"/>
      <c r="Y396" s="185"/>
    </row>
    <row r="397" spans="10:25" x14ac:dyDescent="0.35">
      <c r="J397" s="544"/>
      <c r="K397" s="544"/>
      <c r="L397" s="544"/>
      <c r="M397" s="544"/>
      <c r="N397" s="544"/>
      <c r="O397" s="544"/>
      <c r="P397" s="544"/>
      <c r="Q397" s="544"/>
      <c r="R397" s="544"/>
      <c r="S397" s="544"/>
      <c r="T397" s="544"/>
      <c r="U397" s="544"/>
      <c r="V397" s="544"/>
      <c r="W397" s="544"/>
      <c r="X397" s="544"/>
      <c r="Y397" s="185"/>
    </row>
    <row r="398" spans="10:25" x14ac:dyDescent="0.35">
      <c r="J398" s="544"/>
      <c r="K398" s="544"/>
      <c r="L398" s="544"/>
      <c r="M398" s="544"/>
      <c r="N398" s="544"/>
      <c r="O398" s="544"/>
      <c r="P398" s="544"/>
      <c r="Q398" s="544"/>
      <c r="R398" s="544"/>
      <c r="S398" s="544"/>
      <c r="T398" s="544"/>
      <c r="U398" s="544"/>
      <c r="V398" s="544"/>
      <c r="W398" s="544"/>
      <c r="X398" s="544"/>
      <c r="Y398" s="185"/>
    </row>
    <row r="399" spans="10:25" x14ac:dyDescent="0.35">
      <c r="J399" s="544"/>
      <c r="K399" s="544"/>
      <c r="L399" s="544"/>
      <c r="M399" s="544"/>
      <c r="N399" s="544"/>
      <c r="O399" s="544"/>
      <c r="P399" s="544"/>
      <c r="Q399" s="544"/>
      <c r="R399" s="544"/>
      <c r="S399" s="544"/>
      <c r="T399" s="544"/>
      <c r="U399" s="544"/>
      <c r="V399" s="544"/>
      <c r="W399" s="544"/>
      <c r="X399" s="544"/>
      <c r="Y399" s="185"/>
    </row>
    <row r="400" spans="10:25" x14ac:dyDescent="0.35">
      <c r="J400" s="544"/>
      <c r="K400" s="544"/>
      <c r="L400" s="544"/>
      <c r="M400" s="544"/>
      <c r="N400" s="544"/>
      <c r="O400" s="544"/>
      <c r="P400" s="544"/>
      <c r="Q400" s="544"/>
      <c r="R400" s="544"/>
      <c r="S400" s="544"/>
      <c r="T400" s="544"/>
      <c r="U400" s="544"/>
      <c r="V400" s="544"/>
      <c r="W400" s="544"/>
      <c r="X400" s="544"/>
      <c r="Y400" s="185"/>
    </row>
    <row r="401" spans="10:25" x14ac:dyDescent="0.35">
      <c r="J401" s="544"/>
      <c r="K401" s="544"/>
      <c r="L401" s="544"/>
      <c r="M401" s="544"/>
      <c r="N401" s="544"/>
      <c r="O401" s="544"/>
      <c r="P401" s="544"/>
      <c r="Q401" s="544"/>
      <c r="R401" s="544"/>
      <c r="S401" s="544"/>
      <c r="T401" s="544"/>
      <c r="U401" s="544"/>
      <c r="V401" s="544"/>
      <c r="W401" s="544"/>
      <c r="X401" s="544"/>
      <c r="Y401" s="185"/>
    </row>
    <row r="402" spans="10:25" x14ac:dyDescent="0.35">
      <c r="J402" s="544"/>
      <c r="K402" s="544"/>
      <c r="L402" s="544"/>
      <c r="M402" s="544"/>
      <c r="N402" s="544"/>
      <c r="O402" s="544"/>
      <c r="P402" s="544"/>
      <c r="Q402" s="544"/>
      <c r="R402" s="544"/>
      <c r="S402" s="544"/>
      <c r="T402" s="544"/>
      <c r="U402" s="544"/>
      <c r="V402" s="544"/>
      <c r="W402" s="544"/>
      <c r="X402" s="544"/>
      <c r="Y402" s="185"/>
    </row>
    <row r="403" spans="10:25" x14ac:dyDescent="0.35">
      <c r="J403" s="544"/>
      <c r="K403" s="544"/>
      <c r="L403" s="544"/>
      <c r="M403" s="544"/>
      <c r="N403" s="544"/>
      <c r="O403" s="544"/>
      <c r="P403" s="544"/>
      <c r="Q403" s="544"/>
      <c r="R403" s="544"/>
      <c r="S403" s="544"/>
      <c r="T403" s="544"/>
      <c r="U403" s="544"/>
      <c r="V403" s="544"/>
      <c r="W403" s="544"/>
      <c r="X403" s="544"/>
      <c r="Y403" s="185"/>
    </row>
    <row r="404" spans="10:25" x14ac:dyDescent="0.35">
      <c r="J404" s="544"/>
      <c r="K404" s="544"/>
      <c r="L404" s="544"/>
      <c r="M404" s="544"/>
      <c r="N404" s="544"/>
      <c r="O404" s="544"/>
      <c r="P404" s="544"/>
      <c r="Q404" s="544"/>
      <c r="R404" s="544"/>
      <c r="S404" s="544"/>
      <c r="T404" s="544"/>
      <c r="U404" s="544"/>
      <c r="V404" s="544"/>
      <c r="W404" s="544"/>
      <c r="X404" s="544"/>
      <c r="Y404" s="185"/>
    </row>
    <row r="405" spans="10:25" x14ac:dyDescent="0.35">
      <c r="J405" s="544"/>
      <c r="K405" s="544"/>
      <c r="L405" s="544"/>
      <c r="M405" s="544"/>
      <c r="N405" s="544"/>
      <c r="O405" s="544"/>
      <c r="P405" s="544"/>
      <c r="Q405" s="544"/>
      <c r="R405" s="544"/>
      <c r="S405" s="544"/>
      <c r="T405" s="544"/>
      <c r="U405" s="544"/>
      <c r="V405" s="544"/>
      <c r="W405" s="544"/>
      <c r="X405" s="544"/>
      <c r="Y405" s="185"/>
    </row>
    <row r="406" spans="10:25" x14ac:dyDescent="0.35">
      <c r="J406" s="544"/>
      <c r="K406" s="544"/>
      <c r="L406" s="544"/>
      <c r="M406" s="544"/>
      <c r="N406" s="544"/>
      <c r="O406" s="544"/>
      <c r="P406" s="544"/>
      <c r="Q406" s="544"/>
      <c r="R406" s="544"/>
      <c r="S406" s="544"/>
      <c r="T406" s="544"/>
      <c r="U406" s="544"/>
      <c r="V406" s="544"/>
      <c r="W406" s="544"/>
      <c r="X406" s="544"/>
      <c r="Y406" s="185"/>
    </row>
    <row r="407" spans="10:25" x14ac:dyDescent="0.35">
      <c r="J407" s="544"/>
      <c r="K407" s="544"/>
      <c r="L407" s="544"/>
      <c r="M407" s="544"/>
      <c r="N407" s="544"/>
      <c r="O407" s="544"/>
      <c r="P407" s="544"/>
      <c r="Q407" s="544"/>
      <c r="R407" s="544"/>
      <c r="S407" s="544"/>
      <c r="T407" s="544"/>
      <c r="U407" s="544"/>
      <c r="V407" s="544"/>
      <c r="W407" s="544"/>
      <c r="X407" s="544"/>
      <c r="Y407" s="185"/>
    </row>
    <row r="408" spans="10:25" x14ac:dyDescent="0.35">
      <c r="J408" s="544"/>
      <c r="K408" s="544"/>
      <c r="L408" s="544"/>
      <c r="M408" s="544"/>
      <c r="N408" s="544"/>
      <c r="O408" s="544"/>
      <c r="P408" s="544"/>
      <c r="Q408" s="544"/>
      <c r="R408" s="544"/>
      <c r="S408" s="544"/>
      <c r="T408" s="544"/>
      <c r="U408" s="544"/>
      <c r="V408" s="544"/>
      <c r="W408" s="544"/>
      <c r="X408" s="544"/>
      <c r="Y408" s="185"/>
    </row>
    <row r="409" spans="10:25" x14ac:dyDescent="0.35">
      <c r="J409" s="544"/>
      <c r="K409" s="544"/>
      <c r="L409" s="544"/>
      <c r="M409" s="544"/>
      <c r="N409" s="544"/>
      <c r="O409" s="544"/>
      <c r="P409" s="544"/>
      <c r="Q409" s="544"/>
      <c r="R409" s="544"/>
      <c r="S409" s="544"/>
      <c r="T409" s="544"/>
      <c r="U409" s="544"/>
      <c r="V409" s="544"/>
      <c r="W409" s="544"/>
      <c r="X409" s="544"/>
      <c r="Y409" s="185"/>
    </row>
    <row r="410" spans="10:25" x14ac:dyDescent="0.35">
      <c r="J410" s="544"/>
      <c r="K410" s="544"/>
      <c r="L410" s="544"/>
      <c r="M410" s="544"/>
      <c r="N410" s="544"/>
      <c r="O410" s="544"/>
      <c r="P410" s="544"/>
      <c r="Q410" s="544"/>
      <c r="R410" s="544"/>
      <c r="S410" s="544"/>
      <c r="T410" s="544"/>
      <c r="U410" s="544"/>
      <c r="V410" s="544"/>
      <c r="W410" s="544"/>
      <c r="X410" s="544"/>
      <c r="Y410" s="185"/>
    </row>
    <row r="411" spans="10:25" x14ac:dyDescent="0.35">
      <c r="J411" s="544"/>
      <c r="K411" s="544"/>
      <c r="L411" s="544"/>
      <c r="M411" s="544"/>
      <c r="N411" s="544"/>
      <c r="O411" s="544"/>
      <c r="P411" s="544"/>
      <c r="Q411" s="544"/>
      <c r="R411" s="544"/>
      <c r="S411" s="544"/>
      <c r="T411" s="544"/>
      <c r="U411" s="544"/>
      <c r="V411" s="544"/>
      <c r="W411" s="544"/>
      <c r="X411" s="544"/>
      <c r="Y411" s="185"/>
    </row>
    <row r="412" spans="10:25" x14ac:dyDescent="0.35">
      <c r="J412" s="544"/>
      <c r="K412" s="544"/>
      <c r="L412" s="544"/>
      <c r="M412" s="544"/>
      <c r="N412" s="544"/>
      <c r="O412" s="544"/>
      <c r="P412" s="544"/>
      <c r="Q412" s="544"/>
      <c r="R412" s="544"/>
      <c r="S412" s="544"/>
      <c r="T412" s="544"/>
      <c r="U412" s="544"/>
      <c r="V412" s="544"/>
      <c r="W412" s="544"/>
      <c r="X412" s="544"/>
      <c r="Y412" s="185"/>
    </row>
    <row r="413" spans="10:25" x14ac:dyDescent="0.35">
      <c r="J413" s="544"/>
      <c r="K413" s="544"/>
      <c r="L413" s="544"/>
      <c r="M413" s="544"/>
      <c r="N413" s="544"/>
      <c r="O413" s="544"/>
      <c r="P413" s="544"/>
      <c r="Q413" s="544"/>
      <c r="R413" s="544"/>
      <c r="S413" s="544"/>
      <c r="T413" s="544"/>
      <c r="U413" s="544"/>
      <c r="V413" s="544"/>
      <c r="W413" s="544"/>
      <c r="X413" s="544"/>
      <c r="Y413" s="185"/>
    </row>
    <row r="414" spans="10:25" x14ac:dyDescent="0.35">
      <c r="J414" s="544"/>
      <c r="K414" s="544"/>
      <c r="L414" s="544"/>
      <c r="M414" s="544"/>
      <c r="N414" s="544"/>
      <c r="O414" s="544"/>
      <c r="P414" s="544"/>
      <c r="Q414" s="544"/>
      <c r="R414" s="544"/>
      <c r="S414" s="544"/>
      <c r="T414" s="544"/>
      <c r="U414" s="544"/>
      <c r="V414" s="544"/>
      <c r="W414" s="544"/>
      <c r="X414" s="544"/>
      <c r="Y414" s="185"/>
    </row>
    <row r="415" spans="10:25" x14ac:dyDescent="0.35">
      <c r="J415" s="544"/>
      <c r="K415" s="544"/>
      <c r="L415" s="544"/>
      <c r="M415" s="544"/>
      <c r="N415" s="544"/>
      <c r="O415" s="544"/>
      <c r="P415" s="544"/>
      <c r="Q415" s="544"/>
      <c r="R415" s="544"/>
      <c r="S415" s="544"/>
      <c r="T415" s="544"/>
      <c r="U415" s="544"/>
      <c r="V415" s="544"/>
      <c r="W415" s="544"/>
      <c r="X415" s="544"/>
      <c r="Y415" s="185"/>
    </row>
    <row r="416" spans="10:25" x14ac:dyDescent="0.35">
      <c r="J416" s="544"/>
      <c r="K416" s="544"/>
      <c r="L416" s="544"/>
      <c r="M416" s="544"/>
      <c r="N416" s="544"/>
      <c r="O416" s="544"/>
      <c r="P416" s="544"/>
      <c r="Q416" s="544"/>
      <c r="R416" s="544"/>
      <c r="S416" s="544"/>
      <c r="T416" s="544"/>
      <c r="U416" s="544"/>
      <c r="V416" s="544"/>
      <c r="W416" s="544"/>
      <c r="X416" s="544"/>
      <c r="Y416" s="185"/>
    </row>
    <row r="417" spans="10:25" x14ac:dyDescent="0.35">
      <c r="J417" s="544"/>
      <c r="K417" s="544"/>
      <c r="L417" s="544"/>
      <c r="M417" s="544"/>
      <c r="N417" s="544"/>
      <c r="O417" s="544"/>
      <c r="P417" s="544"/>
      <c r="Q417" s="544"/>
      <c r="R417" s="544"/>
      <c r="S417" s="544"/>
      <c r="T417" s="544"/>
      <c r="U417" s="544"/>
      <c r="V417" s="544"/>
      <c r="W417" s="544"/>
      <c r="X417" s="544"/>
      <c r="Y417" s="185"/>
    </row>
    <row r="418" spans="10:25" x14ac:dyDescent="0.35">
      <c r="J418" s="544"/>
      <c r="K418" s="544"/>
      <c r="L418" s="544"/>
      <c r="M418" s="544"/>
      <c r="N418" s="544"/>
      <c r="O418" s="544"/>
      <c r="P418" s="544"/>
      <c r="Q418" s="544"/>
      <c r="R418" s="544"/>
      <c r="S418" s="544"/>
      <c r="T418" s="544"/>
      <c r="U418" s="544"/>
      <c r="V418" s="544"/>
      <c r="W418" s="544"/>
      <c r="X418" s="544"/>
      <c r="Y418" s="185"/>
    </row>
    <row r="419" spans="10:25" x14ac:dyDescent="0.35">
      <c r="J419" s="544"/>
      <c r="K419" s="544"/>
      <c r="L419" s="544"/>
      <c r="M419" s="544"/>
      <c r="N419" s="544"/>
      <c r="O419" s="544"/>
      <c r="P419" s="544"/>
      <c r="Q419" s="544"/>
      <c r="R419" s="544"/>
      <c r="S419" s="544"/>
      <c r="T419" s="544"/>
      <c r="U419" s="544"/>
      <c r="V419" s="544"/>
      <c r="W419" s="544"/>
      <c r="X419" s="544"/>
      <c r="Y419" s="185"/>
    </row>
    <row r="420" spans="10:25" x14ac:dyDescent="0.35">
      <c r="J420" s="544"/>
      <c r="K420" s="544"/>
      <c r="L420" s="544"/>
      <c r="M420" s="544"/>
      <c r="N420" s="544"/>
      <c r="O420" s="544"/>
      <c r="P420" s="544"/>
      <c r="Q420" s="544"/>
      <c r="R420" s="544"/>
      <c r="S420" s="544"/>
      <c r="T420" s="544"/>
      <c r="U420" s="544"/>
      <c r="V420" s="544"/>
      <c r="W420" s="544"/>
      <c r="X420" s="544"/>
      <c r="Y420" s="185"/>
    </row>
    <row r="421" spans="10:25" x14ac:dyDescent="0.35">
      <c r="J421" s="544"/>
      <c r="K421" s="544"/>
      <c r="L421" s="544"/>
      <c r="M421" s="544"/>
      <c r="N421" s="544"/>
      <c r="O421" s="544"/>
      <c r="P421" s="544"/>
      <c r="Q421" s="544"/>
      <c r="R421" s="544"/>
      <c r="S421" s="544"/>
      <c r="T421" s="544"/>
      <c r="U421" s="544"/>
      <c r="V421" s="544"/>
      <c r="W421" s="544"/>
      <c r="X421" s="544"/>
      <c r="Y421" s="185"/>
    </row>
    <row r="422" spans="10:25" x14ac:dyDescent="0.35">
      <c r="J422" s="544"/>
      <c r="K422" s="544"/>
      <c r="L422" s="544"/>
      <c r="M422" s="544"/>
      <c r="N422" s="544"/>
      <c r="O422" s="544"/>
      <c r="P422" s="544"/>
      <c r="Q422" s="544"/>
      <c r="R422" s="544"/>
      <c r="S422" s="544"/>
      <c r="T422" s="544"/>
      <c r="U422" s="544"/>
      <c r="V422" s="544"/>
      <c r="W422" s="544"/>
      <c r="X422" s="544"/>
      <c r="Y422" s="185"/>
    </row>
    <row r="423" spans="10:25" x14ac:dyDescent="0.35">
      <c r="J423" s="544"/>
      <c r="K423" s="544"/>
      <c r="L423" s="544"/>
      <c r="M423" s="544"/>
      <c r="N423" s="544"/>
      <c r="O423" s="544"/>
      <c r="P423" s="544"/>
      <c r="Q423" s="544"/>
      <c r="R423" s="544"/>
      <c r="S423" s="544"/>
      <c r="T423" s="544"/>
      <c r="U423" s="544"/>
      <c r="V423" s="544"/>
      <c r="W423" s="544"/>
      <c r="X423" s="544"/>
      <c r="Y423" s="185"/>
    </row>
    <row r="424" spans="10:25" x14ac:dyDescent="0.35">
      <c r="J424" s="544"/>
      <c r="K424" s="544"/>
      <c r="L424" s="544"/>
      <c r="M424" s="544"/>
      <c r="N424" s="544"/>
      <c r="O424" s="544"/>
      <c r="P424" s="544"/>
      <c r="Q424" s="544"/>
      <c r="R424" s="544"/>
      <c r="S424" s="544"/>
      <c r="T424" s="544"/>
      <c r="U424" s="544"/>
      <c r="V424" s="544"/>
      <c r="W424" s="544"/>
      <c r="X424" s="544"/>
      <c r="Y424" s="185"/>
    </row>
    <row r="425" spans="10:25" x14ac:dyDescent="0.35">
      <c r="J425" s="544"/>
      <c r="K425" s="544"/>
      <c r="L425" s="544"/>
      <c r="M425" s="544"/>
      <c r="N425" s="544"/>
      <c r="O425" s="544"/>
      <c r="P425" s="544"/>
      <c r="Q425" s="544"/>
      <c r="R425" s="544"/>
      <c r="S425" s="544"/>
      <c r="T425" s="544"/>
      <c r="U425" s="544"/>
      <c r="V425" s="544"/>
      <c r="W425" s="544"/>
      <c r="X425" s="544"/>
      <c r="Y425" s="185"/>
    </row>
    <row r="426" spans="10:25" x14ac:dyDescent="0.35">
      <c r="J426" s="544"/>
      <c r="K426" s="544"/>
      <c r="L426" s="544"/>
      <c r="M426" s="544"/>
      <c r="N426" s="544"/>
      <c r="O426" s="544"/>
      <c r="P426" s="544"/>
      <c r="Q426" s="544"/>
      <c r="R426" s="544"/>
      <c r="S426" s="544"/>
      <c r="T426" s="544"/>
      <c r="U426" s="544"/>
      <c r="V426" s="544"/>
      <c r="W426" s="544"/>
      <c r="X426" s="544"/>
      <c r="Y426" s="185"/>
    </row>
    <row r="427" spans="10:25" x14ac:dyDescent="0.35">
      <c r="J427" s="544"/>
      <c r="K427" s="544"/>
      <c r="L427" s="544"/>
      <c r="M427" s="544"/>
      <c r="N427" s="544"/>
      <c r="O427" s="544"/>
      <c r="P427" s="544"/>
      <c r="Q427" s="544"/>
      <c r="R427" s="544"/>
      <c r="S427" s="544"/>
      <c r="T427" s="544"/>
      <c r="U427" s="544"/>
      <c r="V427" s="544"/>
      <c r="W427" s="544"/>
      <c r="X427" s="544"/>
      <c r="Y427" s="185"/>
    </row>
    <row r="428" spans="10:25" x14ac:dyDescent="0.35">
      <c r="J428" s="544"/>
      <c r="K428" s="544"/>
      <c r="L428" s="544"/>
      <c r="M428" s="544"/>
      <c r="N428" s="544"/>
      <c r="O428" s="544"/>
      <c r="P428" s="544"/>
      <c r="Q428" s="544"/>
      <c r="R428" s="544"/>
      <c r="S428" s="544"/>
      <c r="T428" s="544"/>
      <c r="U428" s="544"/>
      <c r="V428" s="544"/>
      <c r="W428" s="544"/>
      <c r="X428" s="544"/>
      <c r="Y428" s="185"/>
    </row>
    <row r="429" spans="10:25" x14ac:dyDescent="0.35">
      <c r="J429" s="544"/>
      <c r="K429" s="544"/>
      <c r="L429" s="544"/>
      <c r="M429" s="544"/>
      <c r="N429" s="544"/>
      <c r="O429" s="544"/>
      <c r="P429" s="544"/>
      <c r="Q429" s="544"/>
      <c r="R429" s="544"/>
      <c r="S429" s="544"/>
      <c r="T429" s="544"/>
      <c r="U429" s="544"/>
      <c r="V429" s="544"/>
      <c r="W429" s="544"/>
      <c r="X429" s="544"/>
      <c r="Y429" s="185"/>
    </row>
    <row r="430" spans="10:25" x14ac:dyDescent="0.35">
      <c r="J430" s="544"/>
      <c r="K430" s="544"/>
      <c r="L430" s="544"/>
      <c r="M430" s="544"/>
      <c r="N430" s="544"/>
      <c r="O430" s="544"/>
      <c r="P430" s="544"/>
      <c r="Q430" s="544"/>
      <c r="R430" s="544"/>
      <c r="S430" s="544"/>
      <c r="T430" s="544"/>
      <c r="U430" s="544"/>
      <c r="V430" s="544"/>
      <c r="W430" s="544"/>
      <c r="X430" s="544"/>
      <c r="Y430" s="185"/>
    </row>
    <row r="431" spans="10:25" x14ac:dyDescent="0.35">
      <c r="J431" s="544"/>
      <c r="K431" s="544"/>
      <c r="L431" s="544"/>
      <c r="M431" s="544"/>
      <c r="N431" s="544"/>
      <c r="O431" s="544"/>
      <c r="P431" s="544"/>
      <c r="Q431" s="544"/>
      <c r="R431" s="544"/>
      <c r="S431" s="544"/>
      <c r="T431" s="544"/>
      <c r="U431" s="544"/>
      <c r="V431" s="544"/>
      <c r="W431" s="544"/>
      <c r="X431" s="544"/>
      <c r="Y431" s="185"/>
    </row>
    <row r="432" spans="10:25" x14ac:dyDescent="0.35">
      <c r="J432" s="544"/>
      <c r="K432" s="544"/>
      <c r="L432" s="544"/>
      <c r="M432" s="544"/>
      <c r="N432" s="544"/>
      <c r="O432" s="544"/>
      <c r="P432" s="544"/>
      <c r="Q432" s="544"/>
      <c r="R432" s="544"/>
      <c r="S432" s="544"/>
      <c r="T432" s="544"/>
      <c r="U432" s="544"/>
      <c r="V432" s="544"/>
      <c r="W432" s="544"/>
      <c r="X432" s="544"/>
      <c r="Y432" s="185"/>
    </row>
    <row r="433" spans="10:25" x14ac:dyDescent="0.35">
      <c r="J433" s="544"/>
      <c r="K433" s="544"/>
      <c r="L433" s="544"/>
      <c r="M433" s="544"/>
      <c r="N433" s="544"/>
      <c r="O433" s="544"/>
      <c r="P433" s="544"/>
      <c r="Q433" s="544"/>
      <c r="R433" s="544"/>
      <c r="S433" s="544"/>
      <c r="T433" s="544"/>
      <c r="U433" s="544"/>
      <c r="V433" s="544"/>
      <c r="W433" s="544"/>
      <c r="X433" s="544"/>
      <c r="Y433" s="185"/>
    </row>
    <row r="434" spans="10:25" x14ac:dyDescent="0.35">
      <c r="J434" s="544"/>
      <c r="K434" s="544"/>
      <c r="L434" s="544"/>
      <c r="M434" s="544"/>
      <c r="N434" s="544"/>
      <c r="O434" s="544"/>
      <c r="P434" s="544"/>
      <c r="Q434" s="544"/>
      <c r="R434" s="544"/>
      <c r="S434" s="544"/>
      <c r="T434" s="544"/>
      <c r="U434" s="544"/>
      <c r="V434" s="544"/>
      <c r="W434" s="544"/>
      <c r="X434" s="544"/>
      <c r="Y434" s="185"/>
    </row>
    <row r="435" spans="10:25" x14ac:dyDescent="0.35">
      <c r="J435" s="544"/>
      <c r="K435" s="544"/>
      <c r="L435" s="185"/>
      <c r="M435" s="185"/>
      <c r="N435" s="185"/>
      <c r="O435" s="185"/>
      <c r="P435" s="185"/>
      <c r="Q435" s="185"/>
      <c r="R435" s="185"/>
      <c r="S435" s="185"/>
      <c r="T435" s="185"/>
      <c r="U435" s="185"/>
      <c r="V435" s="185"/>
      <c r="W435" s="185"/>
      <c r="X435" s="544"/>
      <c r="Y435" s="185"/>
    </row>
    <row r="436" spans="10:25" x14ac:dyDescent="0.35">
      <c r="J436" s="544"/>
      <c r="K436" s="544"/>
      <c r="X436" s="544"/>
      <c r="Y436" s="185"/>
    </row>
    <row r="437" spans="10:25" x14ac:dyDescent="0.35">
      <c r="X437" s="185"/>
      <c r="Y437" s="185"/>
    </row>
    <row r="438" spans="10:25" x14ac:dyDescent="0.35">
      <c r="Y438" s="185"/>
    </row>
    <row r="439" spans="10:25" x14ac:dyDescent="0.35">
      <c r="Y439" s="185"/>
    </row>
  </sheetData>
  <sheetProtection algorithmName="SHA-512" hashValue="KqvaFboy8UqYakXuaP0HJC8XJUm6IKGL8t4MslN5ny9YQxJ6g+aVOql6EzFnlULS85MIsWfbHgr0OOa/LzQQZw==" saltValue="GCvX3PO73yxSjgKzpirTXg==" spinCount="100000" sheet="1" objects="1" scenarios="1" selectLockedCells="1" selectUnlockedCells="1"/>
  <mergeCells count="1">
    <mergeCell ref="E20:F21"/>
  </mergeCells>
  <pageMargins left="0.26" right="0.16" top="0.35" bottom="0.19" header="0.17" footer="0.19"/>
  <pageSetup paperSize="9" scale="92" orientation="portrait" r:id="rId1"/>
  <headerFooter alignWithMargins="0">
    <oddHeader>&amp;L&amp;8&amp;F&amp;R&amp;8Datum en tijd; &amp;D  &amp;T&amp;CBed 0</oddHeader>
  </headerFooter>
  <colBreaks count="1" manualBreakCount="1">
    <brk id="7" max="1048575" man="1"/>
  </colBreaks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int">
    <tabColor rgb="FF7030A0"/>
    <pageSetUpPr autoPageBreaks="0"/>
  </sheetPr>
  <dimension ref="A1:Q146"/>
  <sheetViews>
    <sheetView zoomScaleNormal="100" workbookViewId="0"/>
  </sheetViews>
  <sheetFormatPr defaultColWidth="9.1328125" defaultRowHeight="12.85" x14ac:dyDescent="0.35"/>
  <cols>
    <col min="1" max="1" width="3.1328125" style="271" customWidth="1"/>
    <col min="2" max="16" width="5.73046875" style="271" customWidth="1"/>
    <col min="17" max="17" width="6.86328125" style="271" customWidth="1"/>
    <col min="18" max="20" width="5.73046875" style="271" customWidth="1"/>
    <col min="21" max="16384" width="9.1328125" style="271"/>
  </cols>
  <sheetData>
    <row r="1" spans="1:17" x14ac:dyDescent="0.35">
      <c r="A1" s="576"/>
      <c r="B1" s="271" t="s">
        <v>1005</v>
      </c>
      <c r="D1" s="272">
        <f>_Bed</f>
        <v>0</v>
      </c>
      <c r="L1" s="271" t="s">
        <v>1006</v>
      </c>
      <c r="M1" s="948">
        <f ca="1">TODAY()</f>
        <v>42722</v>
      </c>
      <c r="N1" s="949"/>
      <c r="O1" s="273">
        <f ca="1">NOW()</f>
        <v>42722.539963194446</v>
      </c>
      <c r="P1" s="273"/>
    </row>
    <row r="2" spans="1:17" ht="6.8" customHeight="1" x14ac:dyDescent="0.35"/>
    <row r="3" spans="1:17" ht="13.2" x14ac:dyDescent="0.4">
      <c r="B3" s="274" t="str">
        <f>Afspraken1700!B10</f>
        <v>Medische Afspraken</v>
      </c>
      <c r="J3" s="271" t="s">
        <v>707</v>
      </c>
      <c r="M3" s="950">
        <f>_PatNum</f>
        <v>0</v>
      </c>
      <c r="N3" s="950"/>
      <c r="O3" s="275"/>
    </row>
    <row r="4" spans="1:17" ht="13.2" x14ac:dyDescent="0.4">
      <c r="B4" s="274" t="str">
        <f>Afspraken1700!B11</f>
        <v>Afdeling Neonatologie (IC-HC-MC)</v>
      </c>
      <c r="J4" s="271" t="str">
        <f>Afspraken1700!G11</f>
        <v>Naam:</v>
      </c>
      <c r="M4" s="276" t="str">
        <f>Afspraken1700!I11</f>
        <v>Achternaam,  Voornaam</v>
      </c>
      <c r="N4" s="277"/>
      <c r="O4" s="275"/>
    </row>
    <row r="5" spans="1:17" ht="13.2" x14ac:dyDescent="0.4">
      <c r="B5" s="274" t="str">
        <f>Afspraken1700!B12</f>
        <v>Divisie Obstetrie Neonatologie en Gynaecologie</v>
      </c>
      <c r="J5" s="271" t="str">
        <f>Afspraken1700!G12</f>
        <v>Geboortedatum:</v>
      </c>
      <c r="M5" s="951">
        <f>Afspraken1700!I12</f>
        <v>42370</v>
      </c>
      <c r="N5" s="951"/>
      <c r="O5" s="951"/>
      <c r="P5" s="951"/>
    </row>
    <row r="6" spans="1:17" ht="15.1" x14ac:dyDescent="0.4">
      <c r="A6" s="576"/>
      <c r="B6" s="278"/>
      <c r="C6" s="279"/>
      <c r="D6" s="279"/>
      <c r="E6" s="279"/>
      <c r="F6" s="279"/>
      <c r="G6" s="279"/>
      <c r="H6" s="279"/>
      <c r="I6" s="279"/>
      <c r="J6" s="271" t="str">
        <f ca="1">"Leeftijd: "&amp;Dag&amp;" dag(-en)"</f>
        <v>Leeftijd: 353 dag(-en)</v>
      </c>
      <c r="N6" s="279" t="s">
        <v>1007</v>
      </c>
      <c r="O6" s="279" t="str">
        <f>Afspraken1700!H13&amp;" weken en "&amp;Afspraken1700!J13&amp;" dagen"</f>
        <v>30 weken en 0 dagen</v>
      </c>
      <c r="Q6" s="279"/>
    </row>
    <row r="7" spans="1:17" ht="9.0500000000000007" customHeight="1" x14ac:dyDescent="0.4">
      <c r="B7" s="280"/>
      <c r="C7" s="281"/>
      <c r="D7" s="281"/>
      <c r="E7" s="281"/>
      <c r="F7" s="281"/>
      <c r="G7" s="281"/>
      <c r="H7" s="281"/>
      <c r="I7" s="281"/>
      <c r="J7" s="281"/>
      <c r="K7" s="281"/>
      <c r="L7" s="281"/>
      <c r="M7" s="281"/>
      <c r="N7" s="281"/>
      <c r="O7" s="282"/>
      <c r="P7" s="282"/>
      <c r="Q7" s="281"/>
    </row>
    <row r="8" spans="1:17" x14ac:dyDescent="0.35">
      <c r="P8" s="283" t="s">
        <v>1008</v>
      </c>
      <c r="Q8" s="284"/>
    </row>
    <row r="9" spans="1:17" x14ac:dyDescent="0.35">
      <c r="B9" s="271" t="str">
        <f>Afspraken1700!B14</f>
        <v>Datum:</v>
      </c>
      <c r="D9" s="952">
        <f>Afspraken1700!C14</f>
        <v>42370</v>
      </c>
      <c r="E9" s="952"/>
      <c r="F9" s="949"/>
      <c r="I9" s="271" t="str">
        <f>Afspraken1700!G16</f>
        <v>Gewicht:</v>
      </c>
      <c r="K9" s="271" t="str">
        <f>Afspraken1700!H16</f>
        <v>10 kg</v>
      </c>
      <c r="P9" s="283" t="s">
        <v>1009</v>
      </c>
      <c r="Q9" s="284"/>
    </row>
    <row r="10" spans="1:17" x14ac:dyDescent="0.35">
      <c r="B10" s="271" t="str">
        <f>Afspraken1700!B15</f>
        <v>Bed:</v>
      </c>
      <c r="F10" s="271">
        <f>_Arts</f>
        <v>0</v>
      </c>
      <c r="I10" s="953" t="str">
        <f ca="1">"Leeftijd: "&amp;Afspraken1700!$H$15</f>
        <v>Leeftijd: 80 weken en 2 dag(-en)</v>
      </c>
      <c r="J10" s="949"/>
      <c r="K10" s="949"/>
      <c r="L10" s="949"/>
      <c r="M10" s="949"/>
      <c r="N10" s="949"/>
      <c r="O10" s="954"/>
      <c r="P10" s="283"/>
      <c r="Q10" s="284"/>
    </row>
    <row r="11" spans="1:17" x14ac:dyDescent="0.35">
      <c r="B11" s="281" t="s">
        <v>1010</v>
      </c>
      <c r="C11" s="281"/>
      <c r="D11" s="281"/>
      <c r="E11" s="281"/>
      <c r="F11" s="281"/>
      <c r="G11" s="281"/>
      <c r="H11" s="281"/>
      <c r="I11" s="281"/>
      <c r="J11" s="281"/>
      <c r="K11" s="281"/>
      <c r="L11" s="281"/>
      <c r="M11" s="281"/>
      <c r="N11" s="281"/>
      <c r="O11" s="281"/>
      <c r="P11" s="283"/>
      <c r="Q11" s="284"/>
    </row>
    <row r="12" spans="1:17" x14ac:dyDescent="0.35">
      <c r="P12" s="283"/>
      <c r="Q12" s="284"/>
    </row>
    <row r="13" spans="1:17" ht="13.2" x14ac:dyDescent="0.4">
      <c r="B13" s="285" t="str">
        <f>Afspraken1700!B18</f>
        <v>Totale vochtintake</v>
      </c>
      <c r="C13" s="279"/>
      <c r="D13" s="279"/>
      <c r="E13" s="279"/>
      <c r="F13" s="286">
        <f ca="1">Afspraken1700!E18</f>
        <v>0</v>
      </c>
      <c r="G13" s="279" t="str">
        <f>Afspraken1700!F18</f>
        <v>ml/ kg/ 24 uur</v>
      </c>
      <c r="H13" s="279"/>
      <c r="I13" s="279"/>
      <c r="J13" s="271" t="str">
        <f ca="1">"= "&amp;Berekeningen1700!L47&amp;" ml"</f>
        <v>= 0 ml</v>
      </c>
      <c r="P13" s="283"/>
      <c r="Q13" s="284"/>
    </row>
    <row r="14" spans="1:17" ht="13.2" x14ac:dyDescent="0.4">
      <c r="B14" s="285"/>
      <c r="C14" s="279"/>
      <c r="D14" s="279"/>
      <c r="E14" s="279"/>
      <c r="F14" s="286"/>
      <c r="G14" s="279"/>
      <c r="H14" s="279"/>
      <c r="I14" s="279"/>
      <c r="P14" s="618"/>
      <c r="Q14" s="619"/>
    </row>
    <row r="15" spans="1:17" ht="13.2" x14ac:dyDescent="0.4">
      <c r="B15" s="285"/>
      <c r="C15" s="279"/>
      <c r="D15" s="279"/>
      <c r="E15" s="279"/>
      <c r="F15" s="286"/>
      <c r="G15" s="279"/>
      <c r="H15" s="279"/>
      <c r="I15" s="279"/>
      <c r="J15" s="277" t="s">
        <v>1743</v>
      </c>
      <c r="P15" s="618"/>
      <c r="Q15" s="619"/>
    </row>
    <row r="16" spans="1:17" ht="13.2" x14ac:dyDescent="0.4">
      <c r="B16" s="274" t="str">
        <f>Afspraken1700!H21</f>
        <v>Voeding:</v>
      </c>
      <c r="E16" s="271">
        <f>INDEX(Pos,Berekeningen1700!D14,1)</f>
        <v>0</v>
      </c>
      <c r="I16" s="271" t="str">
        <f>IF(OR(J16&lt;&gt;0,J17&lt;&gt;0,J18&lt;&gt;0,J19&lt;&gt;0,J20&lt;&gt;0),"met","")</f>
        <v>met</v>
      </c>
      <c r="J16" s="271" t="str">
        <f>IF(Berekeningen1700!L52=0,"","BMF in MM")</f>
        <v/>
      </c>
      <c r="M16" s="277">
        <f>IF(J16&lt;&gt;0,Berekeningen1700!L52,0)</f>
        <v>0</v>
      </c>
      <c r="N16" s="271" t="str">
        <f>IF(M16&lt;&gt;0,"%","")</f>
        <v/>
      </c>
      <c r="P16" s="618"/>
      <c r="Q16" s="619"/>
    </row>
    <row r="17" spans="1:17" ht="13.2" x14ac:dyDescent="0.4">
      <c r="B17" s="287" t="str">
        <f>Afspraken1700!D21</f>
        <v>Hoeveelheid:</v>
      </c>
      <c r="E17" s="276" t="str">
        <f>Afspraken1700!$E$21</f>
        <v/>
      </c>
      <c r="F17" s="271" t="str">
        <f>Afspraken1700!F21</f>
        <v>maal</v>
      </c>
      <c r="G17" s="277" t="str">
        <f>Afspraken1700!G21</f>
        <v/>
      </c>
      <c r="J17" s="271">
        <f>INDEX(lijstToevoegingenMMPrint,Berekeningen1700!B53,1)</f>
        <v>0</v>
      </c>
      <c r="M17" s="277">
        <f>IF(J17&lt;&gt;0,Berekeningen1700!L53,0)</f>
        <v>0</v>
      </c>
      <c r="N17" s="271" t="str">
        <f t="shared" ref="N17:N26" si="0">IF(M17&lt;&gt;0,"%","")</f>
        <v/>
      </c>
      <c r="P17" s="618"/>
      <c r="Q17" s="619"/>
    </row>
    <row r="18" spans="1:17" ht="13.2" x14ac:dyDescent="0.4">
      <c r="C18" s="288" t="str">
        <f>IF(E18="","","en")</f>
        <v/>
      </c>
      <c r="E18" s="276" t="str">
        <f>IF(Afspraken1700!G22&lt;&gt;"0 ml",Afspraken1700!$E$22,"")</f>
        <v/>
      </c>
      <c r="F18" s="271" t="str">
        <f>IF(Afspraken1700!G22&lt;&gt;"0 ml",Afspraken1700!F22,"")</f>
        <v>maal</v>
      </c>
      <c r="G18" s="277" t="str">
        <f>IF(Afspraken1700!G22&lt;&gt;"0 ml",Afspraken1700!G22,"")</f>
        <v/>
      </c>
      <c r="J18" s="271">
        <f>INDEX(lijstToevoegingenMMPrint,Berekeningen1700!B54,1)</f>
        <v>0</v>
      </c>
      <c r="M18" s="277">
        <f>IF(J18&lt;&gt;0,Berekeningen1700!L54,0)</f>
        <v>0</v>
      </c>
      <c r="N18" s="271" t="str">
        <f t="shared" si="0"/>
        <v/>
      </c>
      <c r="P18" s="618"/>
      <c r="Q18" s="619"/>
    </row>
    <row r="19" spans="1:17" ht="13.2" x14ac:dyDescent="0.4">
      <c r="J19" s="271">
        <f>INDEX(lijstToevoegingenMMPrint,Berekeningen1700!B55,1)</f>
        <v>0</v>
      </c>
      <c r="M19" s="277">
        <f>IF(J19&lt;&gt;0,Berekeningen1700!L55,0)</f>
        <v>0</v>
      </c>
      <c r="N19" s="271" t="str">
        <f t="shared" si="0"/>
        <v/>
      </c>
      <c r="P19" s="618"/>
      <c r="Q19" s="619"/>
    </row>
    <row r="20" spans="1:17" ht="13.2" x14ac:dyDescent="0.4">
      <c r="B20" s="285"/>
      <c r="C20" s="279"/>
      <c r="D20" s="279"/>
      <c r="E20" s="279"/>
      <c r="F20" s="286"/>
      <c r="G20" s="279"/>
      <c r="H20" s="279"/>
      <c r="I20" s="279"/>
      <c r="J20" s="271">
        <f>INDEX(lijstToevoegingenMMPrint,Berekeningen1700!B56,1)</f>
        <v>0</v>
      </c>
      <c r="K20" s="279"/>
      <c r="L20" s="289"/>
      <c r="M20" s="277">
        <f>IF(J20&lt;&gt;0,Berekeningen1700!L56,0)</f>
        <v>0</v>
      </c>
      <c r="N20" s="271" t="str">
        <f t="shared" si="0"/>
        <v/>
      </c>
      <c r="P20" s="618"/>
      <c r="Q20" s="619"/>
    </row>
    <row r="21" spans="1:17" ht="13.2" x14ac:dyDescent="0.4">
      <c r="B21" s="277"/>
      <c r="P21" s="283"/>
      <c r="Q21" s="284"/>
    </row>
    <row r="22" spans="1:17" ht="13.2" x14ac:dyDescent="0.4">
      <c r="B22" s="277"/>
      <c r="I22" s="279"/>
      <c r="J22" s="277" t="s">
        <v>1744</v>
      </c>
      <c r="P22" s="618"/>
      <c r="Q22" s="619"/>
    </row>
    <row r="23" spans="1:17" ht="13.2" x14ac:dyDescent="0.4">
      <c r="B23" s="277"/>
      <c r="I23" s="271" t="str">
        <f>IF(OR(J23&lt;&gt;0,J24&lt;&gt;0,J25&lt;&gt;0,J26&lt;&gt;0),"met","")</f>
        <v/>
      </c>
      <c r="J23" s="271">
        <f>INDEX(lijstToevoegingenKVPrint,Berekeningen1700!B58,1)</f>
        <v>0</v>
      </c>
      <c r="M23" s="277">
        <f>IF(J23&lt;&gt;0,Berekeningen1700!L58,0)</f>
        <v>0</v>
      </c>
      <c r="N23" s="271" t="str">
        <f t="shared" si="0"/>
        <v/>
      </c>
      <c r="P23" s="618"/>
      <c r="Q23" s="619"/>
    </row>
    <row r="24" spans="1:17" ht="13.2" x14ac:dyDescent="0.4">
      <c r="B24" s="277"/>
      <c r="J24" s="271">
        <f>INDEX(lijstToevoegingenKVPrint,Berekeningen1700!B59,1)</f>
        <v>0</v>
      </c>
      <c r="M24" s="277">
        <f>IF(J24&lt;&gt;0,Berekeningen1700!L59,0)</f>
        <v>0</v>
      </c>
      <c r="N24" s="271" t="str">
        <f t="shared" si="0"/>
        <v/>
      </c>
      <c r="P24" s="618"/>
      <c r="Q24" s="619"/>
    </row>
    <row r="25" spans="1:17" ht="13.2" x14ac:dyDescent="0.4">
      <c r="J25" s="271">
        <f>INDEX(lijstToevoegingenKVPrint,Berekeningen1700!B60,1)</f>
        <v>0</v>
      </c>
      <c r="M25" s="277">
        <f>IF(J25&lt;&gt;0,Berekeningen1700!L60,0)</f>
        <v>0</v>
      </c>
      <c r="N25" s="271" t="str">
        <f t="shared" si="0"/>
        <v/>
      </c>
      <c r="P25" s="283"/>
      <c r="Q25" s="284"/>
    </row>
    <row r="26" spans="1:17" ht="13.2" x14ac:dyDescent="0.4">
      <c r="J26" s="271">
        <f>INDEX(lijstToevoegingenKVPrint,Berekeningen1700!B61,1)</f>
        <v>0</v>
      </c>
      <c r="M26" s="277">
        <f>IF(J26&lt;&gt;0,Berekeningen1700!L61,0)</f>
        <v>0</v>
      </c>
      <c r="N26" s="271" t="str">
        <f t="shared" si="0"/>
        <v/>
      </c>
      <c r="P26" s="283"/>
      <c r="Q26" s="284"/>
    </row>
    <row r="27" spans="1:17" x14ac:dyDescent="0.35">
      <c r="P27" s="283"/>
      <c r="Q27" s="284"/>
    </row>
    <row r="28" spans="1:17" x14ac:dyDescent="0.35">
      <c r="B28" s="290" t="str">
        <f>IF(Berekeningen1700!K14=1,"De voeding is extra","")</f>
        <v>De voeding is extra</v>
      </c>
      <c r="C28" s="281"/>
      <c r="D28" s="281"/>
      <c r="E28" s="281"/>
      <c r="F28" s="281"/>
      <c r="G28" s="281"/>
      <c r="H28" s="281"/>
      <c r="I28" s="281"/>
      <c r="J28" s="281"/>
      <c r="K28" s="281"/>
      <c r="L28" s="281"/>
      <c r="M28" s="281"/>
      <c r="N28" s="281"/>
      <c r="O28" s="281"/>
      <c r="P28" s="291"/>
      <c r="Q28" s="292"/>
    </row>
    <row r="29" spans="1:17" x14ac:dyDescent="0.35">
      <c r="P29" s="283"/>
      <c r="Q29" s="284"/>
    </row>
    <row r="30" spans="1:17" ht="13.2" x14ac:dyDescent="0.4">
      <c r="B30" s="274" t="str">
        <f>Afspraken1700!B28</f>
        <v>Infuus/parenterale voeding:</v>
      </c>
      <c r="G30" s="277">
        <f ca="1">Afspraken1700!E28</f>
        <v>0</v>
      </c>
      <c r="H30" s="271" t="str">
        <f>Afspraken1700!F28</f>
        <v>ml/ 24 uur</v>
      </c>
      <c r="O30" s="284"/>
      <c r="P30" s="279"/>
      <c r="Q30" s="284"/>
    </row>
    <row r="31" spans="1:17" x14ac:dyDescent="0.35">
      <c r="O31" s="284"/>
      <c r="P31" s="293" t="s">
        <v>1011</v>
      </c>
      <c r="Q31" s="284"/>
    </row>
    <row r="32" spans="1:17" ht="15.95" customHeight="1" x14ac:dyDescent="0.4">
      <c r="A32" s="271">
        <v>1</v>
      </c>
      <c r="B32" s="294" t="str">
        <f>IF(_ArtLijn&gt;0,Afspraken1700!B30,"")</f>
        <v/>
      </c>
      <c r="C32" s="294"/>
      <c r="D32" s="294"/>
      <c r="E32" s="294"/>
      <c r="F32" s="294"/>
      <c r="G32" s="294"/>
      <c r="H32" s="294"/>
      <c r="I32" s="294"/>
      <c r="J32" s="294"/>
      <c r="K32" s="295" t="str">
        <f>IF(Afspraken1700!G30&lt;&gt; "0 ml/uur",Afspraken1700!G30,"")</f>
        <v/>
      </c>
      <c r="L32" s="294"/>
      <c r="M32" s="294"/>
      <c r="N32" s="294"/>
      <c r="O32" s="296"/>
      <c r="P32" s="297" t="str">
        <f>IF(B32="","",IF(Berekeningen1700!K18,"ja","nee"))</f>
        <v/>
      </c>
      <c r="Q32" s="298"/>
    </row>
    <row r="33" spans="1:17" ht="15.95" customHeight="1" x14ac:dyDescent="0.4">
      <c r="A33" s="271">
        <v>2</v>
      </c>
      <c r="B33" s="299">
        <f>INDEX(Medicamenten,Berekeningen1700!B20,1)</f>
        <v>0</v>
      </c>
      <c r="C33" s="294"/>
      <c r="D33" s="299"/>
      <c r="E33" s="300" t="str">
        <f>Afspraken1700!C32</f>
        <v/>
      </c>
      <c r="F33" s="299"/>
      <c r="G33" s="301" t="str">
        <f>Afspraken1700!D32</f>
        <v/>
      </c>
      <c r="H33" s="299"/>
      <c r="I33" s="302">
        <f>INDEX(Opl,Berekeningen1700!E20,1)</f>
        <v>0</v>
      </c>
      <c r="J33" s="299"/>
      <c r="K33" s="300" t="str">
        <f>Afspraken1700!G32</f>
        <v/>
      </c>
      <c r="L33" s="299"/>
      <c r="M33" s="303" t="str">
        <f>Afspraken1700!H32</f>
        <v/>
      </c>
      <c r="N33" s="304">
        <f>INDEX(Dos,Berekeningen1700!H20,1)</f>
        <v>0</v>
      </c>
      <c r="O33" s="305"/>
      <c r="P33" s="302" t="str">
        <f>IF(B33&lt;&gt;0,IF(Berekeningen1700!K20,"ja","nee"),"")</f>
        <v/>
      </c>
      <c r="Q33" s="306"/>
    </row>
    <row r="34" spans="1:17" ht="15.95" customHeight="1" x14ac:dyDescent="0.4">
      <c r="A34" s="271">
        <v>3</v>
      </c>
      <c r="B34" s="299">
        <f>INDEX(Medicamenten,Berekeningen1700!B21,1)</f>
        <v>0</v>
      </c>
      <c r="C34" s="294"/>
      <c r="D34" s="299"/>
      <c r="E34" s="300" t="str">
        <f>Afspraken1700!C33</f>
        <v/>
      </c>
      <c r="F34" s="299"/>
      <c r="G34" s="301" t="str">
        <f>Afspraken1700!D33</f>
        <v/>
      </c>
      <c r="H34" s="299"/>
      <c r="I34" s="302">
        <f>INDEX(Opl,Berekeningen1700!E21,1)</f>
        <v>0</v>
      </c>
      <c r="J34" s="299"/>
      <c r="K34" s="300" t="str">
        <f>Afspraken1700!G33</f>
        <v/>
      </c>
      <c r="L34" s="299"/>
      <c r="M34" s="303" t="str">
        <f>Afspraken1700!H33</f>
        <v/>
      </c>
      <c r="N34" s="304">
        <f>INDEX(Dos,Berekeningen1700!H21,1)</f>
        <v>0</v>
      </c>
      <c r="O34" s="305"/>
      <c r="P34" s="302" t="str">
        <f>IF(B34&lt;&gt;0,IF(Berekeningen1700!K21,"ja","nee"),"")</f>
        <v/>
      </c>
      <c r="Q34" s="298"/>
    </row>
    <row r="35" spans="1:17" ht="15.95" customHeight="1" x14ac:dyDescent="0.4">
      <c r="A35" s="271">
        <v>4</v>
      </c>
      <c r="B35" s="299">
        <f>INDEX(Medicamenten,Berekeningen1700!B22,1)</f>
        <v>0</v>
      </c>
      <c r="C35" s="294"/>
      <c r="D35" s="299"/>
      <c r="E35" s="300" t="str">
        <f>Afspraken1700!C34</f>
        <v/>
      </c>
      <c r="F35" s="299"/>
      <c r="G35" s="301" t="str">
        <f>Afspraken1700!D34</f>
        <v/>
      </c>
      <c r="H35" s="299"/>
      <c r="I35" s="302">
        <f>INDEX(Opl,Berekeningen1700!E22,1)</f>
        <v>0</v>
      </c>
      <c r="J35" s="299"/>
      <c r="K35" s="300" t="str">
        <f>Afspraken1700!G34</f>
        <v/>
      </c>
      <c r="L35" s="299"/>
      <c r="M35" s="303" t="str">
        <f>Afspraken1700!H34</f>
        <v/>
      </c>
      <c r="N35" s="304">
        <f>INDEX(Dos,Berekeningen1700!H22,1)</f>
        <v>0</v>
      </c>
      <c r="O35" s="305"/>
      <c r="P35" s="302" t="str">
        <f>IF(B35&lt;&gt;0,IF(Berekeningen1700!K22,"ja","nee"),"")</f>
        <v/>
      </c>
      <c r="Q35" s="306"/>
    </row>
    <row r="36" spans="1:17" ht="15.95" customHeight="1" x14ac:dyDescent="0.4">
      <c r="A36" s="271">
        <v>5</v>
      </c>
      <c r="B36" s="299">
        <f>INDEX(Medicamenten,Berekeningen1700!B23,1)</f>
        <v>0</v>
      </c>
      <c r="C36" s="294"/>
      <c r="D36" s="299"/>
      <c r="E36" s="300" t="str">
        <f>Afspraken1700!C35</f>
        <v/>
      </c>
      <c r="F36" s="299"/>
      <c r="G36" s="301" t="str">
        <f>Afspraken1700!D35</f>
        <v/>
      </c>
      <c r="H36" s="299"/>
      <c r="I36" s="302">
        <f>INDEX(Opl,Berekeningen1700!E23,1)</f>
        <v>0</v>
      </c>
      <c r="J36" s="299"/>
      <c r="K36" s="300" t="str">
        <f>Afspraken1700!G35</f>
        <v/>
      </c>
      <c r="L36" s="299"/>
      <c r="M36" s="303" t="str">
        <f>Afspraken1700!H35</f>
        <v/>
      </c>
      <c r="N36" s="304">
        <f>INDEX(Dos,Berekeningen1700!H23,1)</f>
        <v>0</v>
      </c>
      <c r="O36" s="305"/>
      <c r="P36" s="302" t="str">
        <f>IF(B36&lt;&gt;0,IF(Berekeningen1700!K23,"ja","nee"),"")</f>
        <v/>
      </c>
      <c r="Q36" s="298"/>
    </row>
    <row r="37" spans="1:17" ht="15.95" customHeight="1" x14ac:dyDescent="0.4">
      <c r="A37" s="271">
        <v>6</v>
      </c>
      <c r="B37" s="299">
        <f>INDEX(Medicamenten,Berekeningen1700!B24,1)</f>
        <v>0</v>
      </c>
      <c r="C37" s="294"/>
      <c r="D37" s="299"/>
      <c r="E37" s="300" t="str">
        <f>Afspraken1700!C36</f>
        <v/>
      </c>
      <c r="F37" s="299"/>
      <c r="G37" s="301" t="str">
        <f>Afspraken1700!D36</f>
        <v/>
      </c>
      <c r="H37" s="299"/>
      <c r="I37" s="302">
        <f>INDEX(Opl,Berekeningen1700!E24,1)</f>
        <v>0</v>
      </c>
      <c r="J37" s="299"/>
      <c r="K37" s="300" t="str">
        <f>Afspraken1700!G36</f>
        <v/>
      </c>
      <c r="L37" s="299"/>
      <c r="M37" s="303" t="str">
        <f>Afspraken1700!H36</f>
        <v/>
      </c>
      <c r="N37" s="304">
        <f>INDEX(Dos,Berekeningen1700!H24,1)</f>
        <v>0</v>
      </c>
      <c r="O37" s="305"/>
      <c r="P37" s="302" t="str">
        <f>IF(B37&lt;&gt;0,IF(Berekeningen1700!K24,"ja","nee"),"")</f>
        <v/>
      </c>
      <c r="Q37" s="306"/>
    </row>
    <row r="38" spans="1:17" ht="15.95" customHeight="1" x14ac:dyDescent="0.4">
      <c r="A38" s="271">
        <v>7</v>
      </c>
      <c r="B38" s="299">
        <f>INDEX(Medicamenten,Berekeningen1700!B25,1)</f>
        <v>0</v>
      </c>
      <c r="C38" s="294"/>
      <c r="D38" s="299"/>
      <c r="E38" s="300" t="str">
        <f>Afspraken1700!C37</f>
        <v/>
      </c>
      <c r="F38" s="299"/>
      <c r="G38" s="301" t="str">
        <f>Afspraken1700!D37</f>
        <v/>
      </c>
      <c r="H38" s="299"/>
      <c r="I38" s="302">
        <f>INDEX(Opl,Berekeningen1700!E25,1)</f>
        <v>0</v>
      </c>
      <c r="J38" s="299"/>
      <c r="K38" s="300" t="str">
        <f>Afspraken1700!G37</f>
        <v/>
      </c>
      <c r="L38" s="299"/>
      <c r="M38" s="303" t="str">
        <f>Afspraken1700!H37</f>
        <v/>
      </c>
      <c r="N38" s="304">
        <f>INDEX(Dos,Berekeningen1700!H25,1)</f>
        <v>0</v>
      </c>
      <c r="O38" s="305"/>
      <c r="P38" s="302" t="str">
        <f>IF(B38&lt;&gt;0,IF(Berekeningen1700!K25,"ja","nee"),"")</f>
        <v/>
      </c>
      <c r="Q38" s="298"/>
    </row>
    <row r="39" spans="1:17" ht="15.95" customHeight="1" x14ac:dyDescent="0.4">
      <c r="A39" s="271">
        <v>8</v>
      </c>
      <c r="B39" s="299">
        <f>INDEX(Medicamenten,Berekeningen1700!B26,1)</f>
        <v>0</v>
      </c>
      <c r="C39" s="294"/>
      <c r="D39" s="299"/>
      <c r="E39" s="300" t="str">
        <f>Afspraken1700!C38</f>
        <v/>
      </c>
      <c r="F39" s="299"/>
      <c r="G39" s="301" t="str">
        <f>Afspraken1700!D38</f>
        <v/>
      </c>
      <c r="H39" s="299"/>
      <c r="I39" s="302">
        <f>INDEX(Opl,Berekeningen1700!E26,1)</f>
        <v>0</v>
      </c>
      <c r="J39" s="299"/>
      <c r="K39" s="300" t="str">
        <f>Afspraken1700!G38</f>
        <v/>
      </c>
      <c r="L39" s="299"/>
      <c r="M39" s="303" t="str">
        <f>Afspraken1700!H38</f>
        <v/>
      </c>
      <c r="N39" s="304">
        <f>INDEX(Dos,Berekeningen1700!H26,1)</f>
        <v>0</v>
      </c>
      <c r="O39" s="305"/>
      <c r="P39" s="302" t="str">
        <f>IF(B39&lt;&gt;0,IF(Berekeningen1700!K26,"ja","nee"),"")</f>
        <v/>
      </c>
      <c r="Q39" s="306"/>
    </row>
    <row r="40" spans="1:17" ht="15.95" customHeight="1" x14ac:dyDescent="0.4">
      <c r="A40" s="271">
        <v>9</v>
      </c>
      <c r="B40" s="299">
        <f>INDEX(Medicamenten,Berekeningen1700!B27,1)</f>
        <v>0</v>
      </c>
      <c r="C40" s="294"/>
      <c r="D40" s="299"/>
      <c r="E40" s="300" t="str">
        <f>Afspraken1700!C39</f>
        <v/>
      </c>
      <c r="F40" s="299"/>
      <c r="G40" s="301" t="str">
        <f>Afspraken1700!D39</f>
        <v/>
      </c>
      <c r="H40" s="299"/>
      <c r="I40" s="302">
        <f>INDEX(Opl,Berekeningen1700!E27,1)</f>
        <v>0</v>
      </c>
      <c r="J40" s="299"/>
      <c r="K40" s="300" t="str">
        <f>Afspraken1700!G39</f>
        <v/>
      </c>
      <c r="L40" s="299"/>
      <c r="M40" s="303" t="str">
        <f>Afspraken1700!H39</f>
        <v/>
      </c>
      <c r="N40" s="304">
        <f>INDEX(Dos,Berekeningen1700!H27,1)</f>
        <v>0</v>
      </c>
      <c r="O40" s="305"/>
      <c r="P40" s="302" t="str">
        <f>IF(B40&lt;&gt;0,IF(Berekeningen1700!K27,"ja","nee"),"")</f>
        <v/>
      </c>
      <c r="Q40" s="298"/>
    </row>
    <row r="41" spans="1:17" ht="15.95" customHeight="1" x14ac:dyDescent="0.4">
      <c r="A41" s="271">
        <v>10</v>
      </c>
      <c r="B41" s="299">
        <f>INDEX(Medicamenten,Berekeningen1700!B28,1)</f>
        <v>0</v>
      </c>
      <c r="C41" s="294"/>
      <c r="D41" s="299"/>
      <c r="E41" s="300" t="str">
        <f>Afspraken1700!C40</f>
        <v/>
      </c>
      <c r="F41" s="299"/>
      <c r="G41" s="301" t="str">
        <f>Afspraken1700!D40</f>
        <v/>
      </c>
      <c r="H41" s="299"/>
      <c r="I41" s="302">
        <f>INDEX(Opl,Berekeningen1700!E28,1)</f>
        <v>0</v>
      </c>
      <c r="J41" s="299"/>
      <c r="K41" s="300" t="str">
        <f>Afspraken1700!G40</f>
        <v/>
      </c>
      <c r="L41" s="299"/>
      <c r="M41" s="303" t="str">
        <f>Afspraken1700!H40</f>
        <v/>
      </c>
      <c r="N41" s="304">
        <f>INDEX(Dos,Berekeningen1700!H28,1)</f>
        <v>0</v>
      </c>
      <c r="O41" s="305"/>
      <c r="P41" s="302" t="str">
        <f>IF(B41&lt;&gt;0,IF(Berekeningen1700!K28,"ja","nee"),"")</f>
        <v/>
      </c>
      <c r="Q41" s="306"/>
    </row>
    <row r="42" spans="1:17" ht="15.95" customHeight="1" x14ac:dyDescent="0.4">
      <c r="A42" s="271">
        <v>11</v>
      </c>
      <c r="B42" s="299" t="str">
        <f>IF(I42&lt;&gt;"",Afspraken1700!B42,"")</f>
        <v>Zijlijn 1</v>
      </c>
      <c r="C42" s="294"/>
      <c r="D42" s="299"/>
      <c r="E42" s="300"/>
      <c r="F42" s="299"/>
      <c r="G42" s="300"/>
      <c r="H42" s="299"/>
      <c r="I42" s="302">
        <f>IFERROR(INDEX(Opl,Berekeningen1700!E29,1),"")</f>
        <v>0</v>
      </c>
      <c r="J42" s="299"/>
      <c r="K42" s="300" t="str">
        <f>Afspraken1700!G42</f>
        <v/>
      </c>
      <c r="L42" s="299"/>
      <c r="M42" s="303"/>
      <c r="N42" s="299"/>
      <c r="O42" s="305"/>
      <c r="P42" s="302" t="str">
        <f>IF(B42&lt;&gt;"",IF(Berekeningen1700!K29,"ja","nee"),"")</f>
        <v>nee</v>
      </c>
      <c r="Q42" s="306"/>
    </row>
    <row r="43" spans="1:17" ht="15.95" customHeight="1" x14ac:dyDescent="0.4">
      <c r="A43" s="271">
        <v>12</v>
      </c>
      <c r="B43" s="299" t="str">
        <f>IF(I43&lt;&gt;"",Afspraken1700!B43,"")</f>
        <v>Zijlijn 2</v>
      </c>
      <c r="C43" s="294"/>
      <c r="D43" s="299"/>
      <c r="E43" s="300"/>
      <c r="F43" s="299"/>
      <c r="G43" s="300"/>
      <c r="H43" s="299"/>
      <c r="I43" s="302">
        <f>IFERROR(INDEX(Opl,Berekeningen1700!E30,1),"")</f>
        <v>0</v>
      </c>
      <c r="J43" s="299"/>
      <c r="K43" s="300" t="str">
        <f>Afspraken1700!G43</f>
        <v/>
      </c>
      <c r="L43" s="299"/>
      <c r="M43" s="303"/>
      <c r="N43" s="299"/>
      <c r="O43" s="305"/>
      <c r="P43" s="302" t="str">
        <f>IF(B43&lt;&gt;"",IF(Berekeningen1700!K30,"ja","nee"),"")</f>
        <v>nee</v>
      </c>
      <c r="Q43" s="306"/>
    </row>
    <row r="44" spans="1:17" ht="15.95" customHeight="1" x14ac:dyDescent="0.4">
      <c r="A44" s="271">
        <v>13</v>
      </c>
      <c r="B44" s="299" t="str">
        <f>IF(I44&lt;&gt;"",Afspraken1700!B44,"")</f>
        <v>Zijlijn 3</v>
      </c>
      <c r="C44" s="294"/>
      <c r="D44" s="299"/>
      <c r="E44" s="300"/>
      <c r="F44" s="299"/>
      <c r="G44" s="300"/>
      <c r="H44" s="299"/>
      <c r="I44" s="302">
        <f>IFERROR(INDEX(Opl,Berekeningen1700!E31,1),"")</f>
        <v>0</v>
      </c>
      <c r="J44" s="299"/>
      <c r="K44" s="300" t="str">
        <f>Afspraken1700!G44</f>
        <v/>
      </c>
      <c r="L44" s="299"/>
      <c r="M44" s="299"/>
      <c r="N44" s="299"/>
      <c r="O44" s="305"/>
      <c r="P44" s="302" t="str">
        <f>IF(B44&lt;&gt;"",IF(Berekeningen1700!K31,"ja","nee"),"")</f>
        <v>nee</v>
      </c>
      <c r="Q44" s="306"/>
    </row>
    <row r="45" spans="1:17" ht="15.95" customHeight="1" x14ac:dyDescent="0.4">
      <c r="A45" s="271">
        <v>14</v>
      </c>
      <c r="B45" s="299" t="str">
        <f>Afspraken1700!B45</f>
        <v/>
      </c>
      <c r="C45" s="294"/>
      <c r="D45" s="299"/>
      <c r="E45" s="300"/>
      <c r="F45" s="299"/>
      <c r="G45" s="300"/>
      <c r="H45" s="299"/>
      <c r="I45" s="299"/>
      <c r="J45" s="299"/>
      <c r="K45" s="300"/>
      <c r="L45" s="299"/>
      <c r="M45" s="299"/>
      <c r="N45" s="299"/>
      <c r="O45" s="305"/>
      <c r="P45" s="299"/>
      <c r="Q45" s="306"/>
    </row>
    <row r="46" spans="1:17" ht="15.95" customHeight="1" x14ac:dyDescent="0.4">
      <c r="A46" s="271">
        <v>15</v>
      </c>
      <c r="B46" s="299" t="str">
        <f>Afspraken1700!B46</f>
        <v/>
      </c>
      <c r="C46" s="294"/>
      <c r="D46" s="299"/>
      <c r="E46" s="300"/>
      <c r="F46" s="299"/>
      <c r="G46" s="300"/>
      <c r="H46" s="299"/>
      <c r="I46" s="299"/>
      <c r="J46" s="299"/>
      <c r="K46" s="300"/>
      <c r="L46" s="299"/>
      <c r="M46" s="299"/>
      <c r="N46" s="299"/>
      <c r="O46" s="305"/>
      <c r="P46" s="299"/>
      <c r="Q46" s="306"/>
    </row>
    <row r="47" spans="1:17" ht="15.75" customHeight="1" x14ac:dyDescent="0.4">
      <c r="A47" s="271">
        <v>16</v>
      </c>
      <c r="B47" s="299">
        <f>Afspraken1700!B48</f>
        <v>0</v>
      </c>
      <c r="C47" s="294"/>
      <c r="D47" s="299"/>
      <c r="E47" s="300"/>
      <c r="F47" s="299"/>
      <c r="G47" s="300" t="str">
        <f ca="1">Afspraken1700!E48</f>
        <v/>
      </c>
      <c r="H47" s="299"/>
      <c r="I47" s="299"/>
      <c r="J47" s="299"/>
      <c r="K47" s="300"/>
      <c r="L47" s="299"/>
      <c r="M47" s="299"/>
      <c r="N47" s="299"/>
      <c r="O47" s="305"/>
      <c r="P47" s="299"/>
      <c r="Q47" s="298"/>
    </row>
    <row r="48" spans="1:17" x14ac:dyDescent="0.35">
      <c r="O48" s="284"/>
      <c r="P48" s="279"/>
      <c r="Q48" s="284"/>
    </row>
    <row r="49" spans="2:17" x14ac:dyDescent="0.35">
      <c r="B49" s="274" t="str">
        <f>Afspraken1700!B51</f>
        <v>Samenstelling</v>
      </c>
      <c r="F49" s="271" t="s">
        <v>1012</v>
      </c>
      <c r="I49" s="271" t="s">
        <v>1013</v>
      </c>
      <c r="L49" s="271" t="s">
        <v>1014</v>
      </c>
      <c r="P49" s="283"/>
      <c r="Q49" s="284"/>
    </row>
    <row r="50" spans="2:17" x14ac:dyDescent="0.35">
      <c r="F50" s="307" t="s">
        <v>1015</v>
      </c>
      <c r="G50" s="308"/>
      <c r="H50" s="309"/>
      <c r="I50" s="310" t="s">
        <v>1016</v>
      </c>
      <c r="J50" s="308"/>
      <c r="K50" s="311"/>
      <c r="L50" s="307" t="s">
        <v>1016</v>
      </c>
      <c r="M50" s="308"/>
      <c r="N50" s="311"/>
      <c r="P50" s="283"/>
      <c r="Q50" s="284"/>
    </row>
    <row r="51" spans="2:17" ht="13.2" x14ac:dyDescent="0.4">
      <c r="B51" s="310" t="str">
        <f>Afspraken1700!B52</f>
        <v>NaCl 2,9%</v>
      </c>
      <c r="C51" s="312"/>
      <c r="D51" s="312"/>
      <c r="E51" s="309"/>
      <c r="F51" s="313" t="str">
        <f ca="1">Afspraken1700!E52</f>
        <v>0 ml</v>
      </c>
      <c r="G51" s="314"/>
      <c r="H51" s="315"/>
      <c r="I51" s="313"/>
      <c r="J51" s="314"/>
      <c r="K51" s="315"/>
      <c r="L51" s="313" t="str">
        <f>Afspraken1700!I52</f>
        <v/>
      </c>
      <c r="M51" s="314"/>
      <c r="N51" s="315"/>
      <c r="P51" s="316"/>
      <c r="Q51" s="298"/>
    </row>
    <row r="52" spans="2:17" ht="13.2" x14ac:dyDescent="0.4">
      <c r="B52" s="310" t="str">
        <f>Afspraken1700!B53</f>
        <v>Kacetaat</v>
      </c>
      <c r="C52" s="312"/>
      <c r="D52" s="312"/>
      <c r="E52" s="309"/>
      <c r="F52" s="313" t="str">
        <f ca="1">Afspraken1700!E53</f>
        <v>0 ml</v>
      </c>
      <c r="G52" s="314"/>
      <c r="H52" s="315"/>
      <c r="I52" s="313"/>
      <c r="J52" s="314"/>
      <c r="K52" s="315"/>
      <c r="L52" s="313" t="str">
        <f>Afspraken1700!I53</f>
        <v/>
      </c>
      <c r="M52" s="314"/>
      <c r="N52" s="315"/>
      <c r="P52" s="317"/>
      <c r="Q52" s="306"/>
    </row>
    <row r="53" spans="2:17" ht="13.2" x14ac:dyDescent="0.4">
      <c r="B53" s="310" t="str">
        <f>Afspraken1700!B54</f>
        <v>CaCl2</v>
      </c>
      <c r="C53" s="312"/>
      <c r="D53" s="312"/>
      <c r="E53" s="309"/>
      <c r="F53" s="313" t="str">
        <f ca="1">Afspraken1700!E54</f>
        <v>0 ml</v>
      </c>
      <c r="G53" s="314"/>
      <c r="H53" s="315"/>
      <c r="I53" s="313"/>
      <c r="J53" s="314"/>
      <c r="K53" s="315"/>
      <c r="L53" s="313"/>
      <c r="M53" s="314"/>
      <c r="N53" s="315"/>
      <c r="P53" s="316"/>
      <c r="Q53" s="298"/>
    </row>
    <row r="54" spans="2:17" ht="13.2" x14ac:dyDescent="0.4">
      <c r="B54" s="310" t="str">
        <f>Afspraken1700!B55</f>
        <v>MgCl2</v>
      </c>
      <c r="C54" s="312"/>
      <c r="D54" s="312"/>
      <c r="E54" s="309"/>
      <c r="F54" s="313" t="str">
        <f ca="1">Afspraken1700!E55</f>
        <v>0 ml</v>
      </c>
      <c r="G54" s="314"/>
      <c r="H54" s="315"/>
      <c r="I54" s="313"/>
      <c r="J54" s="314"/>
      <c r="K54" s="315"/>
      <c r="L54" s="313"/>
      <c r="M54" s="314"/>
      <c r="N54" s="315"/>
      <c r="P54" s="317"/>
      <c r="Q54" s="306"/>
    </row>
    <row r="55" spans="2:17" ht="13.2" x14ac:dyDescent="0.4">
      <c r="B55" s="310" t="str">
        <f>Afspraken1700!B56</f>
        <v>Soluvit</v>
      </c>
      <c r="C55" s="312"/>
      <c r="D55" s="312"/>
      <c r="E55" s="309"/>
      <c r="F55" s="313" t="str">
        <f ca="1">Afspraken1700!E56</f>
        <v>0 ml</v>
      </c>
      <c r="G55" s="314"/>
      <c r="H55" s="315"/>
      <c r="I55" s="313"/>
      <c r="J55" s="314"/>
      <c r="K55" s="315"/>
      <c r="L55" s="313"/>
      <c r="M55" s="314"/>
      <c r="N55" s="315"/>
      <c r="P55" s="316"/>
      <c r="Q55" s="298"/>
    </row>
    <row r="56" spans="2:17" ht="13.2" x14ac:dyDescent="0.4">
      <c r="B56" s="310" t="str">
        <f>Afspraken1700!B57</f>
        <v>Primene</v>
      </c>
      <c r="C56" s="312"/>
      <c r="D56" s="312"/>
      <c r="E56" s="309"/>
      <c r="F56" s="313" t="str">
        <f ca="1">Afspraken1700!E57</f>
        <v>0 ml</v>
      </c>
      <c r="G56" s="314"/>
      <c r="H56" s="315"/>
      <c r="I56" s="313"/>
      <c r="J56" s="314"/>
      <c r="K56" s="315"/>
      <c r="L56" s="313"/>
      <c r="M56" s="314"/>
      <c r="N56" s="315"/>
      <c r="P56" s="317"/>
      <c r="Q56" s="306"/>
    </row>
    <row r="57" spans="2:17" ht="13.2" x14ac:dyDescent="0.4">
      <c r="B57" s="310" t="str">
        <f>Afspraken1700!B58</f>
        <v>NICU-mix</v>
      </c>
      <c r="C57" s="312"/>
      <c r="D57" s="312"/>
      <c r="E57" s="309"/>
      <c r="F57" s="313"/>
      <c r="G57" s="314"/>
      <c r="H57" s="315"/>
      <c r="I57" s="313" t="str">
        <f>Afspraken1700!G58</f>
        <v/>
      </c>
      <c r="J57" s="314"/>
      <c r="K57" s="315"/>
      <c r="L57" s="313"/>
      <c r="M57" s="314"/>
      <c r="N57" s="315"/>
      <c r="P57" s="316"/>
      <c r="Q57" s="298"/>
    </row>
    <row r="58" spans="2:17" ht="13.2" x14ac:dyDescent="0.4">
      <c r="B58" s="310" t="str">
        <f>Afspraken1700!B59</f>
        <v>Samenstelling B</v>
      </c>
      <c r="C58" s="312"/>
      <c r="D58" s="312"/>
      <c r="E58" s="309"/>
      <c r="F58" s="313"/>
      <c r="G58" s="314"/>
      <c r="H58" s="315"/>
      <c r="I58" s="313"/>
      <c r="J58" s="314"/>
      <c r="K58" s="315"/>
      <c r="L58" s="313" t="str">
        <f>Afspraken1700!I59</f>
        <v/>
      </c>
      <c r="M58" s="314"/>
      <c r="N58" s="315"/>
      <c r="P58" s="317"/>
      <c r="Q58" s="306"/>
    </row>
    <row r="59" spans="2:17" ht="13.2" x14ac:dyDescent="0.4">
      <c r="B59" s="310" t="str">
        <f>INDEX(Opl,Berekeningen1700!D45+1,1)</f>
        <v>glucose 10%</v>
      </c>
      <c r="C59" s="312"/>
      <c r="D59" s="312"/>
      <c r="E59" s="309"/>
      <c r="F59" s="313" t="str">
        <f>Afspraken1700!E60&amp;" "&amp;Afspraken1700!F60</f>
        <v>0 ml</v>
      </c>
      <c r="G59" s="314"/>
      <c r="H59" s="315"/>
      <c r="I59" s="313" t="str">
        <f>Afspraken1700!G60&amp;" "&amp;Afspraken1700!H60</f>
        <v xml:space="preserve"> </v>
      </c>
      <c r="J59" s="314"/>
      <c r="K59" s="315"/>
      <c r="L59" s="313" t="str">
        <f>Afspraken1700!I60&amp;" "&amp;Afspraken1700!J60</f>
        <v xml:space="preserve"> </v>
      </c>
      <c r="M59" s="314"/>
      <c r="N59" s="315"/>
      <c r="P59" s="318"/>
      <c r="Q59" s="319"/>
    </row>
    <row r="60" spans="2:17" ht="18.75" customHeight="1" x14ac:dyDescent="0.4">
      <c r="B60" s="274" t="str">
        <f>Afspraken1700!B19</f>
        <v>Fototherapie</v>
      </c>
      <c r="E60" s="277" t="str">
        <f>IF(Berekeningen1700!B15=1,"ja","nee")</f>
        <v>nee</v>
      </c>
      <c r="P60" s="279"/>
      <c r="Q60" s="279"/>
    </row>
    <row r="61" spans="2:17" x14ac:dyDescent="0.35">
      <c r="B61" s="279"/>
      <c r="C61" s="279"/>
      <c r="D61" s="279"/>
      <c r="E61" s="279"/>
      <c r="F61" s="279"/>
      <c r="G61" s="279"/>
      <c r="H61" s="279"/>
      <c r="I61" s="279"/>
      <c r="J61" s="279"/>
      <c r="K61" s="279"/>
      <c r="L61" s="279"/>
      <c r="M61" s="279"/>
      <c r="N61" s="279"/>
      <c r="O61" s="279"/>
      <c r="P61" s="279"/>
      <c r="Q61" s="279"/>
    </row>
    <row r="62" spans="2:17" x14ac:dyDescent="0.35">
      <c r="B62" s="281" t="str">
        <f>Afspraken1700!B2</f>
        <v>Intake</v>
      </c>
      <c r="C62" s="281"/>
      <c r="D62" s="281" t="str">
        <f>Afspraken1700!C2</f>
        <v>Intraveneus</v>
      </c>
      <c r="E62" s="281"/>
      <c r="F62" s="281" t="str">
        <f>Afspraken1700!D2</f>
        <v>Oraal</v>
      </c>
      <c r="G62" s="281"/>
      <c r="H62" s="281" t="str">
        <f>Afspraken1700!E2</f>
        <v>Totaal</v>
      </c>
      <c r="I62" s="281"/>
      <c r="J62" s="281"/>
      <c r="K62" s="281" t="s">
        <v>728</v>
      </c>
      <c r="L62" s="281"/>
      <c r="M62" s="281" t="str">
        <f>Afspraken1700!H2</f>
        <v>Intraveneus</v>
      </c>
      <c r="N62" s="281"/>
      <c r="O62" s="281" t="str">
        <f>Afspraken1700!I2</f>
        <v>Oraal</v>
      </c>
      <c r="P62" s="281"/>
      <c r="Q62" s="281" t="str">
        <f>Afspraken1700!J2</f>
        <v>Totaal</v>
      </c>
    </row>
    <row r="63" spans="2:17" x14ac:dyDescent="0.35">
      <c r="B63" s="271" t="str">
        <f>Afspraken1700!B3</f>
        <v>Volume</v>
      </c>
      <c r="D63" s="320" t="str">
        <f ca="1">Afspraken1700!C3</f>
        <v>0 ml/kg</v>
      </c>
      <c r="E63" s="320"/>
      <c r="F63" s="320" t="str">
        <f>Afspraken1700!D3</f>
        <v>0 ml/kg</v>
      </c>
      <c r="H63" s="320" t="str">
        <f ca="1">Afspraken1700!E3</f>
        <v>0 ml/kg  = 0 ml</v>
      </c>
      <c r="K63" s="271" t="str">
        <f>Afspraken1700!G3</f>
        <v>Natrium</v>
      </c>
      <c r="M63" s="320" t="str">
        <f ca="1">Afspraken1700!H3</f>
        <v>0 mmol/kg</v>
      </c>
      <c r="N63" s="320"/>
      <c r="O63" s="320" t="str">
        <f>Afspraken1700!I3</f>
        <v>0 mmol/kg</v>
      </c>
      <c r="Q63" s="320" t="str">
        <f ca="1">Afspraken1700!J3</f>
        <v>0 mmol/kg</v>
      </c>
    </row>
    <row r="64" spans="2:17" x14ac:dyDescent="0.35">
      <c r="B64" s="271" t="str">
        <f>Afspraken1700!B4</f>
        <v>Eiwit</v>
      </c>
      <c r="D64" s="320" t="str">
        <f ca="1">Afspraken1700!C4</f>
        <v>0 g/kg</v>
      </c>
      <c r="E64" s="320"/>
      <c r="F64" s="320" t="str">
        <f>Afspraken1700!D4</f>
        <v>0 g/kg</v>
      </c>
      <c r="H64" s="320" t="str">
        <f ca="1">Afspraken1700!E4</f>
        <v>0 g/kg</v>
      </c>
      <c r="K64" s="271" t="str">
        <f>Afspraken1700!G4</f>
        <v>Kalium</v>
      </c>
      <c r="M64" s="320" t="str">
        <f ca="1">Afspraken1700!H4</f>
        <v>0 mmol/kg</v>
      </c>
      <c r="N64" s="320"/>
      <c r="O64" s="320" t="str">
        <f>Afspraken1700!I4</f>
        <v>0 mmol/kg</v>
      </c>
      <c r="Q64" s="320" t="str">
        <f ca="1">Afspraken1700!J4</f>
        <v>0 mmol/kg</v>
      </c>
    </row>
    <row r="65" spans="2:17" x14ac:dyDescent="0.35">
      <c r="B65" s="271" t="str">
        <f>Afspraken1700!B5</f>
        <v>Vet</v>
      </c>
      <c r="D65" s="320" t="str">
        <f ca="1">Afspraken1700!C5</f>
        <v>0 g/kg</v>
      </c>
      <c r="E65" s="320"/>
      <c r="F65" s="320" t="str">
        <f>Afspraken1700!D5</f>
        <v>0 g/kg</v>
      </c>
      <c r="H65" s="320" t="str">
        <f ca="1">Afspraken1700!E5</f>
        <v>0 g/kg</v>
      </c>
      <c r="K65" s="271" t="str">
        <f>Afspraken1700!G5</f>
        <v>Calcium</v>
      </c>
      <c r="M65" s="320" t="str">
        <f ca="1">Afspraken1700!H5</f>
        <v>0 mmol/kg</v>
      </c>
      <c r="N65" s="320"/>
      <c r="O65" s="320" t="str">
        <f>Afspraken1700!I5</f>
        <v>0 mmol/kg</v>
      </c>
      <c r="Q65" s="320" t="str">
        <f ca="1">Afspraken1700!J5</f>
        <v>0 mmol/kg</v>
      </c>
    </row>
    <row r="66" spans="2:17" x14ac:dyDescent="0.35">
      <c r="B66" s="271" t="str">
        <f>Afspraken1700!B6</f>
        <v>Glucose</v>
      </c>
      <c r="D66" s="320" t="str">
        <f>Afspraken1700!C6</f>
        <v>0 mg/kg/min</v>
      </c>
      <c r="E66" s="320"/>
      <c r="F66" s="320" t="str">
        <f>Afspraken1700!D6</f>
        <v>0 mg/kg/min</v>
      </c>
      <c r="H66" s="320" t="str">
        <f>Afspraken1700!E6</f>
        <v>0 mg/kg/min</v>
      </c>
      <c r="K66" s="271" t="str">
        <f>Afspraken1700!G6</f>
        <v>Magnesium</v>
      </c>
      <c r="M66" s="320" t="str">
        <f ca="1">Afspraken1700!H6</f>
        <v>0 mmol/kg</v>
      </c>
      <c r="N66" s="320"/>
      <c r="O66" s="320" t="str">
        <f>Afspraken1700!I6</f>
        <v>0 mmol/kg</v>
      </c>
      <c r="Q66" s="320" t="str">
        <f ca="1">Afspraken1700!J6</f>
        <v>0 mmol/kg</v>
      </c>
    </row>
    <row r="67" spans="2:17" x14ac:dyDescent="0.35">
      <c r="B67" s="271" t="str">
        <f>Afspraken1700!B7</f>
        <v>Energie</v>
      </c>
      <c r="D67" s="320" t="str">
        <f ca="1">Afspraken1700!C7</f>
        <v>0 kcal/kg</v>
      </c>
      <c r="E67" s="320"/>
      <c r="F67" s="320" t="str">
        <f>Afspraken1700!D7</f>
        <v>0 kcal/kg</v>
      </c>
      <c r="H67" s="320" t="str">
        <f ca="1">Afspraken1700!E7</f>
        <v>0 kcal/kg</v>
      </c>
      <c r="K67" s="271" t="str">
        <f>Afspraken1700!G7</f>
        <v>Chloor</v>
      </c>
      <c r="M67" s="320" t="str">
        <f ca="1">Afspraken1700!H7</f>
        <v>0 mmol/kg</v>
      </c>
      <c r="N67" s="320"/>
      <c r="O67" s="320" t="str">
        <f>Afspraken1700!I7</f>
        <v>0 mmol/kg</v>
      </c>
      <c r="Q67" s="320" t="str">
        <f ca="1">Afspraken1700!J7</f>
        <v>0 mmol/kg</v>
      </c>
    </row>
    <row r="68" spans="2:17" x14ac:dyDescent="0.35">
      <c r="B68" s="271" t="str">
        <f>Afspraken1700!B8</f>
        <v>Vit D</v>
      </c>
      <c r="D68" s="320" t="str">
        <f ca="1">Afspraken1700!C8</f>
        <v>0 IE/ml</v>
      </c>
      <c r="E68" s="320"/>
      <c r="F68" s="320" t="str">
        <f>Afspraken1700!D8</f>
        <v>0 IE/ml</v>
      </c>
      <c r="H68" s="320" t="str">
        <f ca="1">Afspraken1700!E8</f>
        <v>0 IE/ml</v>
      </c>
      <c r="K68" s="271" t="str">
        <f>Afspraken1700!G8</f>
        <v>Fosfaat</v>
      </c>
      <c r="M68" s="320" t="str">
        <f>Afspraken1700!H8</f>
        <v>0 mmol/kg</v>
      </c>
      <c r="N68" s="320"/>
      <c r="O68" s="320" t="str">
        <f>Afspraken1700!I8</f>
        <v>0 mmol/kg</v>
      </c>
      <c r="Q68" s="320" t="str">
        <f>Afspraken1700!J8</f>
        <v>0 mmol/kg</v>
      </c>
    </row>
    <row r="70" spans="2:17" ht="13.2" x14ac:dyDescent="0.4">
      <c r="B70" s="947" t="s">
        <v>246</v>
      </c>
      <c r="C70" s="947"/>
      <c r="D70" s="947"/>
      <c r="E70" s="947"/>
      <c r="F70" s="947"/>
      <c r="G70" s="947"/>
      <c r="H70" s="947"/>
      <c r="I70" s="947"/>
      <c r="J70" s="947"/>
      <c r="K70" s="947"/>
      <c r="L70" s="947"/>
      <c r="M70" s="947"/>
      <c r="N70" s="947"/>
      <c r="O70" s="947"/>
      <c r="P70" s="947"/>
      <c r="Q70" s="947"/>
    </row>
    <row r="71" spans="2:17" x14ac:dyDescent="0.35">
      <c r="B71" s="271" t="s">
        <v>770</v>
      </c>
      <c r="D71" s="271" t="str">
        <f>TRIM(Ber_Lab_Neo!B4&amp;" "&amp;Ber_Lab_Neo!B5&amp;" "&amp;Ber_Lab_Neo!B6&amp;" "&amp;Ber_Lab_Neo!B7&amp;" "&amp;Ber_Lab_Neo!B8&amp;" "&amp;Ber_Lab_Neo!B9&amp;" "&amp;Ber_Lab_Neo!B10&amp;" "&amp;Ber_Lab_Neo!B11&amp;" "&amp;Ber_Lab_Neo!B12&amp;" "&amp;Ber_Lab_Neo!B13&amp;" "&amp;Ber_Lab_Neo!B14&amp;" "&amp;Ber_Lab_Neo!B15&amp;" "&amp;Ber_Lab_Neo!B16&amp;" "&amp;Ber_Lab_Neo!B17&amp;" "&amp;Ber_Lab_Neo!B18&amp;" "&amp;Ber_Lab_Neo!B19&amp;" "&amp;Ber_Lab_Neo!B20&amp;" "&amp;Ber_Lab_Neo!B21&amp;" "&amp;Ber_Lab_Neo!B22&amp;" "&amp;Ber_Lab_Neo!B23&amp;" "&amp;Ber_Lab_Neo!B24&amp;" "&amp;Ber_Lab_Neo!B25&amp;" "&amp;Ber_Lab_Neo!B26&amp;" "&amp;Ber_Lab_Neo!B27&amp;" "&amp;Ber_Lab_Neo!B28&amp;" "&amp;Ber_Lab_Neo!B29&amp;" "&amp;Ber_Lab_Neo!B30&amp;" "&amp;Ber_Lab_Neo!B31&amp;" "&amp;Ber_Lab_Neo!B32&amp;" "&amp;Ber_Lab_Neo!B33&amp;" "&amp;Ber_Lab_Neo!B34&amp;" "&amp;Ber_Lab_Neo!B35)</f>
        <v/>
      </c>
      <c r="P71" s="279"/>
      <c r="Q71" s="279"/>
    </row>
    <row r="72" spans="2:17" x14ac:dyDescent="0.35">
      <c r="B72" s="271" t="s">
        <v>1340</v>
      </c>
      <c r="D72" s="271" t="str">
        <f>TRIM(Ber_Lab_Neo!D4&amp;" "&amp;Ber_Lab_Neo!D5&amp;" "&amp;Ber_Lab_Neo!D6&amp;" "&amp;Ber_Lab_Neo!D7&amp;" "&amp;Ber_Lab_Neo!D8&amp;" "&amp;Ber_Lab_Neo!D9&amp;" "&amp;Ber_Lab_Neo!D10&amp;" "&amp;Ber_Lab_Neo!D11&amp;" "&amp;Ber_Lab_Neo!D12&amp;" "&amp;Ber_Lab_Neo!D13&amp;" "&amp;Ber_Lab_Neo!D14&amp;" "&amp;Ber_Lab_Neo!D15&amp;" "&amp;Ber_Lab_Neo!D16&amp;" "&amp;Ber_Lab_Neo!D17&amp;" "&amp;Ber_Lab_Neo!D18&amp;" "&amp;Ber_Lab_Neo!D19&amp;" "&amp;Ber_Lab_Neo!D20&amp;" "&amp;Ber_Lab_Neo!D21&amp;" "&amp;Ber_Lab_Neo!D22&amp;" "&amp;Ber_Lab_Neo!D23&amp;" "&amp;Ber_Lab_Neo!D24&amp;" "&amp;Ber_Lab_Neo!D25&amp;" "&amp;Ber_Lab_Neo!D26&amp;" "&amp;Ber_Lab_Neo!D27&amp;" "&amp;Ber_Lab_Neo!D28&amp;" "&amp;Ber_Lab_Neo!D29&amp;" "&amp;Ber_Lab_Neo!D30&amp;" "&amp;Ber_Lab_Neo!D31&amp;" "&amp;Ber_Lab_Neo!D32&amp;" "&amp;Ber_Lab_Neo!D33&amp;" "&amp;Ber_Lab_Neo!D34)</f>
        <v/>
      </c>
      <c r="P72" s="279"/>
      <c r="Q72" s="279"/>
    </row>
    <row r="73" spans="2:17" x14ac:dyDescent="0.35">
      <c r="B73" s="271" t="s">
        <v>1341</v>
      </c>
      <c r="D73" s="271" t="str">
        <f>TRIM(Ber_Lab_Neo!F4&amp;" "&amp;Ber_Lab_Neo!F5&amp;" "&amp;Ber_Lab_Neo!F6&amp;" "&amp;Ber_Lab_Neo!F7&amp;" "&amp;Ber_Lab_Neo!F8&amp;" "&amp;Ber_Lab_Neo!F9&amp;" "&amp;Ber_Lab_Neo!F10&amp;" "&amp;Ber_Lab_Neo!F11&amp;" "&amp;Ber_Lab_Neo!F12&amp;" "&amp;Ber_Lab_Neo!F13&amp;" "&amp;Ber_Lab_Neo!F14&amp;" "&amp;Ber_Lab_Neo!F15&amp;" "&amp;Ber_Lab_Neo!F16&amp;" "&amp;Ber_Lab_Neo!F17&amp;" "&amp;Ber_Lab_Neo!F18&amp;" "&amp;Ber_Lab_Neo!F19&amp;" "&amp;Ber_Lab_Neo!F20&amp;" "&amp;Ber_Lab_Neo!F21&amp;" "&amp;Ber_Lab_Neo!F22&amp;" "&amp;Ber_Lab_Neo!F23&amp;" "&amp;Ber_Lab_Neo!F24&amp;" "&amp;Ber_Lab_Neo!F25&amp;" "&amp;Ber_Lab_Neo!F26&amp;" "&amp;Ber_Lab_Neo!F27&amp;" "&amp;Ber_Lab_Neo!F28&amp;" "&amp;Ber_Lab_Neo!F29&amp;" "&amp;Ber_Lab_Neo!F30&amp;" "&amp;Ber_Lab_Neo!F31&amp;" "&amp;Ber_Lab_Neo!F32&amp;" "&amp;Ber_Lab_Neo!F33&amp;" "&amp;Ber_Lab_Neo!F34)</f>
        <v/>
      </c>
      <c r="P73" s="279"/>
      <c r="Q73" s="279"/>
    </row>
    <row r="74" spans="2:17" x14ac:dyDescent="0.35">
      <c r="B74" s="271" t="s">
        <v>1342</v>
      </c>
      <c r="D74" s="271" t="str">
        <f>TRIM(Ber_Lab_Neo!H4&amp;" "&amp;Ber_Lab_Neo!H5&amp;" "&amp;Ber_Lab_Neo!H6&amp;" "&amp;Ber_Lab_Neo!H7&amp;" "&amp;Ber_Lab_Neo!H8&amp;" "&amp;Ber_Lab_Neo!H9&amp;" "&amp;Ber_Lab_Neo!H10&amp;" "&amp;Ber_Lab_Neo!H11&amp;" "&amp;Ber_Lab_Neo!H12&amp;" "&amp;Ber_Lab_Neo!H13&amp;" "&amp;Ber_Lab_Neo!H14&amp;" "&amp;Ber_Lab_Neo!H15&amp;" "&amp;Ber_Lab_Neo!H16&amp;" "&amp;Ber_Lab_Neo!H17&amp;" "&amp;Ber_Lab_Neo!H18&amp;" "&amp;Ber_Lab_Neo!H19&amp;" "&amp;Ber_Lab_Neo!H20&amp;" "&amp;Ber_Lab_Neo!H21&amp;" "&amp;Ber_Lab_Neo!H22&amp;" "&amp;Ber_Lab_Neo!H23&amp;" "&amp;Ber_Lab_Neo!H24&amp;" "&amp;Ber_Lab_Neo!H25&amp;" "&amp;Ber_Lab_Neo!H26&amp;" "&amp;Ber_Lab_Neo!H27&amp;" "&amp;Ber_Lab_Neo!H28&amp;" "&amp;Ber_Lab_Neo!H29&amp;" "&amp;Ber_Lab_Neo!H30&amp;" "&amp;Ber_Lab_Neo!H31&amp;" "&amp;Ber_Lab_Neo!H32&amp;" "&amp;Ber_Lab_Neo!H33&amp;" "&amp;Ber_Lab_Neo!H34)</f>
        <v/>
      </c>
      <c r="P74" s="279"/>
      <c r="Q74" s="279"/>
    </row>
    <row r="75" spans="2:17" x14ac:dyDescent="0.35">
      <c r="B75" s="271" t="s">
        <v>286</v>
      </c>
      <c r="D75" s="271" t="str">
        <f>TRIM(Ber_Lab_Neo!J4&amp;" "&amp;Ber_Lab_Neo!J5&amp;" "&amp;Ber_Lab_Neo!J6&amp;" "&amp;Ber_Lab_Neo!J7&amp;" "&amp;Ber_Lab_Neo!J8&amp;" "&amp;Ber_Lab_Neo!J9&amp;" "&amp;Ber_Lab_Neo!J10&amp;" "&amp;Ber_Lab_Neo!J11&amp;" "&amp;Ber_Lab_Neo!J12&amp;" "&amp;Ber_Lab_Neo!J13&amp;" "&amp;Ber_Lab_Neo!J14&amp;" "&amp;Ber_Lab_Neo!J15&amp;" "&amp;Ber_Lab_Neo!J16&amp;" "&amp;Ber_Lab_Neo!J17&amp;" "&amp;Ber_Lab_Neo!J18&amp;" "&amp;Ber_Lab_Neo!J19&amp;" "&amp;Ber_Lab_Neo!J20&amp;" "&amp;Ber_Lab_Neo!J21&amp;" "&amp;Ber_Lab_Neo!J22&amp;" "&amp;Ber_Lab_Neo!J23&amp;" "&amp;Ber_Lab_Neo!J24&amp;" "&amp;Ber_Lab_Neo!J25&amp;" "&amp;Ber_Lab_Neo!J26&amp;" "&amp;Ber_Lab_Neo!J27&amp;" "&amp;Ber_Lab_Neo!J28&amp;" "&amp;Ber_Lab_Neo!J29&amp;" "&amp;Ber_Lab_Neo!J30&amp;" "&amp;Ber_Lab_Neo!J31&amp;" "&amp;Ber_Lab_Neo!J32&amp;" "&amp;Ber_Lab_Neo!J33&amp;" "&amp;Ber_Lab_Neo!J34)</f>
        <v/>
      </c>
      <c r="P75" s="279"/>
      <c r="Q75" s="279"/>
    </row>
    <row r="76" spans="2:17" x14ac:dyDescent="0.35">
      <c r="B76" s="271" t="s">
        <v>1343</v>
      </c>
      <c r="D76" s="271" t="str">
        <f>TRIM(Ber_Lab_Neo!L4&amp;" "&amp;Ber_Lab_Neo!L5&amp;" "&amp;Ber_Lab_Neo!L6&amp;" "&amp;Ber_Lab_Neo!L7&amp;" "&amp;Ber_Lab_Neo!L8&amp;" "&amp;Ber_Lab_Neo!L9&amp;" "&amp;Ber_Lab_Neo!L10&amp;" "&amp;Ber_Lab_Neo!L11&amp;" "&amp;Ber_Lab_Neo!L12&amp;" "&amp;Ber_Lab_Neo!L13&amp;" "&amp;Ber_Lab_Neo!L14&amp;" "&amp;Ber_Lab_Neo!L15&amp;" "&amp;Ber_Lab_Neo!L16&amp;" "&amp;Ber_Lab_Neo!L17&amp;" "&amp;Ber_Lab_Neo!L18&amp;" "&amp;Ber_Lab_Neo!L19&amp;" "&amp;Ber_Lab_Neo!L20&amp;" "&amp;Ber_Lab_Neo!L21&amp;" "&amp;Ber_Lab_Neo!L22&amp;" "&amp;Ber_Lab_Neo!L23&amp;" "&amp;Ber_Lab_Neo!L24&amp;" "&amp;Ber_Lab_Neo!L25&amp;" "&amp;Ber_Lab_Neo!L26&amp;" "&amp;Ber_Lab_Neo!L27&amp;" "&amp;Ber_Lab_Neo!L28&amp;" "&amp;Ber_Lab_Neo!L29&amp;" "&amp;Ber_Lab_Neo!L30&amp;" "&amp;Ber_Lab_Neo!L31&amp;" "&amp;Ber_Lab_Neo!L32&amp;" "&amp;Ber_Lab_Neo!L33&amp;" "&amp;Ber_Lab_Neo!L34)</f>
        <v/>
      </c>
      <c r="P76" s="279"/>
      <c r="Q76" s="279"/>
    </row>
    <row r="77" spans="2:17" x14ac:dyDescent="0.35">
      <c r="B77" s="271" t="s">
        <v>1347</v>
      </c>
      <c r="D77" s="271" t="str">
        <f>TRIM(Ber_Lab_Neo!N4&amp;" "&amp;Ber_Lab_Neo!N5&amp;" "&amp;Ber_Lab_Neo!N6&amp;" "&amp;Ber_Lab_Neo!N7&amp;" "&amp;Ber_Lab_Neo!N8&amp;" "&amp;Ber_Lab_Neo!N9&amp;" "&amp;Ber_Lab_Neo!N10&amp;" "&amp;Ber_Lab_Neo!N11&amp;" "&amp;Ber_Lab_Neo!N12&amp;" "&amp;Ber_Lab_Neo!N13&amp;" "&amp;Ber_Lab_Neo!N14&amp;" "&amp;Ber_Lab_Neo!N15&amp;" "&amp;Ber_Lab_Neo!N16&amp;" "&amp;Ber_Lab_Neo!N17&amp;" "&amp;Ber_Lab_Neo!N18&amp;" "&amp;Ber_Lab_Neo!N19&amp;" "&amp;Ber_Lab_Neo!N20&amp;" "&amp;Ber_Lab_Neo!N21&amp;" "&amp;Ber_Lab_Neo!N22&amp;" "&amp;Ber_Lab_Neo!N23&amp;" "&amp;Ber_Lab_Neo!N24&amp;" "&amp;Ber_Lab_Neo!N25&amp;" "&amp;Ber_Lab_Neo!N26&amp;" "&amp;Ber_Lab_Neo!N27&amp;" "&amp;Ber_Lab_Neo!N28&amp;" "&amp;Ber_Lab_Neo!N29&amp;" "&amp;Ber_Lab_Neo!N30&amp;" "&amp;Ber_Lab_Neo!N31&amp;" "&amp;Ber_Lab_Neo!N32&amp;" "&amp;Ber_Lab_Neo!N33&amp;" "&amp;Ber_Lab_Neo!N34)</f>
        <v/>
      </c>
      <c r="P77" s="279"/>
      <c r="Q77" s="279"/>
    </row>
    <row r="78" spans="2:17" x14ac:dyDescent="0.35">
      <c r="B78" s="271" t="s">
        <v>596</v>
      </c>
      <c r="D78" s="271" t="str">
        <f>IF(LabNeoOpmerkingen=0,"",LabNeoOpmerkingen)</f>
        <v/>
      </c>
      <c r="P78" s="279"/>
      <c r="Q78" s="279"/>
    </row>
    <row r="79" spans="2:17" x14ac:dyDescent="0.35">
      <c r="P79" s="279"/>
      <c r="Q79" s="279"/>
    </row>
    <row r="80" spans="2:17" x14ac:dyDescent="0.35">
      <c r="P80" s="279"/>
      <c r="Q80" s="279"/>
    </row>
    <row r="81" spans="2:17" ht="13.2" x14ac:dyDescent="0.4">
      <c r="B81" s="947" t="s">
        <v>131</v>
      </c>
      <c r="C81" s="947"/>
      <c r="D81" s="947"/>
      <c r="E81" s="947"/>
      <c r="F81" s="947"/>
      <c r="G81" s="947"/>
      <c r="H81" s="947"/>
      <c r="I81" s="947"/>
      <c r="J81" s="947"/>
      <c r="K81" s="947"/>
      <c r="L81" s="947"/>
      <c r="M81" s="947"/>
      <c r="N81" s="947"/>
      <c r="O81" s="947"/>
      <c r="P81" s="947"/>
      <c r="Q81" s="947"/>
    </row>
    <row r="82" spans="2:17" x14ac:dyDescent="0.35">
      <c r="B82" s="271" t="s">
        <v>1474</v>
      </c>
      <c r="D82" s="271" t="str">
        <f>IFERROR(LEFT(_Aanvullend_Controles,LEN(_Aanvullend_Controles)-3),"")</f>
        <v/>
      </c>
      <c r="P82" s="279"/>
      <c r="Q82" s="279"/>
    </row>
    <row r="83" spans="2:17" x14ac:dyDescent="0.35">
      <c r="B83" s="271" t="s">
        <v>1480</v>
      </c>
      <c r="D83" s="271" t="str">
        <f>IFERROR(LEFT(_Aanvullend_Onderzoek,LEN(_Aanvullend_Onderzoek)-3),"")</f>
        <v/>
      </c>
      <c r="P83" s="279"/>
      <c r="Q83" s="279"/>
    </row>
    <row r="84" spans="2:17" x14ac:dyDescent="0.35">
      <c r="B84" s="271" t="s">
        <v>1286</v>
      </c>
      <c r="D84" s="271" t="str">
        <f>IFERROR(LEFT(_Aanvullend_Kweken,LEN(_Aanvullend_Kweken)-3),"")</f>
        <v/>
      </c>
      <c r="P84" s="279"/>
      <c r="Q84" s="279"/>
    </row>
    <row r="85" spans="2:17" x14ac:dyDescent="0.35">
      <c r="B85" s="271" t="s">
        <v>1723</v>
      </c>
      <c r="D85" s="271" t="str">
        <f>IFERROR(LEFT(_Aanvullend_Instellingen,LEN(_Aanvullend_Instellingen)-3),"")</f>
        <v/>
      </c>
      <c r="P85" s="279"/>
      <c r="Q85" s="279"/>
    </row>
    <row r="86" spans="2:17" x14ac:dyDescent="0.35">
      <c r="B86" s="271" t="s">
        <v>1332</v>
      </c>
      <c r="D86" s="271" t="str">
        <f>IFERROR(LEFT(_Aanvullend_Overig,LEN(_Aanvullend_Overig)-3),"")</f>
        <v/>
      </c>
      <c r="P86" s="279"/>
      <c r="Q86" s="279"/>
    </row>
    <row r="87" spans="2:17" x14ac:dyDescent="0.35">
      <c r="P87" s="279"/>
      <c r="Q87" s="279"/>
    </row>
    <row r="88" spans="2:17" x14ac:dyDescent="0.35">
      <c r="P88" s="279"/>
      <c r="Q88" s="279"/>
    </row>
    <row r="89" spans="2:17" x14ac:dyDescent="0.35">
      <c r="P89" s="279"/>
      <c r="Q89" s="279"/>
    </row>
    <row r="90" spans="2:17" x14ac:dyDescent="0.35">
      <c r="P90" s="279"/>
      <c r="Q90" s="279"/>
    </row>
    <row r="91" spans="2:17" x14ac:dyDescent="0.35">
      <c r="P91" s="279"/>
      <c r="Q91" s="279"/>
    </row>
    <row r="92" spans="2:17" x14ac:dyDescent="0.35">
      <c r="P92" s="279"/>
      <c r="Q92" s="279"/>
    </row>
    <row r="93" spans="2:17" x14ac:dyDescent="0.35">
      <c r="P93" s="279"/>
      <c r="Q93" s="279"/>
    </row>
    <row r="94" spans="2:17" x14ac:dyDescent="0.35">
      <c r="P94" s="279"/>
      <c r="Q94" s="279"/>
    </row>
    <row r="95" spans="2:17" x14ac:dyDescent="0.35">
      <c r="P95" s="279"/>
      <c r="Q95" s="279"/>
    </row>
    <row r="96" spans="2:17" x14ac:dyDescent="0.35">
      <c r="P96" s="279"/>
      <c r="Q96" s="279"/>
    </row>
    <row r="97" spans="16:17" x14ac:dyDescent="0.35">
      <c r="P97" s="279"/>
      <c r="Q97" s="279"/>
    </row>
    <row r="98" spans="16:17" x14ac:dyDescent="0.35">
      <c r="P98" s="279"/>
      <c r="Q98" s="279"/>
    </row>
    <row r="99" spans="16:17" x14ac:dyDescent="0.35">
      <c r="P99" s="279"/>
      <c r="Q99" s="279"/>
    </row>
    <row r="100" spans="16:17" x14ac:dyDescent="0.35">
      <c r="P100" s="279"/>
      <c r="Q100" s="279"/>
    </row>
    <row r="101" spans="16:17" x14ac:dyDescent="0.35">
      <c r="P101" s="279"/>
      <c r="Q101" s="279"/>
    </row>
    <row r="102" spans="16:17" x14ac:dyDescent="0.35">
      <c r="P102" s="279"/>
      <c r="Q102" s="279"/>
    </row>
    <row r="103" spans="16:17" x14ac:dyDescent="0.35">
      <c r="P103" s="279"/>
      <c r="Q103" s="279"/>
    </row>
    <row r="104" spans="16:17" x14ac:dyDescent="0.35">
      <c r="P104" s="279"/>
      <c r="Q104" s="279"/>
    </row>
    <row r="105" spans="16:17" x14ac:dyDescent="0.35">
      <c r="P105" s="279"/>
      <c r="Q105" s="279"/>
    </row>
    <row r="106" spans="16:17" x14ac:dyDescent="0.35">
      <c r="P106" s="279"/>
      <c r="Q106" s="279"/>
    </row>
    <row r="107" spans="16:17" x14ac:dyDescent="0.35">
      <c r="P107" s="279"/>
      <c r="Q107" s="279"/>
    </row>
    <row r="108" spans="16:17" x14ac:dyDescent="0.35">
      <c r="P108" s="279"/>
      <c r="Q108" s="279"/>
    </row>
    <row r="109" spans="16:17" x14ac:dyDescent="0.35">
      <c r="P109" s="279"/>
      <c r="Q109" s="279"/>
    </row>
    <row r="110" spans="16:17" x14ac:dyDescent="0.35">
      <c r="P110" s="279"/>
      <c r="Q110" s="279"/>
    </row>
    <row r="111" spans="16:17" x14ac:dyDescent="0.35">
      <c r="P111" s="279"/>
      <c r="Q111" s="279"/>
    </row>
    <row r="112" spans="16:17" x14ac:dyDescent="0.35">
      <c r="P112" s="279"/>
      <c r="Q112" s="279"/>
    </row>
    <row r="113" spans="16:17" x14ac:dyDescent="0.35">
      <c r="P113" s="279"/>
      <c r="Q113" s="279"/>
    </row>
    <row r="114" spans="16:17" x14ac:dyDescent="0.35">
      <c r="P114" s="279"/>
      <c r="Q114" s="279"/>
    </row>
    <row r="115" spans="16:17" x14ac:dyDescent="0.35">
      <c r="P115" s="279"/>
      <c r="Q115" s="279"/>
    </row>
    <row r="116" spans="16:17" x14ac:dyDescent="0.35">
      <c r="P116" s="279"/>
      <c r="Q116" s="279"/>
    </row>
    <row r="117" spans="16:17" x14ac:dyDescent="0.35">
      <c r="P117" s="279"/>
      <c r="Q117" s="279"/>
    </row>
    <row r="118" spans="16:17" x14ac:dyDescent="0.35">
      <c r="P118" s="279"/>
      <c r="Q118" s="279"/>
    </row>
    <row r="119" spans="16:17" x14ac:dyDescent="0.35">
      <c r="P119" s="279"/>
      <c r="Q119" s="279"/>
    </row>
    <row r="120" spans="16:17" x14ac:dyDescent="0.35">
      <c r="P120" s="279"/>
      <c r="Q120" s="279"/>
    </row>
    <row r="121" spans="16:17" x14ac:dyDescent="0.35">
      <c r="P121" s="279"/>
      <c r="Q121" s="279"/>
    </row>
    <row r="122" spans="16:17" x14ac:dyDescent="0.35">
      <c r="P122" s="279"/>
      <c r="Q122" s="279"/>
    </row>
    <row r="123" spans="16:17" x14ac:dyDescent="0.35">
      <c r="P123" s="279"/>
      <c r="Q123" s="279"/>
    </row>
    <row r="124" spans="16:17" x14ac:dyDescent="0.35">
      <c r="P124" s="279"/>
      <c r="Q124" s="279"/>
    </row>
    <row r="125" spans="16:17" x14ac:dyDescent="0.35">
      <c r="P125" s="279"/>
      <c r="Q125" s="279"/>
    </row>
    <row r="126" spans="16:17" x14ac:dyDescent="0.35">
      <c r="P126" s="279"/>
      <c r="Q126" s="279"/>
    </row>
    <row r="127" spans="16:17" x14ac:dyDescent="0.35">
      <c r="P127" s="279"/>
      <c r="Q127" s="279"/>
    </row>
    <row r="128" spans="16:17" x14ac:dyDescent="0.35">
      <c r="P128" s="279"/>
      <c r="Q128" s="279"/>
    </row>
    <row r="129" spans="16:17" x14ac:dyDescent="0.35">
      <c r="P129" s="279"/>
      <c r="Q129" s="279"/>
    </row>
    <row r="130" spans="16:17" x14ac:dyDescent="0.35">
      <c r="P130" s="279"/>
      <c r="Q130" s="279"/>
    </row>
    <row r="131" spans="16:17" x14ac:dyDescent="0.35">
      <c r="P131" s="279"/>
      <c r="Q131" s="279"/>
    </row>
    <row r="132" spans="16:17" x14ac:dyDescent="0.35">
      <c r="P132" s="279"/>
      <c r="Q132" s="279"/>
    </row>
    <row r="133" spans="16:17" x14ac:dyDescent="0.35">
      <c r="P133" s="279"/>
      <c r="Q133" s="279"/>
    </row>
    <row r="134" spans="16:17" x14ac:dyDescent="0.35">
      <c r="P134" s="279"/>
      <c r="Q134" s="279"/>
    </row>
    <row r="135" spans="16:17" x14ac:dyDescent="0.35">
      <c r="P135" s="279"/>
      <c r="Q135" s="279"/>
    </row>
    <row r="136" spans="16:17" x14ac:dyDescent="0.35">
      <c r="P136" s="279"/>
      <c r="Q136" s="279"/>
    </row>
    <row r="137" spans="16:17" x14ac:dyDescent="0.35">
      <c r="P137" s="279"/>
      <c r="Q137" s="279"/>
    </row>
    <row r="138" spans="16:17" x14ac:dyDescent="0.35">
      <c r="P138" s="279"/>
      <c r="Q138" s="279"/>
    </row>
    <row r="139" spans="16:17" x14ac:dyDescent="0.35">
      <c r="P139" s="279"/>
      <c r="Q139" s="279"/>
    </row>
    <row r="140" spans="16:17" x14ac:dyDescent="0.35">
      <c r="P140" s="279"/>
      <c r="Q140" s="279"/>
    </row>
    <row r="141" spans="16:17" x14ac:dyDescent="0.35">
      <c r="P141" s="279"/>
      <c r="Q141" s="279"/>
    </row>
    <row r="142" spans="16:17" x14ac:dyDescent="0.35">
      <c r="P142" s="279"/>
      <c r="Q142" s="279"/>
    </row>
    <row r="143" spans="16:17" x14ac:dyDescent="0.35">
      <c r="P143" s="279"/>
      <c r="Q143" s="279"/>
    </row>
    <row r="144" spans="16:17" x14ac:dyDescent="0.35">
      <c r="P144" s="279"/>
      <c r="Q144" s="279"/>
    </row>
    <row r="145" spans="16:17" x14ac:dyDescent="0.35">
      <c r="P145" s="279"/>
      <c r="Q145" s="279"/>
    </row>
    <row r="146" spans="16:17" x14ac:dyDescent="0.35">
      <c r="P146" s="279"/>
      <c r="Q146" s="279"/>
    </row>
  </sheetData>
  <sheetProtection algorithmName="SHA-512" hashValue="Zjp7gCa8HMQDbEyWK8oAUYqBG0aTIY+X8RJ3+Zb508WFOHblMH0EQohdt8/nFhV06L+iSinp2cw4rMiumnMCUg==" saltValue="liuH9E6woRZsLDv+9hSiqw==" spinCount="100000" sheet="1" objects="1" scenarios="1" selectLockedCells="1" selectUnlockedCells="1"/>
  <mergeCells count="7">
    <mergeCell ref="B70:Q70"/>
    <mergeCell ref="B81:Q81"/>
    <mergeCell ref="M1:N1"/>
    <mergeCell ref="M3:N3"/>
    <mergeCell ref="M5:P5"/>
    <mergeCell ref="D9:F9"/>
    <mergeCell ref="I10:O10"/>
  </mergeCells>
  <pageMargins left="0.25" right="0.24" top="0.25" bottom="0.2" header="0.15748031496062992" footer="0.15748031496062992"/>
  <pageSetup paperSize="9" orientation="portrait" r:id="rId1"/>
  <headerFooter alignWithMargins="0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Apotheek">
    <tabColor rgb="FF7030A0"/>
    <pageSetUpPr autoPageBreaks="0"/>
  </sheetPr>
  <dimension ref="A1:T73"/>
  <sheetViews>
    <sheetView zoomScaleNormal="100" workbookViewId="0"/>
  </sheetViews>
  <sheetFormatPr defaultColWidth="9.1328125" defaultRowHeight="12.85" x14ac:dyDescent="0.35"/>
  <cols>
    <col min="1" max="13" width="5.73046875" style="271" customWidth="1"/>
    <col min="14" max="15" width="11.265625" style="271" bestFit="1" customWidth="1"/>
    <col min="16" max="17" width="5.73046875" style="271" customWidth="1"/>
    <col min="18" max="16384" width="9.1328125" style="271"/>
  </cols>
  <sheetData>
    <row r="1" spans="1:20" ht="13.2" x14ac:dyDescent="0.4">
      <c r="A1" s="576"/>
      <c r="B1" s="271" t="s">
        <v>1039</v>
      </c>
      <c r="H1" s="271" t="s">
        <v>1019</v>
      </c>
      <c r="J1" s="958">
        <f ca="1">TODAY()</f>
        <v>42722</v>
      </c>
      <c r="K1" s="958"/>
      <c r="L1" s="958"/>
      <c r="M1" s="271" t="s">
        <v>1002</v>
      </c>
      <c r="N1" s="293">
        <f>_Bed</f>
        <v>0</v>
      </c>
    </row>
    <row r="2" spans="1:20" ht="13.2" x14ac:dyDescent="0.4">
      <c r="B2" s="271" t="s">
        <v>1018</v>
      </c>
      <c r="D2" s="277" t="str">
        <f>_VoorNaam&amp;" "&amp;_AchterNaam</f>
        <v>Voornaam Achternaam</v>
      </c>
      <c r="H2" s="271" t="s">
        <v>1022</v>
      </c>
      <c r="J2" s="277" t="str">
        <f>IF(_Arts&gt;0,_Arts,"")</f>
        <v/>
      </c>
      <c r="M2" s="271" t="s">
        <v>1020</v>
      </c>
      <c r="N2" s="959">
        <f ca="1">NOW()</f>
        <v>42722.539963194446</v>
      </c>
      <c r="O2" s="959"/>
    </row>
    <row r="3" spans="1:20" ht="13.2" x14ac:dyDescent="0.4">
      <c r="B3" s="271" t="s">
        <v>1021</v>
      </c>
      <c r="D3" s="277">
        <f>_Gewicht</f>
        <v>10</v>
      </c>
      <c r="E3" s="271" t="s">
        <v>1260</v>
      </c>
      <c r="J3" s="279"/>
      <c r="K3" s="279"/>
      <c r="L3" s="279"/>
      <c r="M3" s="271" t="s">
        <v>1040</v>
      </c>
    </row>
    <row r="4" spans="1:20" ht="9.0500000000000007" customHeight="1" x14ac:dyDescent="0.35">
      <c r="H4" s="279"/>
      <c r="I4" s="279"/>
      <c r="J4" s="279"/>
      <c r="K4" s="279"/>
    </row>
    <row r="5" spans="1:20" ht="15.1" x14ac:dyDescent="0.4">
      <c r="A5" s="371">
        <v>1</v>
      </c>
      <c r="B5" s="372" t="str">
        <f>IF(WerkBrief!C26&lt;&gt;"zijlijn",WerkBrief!A26,"")</f>
        <v/>
      </c>
      <c r="C5" s="372"/>
      <c r="D5" s="373" t="str">
        <f>WerkBrief!C26</f>
        <v/>
      </c>
      <c r="E5" s="374"/>
      <c r="F5" s="375" t="str">
        <f>IF(WerkBrief!E26&lt;&gt;"",IF(D5&lt;&gt;"lidocaine",IF(WerkBrief!M28&lt;25,WerkBrief!E26*2,WerkBrief!E26),WerkBrief!E26*1.5),"")</f>
        <v/>
      </c>
      <c r="G5" s="374" t="str">
        <f>WerkBrief!F26</f>
        <v>mg</v>
      </c>
      <c r="H5" s="376" t="str">
        <f>WerkBrief!G26</f>
        <v>(</v>
      </c>
      <c r="I5" s="374" t="str">
        <f>WerkBrief!H26</f>
        <v/>
      </c>
      <c r="J5" s="374" t="str">
        <f>WerkBrief!I26</f>
        <v>mg=</v>
      </c>
      <c r="K5" s="374" t="str">
        <f>WerkBrief!J26</f>
        <v/>
      </c>
      <c r="L5" s="374" t="str">
        <f>WerkBrief!K26</f>
        <v>ml)</v>
      </c>
      <c r="M5" s="374"/>
      <c r="N5" s="377" t="str">
        <f>IF(B5&lt;&gt;"",IF(B5&gt;0,TRUNC((K5/I5)*F5),0),"")</f>
        <v/>
      </c>
      <c r="O5" s="378" t="str">
        <f>IF(B5&lt;&gt;"",(ROUND((K5/I5)*F5,2)-N5)*100,"")</f>
        <v/>
      </c>
      <c r="P5" s="279"/>
      <c r="Q5" s="279"/>
      <c r="R5" s="279"/>
    </row>
    <row r="6" spans="1:20" ht="15.1" x14ac:dyDescent="0.4">
      <c r="A6" s="605"/>
      <c r="B6" s="372"/>
      <c r="C6" s="372"/>
      <c r="D6" s="379" t="str">
        <f>WerkBrief!C28</f>
        <v/>
      </c>
      <c r="E6" s="380"/>
      <c r="F6" s="380" t="str">
        <f>WerkBrief!E28</f>
        <v/>
      </c>
      <c r="G6" s="380"/>
      <c r="H6" s="381"/>
      <c r="I6" s="380"/>
      <c r="J6" s="380" t="str">
        <f>WerkBrief!I27</f>
        <v>in</v>
      </c>
      <c r="K6" s="382" t="str">
        <f>IF(AND(D5&lt;&gt;"Nepresol (dihydralazine)",D5&lt;&gt;"Flolan (epoprostenol)"),WerkBrief!J27,"NaCl 0,9%")</f>
        <v/>
      </c>
      <c r="L6" s="380"/>
      <c r="M6" s="380"/>
      <c r="N6" s="383" t="str">
        <f>IF(B5&lt;&gt;"",TRUNC(N7+O7/100-N5-O5/100),"")</f>
        <v/>
      </c>
      <c r="O6" s="384" t="str">
        <f>IF(B5&lt;&gt;"",(N7+O7/100-N5-O5/100-N6)*100,"")</f>
        <v/>
      </c>
      <c r="P6" s="279"/>
      <c r="Q6" s="279"/>
      <c r="R6" s="279"/>
    </row>
    <row r="7" spans="1:20" ht="15.1" x14ac:dyDescent="0.4">
      <c r="A7" s="371"/>
      <c r="B7" s="372"/>
      <c r="C7" s="372"/>
      <c r="D7" s="385" t="s">
        <v>1041</v>
      </c>
      <c r="E7" s="386"/>
      <c r="F7" s="387" t="str">
        <f>IF(D5&lt;&gt;"",INDEX(Medicamenten,Berekeningen!B20,2),"")</f>
        <v/>
      </c>
      <c r="G7" s="386"/>
      <c r="H7" s="386"/>
      <c r="I7" s="388"/>
      <c r="J7" s="388"/>
      <c r="K7" s="389" t="str">
        <f>WerkBrief!J28</f>
        <v>Totaal</v>
      </c>
      <c r="L7" s="388"/>
      <c r="M7" s="388"/>
      <c r="N7" s="390" t="str">
        <f>IF(B5&lt;&gt;"",IF(D5&lt;&gt;"lidocaine",IF(_OplHoev1700_1&lt;25,2*TRUNC(_OplHoev1700_1),TRUNC(_OplHoev1700_1)),TRUNC(_OplHoev1700_1*1.5)),"")</f>
        <v/>
      </c>
      <c r="O7" s="391" t="str">
        <f>IF(B5&lt;&gt;"",IF(D5&lt;&gt;"lidocaine",IF(_OplHoev1700_1&lt;25,(2*_OplHoev1700_1-N7)*100,(_OplHoev1700_1-N7)*100),1.5*_OplHoev1700_1-N7),"")</f>
        <v/>
      </c>
      <c r="P7" s="279"/>
      <c r="Q7" s="279"/>
      <c r="R7" s="279"/>
    </row>
    <row r="8" spans="1:20" ht="10" customHeight="1" x14ac:dyDescent="0.4">
      <c r="A8" s="371"/>
      <c r="B8" s="345"/>
      <c r="C8" s="345"/>
      <c r="D8" s="329"/>
      <c r="E8" s="329"/>
      <c r="F8" s="392"/>
      <c r="G8" s="329"/>
      <c r="H8" s="329"/>
      <c r="I8" s="329"/>
      <c r="J8" s="329"/>
      <c r="K8" s="330"/>
      <c r="L8" s="329"/>
      <c r="M8" s="329"/>
      <c r="N8" s="393"/>
      <c r="O8" s="394"/>
      <c r="P8" s="279"/>
      <c r="Q8" s="279"/>
      <c r="R8" s="279"/>
    </row>
    <row r="9" spans="1:20" ht="15.1" x14ac:dyDescent="0.4">
      <c r="A9" s="371">
        <v>2</v>
      </c>
      <c r="B9" s="395" t="str">
        <f>IF(WerkBrief!C29&lt;&gt;"zijlijn",WerkBrief!A29,"")</f>
        <v/>
      </c>
      <c r="C9" s="395"/>
      <c r="D9" s="307" t="str">
        <f>WerkBrief!C29</f>
        <v/>
      </c>
      <c r="E9" s="308"/>
      <c r="F9" s="396" t="str">
        <f>IF(WerkBrief!E29&lt;&gt;"",IF(D9&lt;&gt;"lidocaine",IF(WerkBrief!M31&lt;25,WerkBrief!E29*2,WerkBrief!E29),WerkBrief!E29*1.5),"")</f>
        <v/>
      </c>
      <c r="G9" s="308" t="str">
        <f>WerkBrief!F29</f>
        <v>mg</v>
      </c>
      <c r="H9" s="397" t="str">
        <f>WerkBrief!G29</f>
        <v>(</v>
      </c>
      <c r="I9" s="308" t="str">
        <f>WerkBrief!H29</f>
        <v/>
      </c>
      <c r="J9" s="308" t="str">
        <f>WerkBrief!I29</f>
        <v>mg=</v>
      </c>
      <c r="K9" s="308" t="str">
        <f>WerkBrief!J29</f>
        <v/>
      </c>
      <c r="L9" s="308" t="str">
        <f>WerkBrief!K29</f>
        <v>ml)</v>
      </c>
      <c r="M9" s="308"/>
      <c r="N9" s="398" t="str">
        <f>IF(B9&lt;&gt;"",IF(B9&gt;0,TRUNC((K9/I9)*F9),0),"")</f>
        <v/>
      </c>
      <c r="O9" s="399" t="str">
        <f>IF(B9&lt;&gt;"",(IF(B9&gt;0,ROUND((K9/I9)*F9,2),0)-N9)*100,"")</f>
        <v/>
      </c>
      <c r="P9" s="279"/>
      <c r="Q9" s="279"/>
      <c r="R9" s="279"/>
    </row>
    <row r="10" spans="1:20" ht="15.1" x14ac:dyDescent="0.4">
      <c r="A10" s="371"/>
      <c r="B10" s="395"/>
      <c r="C10" s="395"/>
      <c r="D10" s="400" t="str">
        <f>WerkBrief!C31</f>
        <v/>
      </c>
      <c r="E10" s="279"/>
      <c r="F10" s="279" t="str">
        <f>WerkBrief!E31</f>
        <v/>
      </c>
      <c r="G10" s="279"/>
      <c r="H10" s="401"/>
      <c r="I10" s="279"/>
      <c r="J10" s="279" t="str">
        <f>WerkBrief!I30</f>
        <v>in</v>
      </c>
      <c r="K10" s="286" t="str">
        <f>IF(AND(D9&lt;&gt;"Nepresol (dihydralazine)",D9&lt;&gt;"Flolan (epoprostenol)"),WerkBrief!J30,"NaCl 0,9%")</f>
        <v/>
      </c>
      <c r="L10" s="279"/>
      <c r="M10" s="279"/>
      <c r="N10" s="398" t="str">
        <f>IF(B9&lt;&gt;"",TRUNC(IF(B9&gt;0,N11+O11/100-N9-O9/100,0)),"")</f>
        <v/>
      </c>
      <c r="O10" s="399" t="str">
        <f>IF(B9&lt;&gt;"",(IF(B9&gt;0,N11+O11/100-N9-O9/100,0)-N10)*100,"")</f>
        <v/>
      </c>
      <c r="P10" s="279"/>
      <c r="Q10" s="279"/>
      <c r="R10" s="279"/>
    </row>
    <row r="11" spans="1:20" ht="15.1" x14ac:dyDescent="0.4">
      <c r="A11" s="371"/>
      <c r="B11" s="395"/>
      <c r="C11" s="395"/>
      <c r="D11" s="402" t="s">
        <v>1041</v>
      </c>
      <c r="E11" s="403"/>
      <c r="F11" s="404" t="str">
        <f>IF(D9&lt;&gt;"",INDEX(Medicamenten,Berekeningen!B21,2),"")</f>
        <v/>
      </c>
      <c r="G11" s="403"/>
      <c r="H11" s="405"/>
      <c r="I11" s="406"/>
      <c r="J11" s="406"/>
      <c r="K11" s="407" t="str">
        <f>WerkBrief!J31</f>
        <v>Totaal</v>
      </c>
      <c r="L11" s="406"/>
      <c r="M11" s="406"/>
      <c r="N11" s="408" t="str">
        <f>IF(B9&lt;&gt;"",IF(D9&lt;&gt;"lidocaine",IF(_OplHoev1700_2&lt;25,2*TRUNC(_OplHoev1700_2),TRUNC(_OplHoev1700_2)),TRUNC(_OplHoev1700_2*1.5)),"")</f>
        <v/>
      </c>
      <c r="O11" s="409" t="str">
        <f>IF(B9&lt;&gt;"",IF(D9&lt;&gt;"lidocaine",IF(_OplHoev1700_2&lt;25,(2*_OplHoev1700_2-N11)*100,(_OplHoev1700_2-N11)*100),1.5*_OplHoev1700_2-N11),"")</f>
        <v/>
      </c>
      <c r="P11" s="279"/>
      <c r="Q11" s="279"/>
      <c r="R11" s="279"/>
    </row>
    <row r="12" spans="1:20" ht="10" customHeight="1" x14ac:dyDescent="0.4">
      <c r="A12" s="371"/>
      <c r="B12" s="410"/>
      <c r="C12" s="410"/>
      <c r="D12" s="308"/>
      <c r="E12" s="308"/>
      <c r="F12" s="411"/>
      <c r="G12" s="308"/>
      <c r="H12" s="397"/>
      <c r="I12" s="308"/>
      <c r="J12" s="308"/>
      <c r="K12" s="396"/>
      <c r="L12" s="308"/>
      <c r="M12" s="308"/>
      <c r="N12" s="412"/>
      <c r="O12" s="413"/>
      <c r="P12" s="279"/>
      <c r="Q12" s="279"/>
      <c r="R12" s="279"/>
    </row>
    <row r="13" spans="1:20" ht="15.1" x14ac:dyDescent="0.4">
      <c r="A13" s="371">
        <v>3</v>
      </c>
      <c r="B13" s="372" t="str">
        <f>IF(WerkBrief!C32&lt;&gt;"zijlijn",WerkBrief!A32,"")</f>
        <v/>
      </c>
      <c r="C13" s="372"/>
      <c r="D13" s="373" t="str">
        <f>WerkBrief!C32</f>
        <v/>
      </c>
      <c r="E13" s="374"/>
      <c r="F13" s="375" t="str">
        <f>IF(WerkBrief!E32&lt;&gt;"",IF(D13&lt;&gt;"lidocaine",IF(WerkBrief!M34&lt;25,WerkBrief!E32*2,WerkBrief!E32),WerkBrief!E32*1.5),"")</f>
        <v/>
      </c>
      <c r="G13" s="374" t="str">
        <f>WerkBrief!F32</f>
        <v>mg</v>
      </c>
      <c r="H13" s="376" t="str">
        <f>WerkBrief!G32</f>
        <v>(</v>
      </c>
      <c r="I13" s="374" t="str">
        <f>WerkBrief!H32</f>
        <v/>
      </c>
      <c r="J13" s="374" t="str">
        <f>WerkBrief!I32</f>
        <v>mg=</v>
      </c>
      <c r="K13" s="374" t="str">
        <f>WerkBrief!J32</f>
        <v/>
      </c>
      <c r="L13" s="374" t="str">
        <f>WerkBrief!K32</f>
        <v>ml)</v>
      </c>
      <c r="M13" s="374"/>
      <c r="N13" s="377" t="str">
        <f>IF(B13&lt;&gt;"",IF(B13&gt;0,TRUNC((K13/I13)*F13),0),"")</f>
        <v/>
      </c>
      <c r="O13" s="378" t="str">
        <f>IF(B13&lt;&gt;"",(IF(B13&gt;0,ROUND((K13/I13)*F13,2),0)-N13)*100,"")</f>
        <v/>
      </c>
      <c r="P13" s="279"/>
      <c r="Q13" s="279"/>
      <c r="R13" s="279"/>
      <c r="T13" s="287"/>
    </row>
    <row r="14" spans="1:20" ht="15.1" x14ac:dyDescent="0.4">
      <c r="A14" s="371"/>
      <c r="B14" s="372"/>
      <c r="C14" s="372"/>
      <c r="D14" s="379" t="str">
        <f>WerkBrief!C34</f>
        <v/>
      </c>
      <c r="E14" s="380"/>
      <c r="F14" s="380" t="str">
        <f>WerkBrief!E34</f>
        <v/>
      </c>
      <c r="G14" s="380"/>
      <c r="H14" s="381"/>
      <c r="I14" s="380"/>
      <c r="J14" s="380" t="str">
        <f>WerkBrief!I33</f>
        <v>in</v>
      </c>
      <c r="K14" s="382" t="str">
        <f>IF(AND(D13&lt;&gt;"Nepresol (dihydralazine)",D13&lt;&gt;"Flolan (epoprostenol)"),WerkBrief!J33,"NaCl 0,9%")</f>
        <v/>
      </c>
      <c r="L14" s="380"/>
      <c r="M14" s="380"/>
      <c r="N14" s="383" t="str">
        <f>IF(B13&lt;&gt;"",TRUNC(IF(B13&gt;0,N15+O15/100-N13-O13/100,0)),"")</f>
        <v/>
      </c>
      <c r="O14" s="384" t="str">
        <f>IF(B13&lt;&gt;"",(IF(B13&gt;0,N15+O15/100-N13-O13/100,0)-N14)*100,"")</f>
        <v/>
      </c>
      <c r="P14" s="279"/>
      <c r="Q14" s="279"/>
      <c r="R14" s="279"/>
    </row>
    <row r="15" spans="1:20" ht="15.1" x14ac:dyDescent="0.4">
      <c r="A15" s="371"/>
      <c r="B15" s="372"/>
      <c r="C15" s="372"/>
      <c r="D15" s="385" t="s">
        <v>1041</v>
      </c>
      <c r="E15" s="386"/>
      <c r="F15" s="387" t="str">
        <f>IF(D13&lt;&gt;"",INDEX(Medicamenten,Berekeningen!B22,2),"")</f>
        <v/>
      </c>
      <c r="G15" s="386"/>
      <c r="H15" s="388"/>
      <c r="I15" s="388"/>
      <c r="J15" s="388"/>
      <c r="K15" s="389" t="str">
        <f>WerkBrief!J34</f>
        <v>Totaal</v>
      </c>
      <c r="L15" s="388"/>
      <c r="M15" s="388"/>
      <c r="N15" s="390" t="str">
        <f>IF(B13&lt;&gt;"",IF(D13&lt;&gt;"lidocaine",IF(_OplHoev1700_3&lt;25,2*TRUNC(_OplHoev1700_3),TRUNC(_OplHoev1700_3)),TRUNC(_OplHoev1700_3*1.5)),"")</f>
        <v/>
      </c>
      <c r="O15" s="391" t="str">
        <f>IF(B13&lt;&gt;"",IF(D13&lt;&gt;"lidocaine",IF(_OplHoev1700_3&lt;25,(2*_OplHoev1700_3-N15)*100,(_OplHoev1700_3-N15)*100),1.5*_OplHoev1700_3-N15),"")</f>
        <v/>
      </c>
      <c r="P15" s="279"/>
      <c r="Q15" s="279"/>
      <c r="R15" s="279"/>
    </row>
    <row r="16" spans="1:20" ht="10" customHeight="1" x14ac:dyDescent="0.4">
      <c r="A16" s="371"/>
      <c r="B16" s="345"/>
      <c r="C16" s="345"/>
      <c r="D16" s="329"/>
      <c r="E16" s="329"/>
      <c r="F16" s="392"/>
      <c r="G16" s="329"/>
      <c r="H16" s="329"/>
      <c r="I16" s="329"/>
      <c r="J16" s="329"/>
      <c r="K16" s="330"/>
      <c r="L16" s="329"/>
      <c r="M16" s="329"/>
      <c r="N16" s="393"/>
      <c r="O16" s="394"/>
      <c r="P16" s="279"/>
      <c r="Q16" s="279"/>
      <c r="R16" s="279"/>
    </row>
    <row r="17" spans="1:18" ht="15.1" x14ac:dyDescent="0.4">
      <c r="A17" s="371">
        <v>4</v>
      </c>
      <c r="B17" s="395" t="str">
        <f>IF(WerkBrief!C35&lt;&gt;"zijlijn",WerkBrief!A35,"")</f>
        <v/>
      </c>
      <c r="C17" s="395"/>
      <c r="D17" s="307" t="str">
        <f>WerkBrief!C35</f>
        <v/>
      </c>
      <c r="E17" s="308"/>
      <c r="F17" s="396" t="str">
        <f>IF(WerkBrief!E35&lt;&gt;"",IF(D17&lt;&gt;"lidocaine",IF(WerkBrief!M37&lt;25,WerkBrief!E35*2,WerkBrief!E35),WerkBrief!E35*1.5),"")</f>
        <v/>
      </c>
      <c r="G17" s="308" t="str">
        <f>WerkBrief!F35</f>
        <v>mg</v>
      </c>
      <c r="H17" s="397" t="str">
        <f>WerkBrief!G35</f>
        <v>(</v>
      </c>
      <c r="I17" s="308" t="str">
        <f>WerkBrief!H35</f>
        <v/>
      </c>
      <c r="J17" s="308" t="str">
        <f>WerkBrief!I35</f>
        <v>mg=</v>
      </c>
      <c r="K17" s="308" t="str">
        <f>WerkBrief!J35</f>
        <v/>
      </c>
      <c r="L17" s="308" t="str">
        <f>WerkBrief!K35</f>
        <v>ml)</v>
      </c>
      <c r="M17" s="308"/>
      <c r="N17" s="398" t="str">
        <f>IF(B17&lt;&gt;"",IF(B17&gt;0,TRUNC((K17/I17)*F17),0),"")</f>
        <v/>
      </c>
      <c r="O17" s="399" t="str">
        <f>IF(B17&lt;&gt;"",(IF(B17&gt;0,ROUND((K17/I17)*F17,2),0)-N17)*100,"")</f>
        <v/>
      </c>
      <c r="P17" s="279"/>
      <c r="Q17" s="279"/>
      <c r="R17" s="279"/>
    </row>
    <row r="18" spans="1:18" ht="15.1" x14ac:dyDescent="0.4">
      <c r="A18" s="371"/>
      <c r="B18" s="395"/>
      <c r="C18" s="395"/>
      <c r="D18" s="400" t="str">
        <f>WerkBrief!C37</f>
        <v/>
      </c>
      <c r="E18" s="279"/>
      <c r="F18" s="279" t="str">
        <f>WerkBrief!E37</f>
        <v/>
      </c>
      <c r="G18" s="279"/>
      <c r="H18" s="401"/>
      <c r="I18" s="279"/>
      <c r="J18" s="279" t="str">
        <f>WerkBrief!I36</f>
        <v>in</v>
      </c>
      <c r="K18" s="286" t="str">
        <f>IF(AND(D17&lt;&gt;"Nepresol (dihydralazine)",D17&lt;&gt;"Flolan (epoprostenol)"),WerkBrief!J36,"NaCl 0,9%")</f>
        <v/>
      </c>
      <c r="L18" s="279"/>
      <c r="M18" s="279"/>
      <c r="N18" s="398" t="str">
        <f>IF(B17&lt;&gt;"",TRUNC(IF(B17&gt;0,N19+O19/100-N17-O17/100,0)),"")</f>
        <v/>
      </c>
      <c r="O18" s="399" t="str">
        <f>IF(B17&lt;&gt;"",(IF(B17&gt;0,N19+O19/100-N17-O17/100,0)-N18)*100,"")</f>
        <v/>
      </c>
      <c r="P18" s="279"/>
      <c r="Q18" s="279"/>
      <c r="R18" s="279"/>
    </row>
    <row r="19" spans="1:18" ht="15.1" x14ac:dyDescent="0.4">
      <c r="A19" s="371"/>
      <c r="B19" s="395"/>
      <c r="C19" s="395"/>
      <c r="D19" s="402" t="s">
        <v>1041</v>
      </c>
      <c r="E19" s="403"/>
      <c r="F19" s="404" t="str">
        <f>IF(D17&lt;&gt;"",INDEX(Medicamenten,Berekeningen!B23,2),"")</f>
        <v/>
      </c>
      <c r="G19" s="403"/>
      <c r="H19" s="403"/>
      <c r="I19" s="406"/>
      <c r="J19" s="406"/>
      <c r="K19" s="407" t="str">
        <f>WerkBrief!J37</f>
        <v>Totaal</v>
      </c>
      <c r="L19" s="406"/>
      <c r="M19" s="406"/>
      <c r="N19" s="408" t="str">
        <f>IF(B17&lt;&gt;"",IF(D17&lt;&gt;"lidocaine",IF(_OplHoev1700_4&lt;25,2*TRUNC(_OplHoev1700_4),TRUNC(_OplHoev1700_4)),TRUNC(_OplHoev1700_4*1.5)),"")</f>
        <v/>
      </c>
      <c r="O19" s="409" t="str">
        <f>IF(B17&lt;&gt;"",IF(D17&lt;&gt;"lidocaine",IF(_OplHoev1700_4&lt;25,(2*_OplHoev1700_4-N19)*100,(_OplHoev1700_4-N19)*100),1.5*_OplHoev1700_4-N19),"")</f>
        <v/>
      </c>
      <c r="P19" s="279"/>
      <c r="Q19" s="279"/>
      <c r="R19" s="279"/>
    </row>
    <row r="20" spans="1:18" ht="10" customHeight="1" x14ac:dyDescent="0.4">
      <c r="A20" s="371"/>
      <c r="B20" s="410"/>
      <c r="C20" s="410"/>
      <c r="D20" s="308"/>
      <c r="E20" s="308"/>
      <c r="F20" s="411"/>
      <c r="G20" s="308"/>
      <c r="H20" s="308"/>
      <c r="I20" s="308"/>
      <c r="J20" s="308"/>
      <c r="K20" s="396"/>
      <c r="L20" s="308"/>
      <c r="M20" s="308"/>
      <c r="N20" s="412"/>
      <c r="O20" s="413"/>
      <c r="P20" s="279"/>
      <c r="Q20" s="279"/>
      <c r="R20" s="279"/>
    </row>
    <row r="21" spans="1:18" ht="15.1" x14ac:dyDescent="0.4">
      <c r="A21" s="371">
        <v>5</v>
      </c>
      <c r="B21" s="372" t="str">
        <f>IF(WerkBrief!C38&lt;&gt;"zijlijn",WerkBrief!A38,"")</f>
        <v/>
      </c>
      <c r="C21" s="372"/>
      <c r="D21" s="373" t="str">
        <f>WerkBrief!C38</f>
        <v/>
      </c>
      <c r="E21" s="374"/>
      <c r="F21" s="375" t="str">
        <f>IF(WerkBrief!E38&lt;&gt;"",IF(D21&lt;&gt;"lidocaine",IF(WerkBrief!M40&lt;25,WerkBrief!E38*2,WerkBrief!E38),WerkBrief!E38*1.5),"")</f>
        <v/>
      </c>
      <c r="G21" s="374" t="str">
        <f>WerkBrief!F38</f>
        <v>mg</v>
      </c>
      <c r="H21" s="376" t="str">
        <f>WerkBrief!G38</f>
        <v>(</v>
      </c>
      <c r="I21" s="374" t="str">
        <f>WerkBrief!H38</f>
        <v/>
      </c>
      <c r="J21" s="374" t="str">
        <f>WerkBrief!I38</f>
        <v>mg=</v>
      </c>
      <c r="K21" s="374" t="str">
        <f>WerkBrief!J38</f>
        <v/>
      </c>
      <c r="L21" s="374" t="str">
        <f>WerkBrief!K38</f>
        <v>ml)</v>
      </c>
      <c r="M21" s="374"/>
      <c r="N21" s="377" t="str">
        <f>IF(B21&lt;&gt;"",IF(B21&gt;0,TRUNC((K21/I21)*F21),0),"")</f>
        <v/>
      </c>
      <c r="O21" s="378" t="str">
        <f>IF(B21&lt;&gt;"",(IF(B21&gt;0,ROUND((K21/I21)*F21,2),0)-N21)*100,"")</f>
        <v/>
      </c>
      <c r="P21" s="279"/>
      <c r="Q21" s="279"/>
      <c r="R21" s="279"/>
    </row>
    <row r="22" spans="1:18" ht="15.1" x14ac:dyDescent="0.4">
      <c r="A22" s="371"/>
      <c r="B22" s="372"/>
      <c r="C22" s="372"/>
      <c r="D22" s="379" t="str">
        <f>WerkBrief!C40</f>
        <v/>
      </c>
      <c r="E22" s="380"/>
      <c r="F22" s="380" t="str">
        <f>WerkBrief!E40</f>
        <v/>
      </c>
      <c r="G22" s="380"/>
      <c r="H22" s="381"/>
      <c r="I22" s="380"/>
      <c r="J22" s="380" t="str">
        <f>WerkBrief!I39</f>
        <v>in</v>
      </c>
      <c r="K22" s="382" t="str">
        <f>IF(AND(D21&lt;&gt;"Nepresol (dihydralazine)",D21&lt;&gt;"Flolan (epoprostenol)"),WerkBrief!J39,"NaCl 0,9%")</f>
        <v/>
      </c>
      <c r="L22" s="380"/>
      <c r="M22" s="380"/>
      <c r="N22" s="383" t="str">
        <f>IF(B21&lt;&gt;"",TRUNC(IF(B21&gt;0,N23+O23/100-N21-O21/100,0)),"")</f>
        <v/>
      </c>
      <c r="O22" s="384" t="str">
        <f>IF(B21&lt;&gt;"",(IF(B21&gt;0,N23+O23/100-N21-O21/100,0)-N22)*100,"")</f>
        <v/>
      </c>
      <c r="P22" s="279"/>
      <c r="Q22" s="279"/>
      <c r="R22" s="279"/>
    </row>
    <row r="23" spans="1:18" ht="15.1" x14ac:dyDescent="0.4">
      <c r="A23" s="371"/>
      <c r="B23" s="372"/>
      <c r="C23" s="372"/>
      <c r="D23" s="385" t="s">
        <v>1041</v>
      </c>
      <c r="E23" s="386"/>
      <c r="F23" s="387" t="str">
        <f>IF(D21&lt;&gt;"",INDEX(Medicamenten,Berekeningen!B24,2),"")</f>
        <v/>
      </c>
      <c r="G23" s="386"/>
      <c r="H23" s="414"/>
      <c r="I23" s="388"/>
      <c r="J23" s="388"/>
      <c r="K23" s="389" t="str">
        <f>WerkBrief!J40</f>
        <v>Totaal</v>
      </c>
      <c r="L23" s="388"/>
      <c r="M23" s="388"/>
      <c r="N23" s="390" t="str">
        <f>IF(B21&lt;&gt;"",IF(D21&lt;&gt;"lidocaine",IF(_OplHoev1700_5&lt;25,2*TRUNC(_OplHoev1700_5),TRUNC(_OplHoev1700_5)),TRUNC(_OplHoev1700_5*1.5)),"")</f>
        <v/>
      </c>
      <c r="O23" s="391" t="str">
        <f>IF(B21&lt;&gt;"",IF(D21&lt;&gt;"lidocaine",IF(_OplHoev1700_5&lt;25,(2*_OplHoev1700_5-N23)*100,(_OplHoev1700_5-N23)*100),1.5*_OplHoev1700_5-N23),"")</f>
        <v/>
      </c>
      <c r="P23" s="279"/>
      <c r="Q23" s="279"/>
      <c r="R23" s="279"/>
    </row>
    <row r="24" spans="1:18" ht="10" customHeight="1" x14ac:dyDescent="0.4">
      <c r="A24" s="371"/>
      <c r="B24" s="345"/>
      <c r="C24" s="345"/>
      <c r="D24" s="329"/>
      <c r="E24" s="329"/>
      <c r="F24" s="392"/>
      <c r="G24" s="329"/>
      <c r="H24" s="357"/>
      <c r="I24" s="329"/>
      <c r="J24" s="329"/>
      <c r="K24" s="330"/>
      <c r="L24" s="329"/>
      <c r="M24" s="329"/>
      <c r="N24" s="393"/>
      <c r="O24" s="394"/>
      <c r="P24" s="279"/>
      <c r="Q24" s="279"/>
      <c r="R24" s="279"/>
    </row>
    <row r="25" spans="1:18" ht="15.1" x14ac:dyDescent="0.4">
      <c r="A25" s="371">
        <v>6</v>
      </c>
      <c r="B25" s="395" t="str">
        <f>IF(WerkBrief!C41&lt;&gt;"zijlijn",WerkBrief!A41,"")</f>
        <v/>
      </c>
      <c r="C25" s="395"/>
      <c r="D25" s="307" t="str">
        <f>WerkBrief!C41</f>
        <v/>
      </c>
      <c r="E25" s="308"/>
      <c r="F25" s="396" t="str">
        <f>IF(WerkBrief!E41&lt;&gt;"",IF(D25&lt;&gt;"lidocaine",IF(WerkBrief!M43&lt;25,WerkBrief!E41*2,WerkBrief!E41),WerkBrief!E41*1.5),"")</f>
        <v/>
      </c>
      <c r="G25" s="308" t="str">
        <f>WerkBrief!F41</f>
        <v>mg</v>
      </c>
      <c r="H25" s="397" t="str">
        <f>WerkBrief!G41</f>
        <v>(</v>
      </c>
      <c r="I25" s="308" t="str">
        <f>WerkBrief!H41</f>
        <v/>
      </c>
      <c r="J25" s="308" t="str">
        <f>WerkBrief!I41</f>
        <v>mg=</v>
      </c>
      <c r="K25" s="308" t="str">
        <f>WerkBrief!J41</f>
        <v/>
      </c>
      <c r="L25" s="308" t="str">
        <f>WerkBrief!K41</f>
        <v>ml)</v>
      </c>
      <c r="M25" s="308"/>
      <c r="N25" s="398" t="str">
        <f>IF(B25&lt;&gt;"",IF(B25&gt;0,TRUNC((K25/I25)*F25),0),"")</f>
        <v/>
      </c>
      <c r="O25" s="399" t="str">
        <f>IF(B25&lt;&gt;"",(IF(B25&gt;0,ROUND((K25/I25)*F25,2),0)-N25)*100,"")</f>
        <v/>
      </c>
      <c r="P25" s="279"/>
      <c r="Q25" s="279"/>
      <c r="R25" s="279"/>
    </row>
    <row r="26" spans="1:18" ht="15.1" x14ac:dyDescent="0.4">
      <c r="A26" s="371"/>
      <c r="B26" s="395"/>
      <c r="C26" s="395"/>
      <c r="D26" s="400" t="str">
        <f>WerkBrief!C43</f>
        <v/>
      </c>
      <c r="E26" s="279"/>
      <c r="F26" s="279" t="str">
        <f>WerkBrief!E43</f>
        <v/>
      </c>
      <c r="G26" s="279"/>
      <c r="H26" s="401"/>
      <c r="I26" s="279"/>
      <c r="J26" s="279" t="str">
        <f>WerkBrief!I42</f>
        <v>in</v>
      </c>
      <c r="K26" s="286" t="str">
        <f>IF(AND(D25&lt;&gt;"Nepresol (dihydralazine)",D25&lt;&gt;"Flolan (epoprostenol)"),WerkBrief!J42,"NaCl 0,9%")</f>
        <v/>
      </c>
      <c r="L26" s="279"/>
      <c r="M26" s="279"/>
      <c r="N26" s="398" t="str">
        <f>IF(B25&lt;&gt;"",TRUNC(IF(B25&gt;0,N27+O27/100-N25-O25/100,0)),"")</f>
        <v/>
      </c>
      <c r="O26" s="399" t="str">
        <f>IF(B25&lt;&gt;"",(IF(B25&gt;0,N27+O27/100-N25-O25/100,0)-N26)*100,"")</f>
        <v/>
      </c>
      <c r="P26" s="279"/>
      <c r="Q26" s="279"/>
      <c r="R26" s="279"/>
    </row>
    <row r="27" spans="1:18" ht="15.1" x14ac:dyDescent="0.4">
      <c r="A27" s="371"/>
      <c r="B27" s="395"/>
      <c r="C27" s="395"/>
      <c r="D27" s="402" t="s">
        <v>1041</v>
      </c>
      <c r="E27" s="403"/>
      <c r="F27" s="404" t="str">
        <f>IF(D25&lt;&gt;"",INDEX(Medicamenten,Berekeningen!B25,2),"")</f>
        <v/>
      </c>
      <c r="G27" s="403"/>
      <c r="H27" s="415"/>
      <c r="I27" s="406"/>
      <c r="J27" s="406"/>
      <c r="K27" s="407" t="str">
        <f>WerkBrief!J43</f>
        <v>Totaal</v>
      </c>
      <c r="L27" s="406"/>
      <c r="M27" s="406"/>
      <c r="N27" s="408" t="str">
        <f>IF(B25&lt;&gt;"",IF(D25&lt;&gt;"lidocaine",IF(_OplHoev1700_6&lt;25,2*TRUNC(_OplHoev1700_6),TRUNC(_OplHoev1700_6)),TRUNC(_OplHoev1700_6*1.5)),"")</f>
        <v/>
      </c>
      <c r="O27" s="409" t="str">
        <f>IF(B25&lt;&gt;"",IF(D25&lt;&gt;"lidocaine",IF(_OplHoev1700_6&lt;25,(2*_OplHoev1700_6-N27)*100,(_OplHoev1700_6-N27)*100),1.5*_OplHoev1700_6-N27),"")</f>
        <v/>
      </c>
      <c r="P27" s="279"/>
      <c r="Q27" s="279"/>
      <c r="R27" s="279"/>
    </row>
    <row r="28" spans="1:18" ht="10" customHeight="1" x14ac:dyDescent="0.4">
      <c r="A28" s="371"/>
      <c r="B28" s="410"/>
      <c r="C28" s="410"/>
      <c r="D28" s="308"/>
      <c r="E28" s="308"/>
      <c r="F28" s="411"/>
      <c r="G28" s="308"/>
      <c r="H28" s="397"/>
      <c r="I28" s="308"/>
      <c r="J28" s="308"/>
      <c r="K28" s="396"/>
      <c r="L28" s="308"/>
      <c r="M28" s="308"/>
      <c r="N28" s="412"/>
      <c r="O28" s="413"/>
      <c r="P28" s="279"/>
      <c r="Q28" s="279"/>
      <c r="R28" s="279"/>
    </row>
    <row r="29" spans="1:18" ht="15.1" x14ac:dyDescent="0.4">
      <c r="A29" s="371">
        <v>7</v>
      </c>
      <c r="B29" s="372" t="str">
        <f>IF(WerkBrief!C44&lt;&gt;"zijlijn",WerkBrief!A44,"")</f>
        <v/>
      </c>
      <c r="C29" s="372"/>
      <c r="D29" s="373" t="str">
        <f>WerkBrief!C44</f>
        <v/>
      </c>
      <c r="E29" s="374"/>
      <c r="F29" s="375" t="str">
        <f>IF(WerkBrief!E44&lt;&gt;"",IF(D29&lt;&gt;"lidocaine",IF(WerkBrief!M46&lt;25,WerkBrief!E44*2,WerkBrief!E44),WerkBrief!E44*1.5),"")</f>
        <v/>
      </c>
      <c r="G29" s="374" t="str">
        <f>WerkBrief!F44</f>
        <v>mg</v>
      </c>
      <c r="H29" s="376" t="str">
        <f>WerkBrief!G44</f>
        <v>(</v>
      </c>
      <c r="I29" s="374" t="str">
        <f>WerkBrief!H44</f>
        <v/>
      </c>
      <c r="J29" s="374" t="str">
        <f>WerkBrief!I44</f>
        <v>mg=</v>
      </c>
      <c r="K29" s="374" t="str">
        <f>WerkBrief!J44</f>
        <v/>
      </c>
      <c r="L29" s="374" t="str">
        <f>WerkBrief!K44</f>
        <v>ml)</v>
      </c>
      <c r="M29" s="374"/>
      <c r="N29" s="377" t="str">
        <f>IF(B29&lt;&gt;"",IF(B29&gt;0,TRUNC((K29/I29)*F29),0),"")</f>
        <v/>
      </c>
      <c r="O29" s="378" t="str">
        <f>IF(B29&lt;&gt;"",(IF(B29&gt;0,ROUND((K29/I29)*F29,2),0)-N29)*100,"")</f>
        <v/>
      </c>
      <c r="P29" s="279"/>
      <c r="Q29" s="279"/>
      <c r="R29" s="279"/>
    </row>
    <row r="30" spans="1:18" ht="15.1" x14ac:dyDescent="0.4">
      <c r="A30" s="371"/>
      <c r="B30" s="372"/>
      <c r="C30" s="372"/>
      <c r="D30" s="379" t="str">
        <f>WerkBrief!C46</f>
        <v/>
      </c>
      <c r="E30" s="380"/>
      <c r="F30" s="380" t="str">
        <f>WerkBrief!E46</f>
        <v/>
      </c>
      <c r="G30" s="380"/>
      <c r="H30" s="381"/>
      <c r="I30" s="380"/>
      <c r="J30" s="380" t="str">
        <f>WerkBrief!I45</f>
        <v>in</v>
      </c>
      <c r="K30" s="382" t="str">
        <f>IF(AND(D29&lt;&gt;"Nepresol (dihydralazine)",D29&lt;&gt;"Flolan (epoprostenol)"),WerkBrief!J45,"NaCl 0,9%")</f>
        <v/>
      </c>
      <c r="L30" s="380"/>
      <c r="M30" s="380"/>
      <c r="N30" s="383" t="str">
        <f>IF(B29&lt;&gt;"",TRUNC(IF(B29&gt;0,N31+O31/100-N29-O29/100,0)),"")</f>
        <v/>
      </c>
      <c r="O30" s="384" t="str">
        <f>IF(B29&lt;&gt;"",(IF(B29&gt;0,N31+O31/100-N29-O29/100,0)-N30)*100,"")</f>
        <v/>
      </c>
      <c r="P30" s="279"/>
      <c r="Q30" s="279"/>
      <c r="R30" s="279"/>
    </row>
    <row r="31" spans="1:18" ht="15.1" x14ac:dyDescent="0.4">
      <c r="A31" s="371"/>
      <c r="B31" s="372"/>
      <c r="C31" s="372"/>
      <c r="D31" s="385" t="s">
        <v>1041</v>
      </c>
      <c r="E31" s="386"/>
      <c r="F31" s="386" t="str">
        <f>IF(D29&lt;&gt;"",INDEX(Medicamenten,Berekeningen!B26,2),"")</f>
        <v/>
      </c>
      <c r="G31" s="386"/>
      <c r="H31" s="388"/>
      <c r="I31" s="388"/>
      <c r="J31" s="388"/>
      <c r="K31" s="389" t="str">
        <f>WerkBrief!J46</f>
        <v>Totaal</v>
      </c>
      <c r="L31" s="388"/>
      <c r="M31" s="388"/>
      <c r="N31" s="390" t="str">
        <f>IF(B29&lt;&gt;"",IF(D29&lt;&gt;"lidocaine",IF(_OplHoev1700_7&lt;25,2*TRUNC(_OplHoev1700_7),TRUNC(_OplHoev1700_7)),TRUNC(_OplHoev1700_7*1.5)),"")</f>
        <v/>
      </c>
      <c r="O31" s="391" t="str">
        <f>IF(B29&lt;&gt;"",IF(D29&lt;&gt;"lidocaine",IF(_OplHoev1700_7&lt;25,(2*_OplHoev1700_7-N31)*100,(_OplHoev1700_7-N31)*100),1.5*_OplHoev1700_7-N31),"")</f>
        <v/>
      </c>
      <c r="P31" s="279"/>
      <c r="Q31" s="279"/>
      <c r="R31" s="279"/>
    </row>
    <row r="32" spans="1:18" ht="10" customHeight="1" x14ac:dyDescent="0.4">
      <c r="A32" s="371"/>
      <c r="B32" s="345"/>
      <c r="C32" s="345"/>
      <c r="D32" s="329"/>
      <c r="E32" s="329"/>
      <c r="F32" s="329"/>
      <c r="G32" s="329"/>
      <c r="H32" s="329"/>
      <c r="I32" s="329"/>
      <c r="J32" s="329"/>
      <c r="K32" s="330"/>
      <c r="L32" s="329"/>
      <c r="M32" s="329"/>
      <c r="N32" s="393"/>
      <c r="O32" s="394"/>
      <c r="P32" s="279"/>
      <c r="Q32" s="279"/>
      <c r="R32" s="279"/>
    </row>
    <row r="33" spans="1:18" ht="15.1" x14ac:dyDescent="0.4">
      <c r="A33" s="371">
        <v>8</v>
      </c>
      <c r="B33" s="395" t="str">
        <f>IF(WerkBrief!C47&lt;&gt;"zijlijn",WerkBrief!A47,"")</f>
        <v/>
      </c>
      <c r="C33" s="395"/>
      <c r="D33" s="307" t="str">
        <f>WerkBrief!C47</f>
        <v/>
      </c>
      <c r="E33" s="308"/>
      <c r="F33" s="396" t="str">
        <f>IF(WerkBrief!E47&lt;&gt;"",IF(D33&lt;&gt;"lidocaine",IF(WerkBrief!M49&lt;25,WerkBrief!E47*2,WerkBrief!E47),WerkBrief!E47*1.5),"")</f>
        <v/>
      </c>
      <c r="G33" s="308" t="str">
        <f>WerkBrief!F47</f>
        <v>mg</v>
      </c>
      <c r="H33" s="397" t="str">
        <f>WerkBrief!G47</f>
        <v>(</v>
      </c>
      <c r="I33" s="308" t="str">
        <f>WerkBrief!H47</f>
        <v/>
      </c>
      <c r="J33" s="308" t="str">
        <f>WerkBrief!I47</f>
        <v>mg=</v>
      </c>
      <c r="K33" s="308" t="str">
        <f>WerkBrief!J47</f>
        <v/>
      </c>
      <c r="L33" s="308" t="str">
        <f>WerkBrief!K47</f>
        <v>ml)</v>
      </c>
      <c r="M33" s="308"/>
      <c r="N33" s="398" t="str">
        <f>IF(B33&lt;&gt;"",IF(B33&gt;0,TRUNC((K33/I33)*F33),0),"")</f>
        <v/>
      </c>
      <c r="O33" s="399" t="str">
        <f>IF(B33&lt;&gt;"",(IF(B33&gt;0,ROUND((K33/I33)*F33,2),0)-N33)*100,"")</f>
        <v/>
      </c>
      <c r="P33" s="279"/>
      <c r="Q33" s="279"/>
      <c r="R33" s="279"/>
    </row>
    <row r="34" spans="1:18" ht="15.1" x14ac:dyDescent="0.4">
      <c r="A34" s="371"/>
      <c r="B34" s="395"/>
      <c r="C34" s="395"/>
      <c r="D34" s="400" t="str">
        <f>WerkBrief!C49</f>
        <v/>
      </c>
      <c r="E34" s="279"/>
      <c r="F34" s="279" t="str">
        <f>WerkBrief!E49</f>
        <v/>
      </c>
      <c r="G34" s="279"/>
      <c r="H34" s="401"/>
      <c r="I34" s="279"/>
      <c r="J34" s="279" t="str">
        <f>WerkBrief!I48</f>
        <v>in</v>
      </c>
      <c r="K34" s="286" t="str">
        <f>IF(AND(D33&lt;&gt;"Nepresol (dihydralazine)",D33&lt;&gt;"Flolan (epoprostenol)"),WerkBrief!J48,"NaCl 0,9%")</f>
        <v/>
      </c>
      <c r="L34" s="279"/>
      <c r="M34" s="279"/>
      <c r="N34" s="398" t="str">
        <f>IF(B33&lt;&gt;"",TRUNC(IF(B33&gt;0,N35+O35/100-N33-O33/100,0)),"")</f>
        <v/>
      </c>
      <c r="O34" s="399" t="str">
        <f>IF(B33&lt;&gt;"",(IF(B33&gt;0,N35+O35/100-N33-O33/100,0)-N34)*100,"")</f>
        <v/>
      </c>
      <c r="P34" s="279"/>
      <c r="Q34" s="279"/>
      <c r="R34" s="279"/>
    </row>
    <row r="35" spans="1:18" ht="15.1" x14ac:dyDescent="0.4">
      <c r="A35" s="371"/>
      <c r="B35" s="395"/>
      <c r="C35" s="395"/>
      <c r="D35" s="402" t="s">
        <v>1041</v>
      </c>
      <c r="E35" s="403"/>
      <c r="F35" s="403" t="str">
        <f>IF(D33&lt;&gt;"",INDEX(Medicamenten,Berekeningen!B27,2),"")</f>
        <v/>
      </c>
      <c r="G35" s="403"/>
      <c r="H35" s="406"/>
      <c r="I35" s="406"/>
      <c r="J35" s="406"/>
      <c r="K35" s="407" t="str">
        <f>WerkBrief!J49</f>
        <v>Totaal</v>
      </c>
      <c r="L35" s="406"/>
      <c r="M35" s="406"/>
      <c r="N35" s="408" t="str">
        <f>IF(B33&lt;&gt;"",IF(D33&lt;&gt;"lidocaine",IF(_OplHoev1700_8&lt;25,2*TRUNC(_OplHoev1700_8),TRUNC(_OplHoev1700_8)),TRUNC(_OplHoev1700_8*1.5)),"")</f>
        <v/>
      </c>
      <c r="O35" s="409" t="str">
        <f>IF(B33&lt;&gt;"",IF(D33&lt;&gt;"lidocaine",IF(_OplHoev1700_8&lt;25,(2*_OplHoev1700_8-N35)*100,(_OplHoev1700_8-N35)*100),1.5*_OplHoev1700_8-N35),"")</f>
        <v/>
      </c>
      <c r="P35" s="279"/>
      <c r="Q35" s="279"/>
      <c r="R35" s="279"/>
    </row>
    <row r="36" spans="1:18" ht="10" customHeight="1" x14ac:dyDescent="0.4">
      <c r="A36" s="371"/>
      <c r="B36" s="410"/>
      <c r="C36" s="410"/>
      <c r="D36" s="308"/>
      <c r="E36" s="308"/>
      <c r="F36" s="308"/>
      <c r="G36" s="308"/>
      <c r="H36" s="308"/>
      <c r="I36" s="308"/>
      <c r="J36" s="308"/>
      <c r="K36" s="396"/>
      <c r="L36" s="308"/>
      <c r="M36" s="308"/>
      <c r="N36" s="412"/>
      <c r="O36" s="413"/>
      <c r="P36" s="279"/>
      <c r="Q36" s="279"/>
      <c r="R36" s="279"/>
    </row>
    <row r="37" spans="1:18" ht="15.1" x14ac:dyDescent="0.4">
      <c r="A37" s="371">
        <v>9</v>
      </c>
      <c r="B37" s="372" t="str">
        <f>IF(WerkBrief!C50&lt;&gt;"zijlijn",WerkBrief!A50,"")</f>
        <v/>
      </c>
      <c r="C37" s="372"/>
      <c r="D37" s="373" t="str">
        <f>WerkBrief!C50</f>
        <v/>
      </c>
      <c r="E37" s="374"/>
      <c r="F37" s="375" t="str">
        <f>IF(WerkBrief!E50&lt;&gt;"",IF(D37&lt;&gt;"lidocaine",IF(WerkBrief!M52&lt;25,WerkBrief!E50*2,WerkBrief!E50),WerkBrief!E50*1.5),"")</f>
        <v/>
      </c>
      <c r="G37" s="374" t="str">
        <f>WerkBrief!F50</f>
        <v>mg</v>
      </c>
      <c r="H37" s="376" t="str">
        <f>WerkBrief!G50</f>
        <v>(</v>
      </c>
      <c r="I37" s="374" t="str">
        <f>WerkBrief!H50</f>
        <v/>
      </c>
      <c r="J37" s="374" t="str">
        <f>WerkBrief!I50</f>
        <v>mg=</v>
      </c>
      <c r="K37" s="374" t="str">
        <f>WerkBrief!J50</f>
        <v/>
      </c>
      <c r="L37" s="374" t="str">
        <f>WerkBrief!K50</f>
        <v>ml)</v>
      </c>
      <c r="M37" s="374"/>
      <c r="N37" s="377" t="str">
        <f>IF(B37&lt;&gt;"",IF(B37&gt;0,TRUNC((K37/I37)*F37),0),"")</f>
        <v/>
      </c>
      <c r="O37" s="378" t="str">
        <f>IF(B37&lt;&gt;"",(IF(B37&gt;0,ROUND((K37/I37)*F37,2),0)-N37)*100,"")</f>
        <v/>
      </c>
      <c r="P37" s="279"/>
      <c r="Q37" s="279"/>
      <c r="R37" s="279"/>
    </row>
    <row r="38" spans="1:18" ht="15.1" x14ac:dyDescent="0.4">
      <c r="A38" s="371"/>
      <c r="B38" s="372"/>
      <c r="C38" s="372"/>
      <c r="D38" s="379" t="str">
        <f>WerkBrief!C52</f>
        <v/>
      </c>
      <c r="E38" s="380"/>
      <c r="F38" s="380" t="str">
        <f>WerkBrief!E52</f>
        <v/>
      </c>
      <c r="G38" s="380"/>
      <c r="H38" s="381"/>
      <c r="I38" s="380"/>
      <c r="J38" s="380" t="str">
        <f>WerkBrief!I51</f>
        <v>in</v>
      </c>
      <c r="K38" s="382" t="str">
        <f>IF(AND(D37&lt;&gt;"Nepresol (dihydralazine)",D37&lt;&gt;"Flolan (epoprostenol)"),WerkBrief!J51,"NaCl 0,9%")</f>
        <v/>
      </c>
      <c r="L38" s="380"/>
      <c r="M38" s="380"/>
      <c r="N38" s="383" t="str">
        <f>IF(B37&lt;&gt;"",TRUNC(IF(B37&gt;0,N39+O39/100-N37-O37/100,0)),"")</f>
        <v/>
      </c>
      <c r="O38" s="384" t="str">
        <f>IF(B37&lt;&gt;"",(IF(B37&gt;0,N39+O39/100-N37-O37/100,0)-N38)*100,"")</f>
        <v/>
      </c>
      <c r="P38" s="279"/>
      <c r="Q38" s="279"/>
      <c r="R38" s="279"/>
    </row>
    <row r="39" spans="1:18" ht="15.1" x14ac:dyDescent="0.4">
      <c r="A39" s="371"/>
      <c r="B39" s="372"/>
      <c r="C39" s="372"/>
      <c r="D39" s="385" t="s">
        <v>1041</v>
      </c>
      <c r="E39" s="386"/>
      <c r="F39" s="386" t="str">
        <f>IF(D37&lt;&gt;"",INDEX(Medicamenten,Berekeningen!B28,2),"")</f>
        <v/>
      </c>
      <c r="G39" s="386"/>
      <c r="H39" s="388"/>
      <c r="I39" s="388"/>
      <c r="J39" s="388"/>
      <c r="K39" s="389" t="str">
        <f>WerkBrief!J52</f>
        <v>Totaal</v>
      </c>
      <c r="L39" s="388"/>
      <c r="M39" s="388"/>
      <c r="N39" s="390" t="str">
        <f>IF(B37&lt;&gt;"",IF(D37&lt;&gt;"lidocaine",IF(_OplHoev1700_9&lt;25,2*TRUNC(_OplHoev1700_9),TRUNC(_OplHoev1700_9)),TRUNC(_OplHoev1700_9*1.5)),"")</f>
        <v/>
      </c>
      <c r="O39" s="391" t="str">
        <f>IF(B37&lt;&gt;"",IF(D37&lt;&gt;"lidocaine",IF(_OplHoev1700_9&lt;25,(2*_OplHoev1700_9-N39)*100,(_OplHoev1700_9-N39)*100),1.5*_OplHoev1700_9-N39),"")</f>
        <v/>
      </c>
      <c r="P39" s="279"/>
      <c r="Q39" s="279"/>
      <c r="R39" s="279"/>
    </row>
    <row r="40" spans="1:18" ht="9.75" customHeight="1" x14ac:dyDescent="0.4">
      <c r="A40" s="371"/>
      <c r="D40" s="279"/>
      <c r="E40" s="279"/>
      <c r="F40" s="279"/>
      <c r="G40" s="279"/>
      <c r="H40" s="279"/>
      <c r="I40" s="279"/>
      <c r="J40" s="279"/>
      <c r="K40" s="279"/>
      <c r="L40" s="279"/>
      <c r="M40" s="279"/>
      <c r="N40" s="401"/>
      <c r="O40" s="416"/>
      <c r="P40" s="279"/>
      <c r="Q40" s="279"/>
      <c r="R40" s="279"/>
    </row>
    <row r="41" spans="1:18" ht="13.95" x14ac:dyDescent="0.4">
      <c r="A41" s="371">
        <v>10</v>
      </c>
      <c r="B41" s="310" t="str">
        <f>Print!B45</f>
        <v/>
      </c>
      <c r="C41" s="312"/>
      <c r="D41" s="417"/>
      <c r="E41" s="312"/>
      <c r="F41" s="312"/>
      <c r="G41" s="312"/>
      <c r="H41" s="416"/>
      <c r="I41" s="312"/>
      <c r="J41" s="312"/>
      <c r="K41" s="312"/>
      <c r="L41" s="312"/>
      <c r="M41" s="312"/>
      <c r="N41" s="416"/>
      <c r="O41" s="418"/>
      <c r="P41" s="279"/>
      <c r="Q41" s="279"/>
      <c r="R41" s="279"/>
    </row>
    <row r="42" spans="1:18" ht="13.95" x14ac:dyDescent="0.4">
      <c r="A42" s="371">
        <v>11</v>
      </c>
      <c r="B42" s="310" t="str">
        <f>Print!B46</f>
        <v/>
      </c>
      <c r="C42" s="312"/>
      <c r="D42" s="417"/>
      <c r="E42" s="312"/>
      <c r="F42" s="312"/>
      <c r="G42" s="312"/>
      <c r="H42" s="416"/>
      <c r="I42" s="312"/>
      <c r="J42" s="312"/>
      <c r="K42" s="312"/>
      <c r="L42" s="312"/>
      <c r="M42" s="312"/>
      <c r="N42" s="416"/>
      <c r="O42" s="418"/>
      <c r="P42" s="279"/>
      <c r="Q42" s="279"/>
      <c r="R42" s="279"/>
    </row>
    <row r="43" spans="1:18" ht="13.95" x14ac:dyDescent="0.4">
      <c r="A43" s="371">
        <v>12</v>
      </c>
      <c r="B43" s="310">
        <f>Print!B47</f>
        <v>0</v>
      </c>
      <c r="C43" s="312"/>
      <c r="D43" s="417"/>
      <c r="E43" s="312"/>
      <c r="F43" s="312"/>
      <c r="G43" s="312"/>
      <c r="H43" s="416"/>
      <c r="I43" s="312"/>
      <c r="J43" s="312"/>
      <c r="K43" s="312"/>
      <c r="L43" s="312"/>
      <c r="M43" s="312"/>
      <c r="N43" s="416"/>
      <c r="O43" s="418"/>
      <c r="P43" s="279"/>
      <c r="Q43" s="279"/>
      <c r="R43" s="279"/>
    </row>
    <row r="44" spans="1:18" x14ac:dyDescent="0.35">
      <c r="B44" s="279"/>
      <c r="C44" s="279"/>
      <c r="D44" s="285"/>
      <c r="E44" s="279"/>
      <c r="F44" s="279"/>
      <c r="G44" s="279"/>
      <c r="H44" s="401"/>
      <c r="I44" s="279"/>
      <c r="J44" s="279"/>
      <c r="K44" s="279"/>
      <c r="L44" s="279"/>
      <c r="M44" s="279"/>
      <c r="N44" s="401"/>
      <c r="O44" s="401"/>
      <c r="P44" s="279"/>
      <c r="Q44" s="279"/>
      <c r="R44" s="279"/>
    </row>
    <row r="45" spans="1:18" x14ac:dyDescent="0.35">
      <c r="B45" s="279"/>
      <c r="C45" s="279"/>
      <c r="D45" s="285"/>
      <c r="E45" s="279"/>
      <c r="F45" s="279"/>
      <c r="G45" s="279"/>
      <c r="H45" s="401"/>
      <c r="I45" s="279"/>
      <c r="J45" s="279"/>
      <c r="K45" s="279"/>
      <c r="L45" s="279"/>
      <c r="M45" s="279"/>
      <c r="N45" s="401"/>
      <c r="O45" s="401"/>
      <c r="P45" s="279"/>
      <c r="Q45" s="279"/>
      <c r="R45" s="279"/>
    </row>
    <row r="47" spans="1:18" s="320" customFormat="1" ht="9.75" customHeight="1" x14ac:dyDescent="0.35">
      <c r="A47" s="956">
        <f ca="1">TODAY()</f>
        <v>42722</v>
      </c>
      <c r="B47" s="956"/>
      <c r="C47" s="320" t="str">
        <f>"Bed "&amp;_Bed</f>
        <v>Bed 0</v>
      </c>
      <c r="E47" s="320">
        <v>1</v>
      </c>
      <c r="G47" s="956">
        <f ca="1">TODAY()</f>
        <v>42722</v>
      </c>
      <c r="H47" s="956"/>
      <c r="I47" s="320" t="str">
        <f>"Bed "&amp;_Bed</f>
        <v>Bed 0</v>
      </c>
      <c r="K47" s="320">
        <v>2</v>
      </c>
      <c r="M47" s="956">
        <f ca="1">TODAY()</f>
        <v>42722</v>
      </c>
      <c r="N47" s="957"/>
      <c r="O47" s="320" t="str">
        <f>"Bed "&amp;_Bed</f>
        <v>Bed 0</v>
      </c>
      <c r="Q47" s="320">
        <v>3</v>
      </c>
    </row>
    <row r="48" spans="1:18" ht="10" customHeight="1" x14ac:dyDescent="0.35">
      <c r="A48" s="419" t="str">
        <f>IF(D5&lt;&gt;"",_VoorNaam&amp;" "&amp;_AchterNaam,"")</f>
        <v/>
      </c>
      <c r="B48" s="320"/>
      <c r="C48" s="320"/>
      <c r="E48" s="320"/>
      <c r="F48" s="320"/>
      <c r="G48" s="419" t="str">
        <f>IF(D9&lt;&gt;"",_VoorNaam&amp;" "&amp;_AchterNaam,"")</f>
        <v/>
      </c>
      <c r="H48" s="320"/>
      <c r="I48" s="320"/>
      <c r="J48" s="320"/>
      <c r="K48" s="320"/>
      <c r="L48" s="320"/>
      <c r="M48" s="419" t="str">
        <f>IF(D13&lt;&gt;"",_VoorNaam&amp;" "&amp;_AchterNaam,"")</f>
        <v/>
      </c>
      <c r="N48" s="320"/>
      <c r="O48" s="320"/>
      <c r="P48" s="320"/>
      <c r="Q48" s="320"/>
    </row>
    <row r="49" spans="1:18" ht="10" customHeight="1" x14ac:dyDescent="0.35">
      <c r="A49" s="320" t="str">
        <f>IF(D5&lt;&gt;"",D5&amp;" "&amp;WerkBrief!E26&amp;" "&amp;G5,"")</f>
        <v/>
      </c>
      <c r="B49" s="320"/>
      <c r="C49" s="320"/>
      <c r="E49" s="320"/>
      <c r="F49" s="320"/>
      <c r="G49" s="320" t="str">
        <f>IF(D9&lt;&gt;"",D9&amp;" "&amp;WerkBrief!E29&amp;" "&amp;G9,"")</f>
        <v/>
      </c>
      <c r="H49" s="320"/>
      <c r="I49" s="320"/>
      <c r="K49" s="320"/>
      <c r="L49" s="320"/>
      <c r="M49" s="320" t="str">
        <f>IF(D13&lt;&gt;"",D13&amp;" "&amp;WerkBrief!E32&amp;" "&amp;G13,"")</f>
        <v/>
      </c>
      <c r="N49" s="320"/>
      <c r="O49" s="320"/>
      <c r="Q49" s="320"/>
    </row>
    <row r="50" spans="1:18" ht="10" customHeight="1" x14ac:dyDescent="0.35">
      <c r="A50" s="420" t="str">
        <f>Print!G33&amp;" "&amp;K6</f>
        <v xml:space="preserve"> </v>
      </c>
      <c r="B50" s="420"/>
      <c r="C50" s="420"/>
      <c r="D50" s="320" t="str">
        <f>IF(_OplHoev1700_1&gt;0,"("&amp;N7-_OplHoev1700_1&amp;" ml extra)","")</f>
        <v/>
      </c>
      <c r="E50" s="420"/>
      <c r="F50" s="320"/>
      <c r="G50" s="320" t="str">
        <f>Print!G34&amp;" "&amp;K10</f>
        <v xml:space="preserve"> </v>
      </c>
      <c r="H50" s="320"/>
      <c r="I50" s="320"/>
      <c r="J50" s="320" t="str">
        <f>IF(_OplHoev1700_2&gt;0,"("&amp;N11-_OplHoev1700_2&amp;" ml extra)","")</f>
        <v/>
      </c>
      <c r="K50" s="320"/>
      <c r="L50" s="320"/>
      <c r="M50" s="320" t="str">
        <f>Print!G35&amp;" "&amp;K14</f>
        <v xml:space="preserve"> </v>
      </c>
      <c r="N50" s="320"/>
      <c r="O50" s="320"/>
      <c r="P50" s="320" t="str">
        <f>IF(_OplHoev1700_3&gt;0,"("&amp;N15-_OplHoev1700_3&amp;" ml extra)","")</f>
        <v/>
      </c>
      <c r="Q50" s="320"/>
    </row>
    <row r="51" spans="1:18" ht="10" customHeight="1" x14ac:dyDescent="0.35">
      <c r="A51" s="320" t="str">
        <f>IF(D6&lt;&gt;"",D6,"")</f>
        <v/>
      </c>
      <c r="B51" s="320"/>
      <c r="C51" s="320" t="str">
        <f>F6</f>
        <v/>
      </c>
      <c r="D51" s="320"/>
      <c r="E51" s="320"/>
      <c r="F51" s="320"/>
      <c r="G51" s="320" t="str">
        <f>IF(D10&lt;&gt;"",D10,"")</f>
        <v/>
      </c>
      <c r="H51" s="320"/>
      <c r="I51" s="320" t="str">
        <f>IF(F10&lt;&gt;"",F10,"")</f>
        <v/>
      </c>
      <c r="J51" s="320"/>
      <c r="K51" s="320"/>
      <c r="L51" s="320"/>
      <c r="M51" s="320" t="str">
        <f>IF(D14&lt;&gt;"",$D$14,"")</f>
        <v/>
      </c>
      <c r="N51" s="320"/>
      <c r="O51" s="320" t="str">
        <f>IF(F14&lt;&gt;"",$F$14,"")</f>
        <v/>
      </c>
      <c r="P51" s="320"/>
      <c r="Q51" s="320"/>
    </row>
    <row r="52" spans="1:18" ht="10" customHeight="1" x14ac:dyDescent="0.35">
      <c r="A52" s="320"/>
      <c r="B52" s="320"/>
      <c r="D52" s="320" t="str">
        <f>"Exp: "</f>
        <v xml:space="preserve">Exp: </v>
      </c>
      <c r="E52" s="955">
        <f ca="1">TODAY()+1</f>
        <v>42723</v>
      </c>
      <c r="F52" s="955"/>
      <c r="G52" s="320"/>
      <c r="H52" s="320"/>
      <c r="I52" s="320"/>
      <c r="J52" s="320" t="str">
        <f>"Exp: "</f>
        <v xml:space="preserve">Exp: </v>
      </c>
      <c r="K52" s="955">
        <f ca="1">TODAY()+1</f>
        <v>42723</v>
      </c>
      <c r="L52" s="955"/>
      <c r="M52" s="320"/>
      <c r="N52" s="320"/>
      <c r="O52" s="320"/>
      <c r="P52" s="320" t="str">
        <f>"Exp: "</f>
        <v xml:space="preserve">Exp: </v>
      </c>
      <c r="Q52" s="955">
        <f ca="1">TODAY()+1</f>
        <v>42723</v>
      </c>
      <c r="R52" s="955"/>
    </row>
    <row r="53" spans="1:18" ht="10" customHeight="1" x14ac:dyDescent="0.35"/>
    <row r="54" spans="1:18" ht="10" customHeight="1" x14ac:dyDescent="0.35">
      <c r="A54" s="320"/>
      <c r="B54" s="320"/>
      <c r="C54" s="320"/>
      <c r="D54" s="320"/>
      <c r="E54" s="320"/>
      <c r="F54" s="320"/>
      <c r="G54" s="320"/>
      <c r="H54" s="320"/>
      <c r="I54" s="320"/>
      <c r="J54" s="320"/>
      <c r="K54" s="320"/>
      <c r="L54" s="320"/>
      <c r="M54" s="320"/>
      <c r="N54" s="320"/>
      <c r="O54" s="320"/>
      <c r="P54" s="320"/>
      <c r="Q54" s="320"/>
    </row>
    <row r="55" spans="1:18" ht="10" customHeight="1" x14ac:dyDescent="0.35">
      <c r="A55" s="320"/>
      <c r="B55" s="320"/>
      <c r="C55" s="320"/>
      <c r="D55" s="320"/>
      <c r="E55" s="320"/>
      <c r="F55" s="320"/>
      <c r="G55" s="320"/>
      <c r="H55" s="320"/>
      <c r="I55" s="320"/>
      <c r="J55" s="320"/>
      <c r="K55" s="320"/>
      <c r="L55" s="320"/>
      <c r="M55" s="320"/>
      <c r="N55" s="320"/>
      <c r="O55" s="320"/>
      <c r="P55" s="320"/>
      <c r="Q55" s="320"/>
    </row>
    <row r="56" spans="1:18" ht="10" customHeight="1" x14ac:dyDescent="0.35">
      <c r="A56" s="320"/>
      <c r="B56" s="320"/>
      <c r="C56" s="320"/>
      <c r="D56" s="320"/>
      <c r="E56" s="320"/>
      <c r="F56" s="320"/>
      <c r="G56" s="320"/>
      <c r="H56" s="320"/>
      <c r="I56" s="320"/>
      <c r="J56" s="320"/>
      <c r="K56" s="320"/>
      <c r="L56" s="320"/>
      <c r="M56" s="320"/>
      <c r="N56" s="320"/>
      <c r="O56" s="320"/>
      <c r="P56" s="320"/>
      <c r="Q56" s="320"/>
    </row>
    <row r="57" spans="1:18" ht="15.75" customHeight="1" x14ac:dyDescent="0.35">
      <c r="A57" s="320"/>
      <c r="B57" s="320"/>
      <c r="C57" s="320"/>
      <c r="D57" s="320"/>
      <c r="E57" s="320"/>
      <c r="F57" s="320"/>
      <c r="G57" s="320"/>
      <c r="H57" s="320"/>
      <c r="I57" s="320"/>
      <c r="J57" s="320"/>
      <c r="K57" s="320"/>
      <c r="L57" s="320"/>
      <c r="M57" s="320"/>
      <c r="N57" s="320"/>
      <c r="O57" s="320"/>
      <c r="P57" s="320"/>
      <c r="Q57" s="320"/>
    </row>
    <row r="58" spans="1:18" ht="9.75" customHeight="1" x14ac:dyDescent="0.35">
      <c r="A58" s="956">
        <f ca="1">TODAY()</f>
        <v>42722</v>
      </c>
      <c r="B58" s="957"/>
      <c r="C58" s="320" t="str">
        <f>"Bed "&amp;_Bed</f>
        <v>Bed 0</v>
      </c>
      <c r="D58" s="320"/>
      <c r="E58" s="320">
        <v>4</v>
      </c>
      <c r="F58" s="320"/>
      <c r="G58" s="956">
        <f ca="1">TODAY()</f>
        <v>42722</v>
      </c>
      <c r="H58" s="957"/>
      <c r="I58" s="320" t="str">
        <f>"Bed "&amp;_Bed</f>
        <v>Bed 0</v>
      </c>
      <c r="J58" s="320"/>
      <c r="K58" s="320">
        <v>5</v>
      </c>
      <c r="L58" s="320"/>
      <c r="M58" s="956">
        <f ca="1">TODAY()</f>
        <v>42722</v>
      </c>
      <c r="N58" s="957"/>
      <c r="O58" s="320" t="str">
        <f>"Bed "&amp;_Bed</f>
        <v>Bed 0</v>
      </c>
      <c r="P58" s="320"/>
      <c r="Q58" s="320">
        <v>6</v>
      </c>
    </row>
    <row r="59" spans="1:18" ht="10" customHeight="1" x14ac:dyDescent="0.35">
      <c r="A59" s="419" t="str">
        <f>IF(D17&lt;&gt;"",_VoorNaam&amp;" "&amp;_AchterNaam,"")</f>
        <v/>
      </c>
      <c r="B59" s="320"/>
      <c r="C59" s="320"/>
      <c r="D59" s="320"/>
      <c r="E59" s="320"/>
      <c r="F59" s="320"/>
      <c r="G59" s="419" t="str">
        <f>IF(D21&lt;&gt;"",_VoorNaam&amp;" "&amp;_AchterNaam,"")</f>
        <v/>
      </c>
      <c r="H59" s="320"/>
      <c r="I59" s="320"/>
      <c r="J59" s="320"/>
      <c r="K59" s="320"/>
      <c r="L59" s="320"/>
      <c r="M59" s="419" t="str">
        <f>IF(D25&lt;&gt;"",_VoorNaam&amp;" "&amp;_AchterNaam,"")</f>
        <v/>
      </c>
      <c r="N59" s="320"/>
      <c r="O59" s="320"/>
      <c r="P59" s="320"/>
      <c r="Q59" s="320"/>
    </row>
    <row r="60" spans="1:18" ht="10" customHeight="1" x14ac:dyDescent="0.35">
      <c r="A60" s="320" t="str">
        <f>IF(D17&lt;&gt;"",D17&amp;" "&amp;WerkBrief!E35&amp;" "&amp;G17,"")</f>
        <v/>
      </c>
      <c r="B60" s="320"/>
      <c r="C60" s="320"/>
      <c r="E60" s="320"/>
      <c r="F60" s="320"/>
      <c r="G60" s="320" t="str">
        <f>IF(D21&lt;&gt;"",D21&amp;" "&amp;WerkBrief!E38&amp;" "&amp;G21,"")</f>
        <v/>
      </c>
      <c r="H60" s="320"/>
      <c r="I60" s="320"/>
      <c r="K60" s="320"/>
      <c r="L60" s="320"/>
      <c r="M60" s="320" t="str">
        <f>IF(D25&lt;&gt;"",D25&amp;" "&amp;WerkBrief!E41&amp;" "&amp;G25,"")</f>
        <v/>
      </c>
      <c r="N60" s="320"/>
      <c r="O60" s="320"/>
      <c r="Q60" s="320"/>
    </row>
    <row r="61" spans="1:18" ht="10" customHeight="1" x14ac:dyDescent="0.35">
      <c r="A61" s="320" t="str">
        <f>Print!G36&amp;" "&amp;K18</f>
        <v xml:space="preserve"> </v>
      </c>
      <c r="B61" s="320"/>
      <c r="C61" s="320"/>
      <c r="D61" s="320" t="str">
        <f>IF(_OplHoev1700_4&gt;0,"("&amp;N19-_OplHoev1700_4&amp;" ml extra)","")</f>
        <v/>
      </c>
      <c r="E61" s="320"/>
      <c r="F61" s="320"/>
      <c r="G61" s="320" t="str">
        <f>Print!G37&amp;" "&amp;K22</f>
        <v xml:space="preserve"> </v>
      </c>
      <c r="H61" s="320"/>
      <c r="I61" s="320"/>
      <c r="J61" s="320" t="str">
        <f>IF(_OplHoev1700_5&gt;0,"("&amp;N23-_OplHoev1700_5&amp;" ml extra)","")</f>
        <v/>
      </c>
      <c r="K61" s="320"/>
      <c r="L61" s="320"/>
      <c r="M61" s="320" t="str">
        <f>Print!G38&amp;" "&amp;K26</f>
        <v xml:space="preserve"> </v>
      </c>
      <c r="N61" s="320"/>
      <c r="O61" s="320"/>
      <c r="P61" s="320" t="str">
        <f>IF(_OplHoev1700_6&gt;0,"("&amp;N27-_OplHoev1700_6&amp;" ml extra)","")</f>
        <v/>
      </c>
      <c r="Q61" s="320"/>
    </row>
    <row r="62" spans="1:18" ht="10" customHeight="1" x14ac:dyDescent="0.35">
      <c r="A62" s="320" t="str">
        <f>IF(D18&lt;&gt;"",D18,"")</f>
        <v/>
      </c>
      <c r="B62" s="320"/>
      <c r="C62" s="320" t="str">
        <f>F18</f>
        <v/>
      </c>
      <c r="D62" s="320"/>
      <c r="E62" s="320"/>
      <c r="F62" s="320"/>
      <c r="G62" s="320" t="str">
        <f>IF(D22&lt;&gt;"",D22,"")</f>
        <v/>
      </c>
      <c r="H62" s="320"/>
      <c r="I62" s="320" t="str">
        <f>IF(F22&lt;&gt;"",F22,"")</f>
        <v/>
      </c>
      <c r="J62" s="320"/>
      <c r="K62" s="320"/>
      <c r="L62" s="320"/>
      <c r="M62" s="320" t="str">
        <f>IF(D26&lt;&gt;"",$D$26,"")</f>
        <v/>
      </c>
      <c r="N62" s="320"/>
      <c r="O62" s="320" t="str">
        <f>IF(F26&lt;&gt;"",$F$26,"")</f>
        <v/>
      </c>
      <c r="P62" s="320"/>
      <c r="Q62" s="320"/>
    </row>
    <row r="63" spans="1:18" ht="10" customHeight="1" x14ac:dyDescent="0.35">
      <c r="A63" s="320"/>
      <c r="B63" s="320"/>
      <c r="C63" s="320"/>
      <c r="D63" s="320" t="str">
        <f>"Exp: "</f>
        <v xml:space="preserve">Exp: </v>
      </c>
      <c r="E63" s="955">
        <f ca="1">TODAY()+1</f>
        <v>42723</v>
      </c>
      <c r="F63" s="955"/>
      <c r="G63" s="320"/>
      <c r="H63" s="320"/>
      <c r="I63" s="320"/>
      <c r="J63" s="320" t="str">
        <f>"Exp: "</f>
        <v xml:space="preserve">Exp: </v>
      </c>
      <c r="K63" s="955">
        <f ca="1">TODAY()+1</f>
        <v>42723</v>
      </c>
      <c r="L63" s="955"/>
      <c r="M63" s="320"/>
      <c r="N63" s="320"/>
      <c r="O63" s="320"/>
      <c r="P63" s="320" t="str">
        <f>"Exp: "</f>
        <v xml:space="preserve">Exp: </v>
      </c>
      <c r="Q63" s="955">
        <f ca="1">TODAY()+1</f>
        <v>42723</v>
      </c>
      <c r="R63" s="955"/>
    </row>
    <row r="64" spans="1:18" ht="10" customHeight="1" x14ac:dyDescent="0.35"/>
    <row r="65" spans="4:4" ht="10" customHeight="1" x14ac:dyDescent="0.35"/>
    <row r="66" spans="4:4" ht="10" customHeight="1" x14ac:dyDescent="0.35"/>
    <row r="67" spans="4:4" ht="10" customHeight="1" x14ac:dyDescent="0.35"/>
    <row r="68" spans="4:4" ht="10" customHeight="1" x14ac:dyDescent="0.35"/>
    <row r="73" spans="4:4" x14ac:dyDescent="0.35">
      <c r="D73" s="821"/>
    </row>
  </sheetData>
  <sheetProtection algorithmName="SHA-512" hashValue="QhbCe0GZUo18REA+AuRqZ8jlp591Noq5yoDyCSrb9g9/6mD6HR6vmoUbuAFdYhm2yAFgJdeEQ8Miwcen+LlU3Q==" saltValue="R+Qm+WYIFrqCmOEwikohBQ==" spinCount="100000" sheet="1" objects="1" scenarios="1" selectLockedCells="1" selectUnlockedCells="1"/>
  <mergeCells count="14">
    <mergeCell ref="J1:L1"/>
    <mergeCell ref="N2:O2"/>
    <mergeCell ref="A47:B47"/>
    <mergeCell ref="G47:H47"/>
    <mergeCell ref="M47:N47"/>
    <mergeCell ref="Q52:R52"/>
    <mergeCell ref="A58:B58"/>
    <mergeCell ref="G58:H58"/>
    <mergeCell ref="M58:N58"/>
    <mergeCell ref="E63:F63"/>
    <mergeCell ref="K63:L63"/>
    <mergeCell ref="Q63:R63"/>
    <mergeCell ref="E52:F52"/>
    <mergeCell ref="K52:L52"/>
  </mergeCells>
  <pageMargins left="0.27" right="0.19" top="0.25" bottom="0.27" header="0.17" footer="0.27"/>
  <pageSetup paperSize="9" orientation="portrait" r:id="rId1"/>
  <headerFooter alignWithMargins="0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Neo">
    <tabColor rgb="FFFF0000"/>
  </sheetPr>
  <dimension ref="A1"/>
  <sheetViews>
    <sheetView workbookViewId="0"/>
  </sheetViews>
  <sheetFormatPr defaultRowHeight="12.85" x14ac:dyDescent="0.3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AfsprakenTekst">
    <tabColor rgb="FF00B0F0"/>
  </sheetPr>
  <dimension ref="A1:FIO153"/>
  <sheetViews>
    <sheetView topLeftCell="A16" zoomScaleNormal="100" workbookViewId="0">
      <selection activeCell="C22" sqref="C22"/>
    </sheetView>
  </sheetViews>
  <sheetFormatPr defaultRowHeight="12.85" x14ac:dyDescent="0.35"/>
  <cols>
    <col min="1" max="1" width="22.86328125" bestFit="1" customWidth="1"/>
    <col min="2" max="2" width="6.265625" customWidth="1"/>
    <col min="3" max="3" width="69.73046875" customWidth="1"/>
  </cols>
  <sheetData>
    <row r="1" spans="1:3 4305:4305" x14ac:dyDescent="0.35">
      <c r="A1" s="577" t="s">
        <v>606</v>
      </c>
      <c r="B1" s="235" t="s">
        <v>908</v>
      </c>
      <c r="C1" s="234" t="str">
        <f>AfsprakenCMV!F2&amp;" geb: "&amp;TEXT(AfsprakenCMV!F3,"dd-mmm-jj")&amp;". Gewicht: "&amp;ROUND(Gewicht/10,1)&amp;" kg"</f>
        <v>Achternaam, Voornaam geb: 01-jan-16. Gewicht: 10 kg</v>
      </c>
    </row>
    <row r="2" spans="1:3 4305:4305" x14ac:dyDescent="0.35">
      <c r="A2" t="s">
        <v>606</v>
      </c>
      <c r="B2" s="236" t="s">
        <v>909</v>
      </c>
      <c r="C2" s="234" t="str">
        <f>_AchterNaam</f>
        <v>Achternaam</v>
      </c>
      <c r="FIO2">
        <v>30</v>
      </c>
    </row>
    <row r="3" spans="1:3 4305:4305" x14ac:dyDescent="0.35">
      <c r="A3" t="s">
        <v>606</v>
      </c>
      <c r="B3" s="236" t="s">
        <v>910</v>
      </c>
      <c r="C3" s="234" t="str">
        <f>_VoorNaam</f>
        <v>Voornaam</v>
      </c>
    </row>
    <row r="4" spans="1:3 4305:4305" x14ac:dyDescent="0.35">
      <c r="A4" t="s">
        <v>606</v>
      </c>
      <c r="B4" s="236" t="s">
        <v>911</v>
      </c>
      <c r="C4" s="234" t="str">
        <f>TEXT(AfsprakenCMV!F3,"dd-mmm-jj")</f>
        <v>01-jan-16</v>
      </c>
    </row>
    <row r="5" spans="1:3 4305:4305" x14ac:dyDescent="0.35">
      <c r="A5" t="s">
        <v>606</v>
      </c>
      <c r="B5" s="236" t="s">
        <v>912</v>
      </c>
      <c r="C5" s="22">
        <f>PatNummer</f>
        <v>0</v>
      </c>
    </row>
    <row r="6" spans="1:3 4305:4305" x14ac:dyDescent="0.35">
      <c r="A6" s="577" t="s">
        <v>928</v>
      </c>
      <c r="B6" s="236" t="s">
        <v>908</v>
      </c>
      <c r="C6" t="str">
        <f>IF(AfsprakenCMV!C51&lt;&gt;0,AfsprakenCMV!C51&amp;" "&amp;AfsprakenCMV!E51&amp;" "&amp;AfsprakenCMV!F51&amp;" "&amp;AfsprakenCMV!G51&amp;", totaal "&amp;AfsprakenCMV!J51&amp;" "&amp;AfsprakenCMV!I51,"")</f>
        <v/>
      </c>
    </row>
    <row r="7" spans="1:3 4305:4305" x14ac:dyDescent="0.35">
      <c r="A7" t="s">
        <v>928</v>
      </c>
      <c r="B7" s="236" t="s">
        <v>909</v>
      </c>
      <c r="C7" t="str">
        <f>IF(AfsprakenCMV!C52&lt;&gt;0,AfsprakenCMV!C52&amp;" "&amp;AfsprakenCMV!E52&amp;" "&amp;AfsprakenCMV!F52&amp;" "&amp;AfsprakenCMV!G52&amp;", totaal "&amp;AfsprakenCMV!J52&amp;" "&amp;AfsprakenCMV!I52,"")</f>
        <v/>
      </c>
    </row>
    <row r="8" spans="1:3 4305:4305" x14ac:dyDescent="0.35">
      <c r="A8" t="s">
        <v>928</v>
      </c>
      <c r="B8" s="236" t="s">
        <v>910</v>
      </c>
      <c r="C8" t="str">
        <f>IF(AfsprakenCMV!C53&lt;&gt;0,AfsprakenCMV!C53&amp;" "&amp;AfsprakenCMV!E53&amp;" "&amp;AfsprakenCMV!F53&amp;" "&amp;AfsprakenCMV!G53&amp;", totaal "&amp;AfsprakenCMV!J53&amp;" "&amp;AfsprakenCMV!I53,"")</f>
        <v/>
      </c>
    </row>
    <row r="9" spans="1:3 4305:4305" x14ac:dyDescent="0.35">
      <c r="A9" t="s">
        <v>928</v>
      </c>
      <c r="B9" s="235" t="s">
        <v>911</v>
      </c>
      <c r="C9" t="str">
        <f>IF(AfsprakenCMV!C54&lt;&gt;0,AfsprakenCMV!C54&amp;" "&amp;AfsprakenCMV!E54&amp;" "&amp;AfsprakenCMV!F54&amp;" "&amp;AfsprakenCMV!G54&amp;", totaal "&amp;AfsprakenCMV!J54&amp;" "&amp;AfsprakenCMV!I54,"")</f>
        <v/>
      </c>
    </row>
    <row r="10" spans="1:3 4305:4305" x14ac:dyDescent="0.35">
      <c r="A10" t="s">
        <v>928</v>
      </c>
      <c r="B10" s="235" t="s">
        <v>912</v>
      </c>
      <c r="C10" t="str">
        <f>IF(AfsprakenCMV!C55&lt;&gt;0,AfsprakenCMV!C55&amp;" "&amp;AfsprakenCMV!E55&amp;" "&amp;AfsprakenCMV!F55&amp;" "&amp;AfsprakenCMV!G55&amp;", totaal "&amp;AfsprakenCMV!J55&amp;" "&amp;AfsprakenCMV!I55,"")</f>
        <v/>
      </c>
    </row>
    <row r="11" spans="1:3 4305:4305" x14ac:dyDescent="0.35">
      <c r="A11" t="s">
        <v>928</v>
      </c>
      <c r="B11" s="235" t="s">
        <v>913</v>
      </c>
      <c r="C11" t="str">
        <f>IF(AfsprakenCMV!C56&lt;&gt;0,AfsprakenCMV!C56&amp;" "&amp;AfsprakenCMV!E56&amp;" "&amp;AfsprakenCMV!F56&amp;" "&amp;AfsprakenCMV!G56&amp;", totaal "&amp;AfsprakenCMV!J56&amp;" "&amp;AfsprakenCMV!I56,"")</f>
        <v/>
      </c>
    </row>
    <row r="12" spans="1:3 4305:4305" x14ac:dyDescent="0.35">
      <c r="A12" t="s">
        <v>928</v>
      </c>
      <c r="B12" s="235" t="s">
        <v>914</v>
      </c>
      <c r="C12" t="str">
        <f>IF(AfsprakenCMV!C57&lt;&gt;0,AfsprakenCMV!C57&amp;" "&amp;AfsprakenCMV!E57&amp;" "&amp;AfsprakenCMV!F57&amp;" "&amp;AfsprakenCMV!G57&amp;", totaal "&amp;AfsprakenCMV!J57&amp;" "&amp;AfsprakenCMV!I57,"")</f>
        <v/>
      </c>
    </row>
    <row r="13" spans="1:3 4305:4305" x14ac:dyDescent="0.35">
      <c r="A13" t="s">
        <v>928</v>
      </c>
      <c r="B13" s="235" t="s">
        <v>915</v>
      </c>
      <c r="C13" t="str">
        <f>IF(AfsprakenCMV!C58&lt;&gt;0,AfsprakenCMV!C58&amp;" "&amp;AfsprakenCMV!E58&amp;" "&amp;AfsprakenCMV!F58&amp;" "&amp;AfsprakenCMV!G58&amp;", totaal "&amp;AfsprakenCMV!J58&amp;" "&amp;AfsprakenCMV!I58,"")</f>
        <v/>
      </c>
    </row>
    <row r="14" spans="1:3 4305:4305" x14ac:dyDescent="0.35">
      <c r="A14" t="s">
        <v>928</v>
      </c>
      <c r="B14" s="235" t="s">
        <v>916</v>
      </c>
      <c r="C14" t="str">
        <f>IF(AfsprakenCMV!C59&lt;&gt;0,AfsprakenCMV!C59&amp;" "&amp;AfsprakenCMV!E59&amp;" "&amp;AfsprakenCMV!F59&amp;" "&amp;AfsprakenCMV!G59&amp;", totaal "&amp;AfsprakenCMV!J59&amp;" "&amp;AfsprakenCMV!I59,"")</f>
        <v/>
      </c>
    </row>
    <row r="15" spans="1:3 4305:4305" x14ac:dyDescent="0.35">
      <c r="A15" t="s">
        <v>928</v>
      </c>
      <c r="B15" s="235">
        <v>10</v>
      </c>
      <c r="C15" t="str">
        <f>IF(AfsprakenCMV!C60&lt;&gt;0,AfsprakenCMV!C60&amp;" "&amp;AfsprakenCMV!E60&amp;" "&amp;AfsprakenCMV!F60&amp;" "&amp;AfsprakenCMV!G60&amp;", totaal "&amp;AfsprakenCMV!J60&amp;" "&amp;AfsprakenCMV!I60,"")</f>
        <v/>
      </c>
    </row>
    <row r="16" spans="1:3 4305:4305" x14ac:dyDescent="0.35">
      <c r="A16" t="s">
        <v>928</v>
      </c>
      <c r="B16" s="235">
        <v>11</v>
      </c>
      <c r="C16" t="str">
        <f>IF(AfsprakenCMV!C61&lt;&gt;0,AfsprakenCMV!C61&amp;" "&amp;AfsprakenCMV!E61&amp;" "&amp;AfsprakenCMV!F61&amp;" "&amp;AfsprakenCMV!G61&amp;", totaal "&amp;AfsprakenCMV!J61&amp;" "&amp;AfsprakenCMV!I61,"")</f>
        <v/>
      </c>
    </row>
    <row r="17" spans="1:6" x14ac:dyDescent="0.35">
      <c r="A17" t="s">
        <v>928</v>
      </c>
      <c r="B17" s="235">
        <v>12</v>
      </c>
      <c r="C17" t="str">
        <f>IF(AfsprakenCMV!C62&lt;&gt;0,AfsprakenCMV!C62&amp;" "&amp;AfsprakenCMV!E62&amp;" "&amp;AfsprakenCMV!F62&amp;" "&amp;AfsprakenCMV!G62&amp;", totaal "&amp;AfsprakenCMV!J62&amp;" "&amp;AfsprakenCMV!I62,"")</f>
        <v/>
      </c>
    </row>
    <row r="18" spans="1:6" x14ac:dyDescent="0.35">
      <c r="A18" t="s">
        <v>928</v>
      </c>
      <c r="B18" s="235">
        <v>13</v>
      </c>
      <c r="C18" t="str">
        <f>IF(AfsprakenCMV!C63&lt;&gt;0,AfsprakenCMV!C63&amp;" "&amp;AfsprakenCMV!E63&amp;" "&amp;AfsprakenCMV!F63&amp;" "&amp;AfsprakenCMV!G63&amp;", totaal "&amp;AfsprakenCMV!J63&amp;" "&amp;AfsprakenCMV!I63,"")</f>
        <v/>
      </c>
    </row>
    <row r="19" spans="1:6" x14ac:dyDescent="0.35">
      <c r="A19" t="s">
        <v>928</v>
      </c>
      <c r="B19" s="235">
        <v>14</v>
      </c>
      <c r="C19" t="str">
        <f>IF(AfsprakenCMV!C64&lt;&gt;0,AfsprakenCMV!C64&amp;" "&amp;AfsprakenCMV!E64&amp;" "&amp;AfsprakenCMV!F64&amp;" "&amp;AfsprakenCMV!G64&amp;", totaal "&amp;AfsprakenCMV!J64&amp;" "&amp;AfsprakenCMV!I64,"")</f>
        <v/>
      </c>
    </row>
    <row r="20" spans="1:6" x14ac:dyDescent="0.35">
      <c r="A20" t="s">
        <v>928</v>
      </c>
      <c r="B20" s="235">
        <v>15</v>
      </c>
      <c r="C20" t="str">
        <f>IF(AfsprakenCMV!C65&lt;&gt;0,AfsprakenCMV!C65&amp;" "&amp;AfsprakenCMV!E65&amp;" "&amp;AfsprakenCMV!F65&amp;" "&amp;AfsprakenCMV!G65&amp;", totaal "&amp;AfsprakenCMV!J65&amp;" "&amp;AfsprakenCMV!I65,"")</f>
        <v/>
      </c>
    </row>
    <row r="21" spans="1:6" x14ac:dyDescent="0.35">
      <c r="A21" t="s">
        <v>928</v>
      </c>
      <c r="B21" s="235">
        <v>16</v>
      </c>
      <c r="C21" t="str">
        <f>IF(ber_Opm!C4&lt;&gt;0,AfsprakenCMV!C67&amp;" "&amp;ber_Opm!C4,"")</f>
        <v/>
      </c>
    </row>
    <row r="22" spans="1:6" x14ac:dyDescent="0.35">
      <c r="A22" t="s">
        <v>929</v>
      </c>
      <c r="B22" s="235" t="s">
        <v>908</v>
      </c>
      <c r="C22" t="str">
        <f>ber_Med_disc!AC2</f>
        <v/>
      </c>
    </row>
    <row r="23" spans="1:6" x14ac:dyDescent="0.35">
      <c r="A23" t="s">
        <v>929</v>
      </c>
      <c r="B23" s="235" t="s">
        <v>909</v>
      </c>
      <c r="C23" t="str">
        <f>ber_Med_disc!AC3</f>
        <v/>
      </c>
    </row>
    <row r="24" spans="1:6" x14ac:dyDescent="0.35">
      <c r="A24" t="s">
        <v>929</v>
      </c>
      <c r="B24" s="235" t="s">
        <v>910</v>
      </c>
      <c r="C24" t="str">
        <f>ber_Med_disc!AC4</f>
        <v/>
      </c>
    </row>
    <row r="25" spans="1:6" x14ac:dyDescent="0.35">
      <c r="A25" t="s">
        <v>929</v>
      </c>
      <c r="B25" s="235" t="s">
        <v>911</v>
      </c>
      <c r="C25" t="str">
        <f>ber_Med_disc!AC5</f>
        <v/>
      </c>
    </row>
    <row r="26" spans="1:6" x14ac:dyDescent="0.35">
      <c r="A26" t="s">
        <v>929</v>
      </c>
      <c r="B26" s="235" t="s">
        <v>912</v>
      </c>
      <c r="C26" t="str">
        <f>ber_Med_disc!AC6</f>
        <v/>
      </c>
    </row>
    <row r="27" spans="1:6" x14ac:dyDescent="0.35">
      <c r="A27" t="s">
        <v>929</v>
      </c>
      <c r="B27" s="235" t="s">
        <v>913</v>
      </c>
      <c r="C27" t="str">
        <f>ber_Med_disc!AC7</f>
        <v/>
      </c>
    </row>
    <row r="28" spans="1:6" x14ac:dyDescent="0.35">
      <c r="A28" t="s">
        <v>929</v>
      </c>
      <c r="B28" s="235" t="s">
        <v>914</v>
      </c>
      <c r="C28" t="str">
        <f>ber_Med_disc!AC8</f>
        <v/>
      </c>
    </row>
    <row r="29" spans="1:6" x14ac:dyDescent="0.35">
      <c r="A29" t="s">
        <v>929</v>
      </c>
      <c r="B29" s="235" t="s">
        <v>915</v>
      </c>
      <c r="C29" t="str">
        <f>ber_Med_disc!AC9</f>
        <v/>
      </c>
      <c r="E29" s="517"/>
      <c r="F29" s="520"/>
    </row>
    <row r="30" spans="1:6" x14ac:dyDescent="0.35">
      <c r="A30" t="s">
        <v>929</v>
      </c>
      <c r="B30" s="235" t="s">
        <v>916</v>
      </c>
      <c r="C30" t="str">
        <f>ber_Med_disc!AC10</f>
        <v/>
      </c>
    </row>
    <row r="31" spans="1:6" x14ac:dyDescent="0.35">
      <c r="A31" t="s">
        <v>929</v>
      </c>
      <c r="B31" s="235">
        <v>10</v>
      </c>
      <c r="C31" t="str">
        <f>ber_Med_disc!AC11</f>
        <v/>
      </c>
    </row>
    <row r="32" spans="1:6" x14ac:dyDescent="0.35">
      <c r="A32" t="s">
        <v>929</v>
      </c>
      <c r="B32" s="235">
        <v>11</v>
      </c>
      <c r="C32" t="str">
        <f>ber_Med_disc!AC12</f>
        <v/>
      </c>
    </row>
    <row r="33" spans="1:7" x14ac:dyDescent="0.35">
      <c r="A33" t="s">
        <v>929</v>
      </c>
      <c r="B33" s="235">
        <v>12</v>
      </c>
      <c r="C33" t="str">
        <f>ber_Med_disc!AC13</f>
        <v/>
      </c>
    </row>
    <row r="34" spans="1:7" x14ac:dyDescent="0.35">
      <c r="A34" t="s">
        <v>929</v>
      </c>
      <c r="B34" s="235">
        <v>13</v>
      </c>
      <c r="C34" t="str">
        <f>ber_Med_disc!AC14</f>
        <v/>
      </c>
    </row>
    <row r="35" spans="1:7" x14ac:dyDescent="0.35">
      <c r="A35" t="s">
        <v>929</v>
      </c>
      <c r="B35" s="235">
        <v>14</v>
      </c>
      <c r="C35" t="str">
        <f>ber_Med_disc!AC15</f>
        <v/>
      </c>
    </row>
    <row r="36" spans="1:7" x14ac:dyDescent="0.35">
      <c r="A36" t="s">
        <v>929</v>
      </c>
      <c r="B36" s="235">
        <v>15</v>
      </c>
      <c r="C36" t="str">
        <f>ber_Med_disc!AC16</f>
        <v/>
      </c>
    </row>
    <row r="37" spans="1:7" x14ac:dyDescent="0.35">
      <c r="A37" t="s">
        <v>929</v>
      </c>
      <c r="B37" s="235">
        <v>16</v>
      </c>
      <c r="C37" t="str">
        <f>ber_Med_disc!AC17</f>
        <v/>
      </c>
    </row>
    <row r="38" spans="1:7" x14ac:dyDescent="0.35">
      <c r="A38" t="s">
        <v>929</v>
      </c>
      <c r="B38" s="235">
        <v>17</v>
      </c>
      <c r="C38" t="str">
        <f>ber_Med_disc!AC18</f>
        <v/>
      </c>
    </row>
    <row r="39" spans="1:7" x14ac:dyDescent="0.35">
      <c r="A39" t="s">
        <v>929</v>
      </c>
      <c r="B39" s="235">
        <v>18</v>
      </c>
      <c r="C39" t="str">
        <f>ber_Med_disc!AC19</f>
        <v/>
      </c>
    </row>
    <row r="40" spans="1:7" x14ac:dyDescent="0.35">
      <c r="A40" t="s">
        <v>929</v>
      </c>
      <c r="B40" s="235">
        <v>19</v>
      </c>
      <c r="C40" t="str">
        <f>ber_Med_disc!AC20</f>
        <v/>
      </c>
    </row>
    <row r="41" spans="1:7" x14ac:dyDescent="0.35">
      <c r="A41" t="s">
        <v>929</v>
      </c>
      <c r="B41" s="235">
        <v>20</v>
      </c>
      <c r="C41" t="str">
        <f>ber_Med_disc!AC21</f>
        <v/>
      </c>
    </row>
    <row r="42" spans="1:7" x14ac:dyDescent="0.35">
      <c r="A42" s="517" t="s">
        <v>929</v>
      </c>
      <c r="B42" s="520">
        <v>21</v>
      </c>
      <c r="C42" s="517" t="str">
        <f>ber_Med_disc!AC22</f>
        <v/>
      </c>
      <c r="F42" s="517"/>
      <c r="G42" s="517"/>
    </row>
    <row r="43" spans="1:7" x14ac:dyDescent="0.35">
      <c r="A43" s="517" t="s">
        <v>929</v>
      </c>
      <c r="B43" s="520">
        <v>22</v>
      </c>
      <c r="C43" s="517" t="str">
        <f>ber_Med_disc!AC23</f>
        <v/>
      </c>
      <c r="F43" s="517"/>
      <c r="G43" s="517"/>
    </row>
    <row r="44" spans="1:7" s="517" customFormat="1" x14ac:dyDescent="0.35">
      <c r="A44" s="517" t="s">
        <v>929</v>
      </c>
      <c r="B44" s="520">
        <v>23</v>
      </c>
      <c r="C44" s="517" t="str">
        <f>ber_Med_disc!AC24</f>
        <v/>
      </c>
      <c r="D44"/>
      <c r="E44"/>
    </row>
    <row r="45" spans="1:7" x14ac:dyDescent="0.35">
      <c r="A45" s="517" t="s">
        <v>929</v>
      </c>
      <c r="B45" s="520">
        <v>24</v>
      </c>
      <c r="C45" s="517" t="str">
        <f>ber_Med_disc!AC25</f>
        <v/>
      </c>
      <c r="F45" s="517"/>
      <c r="G45" s="517"/>
    </row>
    <row r="46" spans="1:7" x14ac:dyDescent="0.35">
      <c r="A46" s="517" t="s">
        <v>929</v>
      </c>
      <c r="B46" s="520">
        <v>25</v>
      </c>
      <c r="C46" s="517" t="str">
        <f>ber_Med_disc!AC26</f>
        <v/>
      </c>
    </row>
    <row r="47" spans="1:7" x14ac:dyDescent="0.35">
      <c r="A47" s="517" t="s">
        <v>929</v>
      </c>
      <c r="B47" s="520">
        <v>26</v>
      </c>
      <c r="C47" s="517" t="str">
        <f>ber_Med_disc!AC27</f>
        <v/>
      </c>
    </row>
    <row r="48" spans="1:7" x14ac:dyDescent="0.35">
      <c r="A48" s="517" t="s">
        <v>929</v>
      </c>
      <c r="B48" s="520">
        <v>27</v>
      </c>
      <c r="C48" s="517" t="str">
        <f>ber_Med_disc!AC28</f>
        <v/>
      </c>
    </row>
    <row r="49" spans="1:5" x14ac:dyDescent="0.35">
      <c r="A49" s="517" t="s">
        <v>929</v>
      </c>
      <c r="B49" s="520">
        <v>28</v>
      </c>
      <c r="C49" s="517" t="str">
        <f>ber_Med_disc!AC29</f>
        <v/>
      </c>
    </row>
    <row r="50" spans="1:5" x14ac:dyDescent="0.35">
      <c r="A50" s="517" t="s">
        <v>929</v>
      </c>
      <c r="B50" s="520">
        <v>29</v>
      </c>
      <c r="C50" s="517" t="str">
        <f>ber_Med_disc!AC30</f>
        <v/>
      </c>
    </row>
    <row r="51" spans="1:5" x14ac:dyDescent="0.35">
      <c r="A51" s="517" t="s">
        <v>929</v>
      </c>
      <c r="B51" s="520">
        <v>30</v>
      </c>
      <c r="C51" s="517" t="str">
        <f>ber_Med_disc!AC31</f>
        <v/>
      </c>
    </row>
    <row r="52" spans="1:5" x14ac:dyDescent="0.35">
      <c r="A52" s="518" t="s">
        <v>1656</v>
      </c>
      <c r="B52" s="520" t="s">
        <v>908</v>
      </c>
      <c r="C52" s="517" t="str">
        <f>IF('Aanvullende afspraken Ped'!C41="","",CONCATENATE('Aanvullende afspraken Ped'!B41,": ",'Aanvullende afspraken Ped'!C41))</f>
        <v/>
      </c>
      <c r="D52" s="517"/>
      <c r="E52" s="518"/>
    </row>
    <row r="53" spans="1:5" x14ac:dyDescent="0.35">
      <c r="A53" s="518" t="s">
        <v>1656</v>
      </c>
      <c r="B53" s="520" t="s">
        <v>909</v>
      </c>
      <c r="C53" s="517" t="str">
        <f>IF('Aanvullende afspraken Ped'!C42="","",CONCATENATE('Aanvullende afspraken Ped'!B42,": ",'Aanvullende afspraken Ped'!C42))</f>
        <v/>
      </c>
      <c r="D53" s="517"/>
      <c r="E53" s="518"/>
    </row>
    <row r="54" spans="1:5" x14ac:dyDescent="0.35">
      <c r="A54" s="518" t="s">
        <v>1656</v>
      </c>
      <c r="B54" s="520" t="s">
        <v>910</v>
      </c>
      <c r="C54" s="517" t="str">
        <f>IF('Aanvullende afspraken Ped'!C43="","",CONCATENATE('Aanvullende afspraken Ped'!B43,": ",'Aanvullende afspraken Ped'!C43))</f>
        <v/>
      </c>
      <c r="D54" s="517"/>
      <c r="E54" s="518"/>
    </row>
    <row r="55" spans="1:5" x14ac:dyDescent="0.35">
      <c r="A55" s="518" t="s">
        <v>1656</v>
      </c>
      <c r="B55" s="520" t="s">
        <v>911</v>
      </c>
      <c r="C55" s="517" t="str">
        <f>IF('Aanvullende afspraken Ped'!C44="","",CONCATENATE('Aanvullende afspraken Ped'!B44,": ",'Aanvullende afspraken Ped'!C44))</f>
        <v/>
      </c>
      <c r="D55" s="517"/>
      <c r="E55" s="518"/>
    </row>
    <row r="56" spans="1:5" x14ac:dyDescent="0.35">
      <c r="A56" t="s">
        <v>930</v>
      </c>
      <c r="B56" s="235" t="s">
        <v>908</v>
      </c>
      <c r="C56" t="str">
        <f>IF(AfsprakenCMV!C39&lt;&gt;0,AfsprakenCMV!C39,"")</f>
        <v/>
      </c>
    </row>
    <row r="57" spans="1:5" x14ac:dyDescent="0.35">
      <c r="A57" t="s">
        <v>930</v>
      </c>
      <c r="B57" s="235" t="s">
        <v>909</v>
      </c>
      <c r="C57" t="str">
        <f>IF(AfsprakenCMV!C40&lt;&gt;0,AfsprakenCMV!C40,"")</f>
        <v/>
      </c>
    </row>
    <row r="58" spans="1:5" x14ac:dyDescent="0.35">
      <c r="A58" t="s">
        <v>930</v>
      </c>
      <c r="B58" s="235" t="s">
        <v>910</v>
      </c>
      <c r="C58" t="str">
        <f>IF(AfsprakenCMV!C41&lt;&gt;0,AfsprakenCMV!C41,"")</f>
        <v/>
      </c>
    </row>
    <row r="59" spans="1:5" x14ac:dyDescent="0.35">
      <c r="A59" t="s">
        <v>930</v>
      </c>
      <c r="B59" s="235" t="s">
        <v>911</v>
      </c>
      <c r="C59" t="str">
        <f>IF(AfsprakenCMV!C42&lt;&gt;0,AfsprakenCMV!C42,"")</f>
        <v/>
      </c>
    </row>
    <row r="60" spans="1:5" x14ac:dyDescent="0.35">
      <c r="A60" t="s">
        <v>930</v>
      </c>
      <c r="B60" s="235" t="s">
        <v>912</v>
      </c>
      <c r="C60" t="str">
        <f>IF(AfsprakenCMV!C43&lt;&gt;0,AfsprakenCMV!C43,"")</f>
        <v/>
      </c>
    </row>
    <row r="61" spans="1:5" x14ac:dyDescent="0.35">
      <c r="A61" t="s">
        <v>930</v>
      </c>
      <c r="B61" s="235" t="s">
        <v>913</v>
      </c>
      <c r="C61" t="str">
        <f>IF(AfsprakenCMV!C44&lt;&gt;0,AfsprakenCMV!C44,"")</f>
        <v/>
      </c>
    </row>
    <row r="62" spans="1:5" x14ac:dyDescent="0.35">
      <c r="A62" t="s">
        <v>930</v>
      </c>
      <c r="B62" s="235" t="s">
        <v>914</v>
      </c>
      <c r="C62" t="str">
        <f>IF(AfsprakenCMV!D67&lt;&gt;0,"Opmerkingen: "&amp;AfsprakenCMV!D67,"")</f>
        <v/>
      </c>
    </row>
    <row r="63" spans="1:5" s="517" customFormat="1" x14ac:dyDescent="0.35">
      <c r="A63" s="518" t="s">
        <v>27</v>
      </c>
      <c r="B63" s="521" t="s">
        <v>908</v>
      </c>
      <c r="C63" s="517" t="str">
        <f>IF(ber_Infusen!D2&gt;1,"Pacemaker: "&amp;INDEX(tblPacemakerPositie,ber_Infusen!D2)&amp;", Modus:"&amp;INDEX(tblPacemakerModus,ber_Infusen!E2)&amp;"; Frequentie:"&amp;ber_Infusen!G1&amp;", Atriale output:"&amp;ber_Infusen!G2&amp;", Ventr. Output:"&amp;ber_Infusen!G3&amp;", AV interval:"&amp;ber_Infusen!G4&amp;", Atriale sens.:"&amp;ber_Infusen!G5&amp;", Ventr. sens.:"&amp;ber_Infusen!G6,"")</f>
        <v/>
      </c>
    </row>
    <row r="64" spans="1:5" x14ac:dyDescent="0.35">
      <c r="A64" t="s">
        <v>931</v>
      </c>
      <c r="B64" s="235" t="s">
        <v>908</v>
      </c>
      <c r="C64" t="str">
        <f>IF(AfsprakenCMV!G6&lt;&gt;"",AfsprakenCMV!G6&amp;": ","")&amp;IF(AfsprakenCMV!C7&lt;&gt;0,AfsprakenCMV!C7&amp;" ","")&amp;AfsprakenCMV!G7&amp;IF(AfsprakenCMV!D8&lt;&gt;""," "&amp;AfsprakenCMV!D8,"")&amp;IF(AfsprakenCMV!D9&lt;&gt;""," en "&amp;AfsprakenCMV!D9,"")&amp;IF(AfsprakenCMV!D10&lt;&gt;""," en "&amp;AfsprakenCMV!D10,"")</f>
        <v xml:space="preserve">Enteraal voeding:  </v>
      </c>
    </row>
    <row r="65" spans="1:3" x14ac:dyDescent="0.35">
      <c r="A65" t="s">
        <v>931</v>
      </c>
      <c r="B65" s="235" t="s">
        <v>909</v>
      </c>
      <c r="C65" t="str">
        <f>IF(AfsprakenCMV!D12&lt;&gt;0,"Opmerkingen: "&amp;AfsprakenCMV!D12,"")</f>
        <v/>
      </c>
    </row>
    <row r="66" spans="1:3" x14ac:dyDescent="0.35">
      <c r="A66" t="s">
        <v>931</v>
      </c>
      <c r="B66" s="235" t="s">
        <v>910</v>
      </c>
      <c r="C66" t="str">
        <f>IF(AfsprakenCMV!E70&lt;&gt;"",AfsprakenCMV!D70&amp;": "&amp;AfsprakenCMV!E70,"")&amp;IF(AfsprakenCMV!F71&lt;&gt;""," met "&amp;AfsprakenCMV!D71&amp;" "&amp;AfsprakenCMV!F71,"")&amp;IF(AfsprakenCMV!F73&lt;&gt;"",", "&amp;AfsprakenCMV!D73&amp;" "&amp;AfsprakenCMV!F73,"")&amp;IF(AfsprakenCMV!F74&lt;&gt;"",", "&amp;AfsprakenCMV!D74&amp;" "&amp;AfsprakenCMV!F74,"")&amp;IF(AfsprakenCMV!F75&lt;&gt; "",", "&amp;AfsprakenCMV!D75&amp;" "&amp;AfsprakenCMV!F75,"")&amp;IF(AfsprakenCMV!E72&lt;&gt; "",", "&amp;AfsprakenCMV!D72&amp;" "&amp;AfsprakenCMV!E72,"")</f>
        <v/>
      </c>
    </row>
    <row r="67" spans="1:3" x14ac:dyDescent="0.35">
      <c r="A67" t="s">
        <v>931</v>
      </c>
      <c r="B67" s="235" t="s">
        <v>911</v>
      </c>
      <c r="C67" t="str">
        <f>IF(AfsprakenCMV!E77&lt;&gt;"",AfsprakenCMV!D77&amp;": "&amp;AfsprakenCMV!E77,"")&amp;IF(AfsprakenCMV!F78&lt;&gt;"",", "&amp;AfsprakenCMV!D78&amp;" "&amp;AfsprakenCMV!F78,"")&amp;IF(AfsprakenCMV!F79&lt;&gt;"",", "&amp;AfsprakenCMV!D79&amp;" "&amp;AfsprakenCMV!F79,"")&amp;IF(AfsprakenCMV!F80&lt;&gt;"",", "&amp;AfsprakenCMV!D80&amp;" "&amp;AfsprakenCMV!F80,"")&amp;IF(AfsprakenCMV!F81&lt;&gt;"",", "&amp;AfsprakenCMV!D81&amp;" "&amp;AfsprakenCMV!F81,"")&amp;IF(AfsprakenCMV!F82&lt;&gt;"",", "&amp;AfsprakenCMV!D82&amp;" "&amp;AfsprakenCMV!F82,"")&amp;IF(AfsprakenCMV!F83&lt;&gt;"",", "&amp;AfsprakenCMV!D83&amp;" "&amp;AfsprakenCMV!F83,"")</f>
        <v/>
      </c>
    </row>
    <row r="68" spans="1:3" x14ac:dyDescent="0.35">
      <c r="A68" t="s">
        <v>931</v>
      </c>
      <c r="B68" s="235" t="s">
        <v>912</v>
      </c>
      <c r="C68" t="str">
        <f>IF(AfsprakenCMV!E85&lt;&gt;" ",AfsprakenCMV!D85&amp;": "&amp;AfsprakenCMV!E85,"")</f>
        <v/>
      </c>
    </row>
    <row r="69" spans="1:3" x14ac:dyDescent="0.35">
      <c r="A69" t="s">
        <v>931</v>
      </c>
      <c r="B69" s="235" t="s">
        <v>913</v>
      </c>
      <c r="C69" t="str">
        <f>IF(AfsprakenCMV!E87&lt;&gt;"",AfsprakenCMV!D87&amp;": "&amp;AfsprakenCMV!E87,"")&amp;IF(AfsprakenCMV!F88&lt;&gt;"",", "&amp;AfsprakenCMV!D88&amp;" "&amp;AfsprakenCMV!F88,"")&amp;IF(AfsprakenCMV!F89&lt;&gt;"",", "&amp;AfsprakenCMV!D89&amp;" "&amp;AfsprakenCMV!F89,"")&amp;IF(AfsprakenCMV!F90&lt;&gt;"",", "&amp;AfsprakenCMV!D90&amp;" "&amp;AfsprakenCMV!F90,"")</f>
        <v/>
      </c>
    </row>
    <row r="70" spans="1:3" x14ac:dyDescent="0.35">
      <c r="A70" t="s">
        <v>931</v>
      </c>
      <c r="B70" s="235" t="s">
        <v>914</v>
      </c>
      <c r="C70" t="str">
        <f>IF(AfsprakenCMV!I70&lt;&gt;"",AfsprakenCMV!H70&amp;": "&amp;AfsprakenCMV!I70,"")&amp;IF(AfsprakenCMV!J71&lt;&gt;"",", "&amp;AfsprakenCMV!H71&amp;" "&amp;AfsprakenCMV!J71,"")&amp;IF(AfsprakenCMV!J72&lt;&gt;"",", "&amp;AfsprakenCMV!H72&amp;" "&amp;AfsprakenCMV!J72,"")&amp;IF(AfsprakenCMV!J73&lt;&gt;"",", "&amp;AfsprakenCMV!H73&amp;" "&amp;AfsprakenCMV!J73,"")</f>
        <v/>
      </c>
    </row>
    <row r="71" spans="1:3" x14ac:dyDescent="0.35">
      <c r="A71" t="s">
        <v>931</v>
      </c>
      <c r="B71" s="236" t="s">
        <v>915</v>
      </c>
      <c r="C71" t="str">
        <f>IF(Intake!D32&lt;&gt;0,"Opmerkingen: "&amp;Intake!D32,"")</f>
        <v/>
      </c>
    </row>
    <row r="72" spans="1:3" x14ac:dyDescent="0.35">
      <c r="A72" t="s">
        <v>285</v>
      </c>
      <c r="B72" s="235" t="s">
        <v>908</v>
      </c>
      <c r="C72" t="str">
        <f>IF(AfsprakenCMV!D15&lt;&gt;"",AfsprakenCMV!C15&amp;": "&amp;AfsprakenCMV!D15,"")</f>
        <v/>
      </c>
    </row>
    <row r="73" spans="1:3" x14ac:dyDescent="0.35">
      <c r="A73" t="s">
        <v>285</v>
      </c>
      <c r="B73" s="235" t="s">
        <v>909</v>
      </c>
      <c r="C73" t="str">
        <f>IF(AfsprakenCMV!D16&lt;&gt;"",AfsprakenCMV!C16&amp;": "&amp;AfsprakenCMV!D16,"")</f>
        <v>14:00 uur: A</v>
      </c>
    </row>
    <row r="74" spans="1:3" x14ac:dyDescent="0.35">
      <c r="A74" t="s">
        <v>285</v>
      </c>
      <c r="B74" s="235" t="s">
        <v>910</v>
      </c>
      <c r="C74" t="str">
        <f>IF(AfsprakenCMV!D17&lt;&gt;"",AfsprakenCMV!C17&amp;": "&amp;AfsprakenCMV!D17,"")</f>
        <v/>
      </c>
    </row>
    <row r="75" spans="1:3" x14ac:dyDescent="0.35">
      <c r="A75" t="s">
        <v>285</v>
      </c>
      <c r="B75" s="235" t="s">
        <v>911</v>
      </c>
      <c r="C75" t="str">
        <f>IF(AfsprakenCMV!D18&lt;&gt;"",AfsprakenCMV!C18&amp;": "&amp;AfsprakenCMV!D18,"")</f>
        <v/>
      </c>
    </row>
    <row r="76" spans="1:3" x14ac:dyDescent="0.35">
      <c r="A76" t="s">
        <v>285</v>
      </c>
      <c r="B76" s="235" t="s">
        <v>912</v>
      </c>
      <c r="C76" t="str">
        <f>IF(AfsprakenCMV!D19&lt;&gt;"",AfsprakenCMV!C19&amp;": "&amp;AfsprakenCMV!D19,"")</f>
        <v/>
      </c>
    </row>
    <row r="77" spans="1:3" x14ac:dyDescent="0.35">
      <c r="A77" t="s">
        <v>285</v>
      </c>
      <c r="B77" s="235" t="s">
        <v>913</v>
      </c>
      <c r="C77" t="str">
        <f>IF(AfsprakenCMV!D20&lt;&gt;0,AfsprakenCMV!C20&amp;": "&amp;AfsprakenCMV!D20,"")</f>
        <v/>
      </c>
    </row>
    <row r="78" spans="1:3" x14ac:dyDescent="0.35">
      <c r="A78" t="s">
        <v>728</v>
      </c>
      <c r="B78" s="235" t="s">
        <v>908</v>
      </c>
      <c r="C78" t="str">
        <f>AfsprakenCMV!C96&amp;": "&amp;AfsprakenCMV!D96</f>
        <v>Vocht: 0 ml/kg</v>
      </c>
    </row>
    <row r="79" spans="1:3" x14ac:dyDescent="0.35">
      <c r="A79" t="s">
        <v>728</v>
      </c>
      <c r="B79" s="235" t="s">
        <v>909</v>
      </c>
      <c r="C79" t="str">
        <f>AfsprakenCMV!C97&amp;": "&amp;AfsprakenCMV!D97</f>
        <v>Eiwit: 0  gram/kg</v>
      </c>
    </row>
    <row r="80" spans="1:3" x14ac:dyDescent="0.35">
      <c r="A80" t="s">
        <v>728</v>
      </c>
      <c r="B80" s="235" t="s">
        <v>910</v>
      </c>
      <c r="C80" t="str">
        <f>AfsprakenCMV!C98&amp;": "&amp;AfsprakenCMV!D98</f>
        <v>Glucose/KH: 0 g/kg</v>
      </c>
    </row>
    <row r="81" spans="1:3" x14ac:dyDescent="0.35">
      <c r="A81" t="s">
        <v>728</v>
      </c>
      <c r="B81" s="235" t="s">
        <v>911</v>
      </c>
      <c r="C81" t="str">
        <f>AfsprakenCMV!E96&amp;": "&amp;AfsprakenCMV!F96</f>
        <v>Calorieen: 0 kCal/kg</v>
      </c>
    </row>
    <row r="82" spans="1:3" x14ac:dyDescent="0.35">
      <c r="A82" t="s">
        <v>728</v>
      </c>
      <c r="B82" s="235" t="s">
        <v>912</v>
      </c>
      <c r="C82" t="str">
        <f>AfsprakenCMV!E97&amp;": "&amp;AfsprakenCMV!F97</f>
        <v>Vet: 0 gram/kg</v>
      </c>
    </row>
    <row r="83" spans="1:3" x14ac:dyDescent="0.35">
      <c r="A83" t="s">
        <v>728</v>
      </c>
      <c r="B83" s="235" t="s">
        <v>913</v>
      </c>
      <c r="C83" t="str">
        <f>AfsprakenCMV!G96&amp;": "&amp;AfsprakenCMV!H96</f>
        <v>Kalium: 0 mmol/kg</v>
      </c>
    </row>
    <row r="84" spans="1:3" x14ac:dyDescent="0.35">
      <c r="A84" t="s">
        <v>728</v>
      </c>
      <c r="B84" s="235" t="s">
        <v>914</v>
      </c>
      <c r="C84" t="str">
        <f>AfsprakenCMV!G97&amp;": "&amp;AfsprakenCMV!H97</f>
        <v>Calcium: 0 mmol/kg</v>
      </c>
    </row>
    <row r="85" spans="1:3" x14ac:dyDescent="0.35">
      <c r="A85" t="s">
        <v>728</v>
      </c>
      <c r="B85" s="235" t="s">
        <v>915</v>
      </c>
      <c r="C85" t="str">
        <f>AfsprakenCMV!G98&amp;": "&amp;AfsprakenCMV!H98</f>
        <v>Magnesium: 0 mmol/kg</v>
      </c>
    </row>
    <row r="86" spans="1:3" x14ac:dyDescent="0.35">
      <c r="A86" t="s">
        <v>728</v>
      </c>
      <c r="B86" s="235" t="s">
        <v>916</v>
      </c>
      <c r="C86" t="str">
        <f>AfsprakenCMV!I96&amp;": "&amp;AfsprakenCMV!J96</f>
        <v>Natrium : 0 mmol/kg</v>
      </c>
    </row>
    <row r="87" spans="1:3" x14ac:dyDescent="0.35">
      <c r="A87" t="s">
        <v>728</v>
      </c>
      <c r="B87" s="235">
        <v>10</v>
      </c>
      <c r="C87" t="str">
        <f>AfsprakenCMV!I97&amp;": "&amp;AfsprakenCMV!J97</f>
        <v>Fosfaat: 0 mmol/kg</v>
      </c>
    </row>
    <row r="88" spans="1:3" x14ac:dyDescent="0.35">
      <c r="A88" s="518" t="s">
        <v>1261</v>
      </c>
      <c r="B88" s="517">
        <v>6</v>
      </c>
      <c r="C88" s="519" t="str">
        <f ca="1">Afspraken!H15</f>
        <v>80 weken en 2 dag(-en)</v>
      </c>
    </row>
    <row r="89" spans="1:3" x14ac:dyDescent="0.35">
      <c r="A89" s="518" t="s">
        <v>2283</v>
      </c>
      <c r="B89" s="520" t="s">
        <v>908</v>
      </c>
      <c r="C89" t="str">
        <f>IF(Berekeningen!B20&gt;1,INDEX(Medicamenten,Berekeningen!B20, 1)&amp;" "&amp;Afspraken!C32&amp;" "&amp;Afspraken!D32&amp;" "&amp; INDEX(Opl,Berekeningen!E20,1)&amp;" " &amp; Afspraken!G32&amp;" (="&amp;Afspraken!H32&amp;" "&amp;Afspraken!I32&amp;"), inlooptijd: "&amp;Afspraken!N32,"")</f>
        <v/>
      </c>
    </row>
    <row r="90" spans="1:3" x14ac:dyDescent="0.35">
      <c r="A90" s="518" t="s">
        <v>2283</v>
      </c>
      <c r="B90" s="520" t="s">
        <v>909</v>
      </c>
      <c r="C90" s="517" t="str">
        <f>IF(Berekeningen!B21&gt;1,INDEX(Medicamenten,Berekeningen!B21, 1)&amp;" "&amp;Afspraken!C33&amp;" "&amp;Afspraken!D33&amp;" "&amp; INDEX(Opl,Berekeningen!E21,1)&amp;" " &amp; Afspraken!G33&amp;" (="&amp;Afspraken!H33&amp;" "&amp;Afspraken!I33&amp;"), inlooptijd: "&amp;Afspraken!N33,"")</f>
        <v/>
      </c>
    </row>
    <row r="91" spans="1:3" x14ac:dyDescent="0.35">
      <c r="A91" s="518" t="s">
        <v>2283</v>
      </c>
      <c r="B91" s="520" t="s">
        <v>910</v>
      </c>
      <c r="C91" s="517" t="str">
        <f>IF(Berekeningen!B22&gt;1,INDEX(Medicamenten,Berekeningen!B22, 1)&amp;" "&amp;Afspraken!C34&amp;" "&amp;Afspraken!D34&amp;" "&amp; INDEX(Opl,Berekeningen!E22,1)&amp;" " &amp; Afspraken!G34&amp;" (="&amp;Afspraken!H34&amp;" "&amp;Afspraken!I34&amp;"), inlooptijd: "&amp;Afspraken!N34,"")</f>
        <v/>
      </c>
    </row>
    <row r="92" spans="1:3" x14ac:dyDescent="0.35">
      <c r="A92" s="518" t="s">
        <v>2283</v>
      </c>
      <c r="B92" s="520" t="s">
        <v>911</v>
      </c>
      <c r="C92" s="517" t="str">
        <f>IF(Berekeningen!B23&gt;1,INDEX(Medicamenten,Berekeningen!B23, 1)&amp;" "&amp;Afspraken!C35&amp;" "&amp;Afspraken!D35&amp;" "&amp; INDEX(Opl,Berekeningen!E23,1)&amp;" " &amp; Afspraken!G35&amp;" (="&amp;Afspraken!H35&amp;" "&amp;Afspraken!I35&amp;"), inlooptijd: "&amp;Afspraken!N35,"")</f>
        <v/>
      </c>
    </row>
    <row r="93" spans="1:3" x14ac:dyDescent="0.35">
      <c r="A93" s="518" t="s">
        <v>2283</v>
      </c>
      <c r="B93" s="520" t="s">
        <v>912</v>
      </c>
      <c r="C93" s="517" t="str">
        <f>IF(Berekeningen!B24&gt;1,INDEX(Medicamenten,Berekeningen!B24, 1)&amp;" "&amp;Afspraken!C36&amp;" "&amp;Afspraken!D36&amp;" "&amp; INDEX(Opl,Berekeningen!E24,1)&amp;" " &amp; Afspraken!G36&amp;" (="&amp;Afspraken!H36&amp;" "&amp;Afspraken!I36&amp;"), inlooptijd: "&amp;Afspraken!N36,"")</f>
        <v/>
      </c>
    </row>
    <row r="94" spans="1:3" x14ac:dyDescent="0.35">
      <c r="A94" s="518" t="s">
        <v>2283</v>
      </c>
      <c r="B94" s="520" t="s">
        <v>913</v>
      </c>
      <c r="C94" s="517" t="str">
        <f>IF(Berekeningen!B25&gt;1,INDEX(Medicamenten,Berekeningen!B25, 1)&amp;" "&amp;Afspraken!C37&amp;" "&amp;Afspraken!D37&amp;" "&amp; INDEX(Opl,Berekeningen!E25,1)&amp;" " &amp; Afspraken!G37&amp;" (="&amp;Afspraken!H37&amp;" "&amp;Afspraken!I37&amp;"), inlooptijd: "&amp;Afspraken!N37,"")</f>
        <v/>
      </c>
    </row>
    <row r="95" spans="1:3" x14ac:dyDescent="0.35">
      <c r="A95" s="518" t="s">
        <v>2283</v>
      </c>
      <c r="B95" s="520" t="s">
        <v>914</v>
      </c>
      <c r="C95" s="517" t="str">
        <f>IF(Berekeningen!B26&gt;1,INDEX(Medicamenten,Berekeningen!B26, 1)&amp;" "&amp;Afspraken!C38&amp;" "&amp;Afspraken!D38&amp;" "&amp; INDEX(Opl,Berekeningen!E26,1)&amp;" " &amp; Afspraken!G38&amp;" (="&amp;Afspraken!H38&amp;" "&amp;Afspraken!I38&amp;"), inlooptijd: "&amp;Afspraken!N38,"")</f>
        <v/>
      </c>
    </row>
    <row r="96" spans="1:3" x14ac:dyDescent="0.35">
      <c r="A96" s="518" t="s">
        <v>2283</v>
      </c>
      <c r="B96" s="520" t="s">
        <v>915</v>
      </c>
      <c r="C96" s="517" t="str">
        <f>IF(Berekeningen!B27&gt;1,INDEX(Medicamenten,Berekeningen!B27, 1)&amp;" "&amp;Afspraken!C39&amp;" "&amp;Afspraken!D39&amp;" "&amp; INDEX(Opl,Berekeningen!E27,1)&amp;" " &amp; Afspraken!G39&amp;" (="&amp;Afspraken!H39&amp;" "&amp;Afspraken!I39&amp;"), inlooptijd: "&amp;Afspraken!N39,"")</f>
        <v/>
      </c>
    </row>
    <row r="97" spans="1:7" x14ac:dyDescent="0.35">
      <c r="A97" s="518" t="s">
        <v>2283</v>
      </c>
      <c r="B97" s="520" t="s">
        <v>916</v>
      </c>
      <c r="C97" s="517" t="str">
        <f>IF(Berekeningen!B28&gt;1,INDEX(Medicamenten,Berekeningen!B28, 1)&amp;" "&amp;Afspraken!C40&amp;" "&amp;Afspraken!D40&amp;" "&amp; INDEX(Opl,Berekeningen!E28,1)&amp;" " &amp; Afspraken!G40&amp;" (="&amp;Afspraken!H40&amp;" "&amp;Afspraken!I40&amp;"), inlooptijd: "&amp;Afspraken!N40,"")</f>
        <v/>
      </c>
    </row>
    <row r="98" spans="1:7" x14ac:dyDescent="0.35">
      <c r="A98" s="518" t="s">
        <v>2283</v>
      </c>
      <c r="B98" s="520" t="s">
        <v>1264</v>
      </c>
      <c r="C98" s="517" t="str">
        <f>IF(Berekeningen!B32="","",Berekeningen!B32)</f>
        <v/>
      </c>
    </row>
    <row r="99" spans="1:7" x14ac:dyDescent="0.35">
      <c r="A99" s="518" t="s">
        <v>2283</v>
      </c>
      <c r="B99" s="520" t="s">
        <v>1265</v>
      </c>
      <c r="C99" s="517" t="str">
        <f>IF(Berekeningen!B33="","",Berekeningen!B33)</f>
        <v/>
      </c>
    </row>
    <row r="100" spans="1:7" x14ac:dyDescent="0.35">
      <c r="A100" s="518" t="s">
        <v>2283</v>
      </c>
      <c r="B100" s="520" t="s">
        <v>1266</v>
      </c>
      <c r="C100" s="517" t="str">
        <f>IF(Berekeningen!E29&lt;&gt;0, Afspraken!B42&amp;": "&amp; INDEX(Opl,Berekeningen!$E29,1)&amp;" " &amp; Afspraken!G42,"")</f>
        <v/>
      </c>
    </row>
    <row r="101" spans="1:7" x14ac:dyDescent="0.35">
      <c r="A101" s="518" t="s">
        <v>2283</v>
      </c>
      <c r="B101" s="520" t="s">
        <v>1488</v>
      </c>
      <c r="C101" s="517" t="str">
        <f>IF(Berekeningen!E30&lt;&gt;0, Afspraken!B43&amp;": "&amp; INDEX(Opl,Berekeningen!$E30,1)&amp;" " &amp; Afspraken!G43,"")</f>
        <v/>
      </c>
    </row>
    <row r="102" spans="1:7" x14ac:dyDescent="0.35">
      <c r="A102" s="518" t="s">
        <v>2283</v>
      </c>
      <c r="B102" s="520" t="s">
        <v>1489</v>
      </c>
      <c r="C102" s="517" t="str">
        <f>IF(Berekeningen!E31&lt;&gt;0, Afspraken!B44&amp;": "&amp; INDEX(Opl,Berekeningen!$E31,1)&amp;" " &amp; Afspraken!G44,"")</f>
        <v/>
      </c>
    </row>
    <row r="103" spans="1:7" x14ac:dyDescent="0.35">
      <c r="A103" s="518" t="s">
        <v>2283</v>
      </c>
      <c r="B103" s="520" t="s">
        <v>1996</v>
      </c>
      <c r="C103" s="517" t="str">
        <f>IF(_WerkbriefActueelIntravasaleToegangStand&lt;&gt;"",CONCATENATE(_WerkbriefActueelIntravasaleToegangTekst," ",_WerkbriefActueelIntravasaleToegangStand, " ml/uur"),"")</f>
        <v/>
      </c>
    </row>
    <row r="104" spans="1:7" x14ac:dyDescent="0.35">
      <c r="A104" s="518" t="s">
        <v>2283</v>
      </c>
      <c r="B104" s="520" t="s">
        <v>2271</v>
      </c>
      <c r="C104" s="517" t="str">
        <f ca="1">IF(Berekeningen!C35&lt;&gt;0,CONCATENATE(INDEX(lijstIntralipidSmof,SelectedIntralipidSmof)," ",ROUNDUP(Berekeningen!C35/24,1)," ml/uur"),"")</f>
        <v/>
      </c>
    </row>
    <row r="105" spans="1:7" x14ac:dyDescent="0.35">
      <c r="A105" s="518" t="s">
        <v>2283</v>
      </c>
      <c r="B105" s="520" t="s">
        <v>2272</v>
      </c>
      <c r="C105" s="517" t="str">
        <f ca="1">IF(_WerkbriefActueelTPNStand&lt;&gt;"",CONCATENATE("TPN: ",_WerkbriefActueelTPNStand, " ml/uur"),"")</f>
        <v/>
      </c>
      <c r="D105" s="517"/>
    </row>
    <row r="106" spans="1:7" x14ac:dyDescent="0.35">
      <c r="A106" s="518" t="s">
        <v>2283</v>
      </c>
      <c r="B106" s="520" t="s">
        <v>2273</v>
      </c>
      <c r="C106" s="517" t="str">
        <f ca="1">IF(_WerkbriefActueelTPNStand&lt;&gt;"",CONCATENATE("TPN Totaal: ",_WerkbriefActueelTPNTotaalGeheel,",", _WerkbriefActueelTPNTotaalBreuk, " ml"),"")</f>
        <v/>
      </c>
      <c r="D106" s="517"/>
    </row>
    <row r="107" spans="1:7" s="517" customFormat="1" x14ac:dyDescent="0.35">
      <c r="A107" s="518" t="s">
        <v>2283</v>
      </c>
      <c r="B107" s="520" t="s">
        <v>2274</v>
      </c>
      <c r="C107" s="517" t="str">
        <f ca="1">IF(OR(_WerkbriefActueelTPNNaClGeheel&lt;&gt;"",_WerkbriefActueelTPNNaClBreuk&lt;&gt;""),CONCATENATE(_WerkbriefActueelTPNNaCLTekst," ",_WerkbriefActueelTPNNaClGeheel,",", _WerkbriefActueelTPNNaClBreuk, " ml"),"")</f>
        <v/>
      </c>
      <c r="E107"/>
    </row>
    <row r="108" spans="1:7" s="517" customFormat="1" x14ac:dyDescent="0.35">
      <c r="A108" s="518" t="s">
        <v>2283</v>
      </c>
      <c r="B108" s="520" t="s">
        <v>2275</v>
      </c>
      <c r="C108" s="517" t="str">
        <f ca="1">IF(OR(_WerkbriefActueelTPNKacetaatGeheel&lt;&gt;"",_WerkbriefActueelTPNKacetaatBreuk&lt;&gt;""),CONCATENATE(_WerkbriefActueelTPNKacetaatTekst," ",_WerkbriefActueelTPNKacetaatGeheel,",", _WerkbriefActueelTPNKacetaatBreuk, " ml"),"")</f>
        <v/>
      </c>
      <c r="E108"/>
    </row>
    <row r="109" spans="1:7" s="517" customFormat="1" x14ac:dyDescent="0.35">
      <c r="A109" s="518" t="s">
        <v>2283</v>
      </c>
      <c r="B109" s="520" t="s">
        <v>2276</v>
      </c>
      <c r="C109" s="517" t="str">
        <f ca="1">IF(OR(_WerkbriefActueelTPNCaClGeheel&lt;&gt;"",_WerkbriefActueelTPNCaClBreuk&lt;&gt;""),CONCATENATE(_WerkbriefActueelTPNCaClTekst," ",_WerkbriefActueelTPNCaClGeheel,",", _WerkbriefActueelTPNCaClBreuk, " ml"),"")</f>
        <v/>
      </c>
      <c r="E109"/>
      <c r="F109"/>
      <c r="G109"/>
    </row>
    <row r="110" spans="1:7" s="517" customFormat="1" x14ac:dyDescent="0.35">
      <c r="A110" s="518" t="s">
        <v>2283</v>
      </c>
      <c r="B110" s="520" t="s">
        <v>2277</v>
      </c>
      <c r="C110" s="517" t="str">
        <f ca="1">IF(OR(_WerkbriefActueelTPNMgClGeheel&lt;&gt;"",_WerkbriefActueelTPNMgClBreuk&lt;&gt;""),CONCATENATE(_WerkbriefActueelTPNMgClTekst," ",_WerkbriefActueelTPNMgClGeheel,",", _WerkbriefActueelTPNMgClBreuk, " ml"),"")</f>
        <v/>
      </c>
      <c r="E110"/>
    </row>
    <row r="111" spans="1:7" s="517" customFormat="1" x14ac:dyDescent="0.35">
      <c r="A111" s="518" t="s">
        <v>2283</v>
      </c>
      <c r="B111" s="520" t="s">
        <v>2278</v>
      </c>
      <c r="C111" s="517" t="str">
        <f ca="1">IF(OR(_WerkbriefActueelTPNSoluvitGeheel&lt;&gt;"",_WerkbriefActueelTPNSoluvitBreuk&lt;&gt;""),CONCATENATE(_WerkbriefActueelTPNSoluvitTekst," ",_WerkbriefActueelTPNSoluvitGeheel,",", _WerkbriefActueelTPNSoluvitBreuk, " ml"),"")</f>
        <v/>
      </c>
      <c r="E111"/>
    </row>
    <row r="112" spans="1:7" s="517" customFormat="1" x14ac:dyDescent="0.35">
      <c r="A112" s="518" t="s">
        <v>2283</v>
      </c>
      <c r="B112" s="520" t="s">
        <v>2279</v>
      </c>
      <c r="C112" s="517" t="str">
        <f ca="1">IF(OR(_WerkbriefActueelTPNPrimeneGeheel&lt;&gt;"",_WerkbriefActueelTPNPrimeneBreuk&lt;&gt;""),CONCATENATE(_WerkbriefActueelTPNPrimeneTekst," ",_WerkbriefActueelTPNPrimeneGeheel,",", _WerkbriefActueelTPNPrimeneBreuk, " ml"),"")</f>
        <v/>
      </c>
      <c r="E112"/>
    </row>
    <row r="113" spans="1:7" x14ac:dyDescent="0.35">
      <c r="A113" s="518" t="s">
        <v>2283</v>
      </c>
      <c r="B113" s="520" t="s">
        <v>2280</v>
      </c>
      <c r="C113" s="517" t="str">
        <f>IF(OR(_WerkbriefActueelTPNNICUmixGeheel&lt;&gt;"",_WerkbriefActueelTPNNICUmixBreuk&lt;&gt;""),CONCATENATE(_WerkbriefActueelTPNNICUmixTekst," ",_WerkbriefActueelTPNNICUmixGeheel,",", _WerkbriefActueelTPNNICUmixBreuk, " ml"),"")</f>
        <v/>
      </c>
      <c r="D113" s="517"/>
      <c r="F113" s="517"/>
      <c r="G113" s="517"/>
    </row>
    <row r="114" spans="1:7" x14ac:dyDescent="0.35">
      <c r="A114" s="518" t="s">
        <v>2283</v>
      </c>
      <c r="B114" s="520" t="s">
        <v>2281</v>
      </c>
      <c r="C114" s="517" t="str">
        <f>IF(OR(_WerkbriefActueelTPNSamBGeheel&lt;&gt;"",_WerkbriefActueelTPNSamBBreuk&lt;&gt;""),CONCATENATE(_WerkbriefActueelTPNSamBTekst," ",_WerkbriefActueelTPNSamBGeheel,",", _WerkbriefActueelTPNSamBBreuk, " ml"),"")</f>
        <v/>
      </c>
      <c r="D114" s="517"/>
      <c r="F114" s="517"/>
      <c r="G114" s="517"/>
    </row>
    <row r="115" spans="1:7" x14ac:dyDescent="0.35">
      <c r="A115" s="518" t="s">
        <v>2283</v>
      </c>
      <c r="B115" s="520" t="s">
        <v>2282</v>
      </c>
      <c r="C115" s="517" t="str">
        <f>IF(OR(_WerkbriefActueelTPNGlucGeheel&lt;&gt;"",_WerkbriefActueelTPNGlucBreuk&lt;&gt;""),CONCATENATE(_WerkbriefActueelTPNGlucTekst," ",_WerkbriefActueelTPNGlucGeheel,",", ROUND(_WerkbriefActueelTPNGlucBreuk,2), " ml"),"")</f>
        <v/>
      </c>
      <c r="D115" s="517"/>
      <c r="F115" s="517"/>
      <c r="G115" s="517"/>
    </row>
    <row r="116" spans="1:7" s="517" customFormat="1" x14ac:dyDescent="0.35">
      <c r="A116" s="518" t="s">
        <v>2284</v>
      </c>
      <c r="B116" s="520" t="s">
        <v>908</v>
      </c>
      <c r="C116" s="517" t="str">
        <f>IF(_NeoVoeding2&lt;&gt;"",_NeoVoeding2,"")</f>
        <v/>
      </c>
      <c r="D116"/>
      <c r="E116"/>
    </row>
    <row r="117" spans="1:7" s="517" customFormat="1" x14ac:dyDescent="0.35">
      <c r="A117" s="518" t="s">
        <v>2284</v>
      </c>
      <c r="B117" s="520" t="s">
        <v>909</v>
      </c>
      <c r="C117" s="517" t="str">
        <f>IF(_NeoVoeding3&lt;&gt;"",_NeoVoeding3,"")</f>
        <v/>
      </c>
      <c r="D117"/>
      <c r="E117"/>
    </row>
    <row r="118" spans="1:7" x14ac:dyDescent="0.35">
      <c r="A118" s="518" t="s">
        <v>2284</v>
      </c>
      <c r="B118" s="520" t="s">
        <v>910</v>
      </c>
      <c r="C118" s="517" t="str">
        <f>IF(_NeoVoeding4&lt;&gt;"",_NeoVoeding4,"")</f>
        <v/>
      </c>
    </row>
    <row r="119" spans="1:7" x14ac:dyDescent="0.35">
      <c r="A119" s="518" t="s">
        <v>2284</v>
      </c>
      <c r="B119" s="520" t="s">
        <v>911</v>
      </c>
      <c r="C119" s="517" t="str">
        <f>IF(_NeoVoeding5&lt;&gt;"",_NeoVoeding5,"")</f>
        <v/>
      </c>
    </row>
    <row r="120" spans="1:7" s="517" customFormat="1" x14ac:dyDescent="0.35">
      <c r="A120" s="518" t="s">
        <v>2284</v>
      </c>
      <c r="B120" s="520" t="s">
        <v>912</v>
      </c>
      <c r="C120" s="517" t="str">
        <f>IF(_NeoVoeding6&lt;&gt;"",_NeoVoeding6,"")</f>
        <v/>
      </c>
    </row>
    <row r="121" spans="1:7" x14ac:dyDescent="0.35">
      <c r="A121" s="518" t="s">
        <v>2284</v>
      </c>
      <c r="B121" s="520" t="s">
        <v>913</v>
      </c>
      <c r="C121" s="517" t="str">
        <f>IF(_NeoVoeding7&lt;&gt;"",_NeoVoeding7,"")</f>
        <v/>
      </c>
      <c r="D121" s="517"/>
      <c r="E121" s="517"/>
    </row>
    <row r="122" spans="1:7" x14ac:dyDescent="0.35">
      <c r="A122" s="518" t="s">
        <v>2284</v>
      </c>
      <c r="B122" s="520" t="s">
        <v>914</v>
      </c>
      <c r="C122" s="517" t="str">
        <f>IF(_NeoVoeding8&lt;&gt;"",_NeoVoeding8,"")</f>
        <v/>
      </c>
      <c r="D122" s="517"/>
      <c r="E122" s="517"/>
    </row>
    <row r="123" spans="1:7" x14ac:dyDescent="0.35">
      <c r="A123" s="518" t="s">
        <v>2284</v>
      </c>
      <c r="B123" s="520" t="s">
        <v>915</v>
      </c>
      <c r="C123" s="517" t="str">
        <f>IF(_NeoVoeding9&lt;&gt;"",_NeoVoeding9,"")</f>
        <v/>
      </c>
      <c r="D123" s="517"/>
      <c r="E123" s="517"/>
    </row>
    <row r="124" spans="1:7" s="517" customFormat="1" x14ac:dyDescent="0.35">
      <c r="A124" s="518" t="s">
        <v>2284</v>
      </c>
      <c r="B124" s="520" t="s">
        <v>916</v>
      </c>
      <c r="C124" s="517" t="str">
        <f>IF(_NeoVoeding10&lt;&gt;"",_NeoVoeding10,"")</f>
        <v/>
      </c>
      <c r="F124"/>
      <c r="G124"/>
    </row>
    <row r="125" spans="1:7" x14ac:dyDescent="0.35">
      <c r="A125" s="518" t="s">
        <v>2284</v>
      </c>
      <c r="B125" s="520" t="s">
        <v>1264</v>
      </c>
      <c r="C125" s="517" t="str">
        <f>IF(_NeoVoeding11&lt;&gt;"",_NeoVoeding11,"")</f>
        <v/>
      </c>
      <c r="D125" s="517"/>
      <c r="E125" s="517"/>
    </row>
    <row r="126" spans="1:7" x14ac:dyDescent="0.35">
      <c r="A126" s="518" t="s">
        <v>2284</v>
      </c>
      <c r="B126" s="520" t="s">
        <v>1265</v>
      </c>
      <c r="C126" s="517" t="str">
        <f>IF(_NeoVoeding12&lt;&gt;"",_NeoVoeding12,"")</f>
        <v/>
      </c>
      <c r="D126" s="517"/>
      <c r="E126" s="517"/>
    </row>
    <row r="127" spans="1:7" x14ac:dyDescent="0.35">
      <c r="A127" s="518" t="s">
        <v>2284</v>
      </c>
      <c r="B127" s="520" t="s">
        <v>1266</v>
      </c>
      <c r="C127" s="517" t="str">
        <f>IF(_NeoVoeding13&lt;&gt;"",_NeoVoeding13,"")</f>
        <v/>
      </c>
      <c r="D127" s="517"/>
      <c r="E127" s="517"/>
      <c r="F127" s="517"/>
      <c r="G127" s="517"/>
    </row>
    <row r="128" spans="1:7" x14ac:dyDescent="0.35">
      <c r="A128" s="518" t="s">
        <v>1333</v>
      </c>
      <c r="B128" s="520" t="s">
        <v>908</v>
      </c>
      <c r="C128" t="str">
        <f>IF('Aanvullende afspraken Neo'!C45="","",CONCATENATE('Aanvullende afspraken Neo'!B45,": ",'Aanvullende afspraken Neo'!C45))</f>
        <v/>
      </c>
      <c r="E128" s="518"/>
    </row>
    <row r="129" spans="1:5" x14ac:dyDescent="0.35">
      <c r="A129" s="518" t="s">
        <v>1333</v>
      </c>
      <c r="B129" s="520" t="s">
        <v>909</v>
      </c>
      <c r="C129" s="517" t="str">
        <f>IF('Aanvullende afspraken Neo'!C46="","",CONCATENATE('Aanvullende afspraken Neo'!B46,": ",'Aanvullende afspraken Neo'!C46))</f>
        <v/>
      </c>
      <c r="E129" s="518"/>
    </row>
    <row r="130" spans="1:5" s="517" customFormat="1" x14ac:dyDescent="0.35">
      <c r="A130" s="518" t="s">
        <v>1333</v>
      </c>
      <c r="B130" s="520" t="s">
        <v>910</v>
      </c>
      <c r="C130" s="517" t="str">
        <f>IF('Aanvullende afspraken Neo'!C47="","",CONCATENATE('Aanvullende afspraken Neo'!B47,": ",'Aanvullende afspraken Neo'!C47))</f>
        <v/>
      </c>
      <c r="E130" s="518"/>
    </row>
    <row r="131" spans="1:5" s="517" customFormat="1" x14ac:dyDescent="0.35">
      <c r="A131" s="518" t="s">
        <v>1333</v>
      </c>
      <c r="B131" s="520" t="s">
        <v>911</v>
      </c>
      <c r="C131" s="517" t="str">
        <f>IF('Aanvullende afspraken Neo'!C48="","",CONCATENATE('Aanvullende afspraken Neo'!B48,": ",'Aanvullende afspraken Neo'!C48))</f>
        <v/>
      </c>
      <c r="D131"/>
      <c r="E131" s="518"/>
    </row>
    <row r="132" spans="1:5" x14ac:dyDescent="0.35">
      <c r="A132" s="518" t="s">
        <v>1333</v>
      </c>
      <c r="B132" s="520" t="s">
        <v>912</v>
      </c>
      <c r="C132" s="517" t="str">
        <f>IF('Aanvullende afspraken Neo'!C49="","",CONCATENATE('Aanvullende afspraken Neo'!B49,": ",'Aanvullende afspraken Neo'!C49))</f>
        <v/>
      </c>
      <c r="E132" s="518"/>
    </row>
    <row r="133" spans="1:5" x14ac:dyDescent="0.35">
      <c r="A133" s="517" t="s">
        <v>1262</v>
      </c>
      <c r="B133" s="520" t="s">
        <v>908</v>
      </c>
      <c r="C133" s="517" t="str">
        <f>IF(Afspraken!D65&lt;&gt;"",Afspraken!C65&amp;": "&amp;Afspraken!D65,"")</f>
        <v/>
      </c>
    </row>
    <row r="134" spans="1:5" x14ac:dyDescent="0.35">
      <c r="A134" s="517" t="s">
        <v>1262</v>
      </c>
      <c r="B134" s="520" t="s">
        <v>909</v>
      </c>
      <c r="C134" s="517" t="str">
        <f>IF(Afspraken!D66&lt;&gt;"",Afspraken!C66&amp;": "&amp;Afspraken!D66,"")</f>
        <v/>
      </c>
    </row>
    <row r="135" spans="1:5" x14ac:dyDescent="0.35">
      <c r="A135" s="517" t="s">
        <v>1262</v>
      </c>
      <c r="B135" s="520" t="s">
        <v>910</v>
      </c>
      <c r="C135" s="517" t="str">
        <f>IF(Afspraken!D67&lt;&gt;"",Afspraken!C67&amp;": "&amp;Afspraken!D67,"")</f>
        <v/>
      </c>
    </row>
    <row r="136" spans="1:5" x14ac:dyDescent="0.35">
      <c r="A136" s="517" t="s">
        <v>1262</v>
      </c>
      <c r="B136" s="520" t="s">
        <v>911</v>
      </c>
      <c r="C136" s="517" t="str">
        <f>IF(Afspraken!D68&lt;&gt;"",Afspraken!C68&amp;": "&amp;Afspraken!D68,"")</f>
        <v/>
      </c>
    </row>
    <row r="137" spans="1:5" x14ac:dyDescent="0.35">
      <c r="A137" s="517" t="s">
        <v>1262</v>
      </c>
      <c r="B137" s="520" t="s">
        <v>912</v>
      </c>
      <c r="C137" s="517" t="str">
        <f>IF(Afspraken!D69&lt;&gt;"",Afspraken!C69&amp;": "&amp;Afspraken!D69,"")</f>
        <v/>
      </c>
      <c r="D137" s="517"/>
      <c r="E137" s="517"/>
    </row>
    <row r="138" spans="1:5" x14ac:dyDescent="0.35">
      <c r="A138" s="517" t="s">
        <v>1262</v>
      </c>
      <c r="B138" s="520" t="s">
        <v>913</v>
      </c>
      <c r="C138" s="517" t="str">
        <f>IF(Afspraken!D70&lt;&gt;"",Afspraken!C70&amp;": "&amp;Afspraken!D70,"")</f>
        <v/>
      </c>
    </row>
    <row r="139" spans="1:5" x14ac:dyDescent="0.35">
      <c r="A139" s="517" t="s">
        <v>1262</v>
      </c>
      <c r="B139" s="520" t="s">
        <v>914</v>
      </c>
      <c r="C139" s="517" t="str">
        <f>IF(Afspraken!D71&lt;&gt;"",Afspraken!C71&amp;" "&amp;Afspraken!D71,"")</f>
        <v/>
      </c>
    </row>
    <row r="140" spans="1:5" x14ac:dyDescent="0.35">
      <c r="A140" s="517" t="s">
        <v>1262</v>
      </c>
      <c r="B140" s="520" t="s">
        <v>915</v>
      </c>
      <c r="C140" s="517" t="str">
        <f>IF(Afspraken!D72&lt;&gt;"",Afspraken!C72&amp;" "&amp;Afspraken!D72,"")</f>
        <v/>
      </c>
      <c r="D140" s="517"/>
      <c r="E140" s="517"/>
    </row>
    <row r="141" spans="1:5" x14ac:dyDescent="0.35">
      <c r="A141" s="517" t="s">
        <v>1262</v>
      </c>
      <c r="B141" s="520" t="s">
        <v>916</v>
      </c>
      <c r="C141" s="517" t="str">
        <f>IF(Afspraken!D73&lt;&gt;"",Afspraken!C73&amp;" "&amp;Afspraken!D73,"")</f>
        <v/>
      </c>
      <c r="D141" s="517"/>
      <c r="E141" s="517"/>
    </row>
    <row r="142" spans="1:5" x14ac:dyDescent="0.35">
      <c r="A142" s="517" t="s">
        <v>1263</v>
      </c>
      <c r="B142" s="520" t="s">
        <v>908</v>
      </c>
      <c r="C142" s="518" t="str">
        <f ca="1">CONCATENATE(Afspraken!B3,"        : ",Afspraken!$C$2," - ",Afspraken!C3,"; ",Afspraken!$D$2," - ",Afspraken!D3,"; ",Afspraken!$E$2," - ",Afspraken!E3,";")</f>
        <v>Volume        : Intraveneus - 0 ml/kg; Oraal - 0 ml/kg; Totaal - 0 ml/kg  = 0 ml;</v>
      </c>
    </row>
    <row r="143" spans="1:5" x14ac:dyDescent="0.35">
      <c r="A143" s="517" t="s">
        <v>1263</v>
      </c>
      <c r="B143" s="520" t="s">
        <v>909</v>
      </c>
      <c r="C143" s="518" t="str">
        <f ca="1">CONCATENATE(Afspraken!B4,"            : ",Afspraken!C2," - ",Afspraken!C4,"; ",Afspraken!$D$2," - ",Afspraken!D4,"; ",Afspraken!$E$2," - ",Afspraken!E4,";")</f>
        <v>Eiwit            : Intraveneus - 0 g/kg; Oraal - 0 g/kg; Totaal - 0 g/kg;</v>
      </c>
    </row>
    <row r="144" spans="1:5" x14ac:dyDescent="0.35">
      <c r="A144" s="517" t="s">
        <v>1263</v>
      </c>
      <c r="B144" s="520" t="s">
        <v>910</v>
      </c>
      <c r="C144" s="518" t="str">
        <f ca="1">CONCATENATE(Afspraken!B5,"              : ",Afspraken!$C$2," - ",Afspraken!C5,"; ",Afspraken!$D$2," - ",Afspraken!D5,"; ",Afspraken!$E$2," - ",Afspraken!E5,";")</f>
        <v>Vet              : Intraveneus - 0 g/kg; Oraal - 0 g/kg; Totaal - 0 g/kg;</v>
      </c>
    </row>
    <row r="145" spans="1:3" x14ac:dyDescent="0.35">
      <c r="A145" s="517" t="s">
        <v>1263</v>
      </c>
      <c r="B145" s="520" t="s">
        <v>911</v>
      </c>
      <c r="C145" s="518" t="str">
        <f>CONCATENATE(Afspraken!B6,"       : ",Afspraken!$C$2," - ",Afspraken!C6,"; ",Afspraken!$D$2," - ",Afspraken!D6,"; ",Afspraken!$E$2," - ",Afspraken!E6,";")</f>
        <v>Glucose       : Intraveneus - 0 mg/kg/min; Oraal - 0 mg/kg/min; Totaal - 0 mg/kg/min;</v>
      </c>
    </row>
    <row r="146" spans="1:3" x14ac:dyDescent="0.35">
      <c r="A146" s="517" t="s">
        <v>1263</v>
      </c>
      <c r="B146" s="520" t="s">
        <v>912</v>
      </c>
      <c r="C146" s="518" t="str">
        <f ca="1">CONCATENATE(Afspraken!B7,"        : ",Afspraken!$C$2," - ",Afspraken!C7,"; ",Afspraken!$D$2," - ",Afspraken!D7,"; ",Afspraken!$E$2," - ",Afspraken!E7,";")</f>
        <v>Energie        : Intraveneus - 0 kcal/kg; Oraal - 0 kcal/kg; Totaal - 0 kcal/kg;</v>
      </c>
    </row>
    <row r="147" spans="1:3" x14ac:dyDescent="0.35">
      <c r="A147" s="517" t="s">
        <v>1263</v>
      </c>
      <c r="B147" s="520" t="s">
        <v>913</v>
      </c>
      <c r="C147" s="518" t="str">
        <f ca="1">CONCATENATE(Afspraken!B8,"            : ",Afspraken!$C$2," - ",Afspraken!C8,"; ",Afspraken!$D$2," - ",Afspraken!D8,"; ",Afspraken!$E$2," - ",Afspraken!E8,";")</f>
        <v>Vit D            : Intraveneus - 0 IE; Oraal - 0 IE; Totaal - 0 IE;</v>
      </c>
    </row>
    <row r="148" spans="1:3" x14ac:dyDescent="0.35">
      <c r="A148" s="517" t="s">
        <v>1263</v>
      </c>
      <c r="B148" s="520" t="s">
        <v>914</v>
      </c>
      <c r="C148" s="518" t="str">
        <f ca="1">CONCATENATE(Afspraken!G3,"        : ",Afspraken!$H$2," - ",Afspraken!H3,"; ",Afspraken!$I$2," - ",Afspraken!I3,"; ",Afspraken!$J$2," - ",Afspraken!J3,";")</f>
        <v>Natrium        : Intraveneus - 0 mmol/kg; Oraal - 0 mmol/kg; Totaal - 0 mmol/kg;</v>
      </c>
    </row>
    <row r="149" spans="1:3" x14ac:dyDescent="0.35">
      <c r="A149" s="517" t="s">
        <v>1263</v>
      </c>
      <c r="B149" s="520" t="s">
        <v>915</v>
      </c>
      <c r="C149" s="518" t="str">
        <f ca="1">CONCATENATE(Afspraken!G4,"         : ",Afspraken!$H$2," - ",Afspraken!H4,"; ",Afspraken!$I$2," - ",Afspraken!I4,"; ",Afspraken!$J$2," - ",Afspraken!J4,";")</f>
        <v>Kalium         : Intraveneus - 0 mmol/kg; Oraal - 0 mmol/kg; Totaal - 0 mmol/kg;</v>
      </c>
    </row>
    <row r="150" spans="1:3" x14ac:dyDescent="0.35">
      <c r="A150" s="517" t="s">
        <v>1263</v>
      </c>
      <c r="B150" s="520" t="s">
        <v>916</v>
      </c>
      <c r="C150" s="518" t="str">
        <f ca="1">CONCATENATE(Afspraken!G5,"       : ",Afspraken!$H$2," - ",Afspraken!H5,"; ",Afspraken!$I$2," - ",Afspraken!I5,"; ",Afspraken!$J$2," - ",Afspraken!J5,";")</f>
        <v>Calcium       : Intraveneus - 0 mmol/kg; Oraal - 0 mmol/kg; Totaal - 0 mmol/kg;</v>
      </c>
    </row>
    <row r="151" spans="1:3" x14ac:dyDescent="0.35">
      <c r="A151" s="517" t="s">
        <v>1263</v>
      </c>
      <c r="B151" s="521" t="s">
        <v>1264</v>
      </c>
      <c r="C151" s="518" t="str">
        <f ca="1">CONCATENATE(Afspraken!G6,"  : ",Afspraken!$H$2," - ",Afspraken!H6,"; ",Afspraken!$I$2," - ",Afspraken!I6,"; ",Afspraken!$J$2," - ",Afspraken!J6,";")</f>
        <v>Magnesium  : Intraveneus - 0 mmol/kg; Oraal - 0 mmol/kg; Totaal - 0 mmol/kg;</v>
      </c>
    </row>
    <row r="152" spans="1:3" x14ac:dyDescent="0.35">
      <c r="A152" s="517" t="s">
        <v>1263</v>
      </c>
      <c r="B152" s="521" t="s">
        <v>1265</v>
      </c>
      <c r="C152" s="518" t="str">
        <f ca="1">CONCATENATE(Afspraken!G7,"          : ",Afspraken!$H$2," - ",Afspraken!H7,"; ",Afspraken!$I$2," - ",Afspraken!I7,"; ",Afspraken!$J$2," - ",Afspraken!J7,";")</f>
        <v>Chloor          : Intraveneus - 0 mmol/kg; Oraal - 0 mmol/kg; Totaal - 0 mmol/kg;</v>
      </c>
    </row>
    <row r="153" spans="1:3" x14ac:dyDescent="0.35">
      <c r="A153" s="517" t="s">
        <v>1263</v>
      </c>
      <c r="B153" s="521" t="s">
        <v>1266</v>
      </c>
      <c r="C153" s="518" t="str">
        <f>CONCATENATE(Afspraken!G8,"         : ",Afspraken!$H$2," - ",Afspraken!H8,"; ",Afspraken!$I$2," - ",Afspraken!I8,"; ",Afspraken!$J$2," - ",Afspraken!J8,";")</f>
        <v>Fosfaat         : Intraveneus - 0 mmol/kg; Oraal - 0 mmol/kg; Totaal - 0 mmol/kg;</v>
      </c>
    </row>
  </sheetData>
  <customSheetViews>
    <customSheetView guid="{33CCADFA-0D48-46A6-8927-2B2144029216}" state="veryHidden" topLeftCell="A46">
      <selection activeCell="C1" sqref="C1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">
    <tabColor rgb="FF00B0F0"/>
  </sheetPr>
  <dimension ref="A1:T1440"/>
  <sheetViews>
    <sheetView zoomScaleNormal="100" workbookViewId="0">
      <pane xSplit="1" ySplit="1" topLeftCell="B556" activePane="bottomRight" state="frozen"/>
      <selection activeCell="A650" sqref="A650"/>
      <selection pane="topRight" activeCell="A650" sqref="A650"/>
      <selection pane="bottomLeft" activeCell="A650" sqref="A650"/>
      <selection pane="bottomRight" activeCell="C474" sqref="C474:C484"/>
    </sheetView>
  </sheetViews>
  <sheetFormatPr defaultRowHeight="12.85" x14ac:dyDescent="0.35"/>
  <cols>
    <col min="1" max="1" width="45.86328125" bestFit="1" customWidth="1"/>
    <col min="2" max="2" width="28.59765625" customWidth="1"/>
    <col min="3" max="3" width="20.265625" customWidth="1"/>
    <col min="7" max="7" width="18.59765625" customWidth="1"/>
  </cols>
  <sheetData>
    <row r="1" spans="1:20" x14ac:dyDescent="0.35">
      <c r="A1" s="577" t="s">
        <v>355</v>
      </c>
      <c r="B1" t="s">
        <v>356</v>
      </c>
      <c r="C1" t="s">
        <v>512</v>
      </c>
      <c r="T1">
        <v>0</v>
      </c>
    </row>
    <row r="2" spans="1:20" x14ac:dyDescent="0.35">
      <c r="A2" t="s">
        <v>969</v>
      </c>
      <c r="B2" s="517" t="s">
        <v>2639</v>
      </c>
      <c r="C2" t="s">
        <v>562</v>
      </c>
    </row>
    <row r="3" spans="1:20" x14ac:dyDescent="0.35">
      <c r="A3" t="s">
        <v>970</v>
      </c>
      <c r="B3" s="517" t="s">
        <v>2639</v>
      </c>
      <c r="C3" t="s">
        <v>563</v>
      </c>
    </row>
    <row r="4" spans="1:20" x14ac:dyDescent="0.35">
      <c r="A4" t="s">
        <v>450</v>
      </c>
      <c r="B4" s="517">
        <v>42640</v>
      </c>
      <c r="C4">
        <v>42370</v>
      </c>
    </row>
    <row r="5" spans="1:20" x14ac:dyDescent="0.35">
      <c r="A5" t="s">
        <v>757</v>
      </c>
      <c r="B5" s="517" t="b">
        <v>1</v>
      </c>
      <c r="C5" t="b">
        <v>0</v>
      </c>
    </row>
    <row r="6" spans="1:20" x14ac:dyDescent="0.35">
      <c r="A6" t="s">
        <v>758</v>
      </c>
      <c r="B6" s="517">
        <v>7</v>
      </c>
    </row>
    <row r="7" spans="1:20" x14ac:dyDescent="0.35">
      <c r="A7" s="577" t="s">
        <v>568</v>
      </c>
      <c r="B7" s="517" t="b">
        <v>1</v>
      </c>
      <c r="C7" t="b">
        <v>1</v>
      </c>
    </row>
    <row r="8" spans="1:20" x14ac:dyDescent="0.35">
      <c r="A8" t="s">
        <v>78</v>
      </c>
      <c r="B8">
        <v>1</v>
      </c>
    </row>
    <row r="9" spans="1:20" x14ac:dyDescent="0.35">
      <c r="A9" t="s">
        <v>79</v>
      </c>
    </row>
    <row r="10" spans="1:20" x14ac:dyDescent="0.35">
      <c r="A10" t="s">
        <v>80</v>
      </c>
    </row>
    <row r="11" spans="1:20" x14ac:dyDescent="0.35">
      <c r="A11" t="s">
        <v>81</v>
      </c>
    </row>
    <row r="12" spans="1:20" x14ac:dyDescent="0.35">
      <c r="A12" t="s">
        <v>21</v>
      </c>
    </row>
    <row r="13" spans="1:20" x14ac:dyDescent="0.35">
      <c r="A13" t="s">
        <v>22</v>
      </c>
    </row>
    <row r="14" spans="1:20" x14ac:dyDescent="0.35">
      <c r="A14" t="s">
        <v>703</v>
      </c>
      <c r="G14" s="517"/>
    </row>
    <row r="15" spans="1:20" x14ac:dyDescent="0.35">
      <c r="A15" t="s">
        <v>704</v>
      </c>
    </row>
    <row r="16" spans="1:20" x14ac:dyDescent="0.35">
      <c r="A16" t="s">
        <v>705</v>
      </c>
    </row>
    <row r="17" spans="1:2" x14ac:dyDescent="0.35">
      <c r="A17" t="s">
        <v>706</v>
      </c>
    </row>
    <row r="18" spans="1:2" x14ac:dyDescent="0.35">
      <c r="A18" t="s">
        <v>455</v>
      </c>
    </row>
    <row r="19" spans="1:2" x14ac:dyDescent="0.35">
      <c r="A19" t="s">
        <v>456</v>
      </c>
      <c r="B19">
        <v>4</v>
      </c>
    </row>
    <row r="20" spans="1:2" x14ac:dyDescent="0.35">
      <c r="A20" t="s">
        <v>457</v>
      </c>
    </row>
    <row r="21" spans="1:2" x14ac:dyDescent="0.35">
      <c r="A21" s="517" t="s">
        <v>2546</v>
      </c>
    </row>
    <row r="22" spans="1:2" x14ac:dyDescent="0.35">
      <c r="A22" s="517" t="s">
        <v>2547</v>
      </c>
    </row>
    <row r="23" spans="1:2" x14ac:dyDescent="0.35">
      <c r="A23" s="517" t="s">
        <v>2548</v>
      </c>
    </row>
    <row r="24" spans="1:2" x14ac:dyDescent="0.35">
      <c r="A24" s="517" t="s">
        <v>2549</v>
      </c>
    </row>
    <row r="25" spans="1:2" x14ac:dyDescent="0.35">
      <c r="A25" s="517" t="s">
        <v>2550</v>
      </c>
    </row>
    <row r="26" spans="1:2" x14ac:dyDescent="0.35">
      <c r="A26" s="517" t="s">
        <v>2551</v>
      </c>
    </row>
    <row r="27" spans="1:2" x14ac:dyDescent="0.35">
      <c r="A27" s="517" t="s">
        <v>2552</v>
      </c>
    </row>
    <row r="28" spans="1:2" x14ac:dyDescent="0.35">
      <c r="A28" s="517" t="s">
        <v>2553</v>
      </c>
    </row>
    <row r="29" spans="1:2" x14ac:dyDescent="0.35">
      <c r="A29" s="517" t="s">
        <v>2554</v>
      </c>
    </row>
    <row r="30" spans="1:2" x14ac:dyDescent="0.35">
      <c r="A30" s="517" t="s">
        <v>2555</v>
      </c>
    </row>
    <row r="31" spans="1:2" x14ac:dyDescent="0.35">
      <c r="A31" t="s">
        <v>458</v>
      </c>
      <c r="B31">
        <v>1</v>
      </c>
    </row>
    <row r="32" spans="1:2" x14ac:dyDescent="0.35">
      <c r="A32" t="s">
        <v>57</v>
      </c>
    </row>
    <row r="33" spans="1:7" x14ac:dyDescent="0.35">
      <c r="A33" t="s">
        <v>58</v>
      </c>
    </row>
    <row r="34" spans="1:7" x14ac:dyDescent="0.35">
      <c r="A34" t="s">
        <v>59</v>
      </c>
    </row>
    <row r="35" spans="1:7" x14ac:dyDescent="0.35">
      <c r="A35" t="s">
        <v>60</v>
      </c>
    </row>
    <row r="36" spans="1:7" x14ac:dyDescent="0.35">
      <c r="A36" t="s">
        <v>61</v>
      </c>
    </row>
    <row r="37" spans="1:7" x14ac:dyDescent="0.35">
      <c r="A37" t="s">
        <v>134</v>
      </c>
    </row>
    <row r="38" spans="1:7" x14ac:dyDescent="0.35">
      <c r="A38" t="s">
        <v>135</v>
      </c>
      <c r="B38" t="s">
        <v>364</v>
      </c>
    </row>
    <row r="39" spans="1:7" x14ac:dyDescent="0.35">
      <c r="A39" t="s">
        <v>136</v>
      </c>
    </row>
    <row r="40" spans="1:7" x14ac:dyDescent="0.35">
      <c r="A40" t="s">
        <v>137</v>
      </c>
    </row>
    <row r="41" spans="1:7" x14ac:dyDescent="0.35">
      <c r="A41" t="s">
        <v>138</v>
      </c>
      <c r="G41" s="517"/>
    </row>
    <row r="42" spans="1:7" x14ac:dyDescent="0.35">
      <c r="A42" t="s">
        <v>139</v>
      </c>
    </row>
    <row r="43" spans="1:7" x14ac:dyDescent="0.35">
      <c r="A43" t="s">
        <v>140</v>
      </c>
    </row>
    <row r="44" spans="1:7" x14ac:dyDescent="0.35">
      <c r="A44" t="s">
        <v>141</v>
      </c>
    </row>
    <row r="45" spans="1:7" x14ac:dyDescent="0.35">
      <c r="A45" t="s">
        <v>142</v>
      </c>
    </row>
    <row r="46" spans="1:7" x14ac:dyDescent="0.35">
      <c r="A46" t="s">
        <v>143</v>
      </c>
    </row>
    <row r="47" spans="1:7" x14ac:dyDescent="0.35">
      <c r="A47" t="s">
        <v>144</v>
      </c>
    </row>
    <row r="48" spans="1:7" x14ac:dyDescent="0.35">
      <c r="A48" t="s">
        <v>145</v>
      </c>
    </row>
    <row r="49" spans="1:2" x14ac:dyDescent="0.35">
      <c r="A49" t="s">
        <v>146</v>
      </c>
      <c r="B49" t="s">
        <v>364</v>
      </c>
    </row>
    <row r="50" spans="1:2" x14ac:dyDescent="0.35">
      <c r="A50" t="s">
        <v>147</v>
      </c>
    </row>
    <row r="51" spans="1:2" x14ac:dyDescent="0.35">
      <c r="A51" s="517" t="s">
        <v>2536</v>
      </c>
    </row>
    <row r="52" spans="1:2" x14ac:dyDescent="0.35">
      <c r="A52" s="517" t="s">
        <v>2537</v>
      </c>
    </row>
    <row r="53" spans="1:2" x14ac:dyDescent="0.35">
      <c r="A53" s="517" t="s">
        <v>2538</v>
      </c>
    </row>
    <row r="54" spans="1:2" x14ac:dyDescent="0.35">
      <c r="A54" s="517" t="s">
        <v>2539</v>
      </c>
    </row>
    <row r="55" spans="1:2" x14ac:dyDescent="0.35">
      <c r="A55" s="517" t="s">
        <v>2540</v>
      </c>
    </row>
    <row r="56" spans="1:2" x14ac:dyDescent="0.35">
      <c r="A56" s="517" t="s">
        <v>2541</v>
      </c>
    </row>
    <row r="57" spans="1:2" x14ac:dyDescent="0.35">
      <c r="A57" s="517" t="s">
        <v>2542</v>
      </c>
    </row>
    <row r="58" spans="1:2" x14ac:dyDescent="0.35">
      <c r="A58" s="517" t="s">
        <v>2543</v>
      </c>
    </row>
    <row r="59" spans="1:2" x14ac:dyDescent="0.35">
      <c r="A59" s="517" t="s">
        <v>2544</v>
      </c>
    </row>
    <row r="60" spans="1:2" x14ac:dyDescent="0.35">
      <c r="A60" s="517" t="s">
        <v>2545</v>
      </c>
    </row>
    <row r="61" spans="1:2" x14ac:dyDescent="0.35">
      <c r="A61" t="s">
        <v>148</v>
      </c>
      <c r="B61" t="s">
        <v>364</v>
      </c>
    </row>
    <row r="62" spans="1:2" x14ac:dyDescent="0.35">
      <c r="A62" t="s">
        <v>149</v>
      </c>
    </row>
    <row r="63" spans="1:2" x14ac:dyDescent="0.35">
      <c r="A63" t="s">
        <v>150</v>
      </c>
    </row>
    <row r="64" spans="1:2" x14ac:dyDescent="0.35">
      <c r="A64" t="s">
        <v>151</v>
      </c>
    </row>
    <row r="65" spans="1:3" x14ac:dyDescent="0.35">
      <c r="A65" t="s">
        <v>483</v>
      </c>
    </row>
    <row r="66" spans="1:3" x14ac:dyDescent="0.35">
      <c r="A66" t="s">
        <v>484</v>
      </c>
    </row>
    <row r="67" spans="1:3" x14ac:dyDescent="0.35">
      <c r="A67" t="s">
        <v>505</v>
      </c>
    </row>
    <row r="68" spans="1:3" x14ac:dyDescent="0.35">
      <c r="A68" t="s">
        <v>301</v>
      </c>
      <c r="B68">
        <v>1</v>
      </c>
      <c r="C68">
        <v>1</v>
      </c>
    </row>
    <row r="69" spans="1:3" x14ac:dyDescent="0.35">
      <c r="A69" t="s">
        <v>302</v>
      </c>
    </row>
    <row r="70" spans="1:3" x14ac:dyDescent="0.35">
      <c r="A70" t="s">
        <v>303</v>
      </c>
    </row>
    <row r="71" spans="1:3" x14ac:dyDescent="0.35">
      <c r="A71" t="s">
        <v>304</v>
      </c>
    </row>
    <row r="72" spans="1:3" x14ac:dyDescent="0.35">
      <c r="A72" t="s">
        <v>572</v>
      </c>
      <c r="B72" s="517">
        <v>80</v>
      </c>
      <c r="C72">
        <v>100</v>
      </c>
    </row>
    <row r="73" spans="1:3" x14ac:dyDescent="0.35">
      <c r="A73" t="s">
        <v>291</v>
      </c>
      <c r="B73" s="517">
        <v>1</v>
      </c>
      <c r="C73">
        <v>1</v>
      </c>
    </row>
    <row r="74" spans="1:3" x14ac:dyDescent="0.35">
      <c r="A74" t="s">
        <v>292</v>
      </c>
      <c r="B74" s="517">
        <v>1</v>
      </c>
      <c r="C74">
        <v>1</v>
      </c>
    </row>
    <row r="75" spans="1:3" x14ac:dyDescent="0.35">
      <c r="A75" t="s">
        <v>293</v>
      </c>
      <c r="B75" s="517">
        <v>1</v>
      </c>
      <c r="C75">
        <v>1</v>
      </c>
    </row>
    <row r="76" spans="1:3" x14ac:dyDescent="0.35">
      <c r="A76" t="s">
        <v>294</v>
      </c>
      <c r="B76" s="517">
        <v>1</v>
      </c>
      <c r="C76">
        <v>1</v>
      </c>
    </row>
    <row r="77" spans="1:3" x14ac:dyDescent="0.35">
      <c r="A77" t="s">
        <v>295</v>
      </c>
      <c r="B77" s="517">
        <v>1</v>
      </c>
      <c r="C77">
        <v>1</v>
      </c>
    </row>
    <row r="78" spans="1:3" x14ac:dyDescent="0.35">
      <c r="A78" t="s">
        <v>763</v>
      </c>
      <c r="B78" s="517">
        <v>1</v>
      </c>
      <c r="C78">
        <v>1</v>
      </c>
    </row>
    <row r="79" spans="1:3" x14ac:dyDescent="0.35">
      <c r="A79" t="s">
        <v>279</v>
      </c>
      <c r="B79" s="517" t="b">
        <v>1</v>
      </c>
      <c r="C79" t="b">
        <v>0</v>
      </c>
    </row>
    <row r="80" spans="1:3" x14ac:dyDescent="0.35">
      <c r="A80" t="s">
        <v>739</v>
      </c>
      <c r="B80" t="b">
        <v>1</v>
      </c>
    </row>
    <row r="81" spans="1:3" x14ac:dyDescent="0.35">
      <c r="A81" t="s">
        <v>280</v>
      </c>
      <c r="B81">
        <v>7</v>
      </c>
    </row>
    <row r="82" spans="1:3" x14ac:dyDescent="0.35">
      <c r="A82" t="s">
        <v>740</v>
      </c>
      <c r="B82">
        <v>2</v>
      </c>
    </row>
    <row r="83" spans="1:3" x14ac:dyDescent="0.35">
      <c r="A83" t="s">
        <v>305</v>
      </c>
      <c r="B83">
        <v>1</v>
      </c>
      <c r="C83">
        <v>1</v>
      </c>
    </row>
    <row r="84" spans="1:3" x14ac:dyDescent="0.35">
      <c r="A84" t="s">
        <v>306</v>
      </c>
    </row>
    <row r="85" spans="1:3" x14ac:dyDescent="0.35">
      <c r="A85" t="s">
        <v>307</v>
      </c>
    </row>
    <row r="86" spans="1:3" x14ac:dyDescent="0.35">
      <c r="A86" t="s">
        <v>308</v>
      </c>
    </row>
    <row r="87" spans="1:3" x14ac:dyDescent="0.35">
      <c r="A87" t="s">
        <v>642</v>
      </c>
      <c r="B87" t="b">
        <v>1</v>
      </c>
      <c r="C87" t="b">
        <v>0</v>
      </c>
    </row>
    <row r="88" spans="1:3" x14ac:dyDescent="0.35">
      <c r="A88" t="s">
        <v>65</v>
      </c>
      <c r="B88">
        <v>8</v>
      </c>
    </row>
    <row r="89" spans="1:3" x14ac:dyDescent="0.35">
      <c r="A89" t="s">
        <v>1350</v>
      </c>
      <c r="C89">
        <v>1</v>
      </c>
    </row>
    <row r="90" spans="1:3" x14ac:dyDescent="0.35">
      <c r="A90" t="s">
        <v>1351</v>
      </c>
    </row>
    <row r="91" spans="1:3" x14ac:dyDescent="0.35">
      <c r="A91" t="s">
        <v>1352</v>
      </c>
    </row>
    <row r="92" spans="1:3" x14ac:dyDescent="0.35">
      <c r="A92" t="s">
        <v>1353</v>
      </c>
    </row>
    <row r="93" spans="1:3" x14ac:dyDescent="0.35">
      <c r="A93" t="s">
        <v>1354</v>
      </c>
    </row>
    <row r="94" spans="1:3" x14ac:dyDescent="0.35">
      <c r="A94" t="s">
        <v>1355</v>
      </c>
    </row>
    <row r="95" spans="1:3" x14ac:dyDescent="0.35">
      <c r="A95" t="s">
        <v>1356</v>
      </c>
    </row>
    <row r="96" spans="1:3" x14ac:dyDescent="0.35">
      <c r="A96" t="s">
        <v>1357</v>
      </c>
    </row>
    <row r="97" spans="1:2" x14ac:dyDescent="0.35">
      <c r="A97" t="s">
        <v>1358</v>
      </c>
    </row>
    <row r="98" spans="1:2" x14ac:dyDescent="0.35">
      <c r="A98" t="s">
        <v>1359</v>
      </c>
    </row>
    <row r="99" spans="1:2" x14ac:dyDescent="0.35">
      <c r="A99" t="s">
        <v>1360</v>
      </c>
    </row>
    <row r="100" spans="1:2" x14ac:dyDescent="0.35">
      <c r="A100" t="s">
        <v>1361</v>
      </c>
      <c r="B100" t="b">
        <v>1</v>
      </c>
    </row>
    <row r="101" spans="1:2" x14ac:dyDescent="0.35">
      <c r="A101" t="s">
        <v>1362</v>
      </c>
    </row>
    <row r="102" spans="1:2" x14ac:dyDescent="0.35">
      <c r="A102" t="s">
        <v>1363</v>
      </c>
    </row>
    <row r="103" spans="1:2" x14ac:dyDescent="0.35">
      <c r="A103" t="s">
        <v>1364</v>
      </c>
    </row>
    <row r="104" spans="1:2" x14ac:dyDescent="0.35">
      <c r="A104" t="s">
        <v>1365</v>
      </c>
    </row>
    <row r="105" spans="1:2" x14ac:dyDescent="0.35">
      <c r="A105" t="s">
        <v>1366</v>
      </c>
    </row>
    <row r="106" spans="1:2" x14ac:dyDescent="0.35">
      <c r="A106" t="s">
        <v>1367</v>
      </c>
    </row>
    <row r="107" spans="1:2" x14ac:dyDescent="0.35">
      <c r="A107" t="s">
        <v>1368</v>
      </c>
    </row>
    <row r="108" spans="1:2" x14ac:dyDescent="0.35">
      <c r="A108" t="s">
        <v>1369</v>
      </c>
    </row>
    <row r="109" spans="1:2" x14ac:dyDescent="0.35">
      <c r="A109" t="s">
        <v>1448</v>
      </c>
    </row>
    <row r="110" spans="1:2" x14ac:dyDescent="0.35">
      <c r="A110" t="s">
        <v>1449</v>
      </c>
    </row>
    <row r="111" spans="1:2" x14ac:dyDescent="0.35">
      <c r="A111" t="s">
        <v>1370</v>
      </c>
    </row>
    <row r="112" spans="1:2" x14ac:dyDescent="0.35">
      <c r="A112" t="s">
        <v>1450</v>
      </c>
    </row>
    <row r="113" spans="1:2" x14ac:dyDescent="0.35">
      <c r="A113" t="s">
        <v>1451</v>
      </c>
    </row>
    <row r="114" spans="1:2" x14ac:dyDescent="0.35">
      <c r="A114" t="s">
        <v>1371</v>
      </c>
    </row>
    <row r="115" spans="1:2" x14ac:dyDescent="0.35">
      <c r="A115" t="s">
        <v>1372</v>
      </c>
    </row>
    <row r="116" spans="1:2" x14ac:dyDescent="0.35">
      <c r="A116" t="s">
        <v>1373</v>
      </c>
    </row>
    <row r="117" spans="1:2" x14ac:dyDescent="0.35">
      <c r="A117" t="s">
        <v>1374</v>
      </c>
    </row>
    <row r="118" spans="1:2" x14ac:dyDescent="0.35">
      <c r="A118" t="s">
        <v>1375</v>
      </c>
    </row>
    <row r="119" spans="1:2" x14ac:dyDescent="0.35">
      <c r="A119" t="s">
        <v>1376</v>
      </c>
    </row>
    <row r="120" spans="1:2" x14ac:dyDescent="0.35">
      <c r="A120" t="s">
        <v>1377</v>
      </c>
      <c r="B120" t="b">
        <v>1</v>
      </c>
    </row>
    <row r="121" spans="1:2" x14ac:dyDescent="0.35">
      <c r="A121" t="s">
        <v>1378</v>
      </c>
    </row>
    <row r="122" spans="1:2" x14ac:dyDescent="0.35">
      <c r="A122" t="s">
        <v>1379</v>
      </c>
    </row>
    <row r="123" spans="1:2" x14ac:dyDescent="0.35">
      <c r="A123" t="s">
        <v>1380</v>
      </c>
    </row>
    <row r="124" spans="1:2" x14ac:dyDescent="0.35">
      <c r="A124" t="s">
        <v>1381</v>
      </c>
    </row>
    <row r="125" spans="1:2" x14ac:dyDescent="0.35">
      <c r="A125" t="s">
        <v>1382</v>
      </c>
    </row>
    <row r="126" spans="1:2" x14ac:dyDescent="0.35">
      <c r="A126" t="s">
        <v>1383</v>
      </c>
    </row>
    <row r="127" spans="1:2" x14ac:dyDescent="0.35">
      <c r="A127" t="s">
        <v>1384</v>
      </c>
    </row>
    <row r="128" spans="1:2" x14ac:dyDescent="0.35">
      <c r="A128" t="s">
        <v>1385</v>
      </c>
    </row>
    <row r="129" spans="1:1" x14ac:dyDescent="0.35">
      <c r="A129" t="s">
        <v>1386</v>
      </c>
    </row>
    <row r="130" spans="1:1" x14ac:dyDescent="0.35">
      <c r="A130" t="s">
        <v>1387</v>
      </c>
    </row>
    <row r="131" spans="1:1" x14ac:dyDescent="0.35">
      <c r="A131" t="s">
        <v>1388</v>
      </c>
    </row>
    <row r="132" spans="1:1" x14ac:dyDescent="0.35">
      <c r="A132" t="s">
        <v>1389</v>
      </c>
    </row>
    <row r="133" spans="1:1" x14ac:dyDescent="0.35">
      <c r="A133" t="s">
        <v>1390</v>
      </c>
    </row>
    <row r="134" spans="1:1" x14ac:dyDescent="0.35">
      <c r="A134" t="s">
        <v>1391</v>
      </c>
    </row>
    <row r="135" spans="1:1" x14ac:dyDescent="0.35">
      <c r="A135" t="s">
        <v>1392</v>
      </c>
    </row>
    <row r="136" spans="1:1" x14ac:dyDescent="0.35">
      <c r="A136" t="s">
        <v>1393</v>
      </c>
    </row>
    <row r="137" spans="1:1" x14ac:dyDescent="0.35">
      <c r="A137" t="s">
        <v>1394</v>
      </c>
    </row>
    <row r="138" spans="1:1" x14ac:dyDescent="0.35">
      <c r="A138" t="s">
        <v>1395</v>
      </c>
    </row>
    <row r="139" spans="1:1" x14ac:dyDescent="0.35">
      <c r="A139" t="s">
        <v>1396</v>
      </c>
    </row>
    <row r="140" spans="1:1" x14ac:dyDescent="0.35">
      <c r="A140" t="s">
        <v>1444</v>
      </c>
    </row>
    <row r="141" spans="1:1" x14ac:dyDescent="0.35">
      <c r="A141" t="s">
        <v>1445</v>
      </c>
    </row>
    <row r="142" spans="1:1" x14ac:dyDescent="0.35">
      <c r="A142" t="s">
        <v>1397</v>
      </c>
    </row>
    <row r="143" spans="1:1" x14ac:dyDescent="0.35">
      <c r="A143" t="s">
        <v>1446</v>
      </c>
    </row>
    <row r="144" spans="1:1" x14ac:dyDescent="0.35">
      <c r="A144" t="s">
        <v>1447</v>
      </c>
    </row>
    <row r="145" spans="1:2" x14ac:dyDescent="0.35">
      <c r="A145" t="s">
        <v>1398</v>
      </c>
    </row>
    <row r="146" spans="1:2" x14ac:dyDescent="0.35">
      <c r="A146" t="s">
        <v>1399</v>
      </c>
    </row>
    <row r="147" spans="1:2" x14ac:dyDescent="0.35">
      <c r="A147" t="s">
        <v>1400</v>
      </c>
    </row>
    <row r="148" spans="1:2" x14ac:dyDescent="0.35">
      <c r="A148" t="s">
        <v>1401</v>
      </c>
      <c r="B148" t="b">
        <v>1</v>
      </c>
    </row>
    <row r="149" spans="1:2" x14ac:dyDescent="0.35">
      <c r="A149" t="s">
        <v>1402</v>
      </c>
    </row>
    <row r="150" spans="1:2" x14ac:dyDescent="0.35">
      <c r="A150" t="s">
        <v>1403</v>
      </c>
    </row>
    <row r="151" spans="1:2" x14ac:dyDescent="0.35">
      <c r="A151" t="s">
        <v>1404</v>
      </c>
      <c r="B151" t="b">
        <v>1</v>
      </c>
    </row>
    <row r="152" spans="1:2" x14ac:dyDescent="0.35">
      <c r="A152" t="s">
        <v>1405</v>
      </c>
    </row>
    <row r="153" spans="1:2" x14ac:dyDescent="0.35">
      <c r="A153" t="s">
        <v>1406</v>
      </c>
    </row>
    <row r="154" spans="1:2" x14ac:dyDescent="0.35">
      <c r="A154" t="s">
        <v>1407</v>
      </c>
    </row>
    <row r="155" spans="1:2" x14ac:dyDescent="0.35">
      <c r="A155" t="s">
        <v>1408</v>
      </c>
    </row>
    <row r="156" spans="1:2" x14ac:dyDescent="0.35">
      <c r="A156" t="s">
        <v>1409</v>
      </c>
    </row>
    <row r="157" spans="1:2" x14ac:dyDescent="0.35">
      <c r="A157" t="s">
        <v>1410</v>
      </c>
    </row>
    <row r="158" spans="1:2" x14ac:dyDescent="0.35">
      <c r="A158" t="s">
        <v>1411</v>
      </c>
    </row>
    <row r="159" spans="1:2" x14ac:dyDescent="0.35">
      <c r="A159" t="s">
        <v>1412</v>
      </c>
    </row>
    <row r="160" spans="1:2" x14ac:dyDescent="0.35">
      <c r="A160" t="s">
        <v>1413</v>
      </c>
    </row>
    <row r="161" spans="1:1" x14ac:dyDescent="0.35">
      <c r="A161" t="s">
        <v>1414</v>
      </c>
    </row>
    <row r="162" spans="1:1" x14ac:dyDescent="0.35">
      <c r="A162" t="s">
        <v>1415</v>
      </c>
    </row>
    <row r="163" spans="1:1" x14ac:dyDescent="0.35">
      <c r="A163" t="s">
        <v>1416</v>
      </c>
    </row>
    <row r="164" spans="1:1" x14ac:dyDescent="0.35">
      <c r="A164" t="s">
        <v>1417</v>
      </c>
    </row>
    <row r="165" spans="1:1" x14ac:dyDescent="0.35">
      <c r="A165" t="s">
        <v>1418</v>
      </c>
    </row>
    <row r="166" spans="1:1" x14ac:dyDescent="0.35">
      <c r="A166" t="s">
        <v>1419</v>
      </c>
    </row>
    <row r="167" spans="1:1" x14ac:dyDescent="0.35">
      <c r="A167" t="s">
        <v>1420</v>
      </c>
    </row>
    <row r="168" spans="1:1" x14ac:dyDescent="0.35">
      <c r="A168" t="s">
        <v>1421</v>
      </c>
    </row>
    <row r="169" spans="1:1" x14ac:dyDescent="0.35">
      <c r="A169" t="s">
        <v>1422</v>
      </c>
    </row>
    <row r="170" spans="1:1" x14ac:dyDescent="0.35">
      <c r="A170" t="s">
        <v>1423</v>
      </c>
    </row>
    <row r="171" spans="1:1" x14ac:dyDescent="0.35">
      <c r="A171" t="s">
        <v>1440</v>
      </c>
    </row>
    <row r="172" spans="1:1" x14ac:dyDescent="0.35">
      <c r="A172" t="s">
        <v>1441</v>
      </c>
    </row>
    <row r="173" spans="1:1" x14ac:dyDescent="0.35">
      <c r="A173" t="s">
        <v>1424</v>
      </c>
    </row>
    <row r="174" spans="1:1" x14ac:dyDescent="0.35">
      <c r="A174" t="s">
        <v>1442</v>
      </c>
    </row>
    <row r="175" spans="1:1" x14ac:dyDescent="0.35">
      <c r="A175" t="s">
        <v>1443</v>
      </c>
    </row>
    <row r="176" spans="1:1" x14ac:dyDescent="0.35">
      <c r="A176" t="s">
        <v>1425</v>
      </c>
    </row>
    <row r="177" spans="1:2" x14ac:dyDescent="0.35">
      <c r="A177" t="s">
        <v>1426</v>
      </c>
    </row>
    <row r="178" spans="1:2" x14ac:dyDescent="0.35">
      <c r="A178" t="s">
        <v>1427</v>
      </c>
    </row>
    <row r="179" spans="1:2" x14ac:dyDescent="0.35">
      <c r="A179" t="s">
        <v>1428</v>
      </c>
    </row>
    <row r="180" spans="1:2" x14ac:dyDescent="0.35">
      <c r="A180" t="s">
        <v>1429</v>
      </c>
    </row>
    <row r="181" spans="1:2" x14ac:dyDescent="0.35">
      <c r="A181" t="s">
        <v>1430</v>
      </c>
    </row>
    <row r="182" spans="1:2" x14ac:dyDescent="0.35">
      <c r="A182" t="s">
        <v>712</v>
      </c>
      <c r="B182" t="b">
        <v>1</v>
      </c>
    </row>
    <row r="183" spans="1:2" x14ac:dyDescent="0.35">
      <c r="A183" t="s">
        <v>713</v>
      </c>
    </row>
    <row r="184" spans="1:2" x14ac:dyDescent="0.35">
      <c r="A184" t="s">
        <v>714</v>
      </c>
    </row>
    <row r="185" spans="1:2" x14ac:dyDescent="0.35">
      <c r="A185" t="s">
        <v>715</v>
      </c>
    </row>
    <row r="186" spans="1:2" x14ac:dyDescent="0.35">
      <c r="A186" t="s">
        <v>716</v>
      </c>
    </row>
    <row r="187" spans="1:2" x14ac:dyDescent="0.35">
      <c r="A187" t="s">
        <v>717</v>
      </c>
    </row>
    <row r="188" spans="1:2" x14ac:dyDescent="0.35">
      <c r="A188" t="s">
        <v>718</v>
      </c>
    </row>
    <row r="189" spans="1:2" x14ac:dyDescent="0.35">
      <c r="A189" t="s">
        <v>152</v>
      </c>
    </row>
    <row r="190" spans="1:2" x14ac:dyDescent="0.35">
      <c r="A190" t="s">
        <v>153</v>
      </c>
    </row>
    <row r="191" spans="1:2" x14ac:dyDescent="0.35">
      <c r="A191" t="s">
        <v>154</v>
      </c>
    </row>
    <row r="192" spans="1:2" x14ac:dyDescent="0.35">
      <c r="A192" t="s">
        <v>155</v>
      </c>
    </row>
    <row r="193" spans="1:1" x14ac:dyDescent="0.35">
      <c r="A193" t="s">
        <v>156</v>
      </c>
    </row>
    <row r="194" spans="1:1" x14ac:dyDescent="0.35">
      <c r="A194" t="s">
        <v>157</v>
      </c>
    </row>
    <row r="195" spans="1:1" x14ac:dyDescent="0.35">
      <c r="A195" t="s">
        <v>158</v>
      </c>
    </row>
    <row r="196" spans="1:1" x14ac:dyDescent="0.35">
      <c r="A196" t="s">
        <v>159</v>
      </c>
    </row>
    <row r="197" spans="1:1" x14ac:dyDescent="0.35">
      <c r="A197" s="517" t="s">
        <v>160</v>
      </c>
    </row>
    <row r="198" spans="1:1" x14ac:dyDescent="0.35">
      <c r="A198" s="517" t="s">
        <v>161</v>
      </c>
    </row>
    <row r="199" spans="1:1" x14ac:dyDescent="0.35">
      <c r="A199" s="517" t="s">
        <v>162</v>
      </c>
    </row>
    <row r="200" spans="1:1" x14ac:dyDescent="0.35">
      <c r="A200" s="517" t="s">
        <v>163</v>
      </c>
    </row>
    <row r="201" spans="1:1" x14ac:dyDescent="0.35">
      <c r="A201" s="517" t="s">
        <v>164</v>
      </c>
    </row>
    <row r="202" spans="1:1" x14ac:dyDescent="0.35">
      <c r="A202" s="517" t="s">
        <v>1436</v>
      </c>
    </row>
    <row r="203" spans="1:1" x14ac:dyDescent="0.35">
      <c r="A203" s="517" t="s">
        <v>1437</v>
      </c>
    </row>
    <row r="204" spans="1:1" x14ac:dyDescent="0.35">
      <c r="A204" s="517" t="s">
        <v>165</v>
      </c>
    </row>
    <row r="205" spans="1:1" x14ac:dyDescent="0.35">
      <c r="A205" s="517" t="s">
        <v>1438</v>
      </c>
    </row>
    <row r="206" spans="1:1" x14ac:dyDescent="0.35">
      <c r="A206" s="517" t="s">
        <v>1439</v>
      </c>
    </row>
    <row r="207" spans="1:1" x14ac:dyDescent="0.35">
      <c r="A207" s="517" t="s">
        <v>166</v>
      </c>
    </row>
    <row r="208" spans="1:1" x14ac:dyDescent="0.35">
      <c r="A208" s="517" t="s">
        <v>167</v>
      </c>
    </row>
    <row r="209" spans="1:2" x14ac:dyDescent="0.35">
      <c r="A209" s="517" t="s">
        <v>168</v>
      </c>
    </row>
    <row r="210" spans="1:2" x14ac:dyDescent="0.35">
      <c r="A210" s="517" t="s">
        <v>169</v>
      </c>
    </row>
    <row r="211" spans="1:2" x14ac:dyDescent="0.35">
      <c r="A211" s="517" t="s">
        <v>170</v>
      </c>
    </row>
    <row r="212" spans="1:2" x14ac:dyDescent="0.35">
      <c r="A212" s="517" t="s">
        <v>171</v>
      </c>
    </row>
    <row r="213" spans="1:2" x14ac:dyDescent="0.35">
      <c r="A213" s="517" t="s">
        <v>773</v>
      </c>
    </row>
    <row r="214" spans="1:2" x14ac:dyDescent="0.35">
      <c r="A214" s="517" t="s">
        <v>774</v>
      </c>
    </row>
    <row r="215" spans="1:2" x14ac:dyDescent="0.35">
      <c r="A215" s="517" t="s">
        <v>775</v>
      </c>
    </row>
    <row r="216" spans="1:2" x14ac:dyDescent="0.35">
      <c r="A216" s="517" t="s">
        <v>776</v>
      </c>
    </row>
    <row r="217" spans="1:2" x14ac:dyDescent="0.35">
      <c r="A217" s="517" t="s">
        <v>777</v>
      </c>
    </row>
    <row r="218" spans="1:2" x14ac:dyDescent="0.35">
      <c r="A218" t="s">
        <v>778</v>
      </c>
    </row>
    <row r="219" spans="1:2" x14ac:dyDescent="0.35">
      <c r="A219" t="s">
        <v>779</v>
      </c>
    </row>
    <row r="220" spans="1:2" x14ac:dyDescent="0.35">
      <c r="A220" t="s">
        <v>780</v>
      </c>
    </row>
    <row r="221" spans="1:2" x14ac:dyDescent="0.35">
      <c r="A221" t="s">
        <v>200</v>
      </c>
    </row>
    <row r="222" spans="1:2" x14ac:dyDescent="0.35">
      <c r="A222" t="s">
        <v>201</v>
      </c>
    </row>
    <row r="223" spans="1:2" x14ac:dyDescent="0.35">
      <c r="A223" t="s">
        <v>202</v>
      </c>
    </row>
    <row r="224" spans="1:2" x14ac:dyDescent="0.35">
      <c r="A224" t="s">
        <v>781</v>
      </c>
      <c r="B224" t="b">
        <v>1</v>
      </c>
    </row>
    <row r="225" spans="1:1" x14ac:dyDescent="0.35">
      <c r="A225" t="s">
        <v>203</v>
      </c>
    </row>
    <row r="226" spans="1:1" x14ac:dyDescent="0.35">
      <c r="A226" t="s">
        <v>204</v>
      </c>
    </row>
    <row r="227" spans="1:1" x14ac:dyDescent="0.35">
      <c r="A227" t="s">
        <v>205</v>
      </c>
    </row>
    <row r="228" spans="1:1" x14ac:dyDescent="0.35">
      <c r="A228" t="s">
        <v>206</v>
      </c>
    </row>
    <row r="229" spans="1:1" x14ac:dyDescent="0.35">
      <c r="A229" t="s">
        <v>207</v>
      </c>
    </row>
    <row r="230" spans="1:1" x14ac:dyDescent="0.35">
      <c r="A230" t="s">
        <v>208</v>
      </c>
    </row>
    <row r="231" spans="1:1" x14ac:dyDescent="0.35">
      <c r="A231" t="s">
        <v>209</v>
      </c>
    </row>
    <row r="232" spans="1:1" x14ac:dyDescent="0.35">
      <c r="A232" t="s">
        <v>210</v>
      </c>
    </row>
    <row r="233" spans="1:1" x14ac:dyDescent="0.35">
      <c r="A233" t="s">
        <v>1431</v>
      </c>
    </row>
    <row r="234" spans="1:1" x14ac:dyDescent="0.35">
      <c r="A234" t="s">
        <v>1432</v>
      </c>
    </row>
    <row r="235" spans="1:1" x14ac:dyDescent="0.35">
      <c r="A235" t="s">
        <v>782</v>
      </c>
    </row>
    <row r="236" spans="1:1" x14ac:dyDescent="0.35">
      <c r="A236" t="s">
        <v>1433</v>
      </c>
    </row>
    <row r="237" spans="1:1" x14ac:dyDescent="0.35">
      <c r="A237" t="s">
        <v>1434</v>
      </c>
    </row>
    <row r="238" spans="1:1" x14ac:dyDescent="0.35">
      <c r="A238" t="s">
        <v>1435</v>
      </c>
    </row>
    <row r="239" spans="1:1" x14ac:dyDescent="0.35">
      <c r="A239" t="s">
        <v>287</v>
      </c>
    </row>
    <row r="240" spans="1:1" x14ac:dyDescent="0.35">
      <c r="A240" t="s">
        <v>288</v>
      </c>
    </row>
    <row r="241" spans="1:3" x14ac:dyDescent="0.35">
      <c r="A241" t="s">
        <v>289</v>
      </c>
    </row>
    <row r="242" spans="1:3" x14ac:dyDescent="0.35">
      <c r="A242" t="s">
        <v>290</v>
      </c>
    </row>
    <row r="243" spans="1:3" x14ac:dyDescent="0.35">
      <c r="A243" t="s">
        <v>604</v>
      </c>
    </row>
    <row r="244" spans="1:3" x14ac:dyDescent="0.35">
      <c r="A244" t="s">
        <v>605</v>
      </c>
    </row>
    <row r="245" spans="1:3" x14ac:dyDescent="0.35">
      <c r="A245" t="s">
        <v>265</v>
      </c>
      <c r="B245">
        <v>100</v>
      </c>
      <c r="C245">
        <v>80</v>
      </c>
    </row>
    <row r="246" spans="1:3" x14ac:dyDescent="0.35">
      <c r="A246" t="s">
        <v>700</v>
      </c>
      <c r="B246">
        <v>10</v>
      </c>
      <c r="C246">
        <v>0</v>
      </c>
    </row>
    <row r="247" spans="1:3" x14ac:dyDescent="0.35">
      <c r="A247" t="s">
        <v>75</v>
      </c>
      <c r="B247">
        <v>1</v>
      </c>
    </row>
    <row r="248" spans="1:3" x14ac:dyDescent="0.35">
      <c r="A248" t="s">
        <v>76</v>
      </c>
    </row>
    <row r="249" spans="1:3" x14ac:dyDescent="0.35">
      <c r="A249" t="s">
        <v>331</v>
      </c>
    </row>
    <row r="250" spans="1:3" x14ac:dyDescent="0.35">
      <c r="A250" t="s">
        <v>310</v>
      </c>
    </row>
    <row r="251" spans="1:3" x14ac:dyDescent="0.35">
      <c r="A251" t="s">
        <v>311</v>
      </c>
    </row>
    <row r="252" spans="1:3" x14ac:dyDescent="0.35">
      <c r="A252" t="s">
        <v>312</v>
      </c>
    </row>
    <row r="253" spans="1:3" x14ac:dyDescent="0.35">
      <c r="A253" t="s">
        <v>125</v>
      </c>
    </row>
    <row r="254" spans="1:3" x14ac:dyDescent="0.35">
      <c r="A254" t="s">
        <v>126</v>
      </c>
    </row>
    <row r="255" spans="1:3" x14ac:dyDescent="0.35">
      <c r="A255" t="s">
        <v>127</v>
      </c>
    </row>
    <row r="256" spans="1:3" x14ac:dyDescent="0.35">
      <c r="A256" t="s">
        <v>672</v>
      </c>
    </row>
    <row r="257" spans="1:7" x14ac:dyDescent="0.35">
      <c r="A257" t="s">
        <v>673</v>
      </c>
    </row>
    <row r="258" spans="1:7" x14ac:dyDescent="0.35">
      <c r="A258" t="s">
        <v>674</v>
      </c>
      <c r="B258">
        <v>4</v>
      </c>
    </row>
    <row r="259" spans="1:7" x14ac:dyDescent="0.35">
      <c r="A259" t="s">
        <v>675</v>
      </c>
    </row>
    <row r="260" spans="1:7" x14ac:dyDescent="0.35">
      <c r="A260" t="s">
        <v>676</v>
      </c>
      <c r="B260">
        <v>1</v>
      </c>
    </row>
    <row r="261" spans="1:7" x14ac:dyDescent="0.35">
      <c r="A261" t="s">
        <v>550</v>
      </c>
    </row>
    <row r="262" spans="1:7" x14ac:dyDescent="0.35">
      <c r="A262" t="s">
        <v>551</v>
      </c>
    </row>
    <row r="263" spans="1:7" x14ac:dyDescent="0.35">
      <c r="A263" t="s">
        <v>552</v>
      </c>
    </row>
    <row r="264" spans="1:7" x14ac:dyDescent="0.35">
      <c r="A264" t="s">
        <v>553</v>
      </c>
    </row>
    <row r="265" spans="1:7" x14ac:dyDescent="0.35">
      <c r="A265" t="s">
        <v>600</v>
      </c>
    </row>
    <row r="266" spans="1:7" x14ac:dyDescent="0.35">
      <c r="A266" t="s">
        <v>601</v>
      </c>
    </row>
    <row r="267" spans="1:7" x14ac:dyDescent="0.35">
      <c r="A267" t="s">
        <v>313</v>
      </c>
      <c r="G267" s="517"/>
    </row>
    <row r="268" spans="1:7" x14ac:dyDescent="0.35">
      <c r="A268" t="s">
        <v>314</v>
      </c>
    </row>
    <row r="269" spans="1:7" x14ac:dyDescent="0.35">
      <c r="A269" t="s">
        <v>315</v>
      </c>
    </row>
    <row r="270" spans="1:7" x14ac:dyDescent="0.35">
      <c r="A270" t="s">
        <v>316</v>
      </c>
    </row>
    <row r="271" spans="1:7" x14ac:dyDescent="0.35">
      <c r="A271" t="s">
        <v>317</v>
      </c>
    </row>
    <row r="272" spans="1:7" x14ac:dyDescent="0.35">
      <c r="A272" t="s">
        <v>318</v>
      </c>
    </row>
    <row r="273" spans="1:4" x14ac:dyDescent="0.35">
      <c r="A273" t="s">
        <v>677</v>
      </c>
    </row>
    <row r="274" spans="1:4" x14ac:dyDescent="0.35">
      <c r="A274" t="s">
        <v>678</v>
      </c>
    </row>
    <row r="275" spans="1:4" x14ac:dyDescent="0.35">
      <c r="A275" t="s">
        <v>679</v>
      </c>
    </row>
    <row r="276" spans="1:4" x14ac:dyDescent="0.35">
      <c r="A276" t="s">
        <v>680</v>
      </c>
    </row>
    <row r="277" spans="1:4" x14ac:dyDescent="0.35">
      <c r="A277" t="s">
        <v>485</v>
      </c>
    </row>
    <row r="278" spans="1:4" x14ac:dyDescent="0.35">
      <c r="A278" t="s">
        <v>486</v>
      </c>
    </row>
    <row r="279" spans="1:4" x14ac:dyDescent="0.35">
      <c r="A279" t="s">
        <v>487</v>
      </c>
    </row>
    <row r="280" spans="1:4" x14ac:dyDescent="0.35">
      <c r="A280" s="517" t="s">
        <v>2586</v>
      </c>
    </row>
    <row r="281" spans="1:4" x14ac:dyDescent="0.35">
      <c r="A281" s="517" t="s">
        <v>2587</v>
      </c>
    </row>
    <row r="282" spans="1:4" s="517" customFormat="1" x14ac:dyDescent="0.35">
      <c r="A282" s="517" t="s">
        <v>2588</v>
      </c>
      <c r="B282"/>
      <c r="C282"/>
      <c r="D282"/>
    </row>
    <row r="283" spans="1:4" s="517" customFormat="1" x14ac:dyDescent="0.35">
      <c r="A283" s="517" t="s">
        <v>2589</v>
      </c>
      <c r="B283"/>
      <c r="C283"/>
      <c r="D283"/>
    </row>
    <row r="284" spans="1:4" s="517" customFormat="1" x14ac:dyDescent="0.35">
      <c r="A284" s="517" t="s">
        <v>2590</v>
      </c>
      <c r="B284"/>
      <c r="C284"/>
      <c r="D284"/>
    </row>
    <row r="285" spans="1:4" s="517" customFormat="1" x14ac:dyDescent="0.35">
      <c r="A285" s="517" t="s">
        <v>2591</v>
      </c>
      <c r="B285"/>
      <c r="C285"/>
      <c r="D285"/>
    </row>
    <row r="286" spans="1:4" s="517" customFormat="1" x14ac:dyDescent="0.35">
      <c r="A286" s="517" t="s">
        <v>2592</v>
      </c>
      <c r="B286"/>
      <c r="C286"/>
      <c r="D286"/>
    </row>
    <row r="287" spans="1:4" s="517" customFormat="1" x14ac:dyDescent="0.35">
      <c r="A287" s="517" t="s">
        <v>2593</v>
      </c>
      <c r="B287"/>
      <c r="C287"/>
      <c r="D287"/>
    </row>
    <row r="288" spans="1:4" s="517" customFormat="1" x14ac:dyDescent="0.35">
      <c r="A288" s="517" t="s">
        <v>2594</v>
      </c>
      <c r="B288"/>
      <c r="C288"/>
      <c r="D288"/>
    </row>
    <row r="289" spans="1:4" s="517" customFormat="1" x14ac:dyDescent="0.35">
      <c r="A289" s="517" t="s">
        <v>2595</v>
      </c>
      <c r="B289"/>
      <c r="C289"/>
      <c r="D289"/>
    </row>
    <row r="290" spans="1:4" s="517" customFormat="1" x14ac:dyDescent="0.35">
      <c r="A290" t="s">
        <v>895</v>
      </c>
      <c r="B290"/>
      <c r="C290"/>
      <c r="D290"/>
    </row>
    <row r="291" spans="1:4" s="517" customFormat="1" x14ac:dyDescent="0.35">
      <c r="A291" t="s">
        <v>341</v>
      </c>
      <c r="B291"/>
      <c r="C291"/>
      <c r="D291"/>
    </row>
    <row r="292" spans="1:4" x14ac:dyDescent="0.35">
      <c r="A292" t="s">
        <v>342</v>
      </c>
    </row>
    <row r="293" spans="1:4" x14ac:dyDescent="0.35">
      <c r="A293" t="s">
        <v>343</v>
      </c>
    </row>
    <row r="294" spans="1:4" x14ac:dyDescent="0.35">
      <c r="A294" t="s">
        <v>783</v>
      </c>
    </row>
    <row r="295" spans="1:4" x14ac:dyDescent="0.35">
      <c r="A295" t="s">
        <v>784</v>
      </c>
    </row>
    <row r="296" spans="1:4" x14ac:dyDescent="0.35">
      <c r="A296" t="s">
        <v>785</v>
      </c>
    </row>
    <row r="297" spans="1:4" x14ac:dyDescent="0.35">
      <c r="A297" t="s">
        <v>786</v>
      </c>
      <c r="B297">
        <v>12</v>
      </c>
      <c r="C297">
        <v>1</v>
      </c>
    </row>
    <row r="298" spans="1:4" x14ac:dyDescent="0.35">
      <c r="A298" t="s">
        <v>787</v>
      </c>
      <c r="B298">
        <v>1</v>
      </c>
      <c r="C298">
        <v>1</v>
      </c>
    </row>
    <row r="299" spans="1:4" x14ac:dyDescent="0.35">
      <c r="A299" t="s">
        <v>788</v>
      </c>
    </row>
    <row r="300" spans="1:4" x14ac:dyDescent="0.35">
      <c r="A300" t="s">
        <v>789</v>
      </c>
    </row>
    <row r="301" spans="1:4" x14ac:dyDescent="0.35">
      <c r="A301" t="s">
        <v>790</v>
      </c>
    </row>
    <row r="302" spans="1:4" x14ac:dyDescent="0.35">
      <c r="A302" t="s">
        <v>840</v>
      </c>
    </row>
    <row r="303" spans="1:4" x14ac:dyDescent="0.35">
      <c r="A303" t="s">
        <v>841</v>
      </c>
    </row>
    <row r="304" spans="1:4" x14ac:dyDescent="0.35">
      <c r="A304" t="s">
        <v>842</v>
      </c>
      <c r="B304">
        <v>2</v>
      </c>
      <c r="C304">
        <v>1</v>
      </c>
    </row>
    <row r="305" spans="1:4" x14ac:dyDescent="0.35">
      <c r="A305" t="s">
        <v>843</v>
      </c>
      <c r="B305">
        <v>22</v>
      </c>
      <c r="C305">
        <v>1</v>
      </c>
    </row>
    <row r="306" spans="1:4" x14ac:dyDescent="0.35">
      <c r="A306" t="s">
        <v>844</v>
      </c>
      <c r="B306">
        <v>1</v>
      </c>
      <c r="C306">
        <v>1</v>
      </c>
    </row>
    <row r="307" spans="1:4" x14ac:dyDescent="0.35">
      <c r="A307" t="s">
        <v>845</v>
      </c>
      <c r="B307">
        <v>1</v>
      </c>
      <c r="C307">
        <v>1</v>
      </c>
    </row>
    <row r="308" spans="1:4" x14ac:dyDescent="0.35">
      <c r="A308" t="s">
        <v>846</v>
      </c>
      <c r="B308">
        <v>1</v>
      </c>
      <c r="C308">
        <v>1</v>
      </c>
    </row>
    <row r="309" spans="1:4" x14ac:dyDescent="0.35">
      <c r="A309" t="s">
        <v>497</v>
      </c>
      <c r="B309">
        <v>1</v>
      </c>
      <c r="C309">
        <v>1</v>
      </c>
    </row>
    <row r="310" spans="1:4" x14ac:dyDescent="0.35">
      <c r="A310" t="s">
        <v>498</v>
      </c>
      <c r="B310">
        <v>1</v>
      </c>
      <c r="C310">
        <v>1</v>
      </c>
    </row>
    <row r="311" spans="1:4" x14ac:dyDescent="0.35">
      <c r="A311" t="s">
        <v>499</v>
      </c>
      <c r="B311">
        <v>1</v>
      </c>
      <c r="C311">
        <v>1</v>
      </c>
    </row>
    <row r="312" spans="1:4" x14ac:dyDescent="0.35">
      <c r="A312" s="517" t="s">
        <v>2016</v>
      </c>
      <c r="B312" s="517">
        <v>0</v>
      </c>
      <c r="C312" s="517"/>
      <c r="D312" s="517"/>
    </row>
    <row r="313" spans="1:4" x14ac:dyDescent="0.35">
      <c r="A313" s="517" t="s">
        <v>2017</v>
      </c>
      <c r="B313" s="517">
        <v>0</v>
      </c>
      <c r="C313" s="517"/>
      <c r="D313" s="517"/>
    </row>
    <row r="314" spans="1:4" x14ac:dyDescent="0.35">
      <c r="A314" s="517" t="s">
        <v>2018</v>
      </c>
      <c r="B314" s="517">
        <v>0</v>
      </c>
      <c r="C314" s="517"/>
      <c r="D314" s="517"/>
    </row>
    <row r="315" spans="1:4" x14ac:dyDescent="0.35">
      <c r="A315" s="517" t="s">
        <v>2019</v>
      </c>
      <c r="B315" s="517"/>
      <c r="C315" s="517"/>
      <c r="D315" s="517"/>
    </row>
    <row r="316" spans="1:4" x14ac:dyDescent="0.35">
      <c r="A316" s="517" t="s">
        <v>2020</v>
      </c>
      <c r="B316" s="517"/>
      <c r="C316" s="517"/>
      <c r="D316" s="517"/>
    </row>
    <row r="317" spans="1:4" x14ac:dyDescent="0.35">
      <c r="A317" s="517" t="s">
        <v>2021</v>
      </c>
      <c r="B317" s="517"/>
      <c r="C317" s="517"/>
      <c r="D317" s="517"/>
    </row>
    <row r="318" spans="1:4" x14ac:dyDescent="0.35">
      <c r="A318" s="517" t="s">
        <v>2022</v>
      </c>
      <c r="B318" s="517"/>
      <c r="C318" s="517"/>
      <c r="D318" s="517"/>
    </row>
    <row r="319" spans="1:4" x14ac:dyDescent="0.35">
      <c r="A319" s="517" t="s">
        <v>2023</v>
      </c>
      <c r="B319" s="517"/>
      <c r="C319" s="517"/>
      <c r="D319" s="517"/>
    </row>
    <row r="320" spans="1:4" x14ac:dyDescent="0.35">
      <c r="A320" s="517" t="s">
        <v>2024</v>
      </c>
      <c r="B320" s="517"/>
      <c r="C320" s="517"/>
      <c r="D320" s="517"/>
    </row>
    <row r="321" spans="1:4" x14ac:dyDescent="0.35">
      <c r="A321" s="517" t="s">
        <v>2025</v>
      </c>
      <c r="B321" s="517"/>
      <c r="C321" s="517"/>
      <c r="D321" s="517"/>
    </row>
    <row r="322" spans="1:4" x14ac:dyDescent="0.35">
      <c r="A322" t="s">
        <v>500</v>
      </c>
    </row>
    <row r="323" spans="1:4" x14ac:dyDescent="0.35">
      <c r="A323" t="s">
        <v>501</v>
      </c>
    </row>
    <row r="324" spans="1:4" x14ac:dyDescent="0.35">
      <c r="A324" t="s">
        <v>502</v>
      </c>
    </row>
    <row r="325" spans="1:4" x14ac:dyDescent="0.35">
      <c r="A325" t="s">
        <v>503</v>
      </c>
    </row>
    <row r="326" spans="1:4" x14ac:dyDescent="0.35">
      <c r="A326" t="s">
        <v>504</v>
      </c>
    </row>
    <row r="327" spans="1:4" s="517" customFormat="1" x14ac:dyDescent="0.35">
      <c r="A327" t="s">
        <v>759</v>
      </c>
      <c r="B327">
        <v>2</v>
      </c>
      <c r="C327">
        <v>1</v>
      </c>
      <c r="D327"/>
    </row>
    <row r="328" spans="1:4" s="517" customFormat="1" x14ac:dyDescent="0.35">
      <c r="A328" t="s">
        <v>760</v>
      </c>
      <c r="B328">
        <v>1</v>
      </c>
      <c r="C328">
        <v>1</v>
      </c>
      <c r="D328"/>
    </row>
    <row r="329" spans="1:4" s="517" customFormat="1" x14ac:dyDescent="0.35">
      <c r="A329" t="s">
        <v>761</v>
      </c>
      <c r="B329">
        <v>1</v>
      </c>
      <c r="C329">
        <v>1</v>
      </c>
      <c r="D329"/>
    </row>
    <row r="330" spans="1:4" s="517" customFormat="1" x14ac:dyDescent="0.35">
      <c r="A330" t="s">
        <v>669</v>
      </c>
      <c r="B330">
        <v>1</v>
      </c>
      <c r="C330">
        <v>1</v>
      </c>
      <c r="D330"/>
    </row>
    <row r="331" spans="1:4" s="517" customFormat="1" x14ac:dyDescent="0.35">
      <c r="A331" t="s">
        <v>741</v>
      </c>
      <c r="B331">
        <v>1</v>
      </c>
      <c r="C331">
        <v>1</v>
      </c>
      <c r="D331"/>
    </row>
    <row r="332" spans="1:4" s="517" customFormat="1" x14ac:dyDescent="0.35">
      <c r="A332" t="s">
        <v>742</v>
      </c>
      <c r="B332">
        <v>1</v>
      </c>
      <c r="C332">
        <v>1</v>
      </c>
      <c r="D332"/>
    </row>
    <row r="333" spans="1:4" s="517" customFormat="1" x14ac:dyDescent="0.35">
      <c r="A333" t="s">
        <v>743</v>
      </c>
      <c r="B333">
        <v>1</v>
      </c>
      <c r="C333">
        <v>1</v>
      </c>
      <c r="D333"/>
    </row>
    <row r="334" spans="1:4" s="517" customFormat="1" x14ac:dyDescent="0.35">
      <c r="A334" t="s">
        <v>744</v>
      </c>
      <c r="B334">
        <v>3</v>
      </c>
      <c r="C334">
        <v>1</v>
      </c>
      <c r="D334"/>
    </row>
    <row r="335" spans="1:4" s="517" customFormat="1" x14ac:dyDescent="0.35">
      <c r="A335" t="s">
        <v>667</v>
      </c>
      <c r="B335">
        <v>3</v>
      </c>
      <c r="C335">
        <v>1</v>
      </c>
      <c r="D335"/>
    </row>
    <row r="336" spans="1:4" s="517" customFormat="1" x14ac:dyDescent="0.35">
      <c r="A336" t="s">
        <v>668</v>
      </c>
      <c r="B336">
        <v>1</v>
      </c>
      <c r="C336">
        <v>1</v>
      </c>
      <c r="D336"/>
    </row>
    <row r="337" spans="1:3" x14ac:dyDescent="0.35">
      <c r="A337" t="s">
        <v>664</v>
      </c>
      <c r="B337">
        <v>1</v>
      </c>
      <c r="C337">
        <v>1</v>
      </c>
    </row>
    <row r="338" spans="1:3" x14ac:dyDescent="0.35">
      <c r="A338" t="s">
        <v>665</v>
      </c>
      <c r="B338">
        <v>1</v>
      </c>
      <c r="C338">
        <v>1</v>
      </c>
    </row>
    <row r="339" spans="1:3" x14ac:dyDescent="0.35">
      <c r="A339" t="s">
        <v>666</v>
      </c>
      <c r="B339">
        <v>1</v>
      </c>
      <c r="C339">
        <v>1</v>
      </c>
    </row>
    <row r="340" spans="1:3" x14ac:dyDescent="0.35">
      <c r="A340" t="s">
        <v>658</v>
      </c>
      <c r="B340">
        <v>1</v>
      </c>
      <c r="C340">
        <v>1</v>
      </c>
    </row>
    <row r="341" spans="1:3" x14ac:dyDescent="0.35">
      <c r="A341" t="s">
        <v>659</v>
      </c>
      <c r="B341">
        <v>1</v>
      </c>
      <c r="C341">
        <v>1</v>
      </c>
    </row>
    <row r="342" spans="1:3" x14ac:dyDescent="0.35">
      <c r="A342" t="s">
        <v>660</v>
      </c>
      <c r="B342">
        <v>19</v>
      </c>
      <c r="C342">
        <v>1</v>
      </c>
    </row>
    <row r="343" spans="1:3" x14ac:dyDescent="0.35">
      <c r="A343" t="s">
        <v>661</v>
      </c>
    </row>
    <row r="344" spans="1:3" x14ac:dyDescent="0.35">
      <c r="A344" t="s">
        <v>662</v>
      </c>
    </row>
    <row r="345" spans="1:3" x14ac:dyDescent="0.35">
      <c r="A345" t="s">
        <v>816</v>
      </c>
    </row>
    <row r="346" spans="1:3" x14ac:dyDescent="0.35">
      <c r="A346" t="s">
        <v>817</v>
      </c>
    </row>
    <row r="347" spans="1:3" x14ac:dyDescent="0.35">
      <c r="A347" t="s">
        <v>818</v>
      </c>
    </row>
    <row r="348" spans="1:3" x14ac:dyDescent="0.35">
      <c r="A348" t="s">
        <v>819</v>
      </c>
    </row>
    <row r="349" spans="1:3" x14ac:dyDescent="0.35">
      <c r="A349" t="s">
        <v>820</v>
      </c>
      <c r="B349">
        <v>4</v>
      </c>
    </row>
    <row r="350" spans="1:3" x14ac:dyDescent="0.35">
      <c r="A350" t="s">
        <v>821</v>
      </c>
      <c r="B350">
        <v>15</v>
      </c>
    </row>
    <row r="351" spans="1:3" x14ac:dyDescent="0.35">
      <c r="A351" t="s">
        <v>822</v>
      </c>
    </row>
    <row r="352" spans="1:3" x14ac:dyDescent="0.35">
      <c r="A352" t="s">
        <v>823</v>
      </c>
    </row>
    <row r="353" spans="1:9" x14ac:dyDescent="0.35">
      <c r="A353" t="s">
        <v>824</v>
      </c>
    </row>
    <row r="354" spans="1:9" x14ac:dyDescent="0.35">
      <c r="A354" t="s">
        <v>825</v>
      </c>
      <c r="F354" s="517"/>
      <c r="G354" s="517"/>
      <c r="H354" s="517"/>
      <c r="I354" s="517"/>
    </row>
    <row r="355" spans="1:9" x14ac:dyDescent="0.35">
      <c r="A355" t="s">
        <v>826</v>
      </c>
      <c r="F355" s="517"/>
      <c r="G355" s="517"/>
      <c r="H355" s="517"/>
      <c r="I355" s="517"/>
    </row>
    <row r="356" spans="1:9" x14ac:dyDescent="0.35">
      <c r="A356" t="s">
        <v>827</v>
      </c>
      <c r="F356" s="517"/>
      <c r="G356" s="517"/>
      <c r="H356" s="517"/>
      <c r="I356" s="517"/>
    </row>
    <row r="357" spans="1:9" x14ac:dyDescent="0.35">
      <c r="A357" s="518" t="s">
        <v>2006</v>
      </c>
      <c r="B357" s="517">
        <v>0</v>
      </c>
      <c r="C357" s="517"/>
      <c r="D357" s="517"/>
      <c r="F357" s="517"/>
      <c r="G357" s="517"/>
      <c r="H357" s="517"/>
      <c r="I357" s="517"/>
    </row>
    <row r="358" spans="1:9" x14ac:dyDescent="0.35">
      <c r="A358" s="518" t="s">
        <v>2007</v>
      </c>
      <c r="B358" s="517">
        <v>1</v>
      </c>
      <c r="C358" s="517"/>
      <c r="D358" s="517"/>
      <c r="F358" s="517"/>
      <c r="G358" s="517"/>
      <c r="H358" s="517"/>
      <c r="I358" s="517"/>
    </row>
    <row r="359" spans="1:9" x14ac:dyDescent="0.35">
      <c r="A359" s="517" t="s">
        <v>2008</v>
      </c>
      <c r="B359" s="517">
        <v>0</v>
      </c>
      <c r="C359" s="517"/>
      <c r="D359" s="517"/>
      <c r="F359" s="517"/>
      <c r="G359" s="517"/>
      <c r="H359" s="517"/>
      <c r="I359" s="517"/>
    </row>
    <row r="360" spans="1:9" x14ac:dyDescent="0.35">
      <c r="A360" s="517" t="s">
        <v>2009</v>
      </c>
      <c r="B360" s="517"/>
      <c r="C360" s="517"/>
      <c r="D360" s="517"/>
      <c r="F360" s="517"/>
      <c r="G360" s="517"/>
      <c r="H360" s="517"/>
      <c r="I360" s="517"/>
    </row>
    <row r="361" spans="1:9" x14ac:dyDescent="0.35">
      <c r="A361" s="517" t="s">
        <v>2010</v>
      </c>
      <c r="B361" s="517"/>
      <c r="C361" s="517"/>
      <c r="D361" s="517"/>
      <c r="F361" s="517"/>
      <c r="G361" s="517"/>
      <c r="H361" s="517"/>
      <c r="I361" s="517"/>
    </row>
    <row r="362" spans="1:9" x14ac:dyDescent="0.35">
      <c r="A362" s="518" t="s">
        <v>2011</v>
      </c>
      <c r="B362" s="517"/>
      <c r="C362" s="517"/>
      <c r="D362" s="517"/>
      <c r="F362" s="517"/>
      <c r="G362" s="517"/>
      <c r="H362" s="517"/>
      <c r="I362" s="517"/>
    </row>
    <row r="363" spans="1:9" x14ac:dyDescent="0.35">
      <c r="A363" s="517" t="s">
        <v>2012</v>
      </c>
      <c r="B363" s="517"/>
      <c r="C363" s="517"/>
      <c r="D363" s="517"/>
      <c r="F363" s="517"/>
      <c r="G363" s="517"/>
      <c r="H363" s="517"/>
      <c r="I363" s="517"/>
    </row>
    <row r="364" spans="1:9" x14ac:dyDescent="0.35">
      <c r="A364" s="518" t="s">
        <v>2013</v>
      </c>
      <c r="B364" s="517"/>
      <c r="C364" s="517"/>
      <c r="D364" s="517"/>
      <c r="F364" s="517"/>
      <c r="G364" s="517"/>
      <c r="H364" s="517"/>
      <c r="I364" s="517"/>
    </row>
    <row r="365" spans="1:9" x14ac:dyDescent="0.35">
      <c r="A365" s="517" t="s">
        <v>2014</v>
      </c>
      <c r="B365" s="517"/>
      <c r="C365" s="517"/>
      <c r="D365" s="517"/>
    </row>
    <row r="366" spans="1:9" x14ac:dyDescent="0.35">
      <c r="A366" s="518" t="s">
        <v>2015</v>
      </c>
      <c r="B366" s="517"/>
      <c r="C366" s="517"/>
      <c r="D366" s="517"/>
    </row>
    <row r="367" spans="1:9" x14ac:dyDescent="0.35">
      <c r="A367" t="s">
        <v>828</v>
      </c>
    </row>
    <row r="368" spans="1:9" x14ac:dyDescent="0.35">
      <c r="A368" t="s">
        <v>588</v>
      </c>
    </row>
    <row r="369" spans="1:4" x14ac:dyDescent="0.35">
      <c r="A369" t="s">
        <v>589</v>
      </c>
    </row>
    <row r="370" spans="1:4" x14ac:dyDescent="0.35">
      <c r="A370" t="s">
        <v>590</v>
      </c>
    </row>
    <row r="371" spans="1:4" x14ac:dyDescent="0.35">
      <c r="A371" t="s">
        <v>224</v>
      </c>
    </row>
    <row r="372" spans="1:4" x14ac:dyDescent="0.35">
      <c r="A372" t="s">
        <v>225</v>
      </c>
      <c r="B372" t="s">
        <v>2640</v>
      </c>
    </row>
    <row r="373" spans="1:4" x14ac:dyDescent="0.35">
      <c r="A373" t="s">
        <v>226</v>
      </c>
    </row>
    <row r="374" spans="1:4" x14ac:dyDescent="0.35">
      <c r="A374" t="s">
        <v>227</v>
      </c>
    </row>
    <row r="375" spans="1:4" x14ac:dyDescent="0.35">
      <c r="A375" t="s">
        <v>228</v>
      </c>
    </row>
    <row r="376" spans="1:4" x14ac:dyDescent="0.35">
      <c r="A376" t="s">
        <v>229</v>
      </c>
      <c r="D376">
        <v>50</v>
      </c>
    </row>
    <row r="377" spans="1:4" x14ac:dyDescent="0.35">
      <c r="A377" t="s">
        <v>591</v>
      </c>
      <c r="D377">
        <v>50</v>
      </c>
    </row>
    <row r="378" spans="1:4" x14ac:dyDescent="0.35">
      <c r="A378" t="s">
        <v>592</v>
      </c>
      <c r="D378">
        <v>50</v>
      </c>
    </row>
    <row r="379" spans="1:4" x14ac:dyDescent="0.35">
      <c r="A379" t="s">
        <v>593</v>
      </c>
      <c r="D379">
        <v>50</v>
      </c>
    </row>
    <row r="380" spans="1:4" x14ac:dyDescent="0.35">
      <c r="A380" t="s">
        <v>398</v>
      </c>
      <c r="D380">
        <v>50</v>
      </c>
    </row>
    <row r="381" spans="1:4" x14ac:dyDescent="0.35">
      <c r="A381" t="s">
        <v>399</v>
      </c>
      <c r="D381">
        <v>50</v>
      </c>
    </row>
    <row r="382" spans="1:4" x14ac:dyDescent="0.35">
      <c r="A382" t="s">
        <v>400</v>
      </c>
      <c r="D382">
        <v>50</v>
      </c>
    </row>
    <row r="383" spans="1:4" x14ac:dyDescent="0.35">
      <c r="A383" t="s">
        <v>401</v>
      </c>
      <c r="B383" t="s">
        <v>2641</v>
      </c>
      <c r="D383">
        <v>50</v>
      </c>
    </row>
    <row r="384" spans="1:4" x14ac:dyDescent="0.35">
      <c r="A384" t="s">
        <v>402</v>
      </c>
    </row>
    <row r="385" spans="1:7" x14ac:dyDescent="0.35">
      <c r="A385" s="517" t="s">
        <v>2506</v>
      </c>
      <c r="B385" s="517"/>
      <c r="C385" s="517"/>
      <c r="D385" s="517"/>
    </row>
    <row r="386" spans="1:7" x14ac:dyDescent="0.35">
      <c r="A386" s="517" t="s">
        <v>2507</v>
      </c>
      <c r="B386" s="517"/>
      <c r="C386" s="517"/>
      <c r="D386" s="517"/>
    </row>
    <row r="387" spans="1:7" x14ac:dyDescent="0.35">
      <c r="A387" s="517" t="s">
        <v>2508</v>
      </c>
      <c r="B387" s="517"/>
      <c r="C387" s="517"/>
      <c r="D387" s="517"/>
      <c r="G387" s="517"/>
    </row>
    <row r="388" spans="1:7" x14ac:dyDescent="0.35">
      <c r="A388" s="517" t="s">
        <v>2509</v>
      </c>
      <c r="B388" s="517"/>
      <c r="C388" s="517"/>
      <c r="D388" s="517"/>
    </row>
    <row r="389" spans="1:7" x14ac:dyDescent="0.35">
      <c r="A389" s="517" t="s">
        <v>2510</v>
      </c>
      <c r="B389" s="517"/>
      <c r="C389" s="517"/>
      <c r="D389" s="517"/>
    </row>
    <row r="390" spans="1:7" x14ac:dyDescent="0.35">
      <c r="A390" s="517" t="s">
        <v>2511</v>
      </c>
      <c r="B390" s="517"/>
      <c r="C390" s="517"/>
      <c r="D390" s="517"/>
    </row>
    <row r="391" spans="1:7" x14ac:dyDescent="0.35">
      <c r="A391" s="517" t="s">
        <v>2512</v>
      </c>
      <c r="B391" s="517"/>
      <c r="C391" s="517"/>
      <c r="D391" s="517"/>
    </row>
    <row r="392" spans="1:7" x14ac:dyDescent="0.35">
      <c r="A392" s="517" t="s">
        <v>2513</v>
      </c>
      <c r="B392" s="517"/>
      <c r="C392" s="517"/>
      <c r="D392" s="517"/>
    </row>
    <row r="393" spans="1:7" x14ac:dyDescent="0.35">
      <c r="A393" s="517" t="s">
        <v>2514</v>
      </c>
      <c r="B393" s="517"/>
      <c r="C393" s="517"/>
      <c r="D393" s="517"/>
    </row>
    <row r="394" spans="1:7" x14ac:dyDescent="0.35">
      <c r="A394" s="517" t="s">
        <v>2515</v>
      </c>
      <c r="B394" s="517"/>
      <c r="C394" s="517"/>
      <c r="D394" s="517"/>
    </row>
    <row r="395" spans="1:7" x14ac:dyDescent="0.35">
      <c r="A395" t="s">
        <v>403</v>
      </c>
      <c r="B395" t="s">
        <v>2642</v>
      </c>
      <c r="D395">
        <v>50</v>
      </c>
    </row>
    <row r="396" spans="1:7" x14ac:dyDescent="0.35">
      <c r="A396" t="s">
        <v>404</v>
      </c>
    </row>
    <row r="397" spans="1:7" x14ac:dyDescent="0.35">
      <c r="A397" t="s">
        <v>405</v>
      </c>
      <c r="D397">
        <v>50</v>
      </c>
    </row>
    <row r="398" spans="1:7" x14ac:dyDescent="0.35">
      <c r="A398" t="s">
        <v>406</v>
      </c>
    </row>
    <row r="399" spans="1:7" x14ac:dyDescent="0.35">
      <c r="A399" t="s">
        <v>407</v>
      </c>
      <c r="D399">
        <v>50</v>
      </c>
    </row>
    <row r="400" spans="1:7" x14ac:dyDescent="0.35">
      <c r="A400" t="s">
        <v>408</v>
      </c>
      <c r="D400">
        <v>50</v>
      </c>
    </row>
    <row r="401" spans="1:4" x14ac:dyDescent="0.35">
      <c r="A401" t="s">
        <v>409</v>
      </c>
      <c r="D401">
        <v>50</v>
      </c>
    </row>
    <row r="402" spans="1:4" x14ac:dyDescent="0.35">
      <c r="A402" t="s">
        <v>410</v>
      </c>
      <c r="B402">
        <v>4</v>
      </c>
      <c r="D402">
        <v>50</v>
      </c>
    </row>
    <row r="403" spans="1:4" x14ac:dyDescent="0.35">
      <c r="A403" t="s">
        <v>411</v>
      </c>
      <c r="D403">
        <v>50</v>
      </c>
    </row>
    <row r="404" spans="1:4" x14ac:dyDescent="0.35">
      <c r="A404" t="s">
        <v>412</v>
      </c>
      <c r="D404">
        <v>50</v>
      </c>
    </row>
    <row r="405" spans="1:4" x14ac:dyDescent="0.35">
      <c r="A405" t="s">
        <v>413</v>
      </c>
      <c r="D405">
        <v>50</v>
      </c>
    </row>
    <row r="406" spans="1:4" x14ac:dyDescent="0.35">
      <c r="A406" t="s">
        <v>414</v>
      </c>
      <c r="D406">
        <v>50</v>
      </c>
    </row>
    <row r="407" spans="1:4" x14ac:dyDescent="0.35">
      <c r="A407" t="s">
        <v>415</v>
      </c>
      <c r="D407">
        <v>50</v>
      </c>
    </row>
    <row r="408" spans="1:4" x14ac:dyDescent="0.35">
      <c r="A408" t="s">
        <v>416</v>
      </c>
      <c r="D408">
        <v>50</v>
      </c>
    </row>
    <row r="409" spans="1:4" x14ac:dyDescent="0.35">
      <c r="A409" t="s">
        <v>610</v>
      </c>
    </row>
    <row r="410" spans="1:4" x14ac:dyDescent="0.35">
      <c r="A410" t="s">
        <v>611</v>
      </c>
    </row>
    <row r="411" spans="1:4" x14ac:dyDescent="0.35">
      <c r="A411" t="s">
        <v>795</v>
      </c>
    </row>
    <row r="412" spans="1:4" x14ac:dyDescent="0.35">
      <c r="A412" t="s">
        <v>527</v>
      </c>
    </row>
    <row r="413" spans="1:4" x14ac:dyDescent="0.35">
      <c r="A413" t="s">
        <v>528</v>
      </c>
      <c r="B413">
        <v>3</v>
      </c>
    </row>
    <row r="414" spans="1:4" x14ac:dyDescent="0.35">
      <c r="A414" t="s">
        <v>357</v>
      </c>
    </row>
    <row r="415" spans="1:4" x14ac:dyDescent="0.35">
      <c r="A415" s="517" t="s">
        <v>2576</v>
      </c>
    </row>
    <row r="416" spans="1:4" x14ac:dyDescent="0.35">
      <c r="A416" s="517" t="s">
        <v>2577</v>
      </c>
    </row>
    <row r="417" spans="1:2" x14ac:dyDescent="0.35">
      <c r="A417" s="517" t="s">
        <v>2578</v>
      </c>
    </row>
    <row r="418" spans="1:2" x14ac:dyDescent="0.35">
      <c r="A418" s="517" t="s">
        <v>2579</v>
      </c>
    </row>
    <row r="419" spans="1:2" x14ac:dyDescent="0.35">
      <c r="A419" s="517" t="s">
        <v>2580</v>
      </c>
    </row>
    <row r="420" spans="1:2" x14ac:dyDescent="0.35">
      <c r="A420" s="517" t="s">
        <v>2581</v>
      </c>
    </row>
    <row r="421" spans="1:2" x14ac:dyDescent="0.35">
      <c r="A421" s="517" t="s">
        <v>2582</v>
      </c>
    </row>
    <row r="422" spans="1:2" x14ac:dyDescent="0.35">
      <c r="A422" s="517" t="s">
        <v>2583</v>
      </c>
    </row>
    <row r="423" spans="1:2" x14ac:dyDescent="0.35">
      <c r="A423" s="517" t="s">
        <v>2584</v>
      </c>
    </row>
    <row r="424" spans="1:2" x14ac:dyDescent="0.35">
      <c r="A424" s="517" t="s">
        <v>2585</v>
      </c>
    </row>
    <row r="425" spans="1:2" x14ac:dyDescent="0.35">
      <c r="A425" t="s">
        <v>358</v>
      </c>
    </row>
    <row r="426" spans="1:2" x14ac:dyDescent="0.35">
      <c r="A426" t="s">
        <v>359</v>
      </c>
    </row>
    <row r="427" spans="1:2" x14ac:dyDescent="0.35">
      <c r="A427" t="s">
        <v>360</v>
      </c>
    </row>
    <row r="428" spans="1:2" x14ac:dyDescent="0.35">
      <c r="A428" t="s">
        <v>361</v>
      </c>
    </row>
    <row r="429" spans="1:2" x14ac:dyDescent="0.35">
      <c r="A429" t="s">
        <v>230</v>
      </c>
    </row>
    <row r="430" spans="1:2" x14ac:dyDescent="0.35">
      <c r="A430" t="s">
        <v>883</v>
      </c>
    </row>
    <row r="431" spans="1:2" x14ac:dyDescent="0.35">
      <c r="A431" t="s">
        <v>884</v>
      </c>
    </row>
    <row r="432" spans="1:2" x14ac:dyDescent="0.35">
      <c r="A432" t="s">
        <v>885</v>
      </c>
      <c r="B432">
        <v>50</v>
      </c>
    </row>
    <row r="433" spans="1:7" x14ac:dyDescent="0.35">
      <c r="A433" t="s">
        <v>886</v>
      </c>
      <c r="G433" s="517"/>
    </row>
    <row r="434" spans="1:7" x14ac:dyDescent="0.35">
      <c r="A434" t="s">
        <v>887</v>
      </c>
    </row>
    <row r="435" spans="1:7" x14ac:dyDescent="0.35">
      <c r="A435" t="s">
        <v>888</v>
      </c>
    </row>
    <row r="436" spans="1:7" x14ac:dyDescent="0.35">
      <c r="A436" t="s">
        <v>69</v>
      </c>
    </row>
    <row r="437" spans="1:7" x14ac:dyDescent="0.35">
      <c r="A437" t="s">
        <v>70</v>
      </c>
    </row>
    <row r="438" spans="1:7" x14ac:dyDescent="0.35">
      <c r="A438" t="s">
        <v>71</v>
      </c>
      <c r="G438" s="517"/>
    </row>
    <row r="439" spans="1:7" x14ac:dyDescent="0.35">
      <c r="A439" t="s">
        <v>72</v>
      </c>
    </row>
    <row r="440" spans="1:7" x14ac:dyDescent="0.35">
      <c r="A440" t="s">
        <v>73</v>
      </c>
    </row>
    <row r="441" spans="1:7" x14ac:dyDescent="0.35">
      <c r="A441" t="s">
        <v>74</v>
      </c>
    </row>
    <row r="442" spans="1:7" x14ac:dyDescent="0.35">
      <c r="A442" t="s">
        <v>278</v>
      </c>
    </row>
    <row r="443" spans="1:7" x14ac:dyDescent="0.35">
      <c r="A443" t="s">
        <v>132</v>
      </c>
      <c r="B443">
        <v>5</v>
      </c>
    </row>
    <row r="444" spans="1:7" x14ac:dyDescent="0.35">
      <c r="A444" t="s">
        <v>133</v>
      </c>
    </row>
    <row r="445" spans="1:7" x14ac:dyDescent="0.35">
      <c r="A445" s="517" t="s">
        <v>2616</v>
      </c>
    </row>
    <row r="446" spans="1:7" x14ac:dyDescent="0.35">
      <c r="A446" s="517" t="s">
        <v>2617</v>
      </c>
    </row>
    <row r="447" spans="1:7" x14ac:dyDescent="0.35">
      <c r="A447" s="517" t="s">
        <v>2618</v>
      </c>
    </row>
    <row r="448" spans="1:7" x14ac:dyDescent="0.35">
      <c r="A448" s="517" t="s">
        <v>2619</v>
      </c>
    </row>
    <row r="449" spans="1:4" x14ac:dyDescent="0.35">
      <c r="A449" s="517" t="s">
        <v>2620</v>
      </c>
    </row>
    <row r="450" spans="1:4" x14ac:dyDescent="0.35">
      <c r="A450" s="517" t="s">
        <v>2621</v>
      </c>
    </row>
    <row r="451" spans="1:4" x14ac:dyDescent="0.35">
      <c r="A451" s="517" t="s">
        <v>2622</v>
      </c>
    </row>
    <row r="452" spans="1:4" x14ac:dyDescent="0.35">
      <c r="A452" s="517" t="s">
        <v>2623</v>
      </c>
    </row>
    <row r="453" spans="1:4" x14ac:dyDescent="0.35">
      <c r="A453" s="517" t="s">
        <v>2624</v>
      </c>
    </row>
    <row r="454" spans="1:4" s="517" customFormat="1" x14ac:dyDescent="0.35">
      <c r="A454" s="517" t="s">
        <v>2625</v>
      </c>
      <c r="B454"/>
      <c r="C454"/>
      <c r="D454"/>
    </row>
    <row r="455" spans="1:4" x14ac:dyDescent="0.35">
      <c r="A455" t="s">
        <v>52</v>
      </c>
    </row>
    <row r="456" spans="1:4" x14ac:dyDescent="0.35">
      <c r="A456" t="s">
        <v>53</v>
      </c>
    </row>
    <row r="457" spans="1:4" x14ac:dyDescent="0.35">
      <c r="A457" t="s">
        <v>650</v>
      </c>
    </row>
    <row r="458" spans="1:4" x14ac:dyDescent="0.35">
      <c r="A458" t="s">
        <v>651</v>
      </c>
    </row>
    <row r="459" spans="1:4" x14ac:dyDescent="0.35">
      <c r="A459" t="s">
        <v>652</v>
      </c>
    </row>
    <row r="460" spans="1:4" x14ac:dyDescent="0.35">
      <c r="A460" t="s">
        <v>603</v>
      </c>
    </row>
    <row r="461" spans="1:4" x14ac:dyDescent="0.35">
      <c r="A461" t="s">
        <v>639</v>
      </c>
    </row>
    <row r="462" spans="1:4" x14ac:dyDescent="0.35">
      <c r="A462" t="s">
        <v>523</v>
      </c>
      <c r="B462">
        <v>5</v>
      </c>
      <c r="C462">
        <v>1</v>
      </c>
    </row>
    <row r="463" spans="1:4" x14ac:dyDescent="0.35">
      <c r="A463" t="s">
        <v>524</v>
      </c>
      <c r="B463">
        <v>1</v>
      </c>
      <c r="C463">
        <v>1</v>
      </c>
    </row>
    <row r="464" spans="1:4" x14ac:dyDescent="0.35">
      <c r="A464" t="s">
        <v>525</v>
      </c>
      <c r="B464">
        <v>1</v>
      </c>
      <c r="C464">
        <v>1</v>
      </c>
    </row>
    <row r="465" spans="1:7" x14ac:dyDescent="0.35">
      <c r="A465" t="s">
        <v>526</v>
      </c>
      <c r="B465">
        <v>1</v>
      </c>
      <c r="C465">
        <v>1</v>
      </c>
    </row>
    <row r="466" spans="1:7" x14ac:dyDescent="0.35">
      <c r="A466" t="s">
        <v>807</v>
      </c>
      <c r="B466">
        <v>1</v>
      </c>
      <c r="C466">
        <v>1</v>
      </c>
      <c r="G466" s="517"/>
    </row>
    <row r="467" spans="1:7" x14ac:dyDescent="0.35">
      <c r="A467" t="s">
        <v>808</v>
      </c>
      <c r="B467">
        <v>1</v>
      </c>
      <c r="C467">
        <v>1</v>
      </c>
    </row>
    <row r="468" spans="1:7" x14ac:dyDescent="0.35">
      <c r="A468" t="s">
        <v>809</v>
      </c>
      <c r="B468">
        <v>1</v>
      </c>
      <c r="C468">
        <v>1</v>
      </c>
    </row>
    <row r="469" spans="1:7" x14ac:dyDescent="0.35">
      <c r="A469" t="s">
        <v>810</v>
      </c>
      <c r="B469">
        <v>1</v>
      </c>
      <c r="C469">
        <v>1</v>
      </c>
    </row>
    <row r="470" spans="1:7" x14ac:dyDescent="0.35">
      <c r="A470" t="s">
        <v>811</v>
      </c>
      <c r="B470">
        <v>1</v>
      </c>
      <c r="C470">
        <v>1</v>
      </c>
    </row>
    <row r="471" spans="1:7" x14ac:dyDescent="0.35">
      <c r="A471" t="s">
        <v>829</v>
      </c>
      <c r="B471">
        <v>1</v>
      </c>
      <c r="C471">
        <v>1</v>
      </c>
    </row>
    <row r="472" spans="1:7" x14ac:dyDescent="0.35">
      <c r="A472" t="s">
        <v>830</v>
      </c>
      <c r="B472">
        <v>1</v>
      </c>
      <c r="C472">
        <v>1</v>
      </c>
    </row>
    <row r="473" spans="1:7" x14ac:dyDescent="0.35">
      <c r="A473" t="s">
        <v>831</v>
      </c>
      <c r="B473">
        <v>6</v>
      </c>
      <c r="C473">
        <v>1</v>
      </c>
    </row>
    <row r="474" spans="1:7" x14ac:dyDescent="0.35">
      <c r="A474" t="s">
        <v>832</v>
      </c>
      <c r="B474">
        <v>1</v>
      </c>
      <c r="C474">
        <v>1</v>
      </c>
    </row>
    <row r="475" spans="1:7" x14ac:dyDescent="0.35">
      <c r="A475" s="517" t="s">
        <v>2556</v>
      </c>
      <c r="B475">
        <v>1</v>
      </c>
      <c r="C475" s="517">
        <v>1</v>
      </c>
    </row>
    <row r="476" spans="1:7" x14ac:dyDescent="0.35">
      <c r="A476" s="517" t="s">
        <v>2557</v>
      </c>
      <c r="B476">
        <v>1</v>
      </c>
      <c r="C476" s="517">
        <v>1</v>
      </c>
    </row>
    <row r="477" spans="1:7" x14ac:dyDescent="0.35">
      <c r="A477" s="517" t="s">
        <v>2558</v>
      </c>
      <c r="B477">
        <v>1</v>
      </c>
      <c r="C477" s="517">
        <v>1</v>
      </c>
    </row>
    <row r="478" spans="1:7" x14ac:dyDescent="0.35">
      <c r="A478" s="517" t="s">
        <v>2559</v>
      </c>
      <c r="B478">
        <v>1</v>
      </c>
      <c r="C478" s="517">
        <v>1</v>
      </c>
    </row>
    <row r="479" spans="1:7" x14ac:dyDescent="0.35">
      <c r="A479" s="517" t="s">
        <v>2560</v>
      </c>
      <c r="B479">
        <v>1</v>
      </c>
      <c r="C479" s="517">
        <v>1</v>
      </c>
    </row>
    <row r="480" spans="1:7" x14ac:dyDescent="0.35">
      <c r="A480" s="517" t="s">
        <v>2561</v>
      </c>
      <c r="B480">
        <v>1</v>
      </c>
      <c r="C480" s="517">
        <v>1</v>
      </c>
    </row>
    <row r="481" spans="1:3" x14ac:dyDescent="0.35">
      <c r="A481" s="517" t="s">
        <v>2562</v>
      </c>
      <c r="B481">
        <v>1</v>
      </c>
      <c r="C481" s="517">
        <v>1</v>
      </c>
    </row>
    <row r="482" spans="1:3" x14ac:dyDescent="0.35">
      <c r="A482" s="517" t="s">
        <v>2563</v>
      </c>
      <c r="B482">
        <v>1</v>
      </c>
      <c r="C482" s="517">
        <v>1</v>
      </c>
    </row>
    <row r="483" spans="1:3" x14ac:dyDescent="0.35">
      <c r="A483" s="517" t="s">
        <v>2564</v>
      </c>
      <c r="B483">
        <v>1</v>
      </c>
      <c r="C483" s="517">
        <v>1</v>
      </c>
    </row>
    <row r="484" spans="1:3" x14ac:dyDescent="0.35">
      <c r="A484" s="517" t="s">
        <v>2565</v>
      </c>
      <c r="B484">
        <v>1</v>
      </c>
      <c r="C484" s="517">
        <v>1</v>
      </c>
    </row>
    <row r="485" spans="1:3" x14ac:dyDescent="0.35">
      <c r="A485" t="s">
        <v>833</v>
      </c>
      <c r="B485">
        <v>11</v>
      </c>
      <c r="C485">
        <v>1</v>
      </c>
    </row>
    <row r="486" spans="1:3" x14ac:dyDescent="0.35">
      <c r="A486" t="s">
        <v>834</v>
      </c>
      <c r="B486">
        <v>1</v>
      </c>
      <c r="C486">
        <v>1</v>
      </c>
    </row>
    <row r="487" spans="1:3" x14ac:dyDescent="0.35">
      <c r="A487" t="s">
        <v>835</v>
      </c>
      <c r="B487">
        <v>1</v>
      </c>
      <c r="C487">
        <v>1</v>
      </c>
    </row>
    <row r="488" spans="1:3" x14ac:dyDescent="0.35">
      <c r="A488" t="s">
        <v>681</v>
      </c>
      <c r="B488">
        <v>1</v>
      </c>
      <c r="C488">
        <v>1</v>
      </c>
    </row>
    <row r="489" spans="1:3" x14ac:dyDescent="0.35">
      <c r="A489" t="s">
        <v>746</v>
      </c>
      <c r="B489">
        <v>1</v>
      </c>
      <c r="C489">
        <v>1</v>
      </c>
    </row>
    <row r="490" spans="1:3" x14ac:dyDescent="0.35">
      <c r="A490" t="s">
        <v>747</v>
      </c>
      <c r="B490">
        <v>1</v>
      </c>
      <c r="C490">
        <v>1</v>
      </c>
    </row>
    <row r="491" spans="1:3" x14ac:dyDescent="0.35">
      <c r="A491" t="s">
        <v>748</v>
      </c>
      <c r="B491">
        <v>1</v>
      </c>
      <c r="C491">
        <v>1</v>
      </c>
    </row>
    <row r="492" spans="1:3" x14ac:dyDescent="0.35">
      <c r="A492" t="s">
        <v>749</v>
      </c>
      <c r="B492" t="s">
        <v>2426</v>
      </c>
    </row>
    <row r="493" spans="1:3" x14ac:dyDescent="0.35">
      <c r="A493" t="s">
        <v>750</v>
      </c>
    </row>
    <row r="494" spans="1:3" x14ac:dyDescent="0.35">
      <c r="A494" t="s">
        <v>419</v>
      </c>
    </row>
    <row r="495" spans="1:3" x14ac:dyDescent="0.35">
      <c r="A495" t="s">
        <v>529</v>
      </c>
    </row>
    <row r="496" spans="1:3" x14ac:dyDescent="0.35">
      <c r="A496" t="s">
        <v>530</v>
      </c>
    </row>
    <row r="497" spans="1:2" x14ac:dyDescent="0.35">
      <c r="A497" t="s">
        <v>531</v>
      </c>
    </row>
    <row r="498" spans="1:2" x14ac:dyDescent="0.35">
      <c r="A498" t="s">
        <v>532</v>
      </c>
    </row>
    <row r="499" spans="1:2" x14ac:dyDescent="0.35">
      <c r="A499" t="s">
        <v>533</v>
      </c>
    </row>
    <row r="500" spans="1:2" x14ac:dyDescent="0.35">
      <c r="A500" t="s">
        <v>534</v>
      </c>
    </row>
    <row r="501" spans="1:2" x14ac:dyDescent="0.35">
      <c r="A501" t="s">
        <v>731</v>
      </c>
    </row>
    <row r="502" spans="1:2" x14ac:dyDescent="0.35">
      <c r="A502" t="s">
        <v>708</v>
      </c>
    </row>
    <row r="503" spans="1:2" x14ac:dyDescent="0.35">
      <c r="A503" t="s">
        <v>709</v>
      </c>
      <c r="B503" t="s">
        <v>2426</v>
      </c>
    </row>
    <row r="504" spans="1:2" x14ac:dyDescent="0.35">
      <c r="A504" t="s">
        <v>710</v>
      </c>
    </row>
    <row r="505" spans="1:2" x14ac:dyDescent="0.35">
      <c r="A505" s="517" t="s">
        <v>2566</v>
      </c>
    </row>
    <row r="506" spans="1:2" x14ac:dyDescent="0.35">
      <c r="A506" s="517" t="s">
        <v>2567</v>
      </c>
    </row>
    <row r="507" spans="1:2" x14ac:dyDescent="0.35">
      <c r="A507" s="517" t="s">
        <v>2568</v>
      </c>
    </row>
    <row r="508" spans="1:2" x14ac:dyDescent="0.35">
      <c r="A508" s="517" t="s">
        <v>2569</v>
      </c>
    </row>
    <row r="509" spans="1:2" x14ac:dyDescent="0.35">
      <c r="A509" s="517" t="s">
        <v>2570</v>
      </c>
    </row>
    <row r="510" spans="1:2" x14ac:dyDescent="0.35">
      <c r="A510" s="517" t="s">
        <v>2571</v>
      </c>
    </row>
    <row r="511" spans="1:2" x14ac:dyDescent="0.35">
      <c r="A511" s="517" t="s">
        <v>2572</v>
      </c>
    </row>
    <row r="512" spans="1:2" x14ac:dyDescent="0.35">
      <c r="A512" s="517" t="s">
        <v>2573</v>
      </c>
    </row>
    <row r="513" spans="1:3" x14ac:dyDescent="0.35">
      <c r="A513" s="517" t="s">
        <v>2574</v>
      </c>
    </row>
    <row r="514" spans="1:3" x14ac:dyDescent="0.35">
      <c r="A514" s="517" t="s">
        <v>2575</v>
      </c>
    </row>
    <row r="515" spans="1:3" x14ac:dyDescent="0.35">
      <c r="A515" t="s">
        <v>711</v>
      </c>
      <c r="B515" t="s">
        <v>2425</v>
      </c>
    </row>
    <row r="516" spans="1:3" x14ac:dyDescent="0.35">
      <c r="A516" t="s">
        <v>791</v>
      </c>
    </row>
    <row r="517" spans="1:3" x14ac:dyDescent="0.35">
      <c r="A517" t="s">
        <v>848</v>
      </c>
    </row>
    <row r="518" spans="1:3" x14ac:dyDescent="0.35">
      <c r="A518" t="s">
        <v>849</v>
      </c>
    </row>
    <row r="519" spans="1:3" x14ac:dyDescent="0.35">
      <c r="A519" t="s">
        <v>850</v>
      </c>
    </row>
    <row r="520" spans="1:3" x14ac:dyDescent="0.35">
      <c r="A520" t="s">
        <v>851</v>
      </c>
    </row>
    <row r="521" spans="1:3" x14ac:dyDescent="0.35">
      <c r="A521" t="s">
        <v>222</v>
      </c>
    </row>
    <row r="522" spans="1:3" x14ac:dyDescent="0.35">
      <c r="A522" t="s">
        <v>346</v>
      </c>
      <c r="B522" t="b">
        <v>1</v>
      </c>
      <c r="C522" t="b">
        <v>0</v>
      </c>
    </row>
    <row r="523" spans="1:3" x14ac:dyDescent="0.35">
      <c r="A523" t="s">
        <v>347</v>
      </c>
      <c r="B523">
        <v>7</v>
      </c>
    </row>
    <row r="524" spans="1:3" x14ac:dyDescent="0.35">
      <c r="A524" t="s">
        <v>348</v>
      </c>
      <c r="B524" t="b">
        <v>1</v>
      </c>
      <c r="C524" t="b">
        <v>0</v>
      </c>
    </row>
    <row r="525" spans="1:3" x14ac:dyDescent="0.35">
      <c r="A525" t="s">
        <v>48</v>
      </c>
      <c r="B525" t="b">
        <v>1</v>
      </c>
    </row>
    <row r="526" spans="1:3" x14ac:dyDescent="0.35">
      <c r="A526" t="s">
        <v>799</v>
      </c>
      <c r="B526">
        <v>10</v>
      </c>
    </row>
    <row r="527" spans="1:3" x14ac:dyDescent="0.35">
      <c r="A527" t="s">
        <v>49</v>
      </c>
      <c r="B527">
        <v>2</v>
      </c>
    </row>
    <row r="528" spans="1:3" x14ac:dyDescent="0.35">
      <c r="A528" t="s">
        <v>233</v>
      </c>
    </row>
    <row r="529" spans="1:7" x14ac:dyDescent="0.35">
      <c r="A529" s="518" t="s">
        <v>234</v>
      </c>
    </row>
    <row r="530" spans="1:7" x14ac:dyDescent="0.35">
      <c r="A530" t="s">
        <v>612</v>
      </c>
    </row>
    <row r="531" spans="1:7" x14ac:dyDescent="0.35">
      <c r="A531" t="s">
        <v>613</v>
      </c>
    </row>
    <row r="532" spans="1:7" x14ac:dyDescent="0.35">
      <c r="A532" t="s">
        <v>614</v>
      </c>
      <c r="G532" s="517"/>
    </row>
    <row r="533" spans="1:7" x14ac:dyDescent="0.35">
      <c r="A533" t="s">
        <v>320</v>
      </c>
    </row>
    <row r="534" spans="1:7" x14ac:dyDescent="0.35">
      <c r="A534" s="517" t="s">
        <v>1453</v>
      </c>
      <c r="B534" s="517"/>
      <c r="C534" s="517"/>
      <c r="D534" s="517"/>
    </row>
    <row r="535" spans="1:7" x14ac:dyDescent="0.35">
      <c r="A535" t="s">
        <v>321</v>
      </c>
    </row>
    <row r="536" spans="1:7" x14ac:dyDescent="0.35">
      <c r="A536" t="s">
        <v>322</v>
      </c>
    </row>
    <row r="537" spans="1:7" x14ac:dyDescent="0.35">
      <c r="A537" t="s">
        <v>323</v>
      </c>
    </row>
    <row r="538" spans="1:7" x14ac:dyDescent="0.35">
      <c r="A538" t="s">
        <v>324</v>
      </c>
    </row>
    <row r="539" spans="1:7" x14ac:dyDescent="0.35">
      <c r="A539" t="s">
        <v>451</v>
      </c>
    </row>
    <row r="540" spans="1:7" x14ac:dyDescent="0.35">
      <c r="A540" t="s">
        <v>349</v>
      </c>
    </row>
    <row r="541" spans="1:7" x14ac:dyDescent="0.35">
      <c r="A541" t="s">
        <v>350</v>
      </c>
    </row>
    <row r="542" spans="1:7" x14ac:dyDescent="0.35">
      <c r="A542" t="s">
        <v>351</v>
      </c>
    </row>
    <row r="543" spans="1:7" x14ac:dyDescent="0.35">
      <c r="A543" t="s">
        <v>327</v>
      </c>
    </row>
    <row r="544" spans="1:7" x14ac:dyDescent="0.35">
      <c r="A544" t="s">
        <v>328</v>
      </c>
    </row>
    <row r="545" spans="1:7" x14ac:dyDescent="0.35">
      <c r="A545" t="s">
        <v>670</v>
      </c>
      <c r="G545" s="517"/>
    </row>
    <row r="546" spans="1:7" x14ac:dyDescent="0.35">
      <c r="A546" t="s">
        <v>671</v>
      </c>
    </row>
    <row r="547" spans="1:7" x14ac:dyDescent="0.35">
      <c r="A547" t="s">
        <v>607</v>
      </c>
    </row>
    <row r="548" spans="1:7" x14ac:dyDescent="0.35">
      <c r="A548" t="s">
        <v>608</v>
      </c>
    </row>
    <row r="549" spans="1:7" x14ac:dyDescent="0.35">
      <c r="A549" t="s">
        <v>609</v>
      </c>
    </row>
    <row r="550" spans="1:7" x14ac:dyDescent="0.35">
      <c r="A550" t="s">
        <v>253</v>
      </c>
    </row>
    <row r="551" spans="1:7" x14ac:dyDescent="0.35">
      <c r="A551" t="s">
        <v>254</v>
      </c>
    </row>
    <row r="552" spans="1:7" x14ac:dyDescent="0.35">
      <c r="A552" t="s">
        <v>255</v>
      </c>
    </row>
    <row r="553" spans="1:7" x14ac:dyDescent="0.35">
      <c r="A553" t="s">
        <v>256</v>
      </c>
    </row>
    <row r="554" spans="1:7" x14ac:dyDescent="0.35">
      <c r="A554" t="s">
        <v>257</v>
      </c>
    </row>
    <row r="555" spans="1:7" x14ac:dyDescent="0.35">
      <c r="A555" t="s">
        <v>371</v>
      </c>
    </row>
    <row r="556" spans="1:7" x14ac:dyDescent="0.35">
      <c r="A556" s="517" t="s">
        <v>2606</v>
      </c>
      <c r="G556" s="517"/>
    </row>
    <row r="557" spans="1:7" x14ac:dyDescent="0.35">
      <c r="A557" s="517" t="s">
        <v>2607</v>
      </c>
      <c r="G557" s="517"/>
    </row>
    <row r="558" spans="1:7" x14ac:dyDescent="0.35">
      <c r="A558" s="517" t="s">
        <v>2608</v>
      </c>
      <c r="G558" s="517"/>
    </row>
    <row r="559" spans="1:7" x14ac:dyDescent="0.35">
      <c r="A559" s="517" t="s">
        <v>2609</v>
      </c>
      <c r="G559" s="517"/>
    </row>
    <row r="560" spans="1:7" x14ac:dyDescent="0.35">
      <c r="A560" s="517" t="s">
        <v>2610</v>
      </c>
      <c r="G560" s="517"/>
    </row>
    <row r="561" spans="1:7" x14ac:dyDescent="0.35">
      <c r="A561" s="517" t="s">
        <v>2611</v>
      </c>
      <c r="G561" s="517"/>
    </row>
    <row r="562" spans="1:7" x14ac:dyDescent="0.35">
      <c r="A562" s="517" t="s">
        <v>2612</v>
      </c>
      <c r="G562" s="517"/>
    </row>
    <row r="563" spans="1:7" x14ac:dyDescent="0.35">
      <c r="A563" s="517" t="s">
        <v>2613</v>
      </c>
      <c r="G563" s="517"/>
    </row>
    <row r="564" spans="1:7" x14ac:dyDescent="0.35">
      <c r="A564" s="517" t="s">
        <v>2614</v>
      </c>
      <c r="G564" s="517"/>
    </row>
    <row r="565" spans="1:7" x14ac:dyDescent="0.35">
      <c r="A565" s="517" t="s">
        <v>2615</v>
      </c>
    </row>
    <row r="566" spans="1:7" x14ac:dyDescent="0.35">
      <c r="A566" t="s">
        <v>366</v>
      </c>
    </row>
    <row r="567" spans="1:7" x14ac:dyDescent="0.35">
      <c r="A567" t="s">
        <v>367</v>
      </c>
    </row>
    <row r="568" spans="1:7" x14ac:dyDescent="0.35">
      <c r="A568" t="s">
        <v>368</v>
      </c>
    </row>
    <row r="569" spans="1:7" x14ac:dyDescent="0.35">
      <c r="A569" t="s">
        <v>369</v>
      </c>
    </row>
    <row r="570" spans="1:7" x14ac:dyDescent="0.35">
      <c r="A570" t="s">
        <v>370</v>
      </c>
    </row>
    <row r="571" spans="1:7" x14ac:dyDescent="0.35">
      <c r="A571" t="s">
        <v>622</v>
      </c>
    </row>
    <row r="572" spans="1:7" x14ac:dyDescent="0.35">
      <c r="A572" t="s">
        <v>729</v>
      </c>
    </row>
    <row r="573" spans="1:7" x14ac:dyDescent="0.35">
      <c r="A573" t="s">
        <v>447</v>
      </c>
      <c r="B573" s="22">
        <v>42716</v>
      </c>
      <c r="C573" s="22">
        <v>42370</v>
      </c>
    </row>
    <row r="574" spans="1:7" x14ac:dyDescent="0.35">
      <c r="A574" t="s">
        <v>769</v>
      </c>
      <c r="B574">
        <v>1234567</v>
      </c>
    </row>
    <row r="575" spans="1:7" x14ac:dyDescent="0.35">
      <c r="A575" t="s">
        <v>630</v>
      </c>
      <c r="B575">
        <v>1</v>
      </c>
    </row>
    <row r="576" spans="1:7" x14ac:dyDescent="0.35">
      <c r="A576" t="s">
        <v>548</v>
      </c>
    </row>
    <row r="577" spans="1:2" x14ac:dyDescent="0.35">
      <c r="A577" t="s">
        <v>114</v>
      </c>
    </row>
    <row r="578" spans="1:2" x14ac:dyDescent="0.35">
      <c r="A578" t="s">
        <v>117</v>
      </c>
    </row>
    <row r="579" spans="1:2" x14ac:dyDescent="0.35">
      <c r="A579" t="s">
        <v>116</v>
      </c>
    </row>
    <row r="580" spans="1:2" x14ac:dyDescent="0.35">
      <c r="A580" t="s">
        <v>113</v>
      </c>
    </row>
    <row r="581" spans="1:2" x14ac:dyDescent="0.35">
      <c r="A581" t="s">
        <v>112</v>
      </c>
    </row>
    <row r="582" spans="1:2" x14ac:dyDescent="0.35">
      <c r="A582" t="s">
        <v>115</v>
      </c>
    </row>
    <row r="583" spans="1:2" x14ac:dyDescent="0.35">
      <c r="A583" t="s">
        <v>118</v>
      </c>
    </row>
    <row r="584" spans="1:2" x14ac:dyDescent="0.35">
      <c r="A584" t="s">
        <v>554</v>
      </c>
      <c r="B584">
        <v>893</v>
      </c>
    </row>
    <row r="585" spans="1:2" x14ac:dyDescent="0.35">
      <c r="A585" t="s">
        <v>555</v>
      </c>
    </row>
    <row r="586" spans="1:2" x14ac:dyDescent="0.35">
      <c r="A586" t="s">
        <v>556</v>
      </c>
    </row>
    <row r="587" spans="1:2" x14ac:dyDescent="0.35">
      <c r="A587" t="s">
        <v>557</v>
      </c>
    </row>
    <row r="588" spans="1:2" x14ac:dyDescent="0.35">
      <c r="A588" t="s">
        <v>862</v>
      </c>
    </row>
    <row r="589" spans="1:2" x14ac:dyDescent="0.35">
      <c r="A589" t="s">
        <v>863</v>
      </c>
    </row>
    <row r="590" spans="1:2" x14ac:dyDescent="0.35">
      <c r="A590" t="s">
        <v>864</v>
      </c>
    </row>
    <row r="591" spans="1:2" x14ac:dyDescent="0.35">
      <c r="A591" t="s">
        <v>865</v>
      </c>
    </row>
    <row r="592" spans="1:2" x14ac:dyDescent="0.35">
      <c r="A592" t="s">
        <v>510</v>
      </c>
    </row>
    <row r="593" spans="1:2" x14ac:dyDescent="0.35">
      <c r="A593" t="s">
        <v>792</v>
      </c>
    </row>
    <row r="594" spans="1:2" x14ac:dyDescent="0.35">
      <c r="A594" t="s">
        <v>793</v>
      </c>
    </row>
    <row r="595" spans="1:2" x14ac:dyDescent="0.35">
      <c r="A595" t="s">
        <v>794</v>
      </c>
      <c r="B595">
        <v>6</v>
      </c>
    </row>
    <row r="596" spans="1:2" x14ac:dyDescent="0.35">
      <c r="A596" t="s">
        <v>488</v>
      </c>
    </row>
    <row r="597" spans="1:2" x14ac:dyDescent="0.35">
      <c r="A597" s="517" t="s">
        <v>2596</v>
      </c>
    </row>
    <row r="598" spans="1:2" x14ac:dyDescent="0.35">
      <c r="A598" s="517" t="s">
        <v>2597</v>
      </c>
    </row>
    <row r="599" spans="1:2" x14ac:dyDescent="0.35">
      <c r="A599" s="517" t="s">
        <v>2598</v>
      </c>
    </row>
    <row r="600" spans="1:2" x14ac:dyDescent="0.35">
      <c r="A600" s="517" t="s">
        <v>2599</v>
      </c>
    </row>
    <row r="601" spans="1:2" x14ac:dyDescent="0.35">
      <c r="A601" s="517" t="s">
        <v>2600</v>
      </c>
    </row>
    <row r="602" spans="1:2" x14ac:dyDescent="0.35">
      <c r="A602" s="517" t="s">
        <v>2601</v>
      </c>
    </row>
    <row r="603" spans="1:2" x14ac:dyDescent="0.35">
      <c r="A603" s="517" t="s">
        <v>2602</v>
      </c>
    </row>
    <row r="604" spans="1:2" x14ac:dyDescent="0.35">
      <c r="A604" s="517" t="s">
        <v>2603</v>
      </c>
    </row>
    <row r="605" spans="1:2" x14ac:dyDescent="0.35">
      <c r="A605" s="517" t="s">
        <v>2604</v>
      </c>
    </row>
    <row r="606" spans="1:2" x14ac:dyDescent="0.35">
      <c r="A606" s="517" t="s">
        <v>2605</v>
      </c>
    </row>
    <row r="607" spans="1:2" x14ac:dyDescent="0.35">
      <c r="A607" t="s">
        <v>489</v>
      </c>
      <c r="B607">
        <v>1696</v>
      </c>
    </row>
    <row r="608" spans="1:2" x14ac:dyDescent="0.35">
      <c r="A608" t="s">
        <v>490</v>
      </c>
    </row>
    <row r="609" spans="1:3" x14ac:dyDescent="0.35">
      <c r="A609" t="s">
        <v>491</v>
      </c>
    </row>
    <row r="610" spans="1:3" x14ac:dyDescent="0.35">
      <c r="A610" t="s">
        <v>492</v>
      </c>
    </row>
    <row r="611" spans="1:3" x14ac:dyDescent="0.35">
      <c r="A611" t="s">
        <v>493</v>
      </c>
    </row>
    <row r="612" spans="1:3" x14ac:dyDescent="0.35">
      <c r="A612" t="s">
        <v>494</v>
      </c>
    </row>
    <row r="613" spans="1:3" x14ac:dyDescent="0.35">
      <c r="A613" t="s">
        <v>495</v>
      </c>
    </row>
    <row r="614" spans="1:3" x14ac:dyDescent="0.35">
      <c r="A614" t="s">
        <v>435</v>
      </c>
      <c r="B614" t="b">
        <v>1</v>
      </c>
      <c r="C614" t="b">
        <v>0</v>
      </c>
    </row>
    <row r="615" spans="1:3" x14ac:dyDescent="0.35">
      <c r="A615" t="s">
        <v>800</v>
      </c>
      <c r="B615">
        <v>13</v>
      </c>
      <c r="C615">
        <v>1</v>
      </c>
    </row>
    <row r="616" spans="1:3" x14ac:dyDescent="0.35">
      <c r="A616" t="s">
        <v>445</v>
      </c>
      <c r="B616">
        <v>1</v>
      </c>
      <c r="C616">
        <v>1</v>
      </c>
    </row>
    <row r="617" spans="1:3" x14ac:dyDescent="0.35">
      <c r="A617" t="s">
        <v>632</v>
      </c>
    </row>
    <row r="618" spans="1:3" x14ac:dyDescent="0.35">
      <c r="A618" t="s">
        <v>633</v>
      </c>
    </row>
    <row r="619" spans="1:3" x14ac:dyDescent="0.35">
      <c r="A619" t="s">
        <v>634</v>
      </c>
    </row>
    <row r="620" spans="1:3" x14ac:dyDescent="0.35">
      <c r="A620" t="s">
        <v>635</v>
      </c>
    </row>
    <row r="621" spans="1:3" x14ac:dyDescent="0.35">
      <c r="A621" t="s">
        <v>636</v>
      </c>
    </row>
    <row r="622" spans="1:3" x14ac:dyDescent="0.35">
      <c r="A622" t="s">
        <v>637</v>
      </c>
    </row>
    <row r="623" spans="1:3" x14ac:dyDescent="0.35">
      <c r="A623" t="s">
        <v>417</v>
      </c>
    </row>
    <row r="624" spans="1:3" x14ac:dyDescent="0.35">
      <c r="A624" t="s">
        <v>814</v>
      </c>
    </row>
    <row r="625" spans="1:3" x14ac:dyDescent="0.35">
      <c r="A625" t="s">
        <v>815</v>
      </c>
    </row>
    <row r="626" spans="1:3" x14ac:dyDescent="0.35">
      <c r="A626" t="s">
        <v>628</v>
      </c>
      <c r="B626">
        <v>14</v>
      </c>
      <c r="C626">
        <v>0</v>
      </c>
    </row>
    <row r="627" spans="1:3" x14ac:dyDescent="0.35">
      <c r="A627" t="s">
        <v>599</v>
      </c>
      <c r="B627">
        <v>1</v>
      </c>
      <c r="C627">
        <v>1</v>
      </c>
    </row>
    <row r="628" spans="1:3" x14ac:dyDescent="0.35">
      <c r="A628" t="s">
        <v>861</v>
      </c>
      <c r="B628">
        <v>1</v>
      </c>
      <c r="C628">
        <v>1</v>
      </c>
    </row>
    <row r="629" spans="1:3" x14ac:dyDescent="0.35">
      <c r="A629" t="s">
        <v>801</v>
      </c>
      <c r="B629">
        <v>14</v>
      </c>
    </row>
    <row r="630" spans="1:3" x14ac:dyDescent="0.35">
      <c r="A630" t="s">
        <v>332</v>
      </c>
      <c r="B630">
        <v>5</v>
      </c>
    </row>
    <row r="631" spans="1:3" x14ac:dyDescent="0.35">
      <c r="A631" t="s">
        <v>333</v>
      </c>
    </row>
    <row r="632" spans="1:3" x14ac:dyDescent="0.35">
      <c r="A632" t="s">
        <v>334</v>
      </c>
    </row>
    <row r="633" spans="1:3" x14ac:dyDescent="0.35">
      <c r="A633" t="s">
        <v>335</v>
      </c>
    </row>
    <row r="634" spans="1:3" x14ac:dyDescent="0.35">
      <c r="A634" t="s">
        <v>336</v>
      </c>
    </row>
    <row r="635" spans="1:3" x14ac:dyDescent="0.35">
      <c r="A635" t="s">
        <v>337</v>
      </c>
    </row>
    <row r="636" spans="1:3" x14ac:dyDescent="0.35">
      <c r="A636" t="s">
        <v>338</v>
      </c>
    </row>
    <row r="637" spans="1:3" x14ac:dyDescent="0.35">
      <c r="A637" t="s">
        <v>339</v>
      </c>
    </row>
    <row r="638" spans="1:3" x14ac:dyDescent="0.35">
      <c r="A638" t="s">
        <v>340</v>
      </c>
    </row>
    <row r="639" spans="1:3" x14ac:dyDescent="0.35">
      <c r="A639" t="s">
        <v>28</v>
      </c>
    </row>
    <row r="640" spans="1:3" x14ac:dyDescent="0.35">
      <c r="A640" t="s">
        <v>29</v>
      </c>
    </row>
    <row r="641" spans="1:4" x14ac:dyDescent="0.35">
      <c r="A641" t="s">
        <v>30</v>
      </c>
      <c r="B641">
        <v>20</v>
      </c>
    </row>
    <row r="642" spans="1:4" x14ac:dyDescent="0.35">
      <c r="A642" t="s">
        <v>31</v>
      </c>
    </row>
    <row r="643" spans="1:4" x14ac:dyDescent="0.35">
      <c r="A643" t="s">
        <v>32</v>
      </c>
      <c r="B643">
        <v>120</v>
      </c>
    </row>
    <row r="644" spans="1:4" x14ac:dyDescent="0.35">
      <c r="A644" t="s">
        <v>33</v>
      </c>
    </row>
    <row r="645" spans="1:4" x14ac:dyDescent="0.35">
      <c r="A645" t="s">
        <v>34</v>
      </c>
    </row>
    <row r="646" spans="1:4" x14ac:dyDescent="0.35">
      <c r="A646" t="s">
        <v>35</v>
      </c>
    </row>
    <row r="647" spans="1:4" x14ac:dyDescent="0.35">
      <c r="A647" t="s">
        <v>36</v>
      </c>
    </row>
    <row r="648" spans="1:4" x14ac:dyDescent="0.35">
      <c r="A648" t="s">
        <v>37</v>
      </c>
    </row>
    <row r="649" spans="1:4" x14ac:dyDescent="0.35">
      <c r="A649" t="s">
        <v>38</v>
      </c>
    </row>
    <row r="650" spans="1:4" x14ac:dyDescent="0.35">
      <c r="A650" s="517" t="s">
        <v>2526</v>
      </c>
    </row>
    <row r="651" spans="1:4" x14ac:dyDescent="0.35">
      <c r="A651" s="517" t="s">
        <v>2527</v>
      </c>
    </row>
    <row r="652" spans="1:4" x14ac:dyDescent="0.35">
      <c r="A652" s="517" t="s">
        <v>2528</v>
      </c>
    </row>
    <row r="653" spans="1:4" x14ac:dyDescent="0.35">
      <c r="A653" s="517" t="s">
        <v>2529</v>
      </c>
    </row>
    <row r="654" spans="1:4" s="517" customFormat="1" x14ac:dyDescent="0.35">
      <c r="A654" s="517" t="s">
        <v>2530</v>
      </c>
      <c r="B654"/>
      <c r="C654"/>
      <c r="D654"/>
    </row>
    <row r="655" spans="1:4" x14ac:dyDescent="0.35">
      <c r="A655" s="517" t="s">
        <v>2531</v>
      </c>
    </row>
    <row r="656" spans="1:4" x14ac:dyDescent="0.35">
      <c r="A656" s="517" t="s">
        <v>2532</v>
      </c>
    </row>
    <row r="657" spans="1:4" x14ac:dyDescent="0.35">
      <c r="A657" s="517" t="s">
        <v>2533</v>
      </c>
    </row>
    <row r="658" spans="1:4" x14ac:dyDescent="0.35">
      <c r="A658" s="517" t="s">
        <v>2534</v>
      </c>
    </row>
    <row r="659" spans="1:4" s="517" customFormat="1" x14ac:dyDescent="0.35">
      <c r="A659" s="517" t="s">
        <v>2535</v>
      </c>
      <c r="B659"/>
      <c r="C659"/>
      <c r="D659"/>
    </row>
    <row r="660" spans="1:4" s="517" customFormat="1" x14ac:dyDescent="0.35">
      <c r="A660" t="s">
        <v>900</v>
      </c>
      <c r="B660">
        <v>1500</v>
      </c>
      <c r="C660">
        <v>1500</v>
      </c>
      <c r="D660"/>
    </row>
    <row r="661" spans="1:4" s="517" customFormat="1" x14ac:dyDescent="0.35">
      <c r="A661" t="s">
        <v>901</v>
      </c>
      <c r="B661">
        <v>1500</v>
      </c>
      <c r="C661">
        <v>1500</v>
      </c>
      <c r="D661"/>
    </row>
    <row r="662" spans="1:4" s="517" customFormat="1" x14ac:dyDescent="0.35">
      <c r="A662" t="s">
        <v>902</v>
      </c>
      <c r="B662">
        <v>1500</v>
      </c>
      <c r="C662">
        <v>1500</v>
      </c>
      <c r="D662"/>
    </row>
    <row r="663" spans="1:4" x14ac:dyDescent="0.35">
      <c r="A663" t="s">
        <v>903</v>
      </c>
      <c r="B663">
        <v>1500</v>
      </c>
      <c r="C663">
        <v>1500</v>
      </c>
    </row>
    <row r="664" spans="1:4" x14ac:dyDescent="0.35">
      <c r="A664" t="s">
        <v>16</v>
      </c>
      <c r="B664">
        <v>1500</v>
      </c>
      <c r="C664">
        <v>1500</v>
      </c>
    </row>
    <row r="665" spans="1:4" x14ac:dyDescent="0.35">
      <c r="A665" t="s">
        <v>17</v>
      </c>
      <c r="B665">
        <v>1500</v>
      </c>
      <c r="C665">
        <v>1500</v>
      </c>
    </row>
    <row r="666" spans="1:4" x14ac:dyDescent="0.35">
      <c r="A666" t="s">
        <v>18</v>
      </c>
      <c r="B666">
        <v>1500</v>
      </c>
      <c r="C666">
        <v>1500</v>
      </c>
    </row>
    <row r="667" spans="1:4" x14ac:dyDescent="0.35">
      <c r="A667" t="s">
        <v>19</v>
      </c>
      <c r="B667">
        <v>1500</v>
      </c>
      <c r="C667">
        <v>1500</v>
      </c>
    </row>
    <row r="668" spans="1:4" x14ac:dyDescent="0.35">
      <c r="A668" t="s">
        <v>20</v>
      </c>
      <c r="B668">
        <v>1500</v>
      </c>
      <c r="C668">
        <v>1500</v>
      </c>
    </row>
    <row r="669" spans="1:4" x14ac:dyDescent="0.35">
      <c r="A669" t="s">
        <v>379</v>
      </c>
      <c r="B669">
        <v>1500</v>
      </c>
      <c r="C669">
        <v>1500</v>
      </c>
    </row>
    <row r="670" spans="1:4" x14ac:dyDescent="0.35">
      <c r="A670" t="s">
        <v>380</v>
      </c>
      <c r="B670">
        <v>1500</v>
      </c>
      <c r="C670">
        <v>1500</v>
      </c>
    </row>
    <row r="671" spans="1:4" x14ac:dyDescent="0.35">
      <c r="A671" t="s">
        <v>381</v>
      </c>
      <c r="B671">
        <v>1500</v>
      </c>
      <c r="C671">
        <v>1500</v>
      </c>
    </row>
    <row r="672" spans="1:4" x14ac:dyDescent="0.35">
      <c r="A672" t="s">
        <v>43</v>
      </c>
      <c r="B672">
        <v>1500</v>
      </c>
      <c r="C672">
        <v>1500</v>
      </c>
    </row>
    <row r="673" spans="1:4" x14ac:dyDescent="0.35">
      <c r="A673" s="517" t="s">
        <v>2496</v>
      </c>
      <c r="B673" s="517">
        <v>1500</v>
      </c>
      <c r="C673" s="517">
        <v>1500</v>
      </c>
      <c r="D673" s="517"/>
    </row>
    <row r="674" spans="1:4" x14ac:dyDescent="0.35">
      <c r="A674" s="517" t="s">
        <v>2497</v>
      </c>
      <c r="B674" s="517">
        <v>1500</v>
      </c>
      <c r="C674" s="517">
        <v>1500</v>
      </c>
      <c r="D674" s="517"/>
    </row>
    <row r="675" spans="1:4" x14ac:dyDescent="0.35">
      <c r="A675" s="517" t="s">
        <v>2498</v>
      </c>
      <c r="B675" s="517">
        <v>1500</v>
      </c>
      <c r="C675" s="517">
        <v>1500</v>
      </c>
      <c r="D675" s="517"/>
    </row>
    <row r="676" spans="1:4" x14ac:dyDescent="0.35">
      <c r="A676" s="517" t="s">
        <v>2499</v>
      </c>
      <c r="B676" s="517">
        <v>1500</v>
      </c>
      <c r="C676" s="517">
        <v>1500</v>
      </c>
      <c r="D676" s="517"/>
    </row>
    <row r="677" spans="1:4" x14ac:dyDescent="0.35">
      <c r="A677" s="517" t="s">
        <v>2500</v>
      </c>
      <c r="B677" s="517">
        <v>1500</v>
      </c>
      <c r="C677" s="517">
        <v>1500</v>
      </c>
      <c r="D677" s="517"/>
    </row>
    <row r="678" spans="1:4" x14ac:dyDescent="0.35">
      <c r="A678" s="517" t="s">
        <v>2501</v>
      </c>
      <c r="B678" s="517">
        <v>1500</v>
      </c>
      <c r="C678" s="517">
        <v>1500</v>
      </c>
      <c r="D678" s="517"/>
    </row>
    <row r="679" spans="1:4" x14ac:dyDescent="0.35">
      <c r="A679" s="517" t="s">
        <v>2502</v>
      </c>
      <c r="B679" s="517">
        <v>1500</v>
      </c>
      <c r="C679" s="517">
        <v>1500</v>
      </c>
      <c r="D679" s="517"/>
    </row>
    <row r="680" spans="1:4" x14ac:dyDescent="0.35">
      <c r="A680" s="517" t="s">
        <v>2503</v>
      </c>
      <c r="B680" s="517">
        <v>1500</v>
      </c>
      <c r="C680" s="517">
        <v>1500</v>
      </c>
      <c r="D680" s="517"/>
    </row>
    <row r="681" spans="1:4" x14ac:dyDescent="0.35">
      <c r="A681" s="517" t="s">
        <v>2504</v>
      </c>
      <c r="B681" s="517">
        <v>1500</v>
      </c>
      <c r="C681" s="517">
        <v>1500</v>
      </c>
      <c r="D681" s="517"/>
    </row>
    <row r="682" spans="1:4" x14ac:dyDescent="0.35">
      <c r="A682" s="517" t="s">
        <v>2505</v>
      </c>
      <c r="B682" s="517">
        <v>1500</v>
      </c>
      <c r="C682" s="517">
        <v>1500</v>
      </c>
      <c r="D682" s="517"/>
    </row>
    <row r="683" spans="1:4" x14ac:dyDescent="0.35">
      <c r="A683" t="s">
        <v>44</v>
      </c>
      <c r="B683">
        <v>1500</v>
      </c>
      <c r="C683">
        <v>1500</v>
      </c>
    </row>
    <row r="684" spans="1:4" s="517" customFormat="1" x14ac:dyDescent="0.35">
      <c r="A684" t="s">
        <v>45</v>
      </c>
      <c r="B684">
        <v>1500</v>
      </c>
      <c r="C684">
        <v>1500</v>
      </c>
      <c r="D684"/>
    </row>
    <row r="685" spans="1:4" x14ac:dyDescent="0.35">
      <c r="A685" t="s">
        <v>46</v>
      </c>
      <c r="B685">
        <v>1500</v>
      </c>
      <c r="C685">
        <v>1500</v>
      </c>
    </row>
    <row r="686" spans="1:4" x14ac:dyDescent="0.35">
      <c r="A686" t="s">
        <v>558</v>
      </c>
      <c r="B686">
        <v>1500</v>
      </c>
      <c r="C686">
        <v>1500</v>
      </c>
    </row>
    <row r="687" spans="1:4" x14ac:dyDescent="0.35">
      <c r="A687" t="s">
        <v>559</v>
      </c>
      <c r="B687">
        <v>1500</v>
      </c>
      <c r="C687">
        <v>1500</v>
      </c>
    </row>
    <row r="688" spans="1:4" x14ac:dyDescent="0.35">
      <c r="A688" t="s">
        <v>560</v>
      </c>
      <c r="B688">
        <v>1500</v>
      </c>
      <c r="C688">
        <v>1500</v>
      </c>
    </row>
    <row r="689" spans="1:4" s="517" customFormat="1" x14ac:dyDescent="0.35">
      <c r="A689" t="s">
        <v>561</v>
      </c>
      <c r="B689">
        <v>1500</v>
      </c>
      <c r="C689">
        <v>1500</v>
      </c>
      <c r="D689"/>
    </row>
    <row r="690" spans="1:4" s="517" customFormat="1" x14ac:dyDescent="0.35">
      <c r="A690" t="s">
        <v>478</v>
      </c>
      <c r="B690">
        <v>2</v>
      </c>
      <c r="C690">
        <v>1</v>
      </c>
      <c r="D690"/>
    </row>
    <row r="691" spans="1:4" s="517" customFormat="1" x14ac:dyDescent="0.35">
      <c r="A691" t="s">
        <v>802</v>
      </c>
      <c r="B691">
        <v>8</v>
      </c>
      <c r="C691"/>
      <c r="D691"/>
    </row>
    <row r="692" spans="1:4" s="517" customFormat="1" x14ac:dyDescent="0.35">
      <c r="A692" t="s">
        <v>803</v>
      </c>
      <c r="B692" t="b">
        <v>1</v>
      </c>
      <c r="C692" t="b">
        <v>0</v>
      </c>
      <c r="D692"/>
    </row>
    <row r="693" spans="1:4" x14ac:dyDescent="0.35">
      <c r="A693" t="s">
        <v>804</v>
      </c>
      <c r="B693">
        <v>8</v>
      </c>
      <c r="C693">
        <v>1</v>
      </c>
    </row>
    <row r="694" spans="1:4" x14ac:dyDescent="0.35">
      <c r="A694" t="s">
        <v>309</v>
      </c>
      <c r="B694">
        <v>0</v>
      </c>
      <c r="C694">
        <v>0</v>
      </c>
    </row>
    <row r="695" spans="1:4" x14ac:dyDescent="0.35">
      <c r="A695" t="s">
        <v>701</v>
      </c>
    </row>
    <row r="696" spans="1:4" x14ac:dyDescent="0.35">
      <c r="A696" t="s">
        <v>702</v>
      </c>
    </row>
    <row r="697" spans="1:4" x14ac:dyDescent="0.35">
      <c r="A697" t="s">
        <v>452</v>
      </c>
    </row>
    <row r="698" spans="1:4" x14ac:dyDescent="0.35">
      <c r="A698" s="496" t="s">
        <v>969</v>
      </c>
      <c r="B698" s="496" t="s">
        <v>2639</v>
      </c>
      <c r="C698" s="496" t="s">
        <v>562</v>
      </c>
    </row>
    <row r="699" spans="1:4" x14ac:dyDescent="0.35">
      <c r="A699" s="496" t="s">
        <v>1115</v>
      </c>
      <c r="B699" s="496"/>
      <c r="C699" s="496"/>
    </row>
    <row r="700" spans="1:4" x14ac:dyDescent="0.35">
      <c r="A700" s="496" t="s">
        <v>1116</v>
      </c>
      <c r="B700" s="496">
        <v>0</v>
      </c>
      <c r="C700" s="496">
        <v>0</v>
      </c>
    </row>
    <row r="701" spans="1:4" x14ac:dyDescent="0.35">
      <c r="A701" s="496" t="s">
        <v>1117</v>
      </c>
      <c r="B701" s="496">
        <v>5000</v>
      </c>
      <c r="C701" s="496">
        <v>5000</v>
      </c>
    </row>
    <row r="702" spans="1:4" x14ac:dyDescent="0.35">
      <c r="A702" s="496" t="s">
        <v>1118</v>
      </c>
      <c r="B702" s="496">
        <v>0</v>
      </c>
      <c r="C702" s="496">
        <v>0</v>
      </c>
    </row>
    <row r="703" spans="1:4" x14ac:dyDescent="0.35">
      <c r="A703" s="496" t="s">
        <v>1119</v>
      </c>
      <c r="B703" s="496">
        <v>1</v>
      </c>
      <c r="C703" s="496">
        <v>1</v>
      </c>
    </row>
    <row r="704" spans="1:4" x14ac:dyDescent="0.35">
      <c r="A704" s="496" t="s">
        <v>1120</v>
      </c>
      <c r="B704" s="496">
        <v>1</v>
      </c>
      <c r="C704" s="496">
        <v>1</v>
      </c>
    </row>
    <row r="705" spans="1:3" x14ac:dyDescent="0.35">
      <c r="A705" s="496" t="s">
        <v>1121</v>
      </c>
      <c r="B705" s="496">
        <v>1</v>
      </c>
      <c r="C705" s="496">
        <v>1</v>
      </c>
    </row>
    <row r="706" spans="1:3" x14ac:dyDescent="0.35">
      <c r="A706" s="496" t="s">
        <v>1122</v>
      </c>
      <c r="B706" s="496">
        <v>1</v>
      </c>
      <c r="C706" s="496">
        <v>1</v>
      </c>
    </row>
    <row r="707" spans="1:3" x14ac:dyDescent="0.35">
      <c r="A707" s="496" t="s">
        <v>1123</v>
      </c>
      <c r="B707" s="496">
        <v>1</v>
      </c>
      <c r="C707" s="496">
        <v>1</v>
      </c>
    </row>
    <row r="708" spans="1:3" x14ac:dyDescent="0.35">
      <c r="A708" s="496" t="s">
        <v>1124</v>
      </c>
      <c r="B708" s="496">
        <v>1</v>
      </c>
      <c r="C708" s="496">
        <v>1</v>
      </c>
    </row>
    <row r="709" spans="1:3" x14ac:dyDescent="0.35">
      <c r="A709" s="496" t="s">
        <v>1125</v>
      </c>
      <c r="B709" s="496">
        <v>1</v>
      </c>
      <c r="C709" s="496">
        <v>1</v>
      </c>
    </row>
    <row r="710" spans="1:3" x14ac:dyDescent="0.35">
      <c r="A710" s="496" t="s">
        <v>1126</v>
      </c>
      <c r="B710" s="496">
        <v>1</v>
      </c>
      <c r="C710" s="496">
        <v>1</v>
      </c>
    </row>
    <row r="711" spans="1:3" x14ac:dyDescent="0.35">
      <c r="A711" s="496" t="s">
        <v>1127</v>
      </c>
      <c r="B711" s="496">
        <v>1</v>
      </c>
      <c r="C711" s="496">
        <v>1</v>
      </c>
    </row>
    <row r="712" spans="1:3" x14ac:dyDescent="0.35">
      <c r="A712" s="496" t="s">
        <v>1128</v>
      </c>
      <c r="B712" s="496">
        <v>1</v>
      </c>
      <c r="C712" s="496">
        <v>1</v>
      </c>
    </row>
    <row r="713" spans="1:3" x14ac:dyDescent="0.35">
      <c r="A713" s="496" t="s">
        <v>1129</v>
      </c>
      <c r="B713" s="496">
        <v>1</v>
      </c>
      <c r="C713" s="496">
        <v>1</v>
      </c>
    </row>
    <row r="714" spans="1:3" x14ac:dyDescent="0.35">
      <c r="A714" s="496" t="s">
        <v>1130</v>
      </c>
      <c r="B714" s="496">
        <v>0</v>
      </c>
      <c r="C714" s="496">
        <v>0</v>
      </c>
    </row>
    <row r="715" spans="1:3" x14ac:dyDescent="0.35">
      <c r="A715" s="496" t="s">
        <v>1131</v>
      </c>
      <c r="B715" s="496">
        <v>0</v>
      </c>
      <c r="C715" s="496">
        <v>0</v>
      </c>
    </row>
    <row r="716" spans="1:3" x14ac:dyDescent="0.35">
      <c r="A716" s="496" t="s">
        <v>1132</v>
      </c>
      <c r="B716" s="496">
        <v>0</v>
      </c>
      <c r="C716" s="496">
        <v>0</v>
      </c>
    </row>
    <row r="717" spans="1:3" x14ac:dyDescent="0.35">
      <c r="A717" s="496" t="s">
        <v>1133</v>
      </c>
      <c r="B717" s="496">
        <v>0</v>
      </c>
      <c r="C717" s="496">
        <v>0</v>
      </c>
    </row>
    <row r="718" spans="1:3" x14ac:dyDescent="0.35">
      <c r="A718" s="496" t="s">
        <v>1134</v>
      </c>
      <c r="B718" s="496">
        <v>0</v>
      </c>
      <c r="C718" s="496">
        <v>0</v>
      </c>
    </row>
    <row r="719" spans="1:3" x14ac:dyDescent="0.35">
      <c r="A719" s="496" t="s">
        <v>1135</v>
      </c>
      <c r="B719" s="496">
        <v>0</v>
      </c>
      <c r="C719" s="496">
        <v>0</v>
      </c>
    </row>
    <row r="720" spans="1:3" x14ac:dyDescent="0.35">
      <c r="A720" s="496" t="s">
        <v>1136</v>
      </c>
      <c r="B720" s="496">
        <v>0</v>
      </c>
      <c r="C720" s="496">
        <v>0</v>
      </c>
    </row>
    <row r="721" spans="1:3" x14ac:dyDescent="0.35">
      <c r="A721" s="496" t="s">
        <v>1137</v>
      </c>
      <c r="B721" s="496">
        <v>0</v>
      </c>
      <c r="C721" s="496">
        <v>0</v>
      </c>
    </row>
    <row r="722" spans="1:3" x14ac:dyDescent="0.35">
      <c r="A722" s="496" t="s">
        <v>1138</v>
      </c>
      <c r="B722" s="496">
        <v>0</v>
      </c>
      <c r="C722" s="496">
        <v>0</v>
      </c>
    </row>
    <row r="723" spans="1:3" x14ac:dyDescent="0.35">
      <c r="A723" s="496" t="s">
        <v>1139</v>
      </c>
      <c r="B723" s="496">
        <v>0</v>
      </c>
      <c r="C723" s="496">
        <v>0</v>
      </c>
    </row>
    <row r="724" spans="1:3" x14ac:dyDescent="0.35">
      <c r="A724" s="496" t="s">
        <v>1140</v>
      </c>
      <c r="B724" s="496">
        <v>0</v>
      </c>
      <c r="C724" s="496">
        <v>0</v>
      </c>
    </row>
    <row r="725" spans="1:3" x14ac:dyDescent="0.35">
      <c r="A725" s="496" t="s">
        <v>1141</v>
      </c>
      <c r="B725" s="497">
        <v>42370</v>
      </c>
      <c r="C725" s="497">
        <f>GebDatum</f>
        <v>42370</v>
      </c>
    </row>
    <row r="726" spans="1:3" x14ac:dyDescent="0.35">
      <c r="A726" s="496" t="s">
        <v>1142</v>
      </c>
      <c r="B726" s="496">
        <v>8</v>
      </c>
      <c r="C726" s="496">
        <v>10</v>
      </c>
    </row>
    <row r="727" spans="1:3" x14ac:dyDescent="0.35">
      <c r="A727" s="496" t="s">
        <v>1143</v>
      </c>
      <c r="B727" s="496">
        <v>0</v>
      </c>
      <c r="C727" s="496">
        <v>0</v>
      </c>
    </row>
    <row r="728" spans="1:3" x14ac:dyDescent="0.35">
      <c r="A728" s="496" t="s">
        <v>1144</v>
      </c>
      <c r="B728" s="496">
        <v>0</v>
      </c>
      <c r="C728" s="496">
        <v>0</v>
      </c>
    </row>
    <row r="729" spans="1:3" x14ac:dyDescent="0.35">
      <c r="A729" s="496" t="s">
        <v>1145</v>
      </c>
      <c r="B729" s="496">
        <v>5000</v>
      </c>
      <c r="C729" s="496">
        <v>5000</v>
      </c>
    </row>
    <row r="730" spans="1:3" x14ac:dyDescent="0.35">
      <c r="A730" s="496" t="s">
        <v>1146</v>
      </c>
      <c r="B730" s="496">
        <v>5000</v>
      </c>
      <c r="C730" s="496">
        <v>5000</v>
      </c>
    </row>
    <row r="731" spans="1:3" x14ac:dyDescent="0.35">
      <c r="A731" s="496" t="s">
        <v>1147</v>
      </c>
      <c r="B731" s="496">
        <v>5000</v>
      </c>
      <c r="C731" s="496">
        <v>5000</v>
      </c>
    </row>
    <row r="732" spans="1:3" x14ac:dyDescent="0.35">
      <c r="A732" s="496" t="s">
        <v>1148</v>
      </c>
      <c r="B732" s="496">
        <v>1</v>
      </c>
      <c r="C732" s="496">
        <v>1</v>
      </c>
    </row>
    <row r="733" spans="1:3" x14ac:dyDescent="0.35">
      <c r="A733" s="496" t="s">
        <v>1149</v>
      </c>
      <c r="B733" s="496">
        <v>1</v>
      </c>
      <c r="C733" s="496">
        <v>1</v>
      </c>
    </row>
    <row r="734" spans="1:3" x14ac:dyDescent="0.35">
      <c r="A734" s="496" t="s">
        <v>1150</v>
      </c>
      <c r="B734" s="496">
        <v>1</v>
      </c>
      <c r="C734" s="496">
        <v>1</v>
      </c>
    </row>
    <row r="735" spans="1:3" x14ac:dyDescent="0.35">
      <c r="A735" s="496" t="s">
        <v>1151</v>
      </c>
      <c r="B735" s="496">
        <v>1</v>
      </c>
      <c r="C735" s="496">
        <v>1</v>
      </c>
    </row>
    <row r="736" spans="1:3" x14ac:dyDescent="0.35">
      <c r="A736" s="496" t="s">
        <v>1152</v>
      </c>
      <c r="B736" s="496">
        <v>1</v>
      </c>
      <c r="C736" s="496">
        <v>1</v>
      </c>
    </row>
    <row r="737" spans="1:7" x14ac:dyDescent="0.35">
      <c r="A737" s="496" t="s">
        <v>1153</v>
      </c>
      <c r="B737" s="496">
        <v>1</v>
      </c>
      <c r="C737" s="496">
        <v>1</v>
      </c>
    </row>
    <row r="738" spans="1:7" x14ac:dyDescent="0.35">
      <c r="A738" s="496" t="s">
        <v>1154</v>
      </c>
      <c r="B738" s="496">
        <v>1</v>
      </c>
      <c r="C738" s="496">
        <v>1</v>
      </c>
      <c r="G738" s="517"/>
    </row>
    <row r="739" spans="1:7" x14ac:dyDescent="0.35">
      <c r="A739" s="496" t="s">
        <v>1155</v>
      </c>
      <c r="B739" s="496">
        <v>1</v>
      </c>
      <c r="C739" s="496">
        <v>1</v>
      </c>
      <c r="G739" s="517"/>
    </row>
    <row r="740" spans="1:7" x14ac:dyDescent="0.35">
      <c r="A740" s="496" t="s">
        <v>1156</v>
      </c>
      <c r="B740" s="496">
        <v>1</v>
      </c>
      <c r="C740" s="496">
        <v>1</v>
      </c>
      <c r="G740" s="517"/>
    </row>
    <row r="741" spans="1:7" x14ac:dyDescent="0.35">
      <c r="A741" s="496" t="s">
        <v>1157</v>
      </c>
      <c r="B741" s="496">
        <v>0</v>
      </c>
      <c r="C741" s="496">
        <v>0</v>
      </c>
      <c r="G741" s="517"/>
    </row>
    <row r="742" spans="1:7" x14ac:dyDescent="0.35">
      <c r="A742" s="496" t="s">
        <v>1158</v>
      </c>
      <c r="B742" s="496">
        <v>0</v>
      </c>
      <c r="C742" s="496">
        <v>0</v>
      </c>
      <c r="G742" s="517"/>
    </row>
    <row r="743" spans="1:7" x14ac:dyDescent="0.35">
      <c r="A743" s="496" t="s">
        <v>1159</v>
      </c>
      <c r="B743" s="496">
        <v>0</v>
      </c>
      <c r="C743" s="496">
        <v>0</v>
      </c>
      <c r="G743" s="517"/>
    </row>
    <row r="744" spans="1:7" x14ac:dyDescent="0.35">
      <c r="A744" s="496" t="s">
        <v>1160</v>
      </c>
      <c r="B744" s="496">
        <v>0</v>
      </c>
      <c r="C744" s="496">
        <v>0</v>
      </c>
      <c r="G744" s="517"/>
    </row>
    <row r="745" spans="1:7" x14ac:dyDescent="0.35">
      <c r="A745" s="496" t="s">
        <v>1161</v>
      </c>
      <c r="B745" s="496">
        <v>0</v>
      </c>
      <c r="C745" s="496">
        <v>0</v>
      </c>
      <c r="G745" s="517"/>
    </row>
    <row r="746" spans="1:7" x14ac:dyDescent="0.35">
      <c r="A746" s="496" t="s">
        <v>1162</v>
      </c>
      <c r="B746" s="496">
        <v>0</v>
      </c>
      <c r="C746" s="496">
        <v>0</v>
      </c>
      <c r="G746" s="517"/>
    </row>
    <row r="747" spans="1:7" x14ac:dyDescent="0.35">
      <c r="A747" s="496" t="s">
        <v>1163</v>
      </c>
      <c r="B747" s="496">
        <v>0</v>
      </c>
      <c r="C747" s="496">
        <v>0</v>
      </c>
      <c r="G747" s="517"/>
    </row>
    <row r="748" spans="1:7" x14ac:dyDescent="0.35">
      <c r="A748" s="496" t="s">
        <v>1164</v>
      </c>
      <c r="B748" s="496">
        <v>0</v>
      </c>
      <c r="C748" s="496">
        <v>0</v>
      </c>
      <c r="G748" s="517"/>
    </row>
    <row r="749" spans="1:7" x14ac:dyDescent="0.35">
      <c r="A749" s="496" t="s">
        <v>1165</v>
      </c>
      <c r="B749" s="496">
        <v>0</v>
      </c>
      <c r="C749" s="496">
        <v>0</v>
      </c>
    </row>
    <row r="750" spans="1:7" x14ac:dyDescent="0.35">
      <c r="A750" s="496" t="s">
        <v>1166</v>
      </c>
      <c r="B750" s="496"/>
      <c r="C750" s="496"/>
    </row>
    <row r="751" spans="1:7" x14ac:dyDescent="0.35">
      <c r="A751" s="496" t="s">
        <v>1167</v>
      </c>
      <c r="B751" s="496"/>
      <c r="C751" s="496"/>
    </row>
    <row r="752" spans="1:7" x14ac:dyDescent="0.35">
      <c r="A752" s="496" t="s">
        <v>1168</v>
      </c>
      <c r="B752" s="496">
        <v>5000</v>
      </c>
      <c r="C752" s="496">
        <v>5000</v>
      </c>
    </row>
    <row r="753" spans="1:3" x14ac:dyDescent="0.35">
      <c r="A753" s="496" t="s">
        <v>1169</v>
      </c>
      <c r="B753" s="496">
        <v>5000</v>
      </c>
      <c r="C753" s="496">
        <v>5000</v>
      </c>
    </row>
    <row r="754" spans="1:3" x14ac:dyDescent="0.35">
      <c r="A754" s="496" t="s">
        <v>1170</v>
      </c>
      <c r="B754" s="496">
        <v>5000</v>
      </c>
      <c r="C754" s="496">
        <v>5000</v>
      </c>
    </row>
    <row r="755" spans="1:3" x14ac:dyDescent="0.35">
      <c r="A755" s="496" t="s">
        <v>1171</v>
      </c>
      <c r="B755" s="496">
        <v>0</v>
      </c>
      <c r="C755" s="496">
        <v>0</v>
      </c>
    </row>
    <row r="756" spans="1:3" x14ac:dyDescent="0.35">
      <c r="A756" s="496" t="s">
        <v>1172</v>
      </c>
      <c r="B756" s="496">
        <v>0</v>
      </c>
      <c r="C756" s="496">
        <v>0</v>
      </c>
    </row>
    <row r="757" spans="1:3" x14ac:dyDescent="0.35">
      <c r="A757" s="496" t="s">
        <v>1173</v>
      </c>
      <c r="B757" s="496">
        <v>0</v>
      </c>
      <c r="C757" s="496">
        <v>0</v>
      </c>
    </row>
    <row r="758" spans="1:3" x14ac:dyDescent="0.35">
      <c r="A758" s="496" t="s">
        <v>1174</v>
      </c>
      <c r="B758" s="496">
        <v>0</v>
      </c>
      <c r="C758" s="496">
        <v>0</v>
      </c>
    </row>
    <row r="759" spans="1:3" x14ac:dyDescent="0.35">
      <c r="A759" s="496" t="s">
        <v>1175</v>
      </c>
      <c r="B759" s="496">
        <v>0</v>
      </c>
      <c r="C759" s="496">
        <v>0</v>
      </c>
    </row>
    <row r="760" spans="1:3" x14ac:dyDescent="0.35">
      <c r="A760" s="496" t="s">
        <v>1176</v>
      </c>
      <c r="B760" s="496">
        <v>0</v>
      </c>
      <c r="C760" s="496">
        <v>0</v>
      </c>
    </row>
    <row r="761" spans="1:3" x14ac:dyDescent="0.35">
      <c r="A761" s="496" t="s">
        <v>1177</v>
      </c>
      <c r="B761" s="496">
        <v>0</v>
      </c>
      <c r="C761" s="496">
        <v>0</v>
      </c>
    </row>
    <row r="762" spans="1:3" x14ac:dyDescent="0.35">
      <c r="A762" s="496" t="s">
        <v>1178</v>
      </c>
      <c r="B762" s="496">
        <v>0</v>
      </c>
      <c r="C762" s="496">
        <v>0</v>
      </c>
    </row>
    <row r="763" spans="1:3" x14ac:dyDescent="0.35">
      <c r="A763" s="496" t="s">
        <v>1179</v>
      </c>
      <c r="B763" s="496">
        <v>0</v>
      </c>
      <c r="C763" s="496">
        <v>0</v>
      </c>
    </row>
    <row r="764" spans="1:3" x14ac:dyDescent="0.35">
      <c r="A764" s="496" t="s">
        <v>1180</v>
      </c>
      <c r="B764" s="496">
        <v>1</v>
      </c>
      <c r="C764" s="496">
        <v>1</v>
      </c>
    </row>
    <row r="765" spans="1:3" x14ac:dyDescent="0.35">
      <c r="A765" s="496" t="s">
        <v>1181</v>
      </c>
      <c r="B765" s="496">
        <v>1</v>
      </c>
      <c r="C765" s="496">
        <v>1</v>
      </c>
    </row>
    <row r="766" spans="1:3" x14ac:dyDescent="0.35">
      <c r="A766" s="496" t="s">
        <v>1182</v>
      </c>
      <c r="B766" s="496">
        <v>1</v>
      </c>
      <c r="C766" s="496">
        <v>1</v>
      </c>
    </row>
    <row r="767" spans="1:3" x14ac:dyDescent="0.35">
      <c r="A767" s="496" t="s">
        <v>1183</v>
      </c>
      <c r="B767" s="496">
        <v>1</v>
      </c>
      <c r="C767" s="496">
        <v>1</v>
      </c>
    </row>
    <row r="768" spans="1:3" x14ac:dyDescent="0.35">
      <c r="A768" s="496" t="s">
        <v>1184</v>
      </c>
      <c r="B768" s="496">
        <v>1</v>
      </c>
      <c r="C768" s="496">
        <v>1</v>
      </c>
    </row>
    <row r="769" spans="1:4" x14ac:dyDescent="0.35">
      <c r="A769" s="496" t="s">
        <v>1185</v>
      </c>
      <c r="B769" s="496">
        <v>1</v>
      </c>
      <c r="C769" s="496">
        <v>1</v>
      </c>
    </row>
    <row r="770" spans="1:4" x14ac:dyDescent="0.35">
      <c r="A770" s="496" t="s">
        <v>1186</v>
      </c>
      <c r="B770" s="496">
        <v>1</v>
      </c>
      <c r="C770" s="496">
        <v>1</v>
      </c>
    </row>
    <row r="771" spans="1:4" x14ac:dyDescent="0.35">
      <c r="A771" s="496" t="s">
        <v>1187</v>
      </c>
      <c r="B771" s="496">
        <v>1</v>
      </c>
      <c r="C771" s="496">
        <v>1</v>
      </c>
    </row>
    <row r="772" spans="1:4" x14ac:dyDescent="0.35">
      <c r="A772" s="496" t="s">
        <v>1188</v>
      </c>
      <c r="B772" s="496">
        <v>1</v>
      </c>
      <c r="C772" s="496">
        <v>1</v>
      </c>
    </row>
    <row r="773" spans="1:4" x14ac:dyDescent="0.35">
      <c r="A773" s="496" t="s">
        <v>1189</v>
      </c>
      <c r="B773" s="496"/>
      <c r="C773" s="496"/>
    </row>
    <row r="774" spans="1:4" x14ac:dyDescent="0.35">
      <c r="A774" s="496" t="s">
        <v>1997</v>
      </c>
      <c r="B774" s="496">
        <v>1</v>
      </c>
      <c r="C774" s="496">
        <v>1</v>
      </c>
      <c r="D774" s="517"/>
    </row>
    <row r="775" spans="1:4" x14ac:dyDescent="0.35">
      <c r="A775" s="496" t="s">
        <v>1998</v>
      </c>
      <c r="B775" s="496">
        <v>1</v>
      </c>
      <c r="C775" s="496">
        <v>1</v>
      </c>
    </row>
    <row r="776" spans="1:4" x14ac:dyDescent="0.35">
      <c r="A776" s="496" t="s">
        <v>1999</v>
      </c>
      <c r="B776" s="496">
        <v>1</v>
      </c>
      <c r="C776" s="496">
        <v>1</v>
      </c>
    </row>
    <row r="777" spans="1:4" x14ac:dyDescent="0.35">
      <c r="A777" s="496" t="s">
        <v>2000</v>
      </c>
      <c r="B777" s="496">
        <v>1</v>
      </c>
      <c r="C777" s="496">
        <v>1</v>
      </c>
    </row>
    <row r="778" spans="1:4" x14ac:dyDescent="0.35">
      <c r="A778" s="496" t="s">
        <v>2001</v>
      </c>
      <c r="B778" s="496">
        <v>1</v>
      </c>
      <c r="C778" s="496">
        <v>1</v>
      </c>
    </row>
    <row r="779" spans="1:4" x14ac:dyDescent="0.35">
      <c r="A779" s="496" t="s">
        <v>2002</v>
      </c>
      <c r="B779" s="496">
        <v>1</v>
      </c>
      <c r="C779" s="496">
        <v>1</v>
      </c>
      <c r="D779" s="517"/>
    </row>
    <row r="780" spans="1:4" x14ac:dyDescent="0.35">
      <c r="A780" s="496" t="s">
        <v>2003</v>
      </c>
      <c r="B780" s="496">
        <v>1</v>
      </c>
      <c r="C780" s="496">
        <v>1</v>
      </c>
      <c r="D780" s="517"/>
    </row>
    <row r="781" spans="1:4" x14ac:dyDescent="0.35">
      <c r="A781" s="496" t="s">
        <v>2004</v>
      </c>
      <c r="B781" s="496">
        <v>1</v>
      </c>
      <c r="C781" s="496">
        <v>1</v>
      </c>
      <c r="D781" s="517"/>
    </row>
    <row r="782" spans="1:4" x14ac:dyDescent="0.35">
      <c r="A782" s="496" t="s">
        <v>2005</v>
      </c>
      <c r="B782" s="496">
        <v>1</v>
      </c>
      <c r="C782" s="496">
        <v>1</v>
      </c>
      <c r="D782" s="517"/>
    </row>
    <row r="783" spans="1:4" x14ac:dyDescent="0.35">
      <c r="A783" s="496" t="s">
        <v>1190</v>
      </c>
      <c r="B783" s="496">
        <v>5000</v>
      </c>
      <c r="C783" s="496">
        <v>5000</v>
      </c>
    </row>
    <row r="784" spans="1:4" x14ac:dyDescent="0.35">
      <c r="A784" s="496" t="s">
        <v>1191</v>
      </c>
      <c r="B784" s="496">
        <v>5000</v>
      </c>
      <c r="C784" s="496">
        <v>5000</v>
      </c>
    </row>
    <row r="785" spans="1:3" x14ac:dyDescent="0.35">
      <c r="A785" s="496" t="s">
        <v>1192</v>
      </c>
      <c r="B785" s="496">
        <v>5000</v>
      </c>
      <c r="C785" s="496">
        <v>5000</v>
      </c>
    </row>
    <row r="786" spans="1:3" x14ac:dyDescent="0.35">
      <c r="A786" s="496" t="s">
        <v>1193</v>
      </c>
      <c r="B786" s="496">
        <v>0</v>
      </c>
      <c r="C786" s="496">
        <v>0</v>
      </c>
    </row>
    <row r="787" spans="1:3" x14ac:dyDescent="0.35">
      <c r="A787" s="496" t="s">
        <v>1194</v>
      </c>
      <c r="B787" s="496">
        <v>0</v>
      </c>
      <c r="C787" s="496">
        <v>0</v>
      </c>
    </row>
    <row r="788" spans="1:3" x14ac:dyDescent="0.35">
      <c r="A788" s="496" t="s">
        <v>1195</v>
      </c>
      <c r="B788" s="496">
        <v>0</v>
      </c>
      <c r="C788" s="496">
        <v>0</v>
      </c>
    </row>
    <row r="789" spans="1:3" x14ac:dyDescent="0.35">
      <c r="A789" s="496" t="s">
        <v>1196</v>
      </c>
      <c r="B789" s="496">
        <v>0</v>
      </c>
      <c r="C789" s="496">
        <v>0</v>
      </c>
    </row>
    <row r="790" spans="1:3" x14ac:dyDescent="0.35">
      <c r="A790" s="496" t="s">
        <v>1197</v>
      </c>
      <c r="B790" s="496">
        <v>0</v>
      </c>
      <c r="C790" s="496">
        <v>0</v>
      </c>
    </row>
    <row r="791" spans="1:3" x14ac:dyDescent="0.35">
      <c r="A791" s="496" t="s">
        <v>1198</v>
      </c>
      <c r="B791" s="496">
        <v>0</v>
      </c>
      <c r="C791" s="496">
        <v>0</v>
      </c>
    </row>
    <row r="792" spans="1:3" x14ac:dyDescent="0.35">
      <c r="A792" s="496" t="s">
        <v>1199</v>
      </c>
      <c r="B792" s="496">
        <v>0</v>
      </c>
      <c r="C792" s="496">
        <v>0</v>
      </c>
    </row>
    <row r="793" spans="1:3" x14ac:dyDescent="0.35">
      <c r="A793" s="496" t="s">
        <v>1200</v>
      </c>
      <c r="B793" s="496">
        <v>0</v>
      </c>
      <c r="C793" s="496">
        <v>0</v>
      </c>
    </row>
    <row r="794" spans="1:3" x14ac:dyDescent="0.35">
      <c r="A794" s="496" t="s">
        <v>1201</v>
      </c>
      <c r="B794" s="496">
        <v>0</v>
      </c>
      <c r="C794" s="496">
        <v>0</v>
      </c>
    </row>
    <row r="795" spans="1:3" x14ac:dyDescent="0.35">
      <c r="A795" s="496" t="s">
        <v>1202</v>
      </c>
      <c r="B795" s="496">
        <v>0</v>
      </c>
      <c r="C795" s="496">
        <v>0</v>
      </c>
    </row>
    <row r="796" spans="1:3" x14ac:dyDescent="0.35">
      <c r="A796" s="496" t="s">
        <v>1203</v>
      </c>
      <c r="B796" s="496">
        <v>0</v>
      </c>
      <c r="C796" s="496">
        <v>0</v>
      </c>
    </row>
    <row r="797" spans="1:3" x14ac:dyDescent="0.35">
      <c r="A797" s="496" t="s">
        <v>1204</v>
      </c>
      <c r="B797" s="496">
        <v>0</v>
      </c>
      <c r="C797" s="496">
        <v>0</v>
      </c>
    </row>
    <row r="798" spans="1:3" x14ac:dyDescent="0.35">
      <c r="A798" s="496" t="s">
        <v>1205</v>
      </c>
      <c r="B798" s="496">
        <v>0</v>
      </c>
      <c r="C798" s="496">
        <v>0</v>
      </c>
    </row>
    <row r="799" spans="1:3" x14ac:dyDescent="0.35">
      <c r="A799" s="496" t="s">
        <v>1206</v>
      </c>
      <c r="B799" s="496">
        <v>0</v>
      </c>
      <c r="C799" s="496">
        <v>0</v>
      </c>
    </row>
    <row r="800" spans="1:3" x14ac:dyDescent="0.35">
      <c r="A800" s="496" t="s">
        <v>1207</v>
      </c>
      <c r="B800" s="496">
        <v>0</v>
      </c>
      <c r="C800" s="496">
        <v>0</v>
      </c>
    </row>
    <row r="801" spans="1:4" x14ac:dyDescent="0.35">
      <c r="A801" s="496" t="s">
        <v>1208</v>
      </c>
      <c r="B801" s="496">
        <v>0</v>
      </c>
      <c r="C801" s="496">
        <v>0</v>
      </c>
    </row>
    <row r="802" spans="1:4" x14ac:dyDescent="0.35">
      <c r="A802" s="496" t="s">
        <v>1209</v>
      </c>
      <c r="B802" s="496">
        <v>0</v>
      </c>
      <c r="C802" s="496">
        <v>0</v>
      </c>
    </row>
    <row r="803" spans="1:4" x14ac:dyDescent="0.35">
      <c r="A803" s="496" t="s">
        <v>1210</v>
      </c>
      <c r="B803" s="496">
        <v>0</v>
      </c>
      <c r="C803" s="496">
        <v>0</v>
      </c>
    </row>
    <row r="804" spans="1:4" x14ac:dyDescent="0.35">
      <c r="A804" s="496" t="s">
        <v>1677</v>
      </c>
      <c r="B804" s="496">
        <v>2</v>
      </c>
      <c r="C804" s="496">
        <v>2</v>
      </c>
      <c r="D804" s="517"/>
    </row>
    <row r="805" spans="1:4" x14ac:dyDescent="0.35">
      <c r="A805" s="496" t="s">
        <v>1211</v>
      </c>
      <c r="B805" s="496">
        <v>1</v>
      </c>
      <c r="C805" s="496">
        <v>1</v>
      </c>
    </row>
    <row r="806" spans="1:4" x14ac:dyDescent="0.35">
      <c r="A806" s="496" t="s">
        <v>1212</v>
      </c>
      <c r="B806" s="496">
        <v>1</v>
      </c>
      <c r="C806" s="496">
        <v>1</v>
      </c>
    </row>
    <row r="807" spans="1:4" x14ac:dyDescent="0.35">
      <c r="A807" s="496" t="s">
        <v>1213</v>
      </c>
      <c r="B807" s="496">
        <v>1</v>
      </c>
      <c r="C807" s="496">
        <v>1</v>
      </c>
    </row>
    <row r="808" spans="1:4" x14ac:dyDescent="0.35">
      <c r="A808" s="496" t="s">
        <v>1214</v>
      </c>
      <c r="B808" s="496">
        <v>1</v>
      </c>
      <c r="C808" s="496">
        <v>1</v>
      </c>
    </row>
    <row r="809" spans="1:4" x14ac:dyDescent="0.35">
      <c r="A809" s="496" t="s">
        <v>1678</v>
      </c>
      <c r="B809" s="496">
        <v>1</v>
      </c>
      <c r="C809" s="496">
        <v>1</v>
      </c>
      <c r="D809" s="517"/>
    </row>
    <row r="810" spans="1:4" x14ac:dyDescent="0.35">
      <c r="A810" s="496" t="s">
        <v>1679</v>
      </c>
      <c r="B810" s="496">
        <v>1</v>
      </c>
      <c r="C810" s="496">
        <v>1</v>
      </c>
      <c r="D810" s="517"/>
    </row>
    <row r="811" spans="1:4" x14ac:dyDescent="0.35">
      <c r="A811" s="496" t="s">
        <v>1680</v>
      </c>
      <c r="B811" s="496">
        <v>1</v>
      </c>
      <c r="C811" s="496">
        <v>1</v>
      </c>
      <c r="D811" s="517"/>
    </row>
    <row r="812" spans="1:4" x14ac:dyDescent="0.35">
      <c r="A812" s="496" t="s">
        <v>1681</v>
      </c>
      <c r="B812" s="496">
        <v>1</v>
      </c>
      <c r="C812" s="496">
        <v>1</v>
      </c>
      <c r="D812" s="517"/>
    </row>
    <row r="813" spans="1:4" s="517" customFormat="1" x14ac:dyDescent="0.35">
      <c r="A813" s="496" t="s">
        <v>1215</v>
      </c>
      <c r="B813" s="496">
        <v>1</v>
      </c>
      <c r="C813" s="496">
        <v>1</v>
      </c>
      <c r="D813"/>
    </row>
    <row r="814" spans="1:4" x14ac:dyDescent="0.35">
      <c r="A814" s="496" t="s">
        <v>1216</v>
      </c>
      <c r="B814" s="496" t="s">
        <v>2639</v>
      </c>
      <c r="C814" s="496" t="s">
        <v>563</v>
      </c>
    </row>
    <row r="815" spans="1:4" x14ac:dyDescent="0.35">
      <c r="A815" s="496" t="s">
        <v>1217</v>
      </c>
      <c r="B815" s="496">
        <v>30</v>
      </c>
      <c r="C815" s="496">
        <v>30</v>
      </c>
    </row>
    <row r="816" spans="1:4" s="517" customFormat="1" x14ac:dyDescent="0.35">
      <c r="A816" s="496" t="s">
        <v>1219</v>
      </c>
      <c r="B816" s="496">
        <v>2</v>
      </c>
      <c r="C816" s="496">
        <v>2</v>
      </c>
      <c r="D816"/>
    </row>
    <row r="817" spans="1:4" s="517" customFormat="1" x14ac:dyDescent="0.35">
      <c r="A817" s="496" t="s">
        <v>1220</v>
      </c>
      <c r="B817" s="271">
        <v>0</v>
      </c>
      <c r="C817" s="271">
        <v>0</v>
      </c>
      <c r="D817"/>
    </row>
    <row r="818" spans="1:4" x14ac:dyDescent="0.35">
      <c r="A818" s="496" t="s">
        <v>1221</v>
      </c>
      <c r="B818" s="271" t="b">
        <v>0</v>
      </c>
      <c r="C818" s="271" t="b">
        <v>0</v>
      </c>
    </row>
    <row r="819" spans="1:4" x14ac:dyDescent="0.35">
      <c r="A819" s="496" t="s">
        <v>1222</v>
      </c>
      <c r="B819" s="271">
        <v>2</v>
      </c>
      <c r="C819" s="271">
        <v>2</v>
      </c>
    </row>
    <row r="820" spans="1:4" x14ac:dyDescent="0.35">
      <c r="A820" s="496" t="s">
        <v>1223</v>
      </c>
      <c r="B820" s="271" t="b">
        <v>0</v>
      </c>
      <c r="C820" s="271" t="b">
        <v>0</v>
      </c>
    </row>
    <row r="821" spans="1:4" x14ac:dyDescent="0.35">
      <c r="A821" s="496" t="s">
        <v>1224</v>
      </c>
      <c r="B821" s="271" t="b">
        <v>0</v>
      </c>
      <c r="C821" s="271" t="b">
        <v>0</v>
      </c>
    </row>
    <row r="822" spans="1:4" s="517" customFormat="1" x14ac:dyDescent="0.35">
      <c r="A822" s="496" t="s">
        <v>1225</v>
      </c>
      <c r="B822" s="271" t="b">
        <v>0</v>
      </c>
      <c r="C822" s="271" t="b">
        <v>0</v>
      </c>
      <c r="D822"/>
    </row>
    <row r="823" spans="1:4" s="517" customFormat="1" x14ac:dyDescent="0.35">
      <c r="A823" s="496" t="s">
        <v>1226</v>
      </c>
      <c r="B823" s="271" t="b">
        <v>0</v>
      </c>
      <c r="C823" s="271" t="b">
        <v>0</v>
      </c>
      <c r="D823"/>
    </row>
    <row r="824" spans="1:4" x14ac:dyDescent="0.35">
      <c r="A824" s="496" t="s">
        <v>1227</v>
      </c>
      <c r="B824" s="271">
        <v>0</v>
      </c>
      <c r="C824" s="271">
        <v>0</v>
      </c>
    </row>
    <row r="825" spans="1:4" x14ac:dyDescent="0.35">
      <c r="A825" s="496" t="s">
        <v>1228</v>
      </c>
      <c r="B825" s="271">
        <v>0</v>
      </c>
      <c r="C825" s="271">
        <v>0</v>
      </c>
    </row>
    <row r="826" spans="1:4" x14ac:dyDescent="0.35">
      <c r="A826" s="496" t="s">
        <v>1229</v>
      </c>
      <c r="B826" s="271">
        <v>0</v>
      </c>
      <c r="C826" s="271">
        <v>0</v>
      </c>
    </row>
    <row r="827" spans="1:4" x14ac:dyDescent="0.35">
      <c r="A827" s="496" t="s">
        <v>1230</v>
      </c>
      <c r="B827" s="271">
        <v>0</v>
      </c>
      <c r="C827" s="271">
        <v>0</v>
      </c>
    </row>
    <row r="828" spans="1:4" x14ac:dyDescent="0.35">
      <c r="A828" s="496" t="s">
        <v>1231</v>
      </c>
      <c r="B828" s="271">
        <v>0</v>
      </c>
      <c r="C828" s="271">
        <v>0</v>
      </c>
    </row>
    <row r="829" spans="1:4" x14ac:dyDescent="0.35">
      <c r="A829" s="496" t="s">
        <v>1232</v>
      </c>
      <c r="B829" s="271">
        <v>0</v>
      </c>
      <c r="C829" s="271">
        <v>0</v>
      </c>
    </row>
    <row r="830" spans="1:4" x14ac:dyDescent="0.35">
      <c r="A830" t="s">
        <v>1454</v>
      </c>
      <c r="B830" t="s">
        <v>2643</v>
      </c>
    </row>
    <row r="831" spans="1:4" x14ac:dyDescent="0.35">
      <c r="A831" s="517" t="s">
        <v>1455</v>
      </c>
      <c r="B831" t="s">
        <v>2644</v>
      </c>
    </row>
    <row r="832" spans="1:4" x14ac:dyDescent="0.35">
      <c r="A832" s="517" t="s">
        <v>1456</v>
      </c>
      <c r="B832" t="s">
        <v>2427</v>
      </c>
    </row>
    <row r="833" spans="1:1" x14ac:dyDescent="0.35">
      <c r="A833" s="517" t="s">
        <v>1457</v>
      </c>
    </row>
    <row r="834" spans="1:1" x14ac:dyDescent="0.35">
      <c r="A834" s="517" t="s">
        <v>1458</v>
      </c>
    </row>
    <row r="835" spans="1:1" x14ac:dyDescent="0.35">
      <c r="A835" s="517" t="s">
        <v>1459</v>
      </c>
    </row>
    <row r="836" spans="1:1" x14ac:dyDescent="0.35">
      <c r="A836" s="517" t="s">
        <v>1460</v>
      </c>
    </row>
    <row r="837" spans="1:1" x14ac:dyDescent="0.35">
      <c r="A837" s="517" t="s">
        <v>1461</v>
      </c>
    </row>
    <row r="838" spans="1:1" x14ac:dyDescent="0.35">
      <c r="A838" s="517" t="s">
        <v>1462</v>
      </c>
    </row>
    <row r="839" spans="1:1" x14ac:dyDescent="0.35">
      <c r="A839" s="517" t="s">
        <v>1463</v>
      </c>
    </row>
    <row r="840" spans="1:1" x14ac:dyDescent="0.35">
      <c r="A840" s="517" t="s">
        <v>1464</v>
      </c>
    </row>
    <row r="841" spans="1:1" x14ac:dyDescent="0.35">
      <c r="A841" s="517" t="s">
        <v>1465</v>
      </c>
    </row>
    <row r="842" spans="1:1" x14ac:dyDescent="0.35">
      <c r="A842" s="517" t="s">
        <v>1466</v>
      </c>
    </row>
    <row r="843" spans="1:1" x14ac:dyDescent="0.35">
      <c r="A843" s="517" t="s">
        <v>1467</v>
      </c>
    </row>
    <row r="844" spans="1:1" x14ac:dyDescent="0.35">
      <c r="A844" s="517" t="s">
        <v>1468</v>
      </c>
    </row>
    <row r="845" spans="1:1" x14ac:dyDescent="0.35">
      <c r="A845" s="517" t="s">
        <v>1469</v>
      </c>
    </row>
    <row r="846" spans="1:1" x14ac:dyDescent="0.35">
      <c r="A846" s="517" t="s">
        <v>1470</v>
      </c>
    </row>
    <row r="847" spans="1:1" x14ac:dyDescent="0.35">
      <c r="A847" s="517" t="s">
        <v>1471</v>
      </c>
    </row>
    <row r="848" spans="1:1" x14ac:dyDescent="0.35">
      <c r="A848" s="517" t="s">
        <v>1472</v>
      </c>
    </row>
    <row r="849" spans="1:4" x14ac:dyDescent="0.35">
      <c r="A849" s="517" t="s">
        <v>1473</v>
      </c>
    </row>
    <row r="850" spans="1:4" x14ac:dyDescent="0.35">
      <c r="A850" s="517" t="s">
        <v>2516</v>
      </c>
      <c r="B850" s="517"/>
      <c r="C850" s="517"/>
      <c r="D850" s="517"/>
    </row>
    <row r="851" spans="1:4" x14ac:dyDescent="0.35">
      <c r="A851" s="517" t="s">
        <v>2517</v>
      </c>
      <c r="B851" s="517"/>
      <c r="C851" s="517"/>
      <c r="D851" s="517"/>
    </row>
    <row r="852" spans="1:4" x14ac:dyDescent="0.35">
      <c r="A852" s="517" t="s">
        <v>2518</v>
      </c>
      <c r="B852" s="517"/>
      <c r="C852" s="517"/>
      <c r="D852" s="517"/>
    </row>
    <row r="853" spans="1:4" x14ac:dyDescent="0.35">
      <c r="A853" s="517" t="s">
        <v>2519</v>
      </c>
      <c r="B853" s="517"/>
      <c r="C853" s="517"/>
      <c r="D853" s="517"/>
    </row>
    <row r="854" spans="1:4" x14ac:dyDescent="0.35">
      <c r="A854" s="517" t="s">
        <v>2520</v>
      </c>
      <c r="B854" s="517"/>
      <c r="C854" s="517"/>
      <c r="D854" s="517"/>
    </row>
    <row r="855" spans="1:4" x14ac:dyDescent="0.35">
      <c r="A855" s="517" t="s">
        <v>2521</v>
      </c>
      <c r="B855" s="517"/>
      <c r="C855" s="517"/>
      <c r="D855" s="517"/>
    </row>
    <row r="856" spans="1:4" x14ac:dyDescent="0.35">
      <c r="A856" s="517" t="s">
        <v>2522</v>
      </c>
      <c r="B856" s="517"/>
      <c r="C856" s="517"/>
      <c r="D856" s="517"/>
    </row>
    <row r="857" spans="1:4" x14ac:dyDescent="0.35">
      <c r="A857" s="517" t="s">
        <v>2523</v>
      </c>
      <c r="B857" s="517"/>
      <c r="C857" s="517"/>
      <c r="D857" s="517"/>
    </row>
    <row r="858" spans="1:4" x14ac:dyDescent="0.35">
      <c r="A858" s="517" t="s">
        <v>2524</v>
      </c>
      <c r="B858" s="517"/>
      <c r="C858" s="517"/>
      <c r="D858" s="517"/>
    </row>
    <row r="859" spans="1:4" x14ac:dyDescent="0.35">
      <c r="A859" s="517" t="s">
        <v>2525</v>
      </c>
      <c r="B859" s="517"/>
      <c r="C859" s="517"/>
      <c r="D859" s="517"/>
    </row>
    <row r="860" spans="1:4" x14ac:dyDescent="0.35">
      <c r="A860" t="s">
        <v>1778</v>
      </c>
    </row>
    <row r="861" spans="1:4" x14ac:dyDescent="0.35">
      <c r="A861" t="s">
        <v>1779</v>
      </c>
    </row>
    <row r="862" spans="1:4" x14ac:dyDescent="0.35">
      <c r="A862" t="s">
        <v>1780</v>
      </c>
    </row>
    <row r="863" spans="1:4" x14ac:dyDescent="0.35">
      <c r="A863" t="s">
        <v>1781</v>
      </c>
    </row>
    <row r="864" spans="1:4" x14ac:dyDescent="0.35">
      <c r="A864" t="s">
        <v>1782</v>
      </c>
    </row>
    <row r="865" spans="1:4" x14ac:dyDescent="0.35">
      <c r="A865" t="s">
        <v>1783</v>
      </c>
    </row>
    <row r="866" spans="1:4" x14ac:dyDescent="0.35">
      <c r="A866" t="s">
        <v>1784</v>
      </c>
    </row>
    <row r="867" spans="1:4" x14ac:dyDescent="0.35">
      <c r="A867" t="s">
        <v>1785</v>
      </c>
    </row>
    <row r="868" spans="1:4" x14ac:dyDescent="0.35">
      <c r="A868" t="s">
        <v>1786</v>
      </c>
    </row>
    <row r="869" spans="1:4" x14ac:dyDescent="0.35">
      <c r="A869" t="s">
        <v>1787</v>
      </c>
    </row>
    <row r="870" spans="1:4" x14ac:dyDescent="0.35">
      <c r="A870" t="s">
        <v>1788</v>
      </c>
    </row>
    <row r="871" spans="1:4" x14ac:dyDescent="0.35">
      <c r="A871" t="s">
        <v>1789</v>
      </c>
    </row>
    <row r="872" spans="1:4" x14ac:dyDescent="0.35">
      <c r="A872" t="s">
        <v>1790</v>
      </c>
    </row>
    <row r="873" spans="1:4" x14ac:dyDescent="0.35">
      <c r="A873" t="s">
        <v>1791</v>
      </c>
    </row>
    <row r="874" spans="1:4" x14ac:dyDescent="0.35">
      <c r="A874" t="s">
        <v>1792</v>
      </c>
    </row>
    <row r="875" spans="1:4" x14ac:dyDescent="0.35">
      <c r="A875" t="s">
        <v>1793</v>
      </c>
    </row>
    <row r="876" spans="1:4" s="517" customFormat="1" x14ac:dyDescent="0.35">
      <c r="A876" t="s">
        <v>1794</v>
      </c>
      <c r="B876"/>
      <c r="C876"/>
      <c r="D876"/>
    </row>
    <row r="877" spans="1:4" x14ac:dyDescent="0.35">
      <c r="A877" t="s">
        <v>1795</v>
      </c>
    </row>
    <row r="878" spans="1:4" x14ac:dyDescent="0.35">
      <c r="A878" t="s">
        <v>1796</v>
      </c>
    </row>
    <row r="879" spans="1:4" x14ac:dyDescent="0.35">
      <c r="A879" t="s">
        <v>1797</v>
      </c>
    </row>
    <row r="880" spans="1:4" x14ac:dyDescent="0.35">
      <c r="A880" t="s">
        <v>1798</v>
      </c>
    </row>
    <row r="881" spans="1:4" x14ac:dyDescent="0.35">
      <c r="A881" t="s">
        <v>1799</v>
      </c>
    </row>
    <row r="882" spans="1:4" x14ac:dyDescent="0.35">
      <c r="A882" t="s">
        <v>1800</v>
      </c>
    </row>
    <row r="883" spans="1:4" x14ac:dyDescent="0.35">
      <c r="A883" t="s">
        <v>1801</v>
      </c>
    </row>
    <row r="884" spans="1:4" x14ac:dyDescent="0.35">
      <c r="A884" t="s">
        <v>1802</v>
      </c>
    </row>
    <row r="885" spans="1:4" x14ac:dyDescent="0.35">
      <c r="A885" t="s">
        <v>1803</v>
      </c>
    </row>
    <row r="886" spans="1:4" x14ac:dyDescent="0.35">
      <c r="A886" t="s">
        <v>1804</v>
      </c>
    </row>
    <row r="887" spans="1:4" x14ac:dyDescent="0.35">
      <c r="A887" t="s">
        <v>1805</v>
      </c>
    </row>
    <row r="888" spans="1:4" s="517" customFormat="1" x14ac:dyDescent="0.35">
      <c r="A888" t="s">
        <v>1806</v>
      </c>
      <c r="B888"/>
      <c r="C888"/>
      <c r="D888"/>
    </row>
    <row r="889" spans="1:4" x14ac:dyDescent="0.35">
      <c r="A889" t="s">
        <v>1807</v>
      </c>
    </row>
    <row r="890" spans="1:4" x14ac:dyDescent="0.35">
      <c r="A890" t="s">
        <v>1808</v>
      </c>
    </row>
    <row r="891" spans="1:4" x14ac:dyDescent="0.35">
      <c r="A891" t="s">
        <v>1809</v>
      </c>
    </row>
    <row r="892" spans="1:4" x14ac:dyDescent="0.35">
      <c r="A892" t="s">
        <v>1810</v>
      </c>
    </row>
    <row r="893" spans="1:4" x14ac:dyDescent="0.35">
      <c r="A893" t="s">
        <v>1811</v>
      </c>
    </row>
    <row r="894" spans="1:4" x14ac:dyDescent="0.35">
      <c r="A894" t="s">
        <v>1812</v>
      </c>
    </row>
    <row r="895" spans="1:4" x14ac:dyDescent="0.35">
      <c r="A895" t="s">
        <v>1813</v>
      </c>
    </row>
    <row r="896" spans="1:4" x14ac:dyDescent="0.35">
      <c r="A896" t="s">
        <v>1814</v>
      </c>
    </row>
    <row r="897" spans="1:1" x14ac:dyDescent="0.35">
      <c r="A897" t="s">
        <v>1815</v>
      </c>
    </row>
    <row r="898" spans="1:1" x14ac:dyDescent="0.35">
      <c r="A898" t="s">
        <v>1816</v>
      </c>
    </row>
    <row r="899" spans="1:1" x14ac:dyDescent="0.35">
      <c r="A899" t="s">
        <v>1817</v>
      </c>
    </row>
    <row r="900" spans="1:1" x14ac:dyDescent="0.35">
      <c r="A900" t="s">
        <v>1818</v>
      </c>
    </row>
    <row r="901" spans="1:1" x14ac:dyDescent="0.35">
      <c r="A901" t="s">
        <v>1819</v>
      </c>
    </row>
    <row r="902" spans="1:1" x14ac:dyDescent="0.35">
      <c r="A902" t="s">
        <v>1820</v>
      </c>
    </row>
    <row r="903" spans="1:1" x14ac:dyDescent="0.35">
      <c r="A903" t="s">
        <v>1821</v>
      </c>
    </row>
    <row r="904" spans="1:1" x14ac:dyDescent="0.35">
      <c r="A904" t="s">
        <v>1822</v>
      </c>
    </row>
    <row r="905" spans="1:1" x14ac:dyDescent="0.35">
      <c r="A905" t="s">
        <v>1823</v>
      </c>
    </row>
    <row r="906" spans="1:1" x14ac:dyDescent="0.35">
      <c r="A906" t="s">
        <v>1824</v>
      </c>
    </row>
    <row r="907" spans="1:1" x14ac:dyDescent="0.35">
      <c r="A907" t="s">
        <v>1825</v>
      </c>
    </row>
    <row r="908" spans="1:1" x14ac:dyDescent="0.35">
      <c r="A908" t="s">
        <v>1826</v>
      </c>
    </row>
    <row r="909" spans="1:1" x14ac:dyDescent="0.35">
      <c r="A909" t="s">
        <v>1827</v>
      </c>
    </row>
    <row r="910" spans="1:1" x14ac:dyDescent="0.35">
      <c r="A910" t="s">
        <v>1828</v>
      </c>
    </row>
    <row r="911" spans="1:1" x14ac:dyDescent="0.35">
      <c r="A911" t="s">
        <v>1829</v>
      </c>
    </row>
    <row r="912" spans="1:1" x14ac:dyDescent="0.35">
      <c r="A912" t="s">
        <v>1830</v>
      </c>
    </row>
    <row r="913" spans="1:1" x14ac:dyDescent="0.35">
      <c r="A913" t="s">
        <v>1831</v>
      </c>
    </row>
    <row r="914" spans="1:1" x14ac:dyDescent="0.35">
      <c r="A914" t="s">
        <v>1832</v>
      </c>
    </row>
    <row r="915" spans="1:1" x14ac:dyDescent="0.35">
      <c r="A915" t="s">
        <v>1833</v>
      </c>
    </row>
    <row r="916" spans="1:1" x14ac:dyDescent="0.35">
      <c r="A916" t="s">
        <v>1834</v>
      </c>
    </row>
    <row r="917" spans="1:1" x14ac:dyDescent="0.35">
      <c r="A917" t="s">
        <v>1835</v>
      </c>
    </row>
    <row r="918" spans="1:1" x14ac:dyDescent="0.35">
      <c r="A918" t="s">
        <v>1836</v>
      </c>
    </row>
    <row r="919" spans="1:1" x14ac:dyDescent="0.35">
      <c r="A919" t="s">
        <v>1837</v>
      </c>
    </row>
    <row r="920" spans="1:1" x14ac:dyDescent="0.35">
      <c r="A920" t="s">
        <v>1838</v>
      </c>
    </row>
    <row r="921" spans="1:1" x14ac:dyDescent="0.35">
      <c r="A921" t="s">
        <v>1839</v>
      </c>
    </row>
    <row r="922" spans="1:1" x14ac:dyDescent="0.35">
      <c r="A922" t="s">
        <v>1840</v>
      </c>
    </row>
    <row r="923" spans="1:1" x14ac:dyDescent="0.35">
      <c r="A923" t="s">
        <v>1841</v>
      </c>
    </row>
    <row r="924" spans="1:1" x14ac:dyDescent="0.35">
      <c r="A924" t="s">
        <v>1842</v>
      </c>
    </row>
    <row r="925" spans="1:1" x14ac:dyDescent="0.35">
      <c r="A925" t="s">
        <v>1843</v>
      </c>
    </row>
    <row r="926" spans="1:1" x14ac:dyDescent="0.35">
      <c r="A926" t="s">
        <v>1844</v>
      </c>
    </row>
    <row r="927" spans="1:1" x14ac:dyDescent="0.35">
      <c r="A927" t="s">
        <v>1845</v>
      </c>
    </row>
    <row r="928" spans="1:1" x14ac:dyDescent="0.35">
      <c r="A928" t="s">
        <v>1846</v>
      </c>
    </row>
    <row r="929" spans="1:4" x14ac:dyDescent="0.35">
      <c r="A929" t="s">
        <v>1847</v>
      </c>
    </row>
    <row r="930" spans="1:4" x14ac:dyDescent="0.35">
      <c r="A930" t="s">
        <v>1848</v>
      </c>
    </row>
    <row r="931" spans="1:4" x14ac:dyDescent="0.35">
      <c r="A931" t="s">
        <v>1849</v>
      </c>
    </row>
    <row r="932" spans="1:4" x14ac:dyDescent="0.35">
      <c r="A932" t="s">
        <v>1850</v>
      </c>
    </row>
    <row r="933" spans="1:4" x14ac:dyDescent="0.35">
      <c r="A933" t="s">
        <v>1851</v>
      </c>
    </row>
    <row r="934" spans="1:4" x14ac:dyDescent="0.35">
      <c r="A934" t="s">
        <v>1852</v>
      </c>
    </row>
    <row r="935" spans="1:4" x14ac:dyDescent="0.35">
      <c r="A935" t="s">
        <v>1853</v>
      </c>
    </row>
    <row r="936" spans="1:4" x14ac:dyDescent="0.35">
      <c r="A936" t="s">
        <v>1854</v>
      </c>
    </row>
    <row r="937" spans="1:4" s="517" customFormat="1" x14ac:dyDescent="0.35">
      <c r="A937" t="s">
        <v>1855</v>
      </c>
      <c r="B937"/>
      <c r="C937"/>
      <c r="D937"/>
    </row>
    <row r="938" spans="1:4" x14ac:dyDescent="0.35">
      <c r="A938" t="s">
        <v>1856</v>
      </c>
    </row>
    <row r="939" spans="1:4" x14ac:dyDescent="0.35">
      <c r="A939" t="s">
        <v>1857</v>
      </c>
    </row>
    <row r="940" spans="1:4" x14ac:dyDescent="0.35">
      <c r="A940" t="s">
        <v>1858</v>
      </c>
    </row>
    <row r="941" spans="1:4" x14ac:dyDescent="0.35">
      <c r="A941" t="s">
        <v>1859</v>
      </c>
    </row>
    <row r="942" spans="1:4" x14ac:dyDescent="0.35">
      <c r="A942" t="s">
        <v>1860</v>
      </c>
    </row>
    <row r="943" spans="1:4" x14ac:dyDescent="0.35">
      <c r="A943" s="517" t="s">
        <v>2413</v>
      </c>
      <c r="B943" s="517"/>
      <c r="C943" s="517"/>
      <c r="D943" s="517"/>
    </row>
    <row r="944" spans="1:4" x14ac:dyDescent="0.35">
      <c r="A944" t="s">
        <v>1861</v>
      </c>
    </row>
    <row r="945" spans="1:4" x14ac:dyDescent="0.35">
      <c r="A945" t="s">
        <v>1862</v>
      </c>
    </row>
    <row r="946" spans="1:4" x14ac:dyDescent="0.35">
      <c r="A946" s="517" t="s">
        <v>2265</v>
      </c>
      <c r="B946" s="517"/>
      <c r="C946" s="517"/>
      <c r="D946" s="517"/>
    </row>
    <row r="947" spans="1:4" x14ac:dyDescent="0.35">
      <c r="A947" s="518" t="s">
        <v>2266</v>
      </c>
      <c r="B947" s="517"/>
      <c r="C947" s="517"/>
      <c r="D947" s="517"/>
    </row>
    <row r="948" spans="1:4" x14ac:dyDescent="0.35">
      <c r="A948" t="s">
        <v>1863</v>
      </c>
    </row>
    <row r="949" spans="1:4" x14ac:dyDescent="0.35">
      <c r="A949" t="s">
        <v>1864</v>
      </c>
    </row>
    <row r="950" spans="1:4" x14ac:dyDescent="0.35">
      <c r="A950" t="s">
        <v>1865</v>
      </c>
    </row>
    <row r="951" spans="1:4" x14ac:dyDescent="0.35">
      <c r="A951" t="s">
        <v>1866</v>
      </c>
    </row>
    <row r="952" spans="1:4" x14ac:dyDescent="0.35">
      <c r="A952" s="518" t="s">
        <v>2267</v>
      </c>
      <c r="B952" s="517"/>
      <c r="C952" s="517"/>
      <c r="D952" s="517"/>
    </row>
    <row r="953" spans="1:4" x14ac:dyDescent="0.35">
      <c r="A953" s="518" t="s">
        <v>2268</v>
      </c>
      <c r="B953" s="517"/>
      <c r="C953" s="517"/>
      <c r="D953" s="517"/>
    </row>
    <row r="954" spans="1:4" x14ac:dyDescent="0.35">
      <c r="A954" t="s">
        <v>1867</v>
      </c>
    </row>
    <row r="955" spans="1:4" x14ac:dyDescent="0.35">
      <c r="A955" t="s">
        <v>1868</v>
      </c>
    </row>
    <row r="956" spans="1:4" x14ac:dyDescent="0.35">
      <c r="A956" t="s">
        <v>1869</v>
      </c>
    </row>
    <row r="957" spans="1:4" x14ac:dyDescent="0.35">
      <c r="A957" t="s">
        <v>1870</v>
      </c>
    </row>
    <row r="958" spans="1:4" x14ac:dyDescent="0.35">
      <c r="A958" t="s">
        <v>1871</v>
      </c>
    </row>
    <row r="959" spans="1:4" x14ac:dyDescent="0.35">
      <c r="A959" t="s">
        <v>1872</v>
      </c>
    </row>
    <row r="960" spans="1:4" x14ac:dyDescent="0.35">
      <c r="A960" t="s">
        <v>1873</v>
      </c>
    </row>
    <row r="961" spans="1:1" x14ac:dyDescent="0.35">
      <c r="A961" t="s">
        <v>1874</v>
      </c>
    </row>
    <row r="962" spans="1:1" x14ac:dyDescent="0.35">
      <c r="A962" t="s">
        <v>1875</v>
      </c>
    </row>
    <row r="963" spans="1:1" x14ac:dyDescent="0.35">
      <c r="A963" t="s">
        <v>1876</v>
      </c>
    </row>
    <row r="964" spans="1:1" x14ac:dyDescent="0.35">
      <c r="A964" t="s">
        <v>1877</v>
      </c>
    </row>
    <row r="965" spans="1:1" x14ac:dyDescent="0.35">
      <c r="A965" t="s">
        <v>1878</v>
      </c>
    </row>
    <row r="966" spans="1:1" x14ac:dyDescent="0.35">
      <c r="A966" t="s">
        <v>1879</v>
      </c>
    </row>
    <row r="967" spans="1:1" x14ac:dyDescent="0.35">
      <c r="A967" t="s">
        <v>1880</v>
      </c>
    </row>
    <row r="968" spans="1:1" x14ac:dyDescent="0.35">
      <c r="A968" t="s">
        <v>1881</v>
      </c>
    </row>
    <row r="969" spans="1:1" x14ac:dyDescent="0.35">
      <c r="A969" t="s">
        <v>1882</v>
      </c>
    </row>
    <row r="970" spans="1:1" x14ac:dyDescent="0.35">
      <c r="A970" t="s">
        <v>1883</v>
      </c>
    </row>
    <row r="971" spans="1:1" x14ac:dyDescent="0.35">
      <c r="A971" t="s">
        <v>1884</v>
      </c>
    </row>
    <row r="972" spans="1:1" x14ac:dyDescent="0.35">
      <c r="A972" t="s">
        <v>1885</v>
      </c>
    </row>
    <row r="973" spans="1:1" x14ac:dyDescent="0.35">
      <c r="A973" t="s">
        <v>1886</v>
      </c>
    </row>
    <row r="974" spans="1:1" x14ac:dyDescent="0.35">
      <c r="A974" t="s">
        <v>1887</v>
      </c>
    </row>
    <row r="975" spans="1:1" x14ac:dyDescent="0.35">
      <c r="A975" t="s">
        <v>1888</v>
      </c>
    </row>
    <row r="976" spans="1:1" x14ac:dyDescent="0.35">
      <c r="A976" t="s">
        <v>1889</v>
      </c>
    </row>
    <row r="977" spans="1:1" x14ac:dyDescent="0.35">
      <c r="A977" t="s">
        <v>1890</v>
      </c>
    </row>
    <row r="978" spans="1:1" x14ac:dyDescent="0.35">
      <c r="A978" t="s">
        <v>1891</v>
      </c>
    </row>
    <row r="979" spans="1:1" x14ac:dyDescent="0.35">
      <c r="A979" t="s">
        <v>1892</v>
      </c>
    </row>
    <row r="980" spans="1:1" x14ac:dyDescent="0.35">
      <c r="A980" t="s">
        <v>1893</v>
      </c>
    </row>
    <row r="981" spans="1:1" x14ac:dyDescent="0.35">
      <c r="A981" t="s">
        <v>1894</v>
      </c>
    </row>
    <row r="982" spans="1:1" x14ac:dyDescent="0.35">
      <c r="A982" t="s">
        <v>1895</v>
      </c>
    </row>
    <row r="983" spans="1:1" x14ac:dyDescent="0.35">
      <c r="A983" t="s">
        <v>1896</v>
      </c>
    </row>
    <row r="984" spans="1:1" x14ac:dyDescent="0.35">
      <c r="A984" t="s">
        <v>1897</v>
      </c>
    </row>
    <row r="985" spans="1:1" x14ac:dyDescent="0.35">
      <c r="A985" t="s">
        <v>1898</v>
      </c>
    </row>
    <row r="986" spans="1:1" x14ac:dyDescent="0.35">
      <c r="A986" t="s">
        <v>1899</v>
      </c>
    </row>
    <row r="987" spans="1:1" x14ac:dyDescent="0.35">
      <c r="A987" t="s">
        <v>1900</v>
      </c>
    </row>
    <row r="988" spans="1:1" x14ac:dyDescent="0.35">
      <c r="A988" t="s">
        <v>1901</v>
      </c>
    </row>
    <row r="989" spans="1:1" x14ac:dyDescent="0.35">
      <c r="A989" t="s">
        <v>1902</v>
      </c>
    </row>
    <row r="990" spans="1:1" x14ac:dyDescent="0.35">
      <c r="A990" t="s">
        <v>1903</v>
      </c>
    </row>
    <row r="991" spans="1:1" x14ac:dyDescent="0.35">
      <c r="A991" t="s">
        <v>1904</v>
      </c>
    </row>
    <row r="992" spans="1:1" x14ac:dyDescent="0.35">
      <c r="A992" t="s">
        <v>1905</v>
      </c>
    </row>
    <row r="993" spans="1:4" x14ac:dyDescent="0.35">
      <c r="A993" t="s">
        <v>1906</v>
      </c>
    </row>
    <row r="994" spans="1:4" x14ac:dyDescent="0.35">
      <c r="A994" t="s">
        <v>1907</v>
      </c>
    </row>
    <row r="995" spans="1:4" x14ac:dyDescent="0.35">
      <c r="A995" t="s">
        <v>1908</v>
      </c>
    </row>
    <row r="996" spans="1:4" x14ac:dyDescent="0.35">
      <c r="A996" t="s">
        <v>1909</v>
      </c>
    </row>
    <row r="997" spans="1:4" x14ac:dyDescent="0.35">
      <c r="A997" t="s">
        <v>1910</v>
      </c>
    </row>
    <row r="998" spans="1:4" x14ac:dyDescent="0.35">
      <c r="A998" t="s">
        <v>1911</v>
      </c>
    </row>
    <row r="999" spans="1:4" x14ac:dyDescent="0.35">
      <c r="A999" t="s">
        <v>1912</v>
      </c>
    </row>
    <row r="1000" spans="1:4" x14ac:dyDescent="0.35">
      <c r="A1000" t="s">
        <v>1913</v>
      </c>
    </row>
    <row r="1001" spans="1:4" x14ac:dyDescent="0.35">
      <c r="A1001" t="s">
        <v>1914</v>
      </c>
    </row>
    <row r="1002" spans="1:4" x14ac:dyDescent="0.35">
      <c r="A1002" t="s">
        <v>1915</v>
      </c>
    </row>
    <row r="1003" spans="1:4" x14ac:dyDescent="0.35">
      <c r="A1003" t="s">
        <v>1916</v>
      </c>
    </row>
    <row r="1004" spans="1:4" x14ac:dyDescent="0.35">
      <c r="A1004" t="s">
        <v>1917</v>
      </c>
    </row>
    <row r="1005" spans="1:4" x14ac:dyDescent="0.35">
      <c r="A1005" t="s">
        <v>1918</v>
      </c>
    </row>
    <row r="1006" spans="1:4" x14ac:dyDescent="0.35">
      <c r="A1006" s="517" t="s">
        <v>2269</v>
      </c>
      <c r="B1006" s="517"/>
      <c r="C1006" s="517"/>
      <c r="D1006" s="517"/>
    </row>
    <row r="1007" spans="1:4" x14ac:dyDescent="0.35">
      <c r="A1007" t="s">
        <v>1919</v>
      </c>
    </row>
    <row r="1008" spans="1:4" x14ac:dyDescent="0.35">
      <c r="A1008" t="s">
        <v>1920</v>
      </c>
    </row>
    <row r="1009" spans="1:4" x14ac:dyDescent="0.35">
      <c r="A1009" t="s">
        <v>1921</v>
      </c>
    </row>
    <row r="1010" spans="1:4" x14ac:dyDescent="0.35">
      <c r="A1010" t="s">
        <v>1922</v>
      </c>
    </row>
    <row r="1011" spans="1:4" x14ac:dyDescent="0.35">
      <c r="A1011" t="s">
        <v>1923</v>
      </c>
    </row>
    <row r="1012" spans="1:4" x14ac:dyDescent="0.35">
      <c r="A1012" t="s">
        <v>1924</v>
      </c>
    </row>
    <row r="1013" spans="1:4" x14ac:dyDescent="0.35">
      <c r="A1013" t="s">
        <v>1925</v>
      </c>
    </row>
    <row r="1014" spans="1:4" x14ac:dyDescent="0.35">
      <c r="A1014" t="s">
        <v>1926</v>
      </c>
    </row>
    <row r="1015" spans="1:4" x14ac:dyDescent="0.35">
      <c r="A1015" t="s">
        <v>1927</v>
      </c>
    </row>
    <row r="1016" spans="1:4" x14ac:dyDescent="0.35">
      <c r="A1016" t="s">
        <v>1928</v>
      </c>
    </row>
    <row r="1017" spans="1:4" x14ac:dyDescent="0.35">
      <c r="A1017" t="s">
        <v>1929</v>
      </c>
    </row>
    <row r="1018" spans="1:4" x14ac:dyDescent="0.35">
      <c r="A1018" s="517" t="s">
        <v>2414</v>
      </c>
      <c r="B1018" s="517"/>
      <c r="C1018" s="517"/>
      <c r="D1018" s="517"/>
    </row>
    <row r="1019" spans="1:4" x14ac:dyDescent="0.35">
      <c r="A1019" t="s">
        <v>1930</v>
      </c>
    </row>
    <row r="1020" spans="1:4" x14ac:dyDescent="0.35">
      <c r="A1020" t="s">
        <v>1931</v>
      </c>
    </row>
    <row r="1021" spans="1:4" x14ac:dyDescent="0.35">
      <c r="A1021" t="s">
        <v>1932</v>
      </c>
    </row>
    <row r="1022" spans="1:4" x14ac:dyDescent="0.35">
      <c r="A1022" t="s">
        <v>1933</v>
      </c>
    </row>
    <row r="1023" spans="1:4" x14ac:dyDescent="0.35">
      <c r="A1023" t="s">
        <v>1934</v>
      </c>
    </row>
    <row r="1024" spans="1:4" x14ac:dyDescent="0.35">
      <c r="A1024" t="s">
        <v>1935</v>
      </c>
    </row>
    <row r="1025" spans="1:2" x14ac:dyDescent="0.35">
      <c r="A1025" t="s">
        <v>1936</v>
      </c>
    </row>
    <row r="1026" spans="1:2" x14ac:dyDescent="0.35">
      <c r="A1026" t="s">
        <v>1937</v>
      </c>
    </row>
    <row r="1027" spans="1:2" x14ac:dyDescent="0.35">
      <c r="A1027" t="s">
        <v>1938</v>
      </c>
    </row>
    <row r="1028" spans="1:2" x14ac:dyDescent="0.35">
      <c r="A1028" t="s">
        <v>1939</v>
      </c>
    </row>
    <row r="1029" spans="1:2" x14ac:dyDescent="0.35">
      <c r="A1029" t="s">
        <v>1940</v>
      </c>
    </row>
    <row r="1030" spans="1:2" x14ac:dyDescent="0.35">
      <c r="A1030" t="s">
        <v>1941</v>
      </c>
    </row>
    <row r="1031" spans="1:2" x14ac:dyDescent="0.35">
      <c r="A1031" t="s">
        <v>1942</v>
      </c>
    </row>
    <row r="1032" spans="1:2" x14ac:dyDescent="0.35">
      <c r="A1032" t="s">
        <v>1943</v>
      </c>
    </row>
    <row r="1033" spans="1:2" x14ac:dyDescent="0.35">
      <c r="A1033" t="s">
        <v>1944</v>
      </c>
    </row>
    <row r="1034" spans="1:2" x14ac:dyDescent="0.35">
      <c r="A1034" t="s">
        <v>1945</v>
      </c>
      <c r="B1034">
        <v>50</v>
      </c>
    </row>
    <row r="1035" spans="1:2" x14ac:dyDescent="0.35">
      <c r="A1035" t="s">
        <v>1946</v>
      </c>
    </row>
    <row r="1036" spans="1:2" x14ac:dyDescent="0.35">
      <c r="A1036" s="518" t="s">
        <v>2026</v>
      </c>
    </row>
    <row r="1037" spans="1:2" x14ac:dyDescent="0.35">
      <c r="A1037" s="518" t="s">
        <v>2027</v>
      </c>
    </row>
    <row r="1038" spans="1:2" x14ac:dyDescent="0.35">
      <c r="A1038" s="518" t="s">
        <v>2028</v>
      </c>
    </row>
    <row r="1039" spans="1:2" x14ac:dyDescent="0.35">
      <c r="A1039" s="518" t="s">
        <v>2029</v>
      </c>
    </row>
    <row r="1040" spans="1:2" x14ac:dyDescent="0.35">
      <c r="A1040" s="518" t="s">
        <v>2030</v>
      </c>
    </row>
    <row r="1041" spans="1:1" x14ac:dyDescent="0.35">
      <c r="A1041" s="518" t="s">
        <v>2031</v>
      </c>
    </row>
    <row r="1042" spans="1:1" x14ac:dyDescent="0.35">
      <c r="A1042" s="518" t="s">
        <v>2032</v>
      </c>
    </row>
    <row r="1043" spans="1:1" x14ac:dyDescent="0.35">
      <c r="A1043" s="518" t="s">
        <v>2033</v>
      </c>
    </row>
    <row r="1044" spans="1:1" x14ac:dyDescent="0.35">
      <c r="A1044" s="518" t="s">
        <v>2034</v>
      </c>
    </row>
    <row r="1045" spans="1:1" x14ac:dyDescent="0.35">
      <c r="A1045" s="518" t="s">
        <v>2035</v>
      </c>
    </row>
    <row r="1046" spans="1:1" x14ac:dyDescent="0.35">
      <c r="A1046" s="518" t="s">
        <v>2036</v>
      </c>
    </row>
    <row r="1047" spans="1:1" x14ac:dyDescent="0.35">
      <c r="A1047" s="518" t="s">
        <v>2037</v>
      </c>
    </row>
    <row r="1048" spans="1:1" x14ac:dyDescent="0.35">
      <c r="A1048" s="518" t="s">
        <v>2038</v>
      </c>
    </row>
    <row r="1049" spans="1:1" x14ac:dyDescent="0.35">
      <c r="A1049" s="518" t="s">
        <v>2039</v>
      </c>
    </row>
    <row r="1050" spans="1:1" x14ac:dyDescent="0.35">
      <c r="A1050" s="518" t="s">
        <v>2040</v>
      </c>
    </row>
    <row r="1051" spans="1:1" x14ac:dyDescent="0.35">
      <c r="A1051" s="518" t="s">
        <v>2041</v>
      </c>
    </row>
    <row r="1052" spans="1:1" x14ac:dyDescent="0.35">
      <c r="A1052" s="518" t="s">
        <v>2042</v>
      </c>
    </row>
    <row r="1053" spans="1:1" x14ac:dyDescent="0.35">
      <c r="A1053" s="518" t="s">
        <v>2043</v>
      </c>
    </row>
    <row r="1054" spans="1:1" x14ac:dyDescent="0.35">
      <c r="A1054" s="518" t="s">
        <v>2044</v>
      </c>
    </row>
    <row r="1055" spans="1:1" x14ac:dyDescent="0.35">
      <c r="A1055" s="518" t="s">
        <v>2045</v>
      </c>
    </row>
    <row r="1056" spans="1:1" x14ac:dyDescent="0.35">
      <c r="A1056" s="518" t="s">
        <v>2046</v>
      </c>
    </row>
    <row r="1057" spans="1:4" x14ac:dyDescent="0.35">
      <c r="A1057" s="518" t="s">
        <v>2047</v>
      </c>
    </row>
    <row r="1058" spans="1:4" x14ac:dyDescent="0.35">
      <c r="A1058" s="518" t="s">
        <v>2048</v>
      </c>
    </row>
    <row r="1059" spans="1:4" x14ac:dyDescent="0.35">
      <c r="A1059" s="518" t="s">
        <v>2049</v>
      </c>
    </row>
    <row r="1060" spans="1:4" x14ac:dyDescent="0.35">
      <c r="A1060" s="518" t="s">
        <v>2050</v>
      </c>
    </row>
    <row r="1061" spans="1:4" x14ac:dyDescent="0.35">
      <c r="A1061" s="518" t="s">
        <v>2051</v>
      </c>
    </row>
    <row r="1062" spans="1:4" x14ac:dyDescent="0.35">
      <c r="A1062" s="518" t="s">
        <v>2052</v>
      </c>
    </row>
    <row r="1063" spans="1:4" x14ac:dyDescent="0.35">
      <c r="A1063" s="518" t="s">
        <v>2053</v>
      </c>
    </row>
    <row r="1064" spans="1:4" x14ac:dyDescent="0.35">
      <c r="A1064" s="518" t="s">
        <v>2054</v>
      </c>
    </row>
    <row r="1065" spans="1:4" x14ac:dyDescent="0.35">
      <c r="A1065" s="518" t="s">
        <v>2055</v>
      </c>
    </row>
    <row r="1066" spans="1:4" x14ac:dyDescent="0.35">
      <c r="A1066" s="518" t="s">
        <v>2056</v>
      </c>
    </row>
    <row r="1067" spans="1:4" x14ac:dyDescent="0.35">
      <c r="A1067" s="518" t="s">
        <v>2181</v>
      </c>
      <c r="B1067" s="517"/>
      <c r="C1067" s="517"/>
      <c r="D1067" s="517"/>
    </row>
    <row r="1068" spans="1:4" x14ac:dyDescent="0.35">
      <c r="A1068" s="518" t="s">
        <v>2057</v>
      </c>
    </row>
    <row r="1069" spans="1:4" x14ac:dyDescent="0.35">
      <c r="A1069" s="518" t="s">
        <v>2058</v>
      </c>
    </row>
    <row r="1070" spans="1:4" x14ac:dyDescent="0.35">
      <c r="A1070" s="518" t="s">
        <v>2059</v>
      </c>
    </row>
    <row r="1071" spans="1:4" x14ac:dyDescent="0.35">
      <c r="A1071" s="518" t="s">
        <v>2060</v>
      </c>
    </row>
    <row r="1072" spans="1:4" x14ac:dyDescent="0.35">
      <c r="A1072" s="518" t="s">
        <v>2061</v>
      </c>
    </row>
    <row r="1073" spans="1:1" x14ac:dyDescent="0.35">
      <c r="A1073" s="518" t="s">
        <v>2062</v>
      </c>
    </row>
    <row r="1074" spans="1:1" x14ac:dyDescent="0.35">
      <c r="A1074" s="518" t="s">
        <v>2063</v>
      </c>
    </row>
    <row r="1075" spans="1:1" x14ac:dyDescent="0.35">
      <c r="A1075" s="518" t="s">
        <v>2064</v>
      </c>
    </row>
    <row r="1076" spans="1:1" x14ac:dyDescent="0.35">
      <c r="A1076" s="518" t="s">
        <v>2065</v>
      </c>
    </row>
    <row r="1077" spans="1:1" x14ac:dyDescent="0.35">
      <c r="A1077" s="518" t="s">
        <v>2066</v>
      </c>
    </row>
    <row r="1078" spans="1:1" x14ac:dyDescent="0.35">
      <c r="A1078" s="518" t="s">
        <v>2067</v>
      </c>
    </row>
    <row r="1079" spans="1:1" x14ac:dyDescent="0.35">
      <c r="A1079" s="518" t="s">
        <v>2068</v>
      </c>
    </row>
    <row r="1080" spans="1:1" x14ac:dyDescent="0.35">
      <c r="A1080" s="518" t="s">
        <v>2069</v>
      </c>
    </row>
    <row r="1081" spans="1:1" x14ac:dyDescent="0.35">
      <c r="A1081" s="518" t="s">
        <v>2070</v>
      </c>
    </row>
    <row r="1082" spans="1:1" x14ac:dyDescent="0.35">
      <c r="A1082" s="518" t="s">
        <v>2071</v>
      </c>
    </row>
    <row r="1083" spans="1:1" x14ac:dyDescent="0.35">
      <c r="A1083" s="518" t="s">
        <v>2072</v>
      </c>
    </row>
    <row r="1084" spans="1:1" x14ac:dyDescent="0.35">
      <c r="A1084" s="518" t="s">
        <v>2073</v>
      </c>
    </row>
    <row r="1085" spans="1:1" x14ac:dyDescent="0.35">
      <c r="A1085" s="518" t="s">
        <v>2074</v>
      </c>
    </row>
    <row r="1086" spans="1:1" x14ac:dyDescent="0.35">
      <c r="A1086" s="518" t="s">
        <v>2075</v>
      </c>
    </row>
    <row r="1087" spans="1:1" x14ac:dyDescent="0.35">
      <c r="A1087" s="518" t="s">
        <v>2076</v>
      </c>
    </row>
    <row r="1088" spans="1:1" x14ac:dyDescent="0.35">
      <c r="A1088" s="518" t="s">
        <v>2077</v>
      </c>
    </row>
    <row r="1089" spans="1:1" x14ac:dyDescent="0.35">
      <c r="A1089" s="518" t="s">
        <v>2078</v>
      </c>
    </row>
    <row r="1090" spans="1:1" x14ac:dyDescent="0.35">
      <c r="A1090" s="518" t="s">
        <v>2079</v>
      </c>
    </row>
    <row r="1091" spans="1:1" x14ac:dyDescent="0.35">
      <c r="A1091" s="518" t="s">
        <v>2080</v>
      </c>
    </row>
    <row r="1092" spans="1:1" x14ac:dyDescent="0.35">
      <c r="A1092" s="518" t="s">
        <v>2081</v>
      </c>
    </row>
    <row r="1093" spans="1:1" x14ac:dyDescent="0.35">
      <c r="A1093" s="518" t="s">
        <v>2082</v>
      </c>
    </row>
    <row r="1094" spans="1:1" x14ac:dyDescent="0.35">
      <c r="A1094" s="518" t="s">
        <v>2083</v>
      </c>
    </row>
    <row r="1095" spans="1:1" x14ac:dyDescent="0.35">
      <c r="A1095" s="518" t="s">
        <v>2084</v>
      </c>
    </row>
    <row r="1096" spans="1:1" x14ac:dyDescent="0.35">
      <c r="A1096" s="518" t="s">
        <v>2085</v>
      </c>
    </row>
    <row r="1097" spans="1:1" x14ac:dyDescent="0.35">
      <c r="A1097" s="518" t="s">
        <v>2086</v>
      </c>
    </row>
    <row r="1098" spans="1:1" x14ac:dyDescent="0.35">
      <c r="A1098" s="518" t="s">
        <v>2087</v>
      </c>
    </row>
    <row r="1099" spans="1:1" x14ac:dyDescent="0.35">
      <c r="A1099" t="s">
        <v>2088</v>
      </c>
    </row>
    <row r="1100" spans="1:1" x14ac:dyDescent="0.35">
      <c r="A1100" s="517" t="s">
        <v>2089</v>
      </c>
    </row>
    <row r="1101" spans="1:1" x14ac:dyDescent="0.35">
      <c r="A1101" s="517" t="s">
        <v>2090</v>
      </c>
    </row>
    <row r="1102" spans="1:1" x14ac:dyDescent="0.35">
      <c r="A1102" s="517" t="s">
        <v>2091</v>
      </c>
    </row>
    <row r="1103" spans="1:1" x14ac:dyDescent="0.35">
      <c r="A1103" s="517" t="s">
        <v>2092</v>
      </c>
    </row>
    <row r="1104" spans="1:1" x14ac:dyDescent="0.35">
      <c r="A1104" s="517" t="s">
        <v>2093</v>
      </c>
    </row>
    <row r="1105" spans="1:1" x14ac:dyDescent="0.35">
      <c r="A1105" s="517" t="s">
        <v>2094</v>
      </c>
    </row>
    <row r="1106" spans="1:1" x14ac:dyDescent="0.35">
      <c r="A1106" s="517" t="s">
        <v>2095</v>
      </c>
    </row>
    <row r="1107" spans="1:1" x14ac:dyDescent="0.35">
      <c r="A1107" s="517" t="s">
        <v>2096</v>
      </c>
    </row>
    <row r="1108" spans="1:1" x14ac:dyDescent="0.35">
      <c r="A1108" s="517" t="s">
        <v>2097</v>
      </c>
    </row>
    <row r="1109" spans="1:1" x14ac:dyDescent="0.35">
      <c r="A1109" s="517" t="s">
        <v>2098</v>
      </c>
    </row>
    <row r="1110" spans="1:1" x14ac:dyDescent="0.35">
      <c r="A1110" s="517" t="s">
        <v>2099</v>
      </c>
    </row>
    <row r="1111" spans="1:1" x14ac:dyDescent="0.35">
      <c r="A1111" s="517" t="s">
        <v>2100</v>
      </c>
    </row>
    <row r="1112" spans="1:1" x14ac:dyDescent="0.35">
      <c r="A1112" s="517" t="s">
        <v>2101</v>
      </c>
    </row>
    <row r="1113" spans="1:1" x14ac:dyDescent="0.35">
      <c r="A1113" s="517" t="s">
        <v>2102</v>
      </c>
    </row>
    <row r="1114" spans="1:1" x14ac:dyDescent="0.35">
      <c r="A1114" s="517" t="s">
        <v>2103</v>
      </c>
    </row>
    <row r="1115" spans="1:1" x14ac:dyDescent="0.35">
      <c r="A1115" s="517" t="s">
        <v>2104</v>
      </c>
    </row>
    <row r="1116" spans="1:1" x14ac:dyDescent="0.35">
      <c r="A1116" s="517" t="s">
        <v>2105</v>
      </c>
    </row>
    <row r="1117" spans="1:1" x14ac:dyDescent="0.35">
      <c r="A1117" s="517" t="s">
        <v>2106</v>
      </c>
    </row>
    <row r="1118" spans="1:1" x14ac:dyDescent="0.35">
      <c r="A1118" s="517" t="s">
        <v>2107</v>
      </c>
    </row>
    <row r="1119" spans="1:1" x14ac:dyDescent="0.35">
      <c r="A1119" s="517" t="s">
        <v>2108</v>
      </c>
    </row>
    <row r="1120" spans="1:1" x14ac:dyDescent="0.35">
      <c r="A1120" s="517" t="s">
        <v>2109</v>
      </c>
    </row>
    <row r="1121" spans="1:1" x14ac:dyDescent="0.35">
      <c r="A1121" s="517" t="s">
        <v>2110</v>
      </c>
    </row>
    <row r="1122" spans="1:1" x14ac:dyDescent="0.35">
      <c r="A1122" s="517" t="s">
        <v>2111</v>
      </c>
    </row>
    <row r="1123" spans="1:1" x14ac:dyDescent="0.35">
      <c r="A1123" s="517" t="s">
        <v>2112</v>
      </c>
    </row>
    <row r="1124" spans="1:1" x14ac:dyDescent="0.35">
      <c r="A1124" s="517" t="s">
        <v>2113</v>
      </c>
    </row>
    <row r="1125" spans="1:1" x14ac:dyDescent="0.35">
      <c r="A1125" s="517" t="s">
        <v>2114</v>
      </c>
    </row>
    <row r="1126" spans="1:1" x14ac:dyDescent="0.35">
      <c r="A1126" s="517" t="s">
        <v>2115</v>
      </c>
    </row>
    <row r="1127" spans="1:1" x14ac:dyDescent="0.35">
      <c r="A1127" s="517" t="s">
        <v>2116</v>
      </c>
    </row>
    <row r="1128" spans="1:1" x14ac:dyDescent="0.35">
      <c r="A1128" s="517" t="s">
        <v>2117</v>
      </c>
    </row>
    <row r="1129" spans="1:1" x14ac:dyDescent="0.35">
      <c r="A1129" s="517" t="s">
        <v>2118</v>
      </c>
    </row>
    <row r="1130" spans="1:1" x14ac:dyDescent="0.35">
      <c r="A1130" t="s">
        <v>2119</v>
      </c>
    </row>
    <row r="1131" spans="1:1" x14ac:dyDescent="0.35">
      <c r="A1131" s="517" t="s">
        <v>2120</v>
      </c>
    </row>
    <row r="1132" spans="1:1" x14ac:dyDescent="0.35">
      <c r="A1132" s="517" t="s">
        <v>2121</v>
      </c>
    </row>
    <row r="1133" spans="1:1" x14ac:dyDescent="0.35">
      <c r="A1133" s="517" t="s">
        <v>2122</v>
      </c>
    </row>
    <row r="1134" spans="1:1" x14ac:dyDescent="0.35">
      <c r="A1134" s="517" t="s">
        <v>2123</v>
      </c>
    </row>
    <row r="1135" spans="1:1" x14ac:dyDescent="0.35">
      <c r="A1135" s="517" t="s">
        <v>2124</v>
      </c>
    </row>
    <row r="1136" spans="1:1" x14ac:dyDescent="0.35">
      <c r="A1136" s="517" t="s">
        <v>2125</v>
      </c>
    </row>
    <row r="1137" spans="1:1" x14ac:dyDescent="0.35">
      <c r="A1137" s="517" t="s">
        <v>2126</v>
      </c>
    </row>
    <row r="1138" spans="1:1" x14ac:dyDescent="0.35">
      <c r="A1138" s="517" t="s">
        <v>2127</v>
      </c>
    </row>
    <row r="1139" spans="1:1" x14ac:dyDescent="0.35">
      <c r="A1139" s="517" t="s">
        <v>2128</v>
      </c>
    </row>
    <row r="1140" spans="1:1" x14ac:dyDescent="0.35">
      <c r="A1140" s="517" t="s">
        <v>2129</v>
      </c>
    </row>
    <row r="1141" spans="1:1" x14ac:dyDescent="0.35">
      <c r="A1141" s="517" t="s">
        <v>2130</v>
      </c>
    </row>
    <row r="1142" spans="1:1" x14ac:dyDescent="0.35">
      <c r="A1142" s="517" t="s">
        <v>2131</v>
      </c>
    </row>
    <row r="1143" spans="1:1" x14ac:dyDescent="0.35">
      <c r="A1143" s="517" t="s">
        <v>2132</v>
      </c>
    </row>
    <row r="1144" spans="1:1" x14ac:dyDescent="0.35">
      <c r="A1144" s="517" t="s">
        <v>2133</v>
      </c>
    </row>
    <row r="1145" spans="1:1" x14ac:dyDescent="0.35">
      <c r="A1145" s="517" t="s">
        <v>2134</v>
      </c>
    </row>
    <row r="1146" spans="1:1" x14ac:dyDescent="0.35">
      <c r="A1146" s="517" t="s">
        <v>2135</v>
      </c>
    </row>
    <row r="1147" spans="1:1" x14ac:dyDescent="0.35">
      <c r="A1147" s="517" t="s">
        <v>2136</v>
      </c>
    </row>
    <row r="1148" spans="1:1" x14ac:dyDescent="0.35">
      <c r="A1148" s="517" t="s">
        <v>2137</v>
      </c>
    </row>
    <row r="1149" spans="1:1" x14ac:dyDescent="0.35">
      <c r="A1149" s="517" t="s">
        <v>2138</v>
      </c>
    </row>
    <row r="1150" spans="1:1" x14ac:dyDescent="0.35">
      <c r="A1150" s="517" t="s">
        <v>2139</v>
      </c>
    </row>
    <row r="1151" spans="1:1" x14ac:dyDescent="0.35">
      <c r="A1151" s="517" t="s">
        <v>2140</v>
      </c>
    </row>
    <row r="1152" spans="1:1" x14ac:dyDescent="0.35">
      <c r="A1152" s="517" t="s">
        <v>2141</v>
      </c>
    </row>
    <row r="1153" spans="1:1" x14ac:dyDescent="0.35">
      <c r="A1153" s="517" t="s">
        <v>2142</v>
      </c>
    </row>
    <row r="1154" spans="1:1" x14ac:dyDescent="0.35">
      <c r="A1154" s="517" t="s">
        <v>2143</v>
      </c>
    </row>
    <row r="1155" spans="1:1" x14ac:dyDescent="0.35">
      <c r="A1155" s="517" t="s">
        <v>2144</v>
      </c>
    </row>
    <row r="1156" spans="1:1" x14ac:dyDescent="0.35">
      <c r="A1156" s="517" t="s">
        <v>2145</v>
      </c>
    </row>
    <row r="1157" spans="1:1" x14ac:dyDescent="0.35">
      <c r="A1157" s="517" t="s">
        <v>2146</v>
      </c>
    </row>
    <row r="1158" spans="1:1" x14ac:dyDescent="0.35">
      <c r="A1158" s="517" t="s">
        <v>2147</v>
      </c>
    </row>
    <row r="1159" spans="1:1" x14ac:dyDescent="0.35">
      <c r="A1159" s="517" t="s">
        <v>2148</v>
      </c>
    </row>
    <row r="1160" spans="1:1" x14ac:dyDescent="0.35">
      <c r="A1160" s="517" t="s">
        <v>2149</v>
      </c>
    </row>
    <row r="1161" spans="1:1" x14ac:dyDescent="0.35">
      <c r="A1161" t="s">
        <v>2150</v>
      </c>
    </row>
    <row r="1162" spans="1:1" x14ac:dyDescent="0.35">
      <c r="A1162" s="517" t="s">
        <v>2151</v>
      </c>
    </row>
    <row r="1163" spans="1:1" x14ac:dyDescent="0.35">
      <c r="A1163" s="517" t="s">
        <v>2152</v>
      </c>
    </row>
    <row r="1164" spans="1:1" x14ac:dyDescent="0.35">
      <c r="A1164" s="517" t="s">
        <v>2153</v>
      </c>
    </row>
    <row r="1165" spans="1:1" x14ac:dyDescent="0.35">
      <c r="A1165" s="517" t="s">
        <v>2154</v>
      </c>
    </row>
    <row r="1166" spans="1:1" x14ac:dyDescent="0.35">
      <c r="A1166" s="517" t="s">
        <v>2155</v>
      </c>
    </row>
    <row r="1167" spans="1:1" x14ac:dyDescent="0.35">
      <c r="A1167" s="517" t="s">
        <v>2156</v>
      </c>
    </row>
    <row r="1168" spans="1:1" x14ac:dyDescent="0.35">
      <c r="A1168" s="517" t="s">
        <v>2157</v>
      </c>
    </row>
    <row r="1169" spans="1:1" x14ac:dyDescent="0.35">
      <c r="A1169" s="517" t="s">
        <v>2158</v>
      </c>
    </row>
    <row r="1170" spans="1:1" x14ac:dyDescent="0.35">
      <c r="A1170" s="517" t="s">
        <v>2159</v>
      </c>
    </row>
    <row r="1171" spans="1:1" x14ac:dyDescent="0.35">
      <c r="A1171" s="517" t="s">
        <v>2160</v>
      </c>
    </row>
    <row r="1172" spans="1:1" x14ac:dyDescent="0.35">
      <c r="A1172" s="517" t="s">
        <v>2161</v>
      </c>
    </row>
    <row r="1173" spans="1:1" x14ac:dyDescent="0.35">
      <c r="A1173" s="517" t="s">
        <v>2162</v>
      </c>
    </row>
    <row r="1174" spans="1:1" x14ac:dyDescent="0.35">
      <c r="A1174" s="517" t="s">
        <v>2163</v>
      </c>
    </row>
    <row r="1175" spans="1:1" x14ac:dyDescent="0.35">
      <c r="A1175" s="517" t="s">
        <v>2164</v>
      </c>
    </row>
    <row r="1176" spans="1:1" x14ac:dyDescent="0.35">
      <c r="A1176" s="517" t="s">
        <v>2165</v>
      </c>
    </row>
    <row r="1177" spans="1:1" x14ac:dyDescent="0.35">
      <c r="A1177" s="517" t="s">
        <v>2166</v>
      </c>
    </row>
    <row r="1178" spans="1:1" x14ac:dyDescent="0.35">
      <c r="A1178" s="517" t="s">
        <v>2167</v>
      </c>
    </row>
    <row r="1179" spans="1:1" x14ac:dyDescent="0.35">
      <c r="A1179" s="517" t="s">
        <v>2168</v>
      </c>
    </row>
    <row r="1180" spans="1:1" x14ac:dyDescent="0.35">
      <c r="A1180" s="517" t="s">
        <v>2169</v>
      </c>
    </row>
    <row r="1181" spans="1:1" x14ac:dyDescent="0.35">
      <c r="A1181" s="517" t="s">
        <v>2170</v>
      </c>
    </row>
    <row r="1182" spans="1:1" x14ac:dyDescent="0.35">
      <c r="A1182" s="517" t="s">
        <v>2171</v>
      </c>
    </row>
    <row r="1183" spans="1:1" x14ac:dyDescent="0.35">
      <c r="A1183" s="517" t="s">
        <v>2172</v>
      </c>
    </row>
    <row r="1184" spans="1:1" x14ac:dyDescent="0.35">
      <c r="A1184" s="517" t="s">
        <v>2173</v>
      </c>
    </row>
    <row r="1185" spans="1:1" x14ac:dyDescent="0.35">
      <c r="A1185" s="517" t="s">
        <v>2174</v>
      </c>
    </row>
    <row r="1186" spans="1:1" x14ac:dyDescent="0.35">
      <c r="A1186" s="517" t="s">
        <v>2175</v>
      </c>
    </row>
    <row r="1187" spans="1:1" x14ac:dyDescent="0.35">
      <c r="A1187" s="517" t="s">
        <v>2176</v>
      </c>
    </row>
    <row r="1188" spans="1:1" x14ac:dyDescent="0.35">
      <c r="A1188" s="517" t="s">
        <v>2177</v>
      </c>
    </row>
    <row r="1189" spans="1:1" x14ac:dyDescent="0.35">
      <c r="A1189" s="517" t="s">
        <v>2178</v>
      </c>
    </row>
    <row r="1190" spans="1:1" x14ac:dyDescent="0.35">
      <c r="A1190" s="517" t="s">
        <v>2179</v>
      </c>
    </row>
    <row r="1191" spans="1:1" x14ac:dyDescent="0.35">
      <c r="A1191" s="517" t="s">
        <v>2180</v>
      </c>
    </row>
    <row r="1192" spans="1:1" x14ac:dyDescent="0.35">
      <c r="A1192" t="s">
        <v>2182</v>
      </c>
    </row>
    <row r="1193" spans="1:1" x14ac:dyDescent="0.35">
      <c r="A1193" s="517" t="s">
        <v>2183</v>
      </c>
    </row>
    <row r="1194" spans="1:1" x14ac:dyDescent="0.35">
      <c r="A1194" s="517" t="s">
        <v>2184</v>
      </c>
    </row>
    <row r="1195" spans="1:1" x14ac:dyDescent="0.35">
      <c r="A1195" s="517" t="s">
        <v>2185</v>
      </c>
    </row>
    <row r="1196" spans="1:1" x14ac:dyDescent="0.35">
      <c r="A1196" s="517" t="s">
        <v>2186</v>
      </c>
    </row>
    <row r="1197" spans="1:1" x14ac:dyDescent="0.35">
      <c r="A1197" s="517" t="s">
        <v>2187</v>
      </c>
    </row>
    <row r="1198" spans="1:1" x14ac:dyDescent="0.35">
      <c r="A1198" s="517" t="s">
        <v>2188</v>
      </c>
    </row>
    <row r="1199" spans="1:1" x14ac:dyDescent="0.35">
      <c r="A1199" s="517" t="s">
        <v>2189</v>
      </c>
    </row>
    <row r="1200" spans="1:1" x14ac:dyDescent="0.35">
      <c r="A1200" s="517" t="s">
        <v>2190</v>
      </c>
    </row>
    <row r="1201" spans="1:1" x14ac:dyDescent="0.35">
      <c r="A1201" s="517" t="s">
        <v>2191</v>
      </c>
    </row>
    <row r="1202" spans="1:1" x14ac:dyDescent="0.35">
      <c r="A1202" s="517" t="s">
        <v>2192</v>
      </c>
    </row>
    <row r="1203" spans="1:1" x14ac:dyDescent="0.35">
      <c r="A1203" s="517" t="s">
        <v>2193</v>
      </c>
    </row>
    <row r="1204" spans="1:1" x14ac:dyDescent="0.35">
      <c r="A1204" s="517" t="s">
        <v>2194</v>
      </c>
    </row>
    <row r="1205" spans="1:1" x14ac:dyDescent="0.35">
      <c r="A1205" s="517" t="s">
        <v>2195</v>
      </c>
    </row>
    <row r="1206" spans="1:1" x14ac:dyDescent="0.35">
      <c r="A1206" s="517" t="s">
        <v>2196</v>
      </c>
    </row>
    <row r="1207" spans="1:1" x14ac:dyDescent="0.35">
      <c r="A1207" s="517" t="s">
        <v>2197</v>
      </c>
    </row>
    <row r="1208" spans="1:1" x14ac:dyDescent="0.35">
      <c r="A1208" s="517" t="s">
        <v>2198</v>
      </c>
    </row>
    <row r="1209" spans="1:1" x14ac:dyDescent="0.35">
      <c r="A1209" s="517" t="s">
        <v>2199</v>
      </c>
    </row>
    <row r="1210" spans="1:1" x14ac:dyDescent="0.35">
      <c r="A1210" s="517" t="s">
        <v>2200</v>
      </c>
    </row>
    <row r="1211" spans="1:1" x14ac:dyDescent="0.35">
      <c r="A1211" s="517" t="s">
        <v>2201</v>
      </c>
    </row>
    <row r="1212" spans="1:1" x14ac:dyDescent="0.35">
      <c r="A1212" s="517" t="s">
        <v>2202</v>
      </c>
    </row>
    <row r="1213" spans="1:1" x14ac:dyDescent="0.35">
      <c r="A1213" s="517" t="s">
        <v>2203</v>
      </c>
    </row>
    <row r="1214" spans="1:1" x14ac:dyDescent="0.35">
      <c r="A1214" s="517" t="s">
        <v>2204</v>
      </c>
    </row>
    <row r="1215" spans="1:1" x14ac:dyDescent="0.35">
      <c r="A1215" s="517" t="s">
        <v>2205</v>
      </c>
    </row>
    <row r="1216" spans="1:1" x14ac:dyDescent="0.35">
      <c r="A1216" s="517" t="s">
        <v>2206</v>
      </c>
    </row>
    <row r="1217" spans="1:1" x14ac:dyDescent="0.35">
      <c r="A1217" s="517" t="s">
        <v>2207</v>
      </c>
    </row>
    <row r="1218" spans="1:1" x14ac:dyDescent="0.35">
      <c r="A1218" s="517" t="s">
        <v>2208</v>
      </c>
    </row>
    <row r="1219" spans="1:1" x14ac:dyDescent="0.35">
      <c r="A1219" s="517" t="s">
        <v>2209</v>
      </c>
    </row>
    <row r="1220" spans="1:1" x14ac:dyDescent="0.35">
      <c r="A1220" s="517" t="s">
        <v>2210</v>
      </c>
    </row>
    <row r="1221" spans="1:1" x14ac:dyDescent="0.35">
      <c r="A1221" s="517" t="s">
        <v>2211</v>
      </c>
    </row>
    <row r="1222" spans="1:1" x14ac:dyDescent="0.35">
      <c r="A1222" s="517" t="s">
        <v>2212</v>
      </c>
    </row>
    <row r="1223" spans="1:1" x14ac:dyDescent="0.35">
      <c r="A1223" t="s">
        <v>2213</v>
      </c>
    </row>
    <row r="1224" spans="1:1" x14ac:dyDescent="0.35">
      <c r="A1224" s="517" t="s">
        <v>2214</v>
      </c>
    </row>
    <row r="1225" spans="1:1" x14ac:dyDescent="0.35">
      <c r="A1225" s="517" t="s">
        <v>2215</v>
      </c>
    </row>
    <row r="1226" spans="1:1" x14ac:dyDescent="0.35">
      <c r="A1226" s="517" t="s">
        <v>2216</v>
      </c>
    </row>
    <row r="1227" spans="1:1" x14ac:dyDescent="0.35">
      <c r="A1227" s="517" t="s">
        <v>2217</v>
      </c>
    </row>
    <row r="1228" spans="1:1" x14ac:dyDescent="0.35">
      <c r="A1228" s="517" t="s">
        <v>2218</v>
      </c>
    </row>
    <row r="1229" spans="1:1" x14ac:dyDescent="0.35">
      <c r="A1229" s="517" t="s">
        <v>2219</v>
      </c>
    </row>
    <row r="1230" spans="1:1" x14ac:dyDescent="0.35">
      <c r="A1230" s="517" t="s">
        <v>2220</v>
      </c>
    </row>
    <row r="1231" spans="1:1" x14ac:dyDescent="0.35">
      <c r="A1231" s="517" t="s">
        <v>2221</v>
      </c>
    </row>
    <row r="1232" spans="1:1" x14ac:dyDescent="0.35">
      <c r="A1232" s="517" t="s">
        <v>2222</v>
      </c>
    </row>
    <row r="1233" spans="1:1" x14ac:dyDescent="0.35">
      <c r="A1233" s="517" t="s">
        <v>2223</v>
      </c>
    </row>
    <row r="1234" spans="1:1" x14ac:dyDescent="0.35">
      <c r="A1234" s="517" t="s">
        <v>2224</v>
      </c>
    </row>
    <row r="1235" spans="1:1" x14ac:dyDescent="0.35">
      <c r="A1235" s="517" t="s">
        <v>2225</v>
      </c>
    </row>
    <row r="1236" spans="1:1" x14ac:dyDescent="0.35">
      <c r="A1236" s="517" t="s">
        <v>2226</v>
      </c>
    </row>
    <row r="1237" spans="1:1" x14ac:dyDescent="0.35">
      <c r="A1237" s="517" t="s">
        <v>2227</v>
      </c>
    </row>
    <row r="1238" spans="1:1" x14ac:dyDescent="0.35">
      <c r="A1238" s="517" t="s">
        <v>2228</v>
      </c>
    </row>
    <row r="1239" spans="1:1" x14ac:dyDescent="0.35">
      <c r="A1239" s="517" t="s">
        <v>2229</v>
      </c>
    </row>
    <row r="1240" spans="1:1" x14ac:dyDescent="0.35">
      <c r="A1240" s="517" t="s">
        <v>2230</v>
      </c>
    </row>
    <row r="1241" spans="1:1" x14ac:dyDescent="0.35">
      <c r="A1241" s="517" t="s">
        <v>2231</v>
      </c>
    </row>
    <row r="1242" spans="1:1" x14ac:dyDescent="0.35">
      <c r="A1242" s="517" t="s">
        <v>2232</v>
      </c>
    </row>
    <row r="1243" spans="1:1" x14ac:dyDescent="0.35">
      <c r="A1243" s="517" t="s">
        <v>2233</v>
      </c>
    </row>
    <row r="1244" spans="1:1" x14ac:dyDescent="0.35">
      <c r="A1244" s="517" t="s">
        <v>2234</v>
      </c>
    </row>
    <row r="1245" spans="1:1" x14ac:dyDescent="0.35">
      <c r="A1245" s="517" t="s">
        <v>2235</v>
      </c>
    </row>
    <row r="1246" spans="1:1" x14ac:dyDescent="0.35">
      <c r="A1246" s="517" t="s">
        <v>2236</v>
      </c>
    </row>
    <row r="1247" spans="1:1" x14ac:dyDescent="0.35">
      <c r="A1247" s="517" t="s">
        <v>2237</v>
      </c>
    </row>
    <row r="1248" spans="1:1" x14ac:dyDescent="0.35">
      <c r="A1248" s="517" t="s">
        <v>2238</v>
      </c>
    </row>
    <row r="1249" spans="1:3" x14ac:dyDescent="0.35">
      <c r="A1249" s="517" t="s">
        <v>2239</v>
      </c>
    </row>
    <row r="1250" spans="1:3" x14ac:dyDescent="0.35">
      <c r="A1250" s="517" t="s">
        <v>2240</v>
      </c>
    </row>
    <row r="1251" spans="1:3" x14ac:dyDescent="0.35">
      <c r="A1251" s="517" t="s">
        <v>2241</v>
      </c>
    </row>
    <row r="1252" spans="1:3" x14ac:dyDescent="0.35">
      <c r="A1252" s="517" t="s">
        <v>2242</v>
      </c>
    </row>
    <row r="1253" spans="1:3" x14ac:dyDescent="0.35">
      <c r="A1253" s="517" t="s">
        <v>2243</v>
      </c>
    </row>
    <row r="1254" spans="1:3" x14ac:dyDescent="0.35">
      <c r="A1254" t="s">
        <v>2289</v>
      </c>
    </row>
    <row r="1255" spans="1:3" x14ac:dyDescent="0.35">
      <c r="A1255" t="s">
        <v>2290</v>
      </c>
      <c r="B1255">
        <v>0</v>
      </c>
      <c r="C1255">
        <v>0</v>
      </c>
    </row>
    <row r="1256" spans="1:3" x14ac:dyDescent="0.35">
      <c r="A1256" t="s">
        <v>2291</v>
      </c>
    </row>
    <row r="1257" spans="1:3" x14ac:dyDescent="0.35">
      <c r="A1257" t="s">
        <v>2292</v>
      </c>
      <c r="B1257">
        <v>0</v>
      </c>
      <c r="C1257">
        <v>0</v>
      </c>
    </row>
    <row r="1258" spans="1:3" x14ac:dyDescent="0.35">
      <c r="A1258" t="s">
        <v>2293</v>
      </c>
      <c r="B1258">
        <v>5000</v>
      </c>
      <c r="C1258">
        <v>5000</v>
      </c>
    </row>
    <row r="1259" spans="1:3" x14ac:dyDescent="0.35">
      <c r="A1259" t="s">
        <v>2294</v>
      </c>
      <c r="B1259">
        <v>0</v>
      </c>
      <c r="C1259">
        <v>0</v>
      </c>
    </row>
    <row r="1260" spans="1:3" x14ac:dyDescent="0.35">
      <c r="A1260" t="s">
        <v>2295</v>
      </c>
      <c r="B1260">
        <v>1</v>
      </c>
      <c r="C1260">
        <v>1</v>
      </c>
    </row>
    <row r="1261" spans="1:3" x14ac:dyDescent="0.35">
      <c r="A1261" t="s">
        <v>2296</v>
      </c>
      <c r="B1261">
        <v>1</v>
      </c>
      <c r="C1261" s="816">
        <v>1</v>
      </c>
    </row>
    <row r="1262" spans="1:3" x14ac:dyDescent="0.35">
      <c r="A1262" t="s">
        <v>2297</v>
      </c>
      <c r="B1262">
        <v>1</v>
      </c>
      <c r="C1262" s="816">
        <v>1</v>
      </c>
    </row>
    <row r="1263" spans="1:3" x14ac:dyDescent="0.35">
      <c r="A1263" t="s">
        <v>2298</v>
      </c>
      <c r="B1263">
        <v>1</v>
      </c>
      <c r="C1263" s="816">
        <v>1</v>
      </c>
    </row>
    <row r="1264" spans="1:3" x14ac:dyDescent="0.35">
      <c r="A1264" t="s">
        <v>2299</v>
      </c>
      <c r="B1264">
        <v>1</v>
      </c>
      <c r="C1264" s="816">
        <v>1</v>
      </c>
    </row>
    <row r="1265" spans="1:3" x14ac:dyDescent="0.35">
      <c r="A1265" t="s">
        <v>2300</v>
      </c>
      <c r="B1265">
        <v>1</v>
      </c>
      <c r="C1265" s="816">
        <v>1</v>
      </c>
    </row>
    <row r="1266" spans="1:3" x14ac:dyDescent="0.35">
      <c r="A1266" t="s">
        <v>2301</v>
      </c>
      <c r="B1266">
        <v>1</v>
      </c>
      <c r="C1266" s="816">
        <v>1</v>
      </c>
    </row>
    <row r="1267" spans="1:3" x14ac:dyDescent="0.35">
      <c r="A1267" t="s">
        <v>2302</v>
      </c>
      <c r="B1267">
        <v>1</v>
      </c>
      <c r="C1267" s="816">
        <v>1</v>
      </c>
    </row>
    <row r="1268" spans="1:3" x14ac:dyDescent="0.35">
      <c r="A1268" t="s">
        <v>2303</v>
      </c>
      <c r="B1268">
        <v>1</v>
      </c>
      <c r="C1268" s="816">
        <v>1</v>
      </c>
    </row>
    <row r="1269" spans="1:3" x14ac:dyDescent="0.35">
      <c r="A1269" t="s">
        <v>2304</v>
      </c>
      <c r="B1269">
        <v>1</v>
      </c>
      <c r="C1269" s="816">
        <v>1</v>
      </c>
    </row>
    <row r="1270" spans="1:3" x14ac:dyDescent="0.35">
      <c r="A1270" t="s">
        <v>2305</v>
      </c>
      <c r="B1270">
        <v>1</v>
      </c>
      <c r="C1270" s="817">
        <v>1</v>
      </c>
    </row>
    <row r="1271" spans="1:3" x14ac:dyDescent="0.35">
      <c r="A1271" t="s">
        <v>2306</v>
      </c>
      <c r="B1271">
        <v>0</v>
      </c>
      <c r="C1271" s="815">
        <v>0</v>
      </c>
    </row>
    <row r="1272" spans="1:3" x14ac:dyDescent="0.35">
      <c r="A1272" t="s">
        <v>2307</v>
      </c>
      <c r="B1272" t="b">
        <v>0</v>
      </c>
      <c r="C1272" s="818" t="b">
        <v>0</v>
      </c>
    </row>
    <row r="1273" spans="1:3" x14ac:dyDescent="0.35">
      <c r="A1273" t="s">
        <v>2308</v>
      </c>
      <c r="B1273" t="b">
        <v>0</v>
      </c>
      <c r="C1273" s="818" t="b">
        <v>0</v>
      </c>
    </row>
    <row r="1274" spans="1:3" x14ac:dyDescent="0.35">
      <c r="A1274" t="s">
        <v>2309</v>
      </c>
      <c r="B1274" t="b">
        <v>0</v>
      </c>
      <c r="C1274" s="818" t="b">
        <v>0</v>
      </c>
    </row>
    <row r="1275" spans="1:3" x14ac:dyDescent="0.35">
      <c r="A1275" t="s">
        <v>2310</v>
      </c>
      <c r="B1275" t="b">
        <v>0</v>
      </c>
      <c r="C1275" s="818" t="b">
        <v>0</v>
      </c>
    </row>
    <row r="1276" spans="1:3" x14ac:dyDescent="0.35">
      <c r="A1276" t="s">
        <v>2311</v>
      </c>
      <c r="B1276">
        <v>0</v>
      </c>
      <c r="C1276" s="815">
        <v>0</v>
      </c>
    </row>
    <row r="1277" spans="1:3" x14ac:dyDescent="0.35">
      <c r="A1277" t="s">
        <v>2312</v>
      </c>
      <c r="B1277">
        <v>0</v>
      </c>
      <c r="C1277" s="815">
        <v>0</v>
      </c>
    </row>
    <row r="1278" spans="1:3" x14ac:dyDescent="0.35">
      <c r="A1278" t="s">
        <v>2313</v>
      </c>
      <c r="B1278">
        <v>0</v>
      </c>
      <c r="C1278" s="815">
        <v>0</v>
      </c>
    </row>
    <row r="1279" spans="1:3" x14ac:dyDescent="0.35">
      <c r="A1279" t="s">
        <v>2314</v>
      </c>
      <c r="B1279">
        <v>0</v>
      </c>
      <c r="C1279">
        <v>0</v>
      </c>
    </row>
    <row r="1280" spans="1:3" x14ac:dyDescent="0.35">
      <c r="A1280" t="s">
        <v>2315</v>
      </c>
      <c r="B1280">
        <v>0</v>
      </c>
      <c r="C1280">
        <v>0</v>
      </c>
    </row>
    <row r="1281" spans="1:3" x14ac:dyDescent="0.35">
      <c r="A1281" t="s">
        <v>2316</v>
      </c>
      <c r="B1281">
        <v>0</v>
      </c>
      <c r="C1281">
        <v>0</v>
      </c>
    </row>
    <row r="1282" spans="1:3" x14ac:dyDescent="0.35">
      <c r="A1282" t="s">
        <v>2317</v>
      </c>
      <c r="B1282">
        <v>0</v>
      </c>
      <c r="C1282">
        <v>0</v>
      </c>
    </row>
    <row r="1283" spans="1:3" x14ac:dyDescent="0.35">
      <c r="A1283" t="s">
        <v>2318</v>
      </c>
      <c r="B1283">
        <v>0</v>
      </c>
      <c r="C1283">
        <v>0</v>
      </c>
    </row>
    <row r="1284" spans="1:3" x14ac:dyDescent="0.35">
      <c r="A1284" t="s">
        <v>2319</v>
      </c>
      <c r="B1284">
        <v>2</v>
      </c>
      <c r="C1284">
        <v>2</v>
      </c>
    </row>
    <row r="1285" spans="1:3" x14ac:dyDescent="0.35">
      <c r="A1285" t="s">
        <v>2320</v>
      </c>
      <c r="B1285">
        <v>0</v>
      </c>
      <c r="C1285">
        <v>0</v>
      </c>
    </row>
    <row r="1286" spans="1:3" x14ac:dyDescent="0.35">
      <c r="A1286" t="s">
        <v>2321</v>
      </c>
      <c r="B1286">
        <v>0</v>
      </c>
      <c r="C1286">
        <v>0</v>
      </c>
    </row>
    <row r="1287" spans="1:3" x14ac:dyDescent="0.35">
      <c r="A1287" t="s">
        <v>2322</v>
      </c>
      <c r="B1287">
        <v>2</v>
      </c>
      <c r="C1287">
        <v>2</v>
      </c>
    </row>
    <row r="1288" spans="1:3" x14ac:dyDescent="0.35">
      <c r="A1288" t="s">
        <v>2323</v>
      </c>
      <c r="B1288">
        <v>0</v>
      </c>
      <c r="C1288">
        <v>0</v>
      </c>
    </row>
    <row r="1289" spans="1:3" x14ac:dyDescent="0.35">
      <c r="A1289" t="s">
        <v>2324</v>
      </c>
      <c r="B1289">
        <v>0</v>
      </c>
      <c r="C1289">
        <v>0</v>
      </c>
    </row>
    <row r="1290" spans="1:3" x14ac:dyDescent="0.35">
      <c r="A1290" t="s">
        <v>2325</v>
      </c>
      <c r="B1290">
        <v>5000</v>
      </c>
      <c r="C1290">
        <v>5000</v>
      </c>
    </row>
    <row r="1291" spans="1:3" x14ac:dyDescent="0.35">
      <c r="A1291" t="s">
        <v>2326</v>
      </c>
      <c r="B1291">
        <v>5000</v>
      </c>
      <c r="C1291">
        <v>5000</v>
      </c>
    </row>
    <row r="1292" spans="1:3" x14ac:dyDescent="0.35">
      <c r="A1292" t="s">
        <v>2327</v>
      </c>
      <c r="B1292">
        <v>5000</v>
      </c>
      <c r="C1292">
        <v>5000</v>
      </c>
    </row>
    <row r="1293" spans="1:3" x14ac:dyDescent="0.35">
      <c r="A1293" t="s">
        <v>2328</v>
      </c>
      <c r="B1293">
        <v>1</v>
      </c>
      <c r="C1293" s="496">
        <v>1</v>
      </c>
    </row>
    <row r="1294" spans="1:3" x14ac:dyDescent="0.35">
      <c r="A1294" t="s">
        <v>2329</v>
      </c>
      <c r="B1294">
        <v>1</v>
      </c>
      <c r="C1294" s="496">
        <v>1</v>
      </c>
    </row>
    <row r="1295" spans="1:3" x14ac:dyDescent="0.35">
      <c r="A1295" t="s">
        <v>2330</v>
      </c>
      <c r="B1295">
        <v>1</v>
      </c>
      <c r="C1295" s="496">
        <v>1</v>
      </c>
    </row>
    <row r="1296" spans="1:3" x14ac:dyDescent="0.35">
      <c r="A1296" t="s">
        <v>2331</v>
      </c>
      <c r="B1296">
        <v>1</v>
      </c>
      <c r="C1296" s="496">
        <v>1</v>
      </c>
    </row>
    <row r="1297" spans="1:3" x14ac:dyDescent="0.35">
      <c r="A1297" t="s">
        <v>2332</v>
      </c>
      <c r="B1297">
        <v>1</v>
      </c>
      <c r="C1297" s="496">
        <v>1</v>
      </c>
    </row>
    <row r="1298" spans="1:3" x14ac:dyDescent="0.35">
      <c r="A1298" t="s">
        <v>2333</v>
      </c>
      <c r="B1298">
        <v>1</v>
      </c>
      <c r="C1298" s="496">
        <v>1</v>
      </c>
    </row>
    <row r="1299" spans="1:3" x14ac:dyDescent="0.35">
      <c r="A1299" t="s">
        <v>2334</v>
      </c>
      <c r="B1299">
        <v>1</v>
      </c>
      <c r="C1299" s="496">
        <v>1</v>
      </c>
    </row>
    <row r="1300" spans="1:3" x14ac:dyDescent="0.35">
      <c r="A1300" t="s">
        <v>2335</v>
      </c>
      <c r="B1300">
        <v>1</v>
      </c>
      <c r="C1300" s="496">
        <v>1</v>
      </c>
    </row>
    <row r="1301" spans="1:3" x14ac:dyDescent="0.35">
      <c r="A1301" t="s">
        <v>2336</v>
      </c>
      <c r="B1301">
        <v>1</v>
      </c>
      <c r="C1301" s="496">
        <v>1</v>
      </c>
    </row>
    <row r="1302" spans="1:3" x14ac:dyDescent="0.35">
      <c r="A1302" t="s">
        <v>2337</v>
      </c>
      <c r="B1302">
        <v>0</v>
      </c>
      <c r="C1302" s="496">
        <v>0</v>
      </c>
    </row>
    <row r="1303" spans="1:3" x14ac:dyDescent="0.35">
      <c r="A1303" t="s">
        <v>2338</v>
      </c>
      <c r="B1303">
        <v>0</v>
      </c>
      <c r="C1303" s="496">
        <v>0</v>
      </c>
    </row>
    <row r="1304" spans="1:3" x14ac:dyDescent="0.35">
      <c r="A1304" t="s">
        <v>2339</v>
      </c>
      <c r="B1304">
        <v>0</v>
      </c>
      <c r="C1304" s="496">
        <v>0</v>
      </c>
    </row>
    <row r="1305" spans="1:3" x14ac:dyDescent="0.35">
      <c r="A1305" t="s">
        <v>2340</v>
      </c>
      <c r="B1305">
        <v>0</v>
      </c>
      <c r="C1305" s="496">
        <v>0</v>
      </c>
    </row>
    <row r="1306" spans="1:3" x14ac:dyDescent="0.35">
      <c r="A1306" t="s">
        <v>2341</v>
      </c>
      <c r="B1306">
        <v>0</v>
      </c>
      <c r="C1306" s="496">
        <v>0</v>
      </c>
    </row>
    <row r="1307" spans="1:3" x14ac:dyDescent="0.35">
      <c r="A1307" t="s">
        <v>2342</v>
      </c>
      <c r="B1307">
        <v>0</v>
      </c>
      <c r="C1307" s="496">
        <v>0</v>
      </c>
    </row>
    <row r="1308" spans="1:3" x14ac:dyDescent="0.35">
      <c r="A1308" t="s">
        <v>2343</v>
      </c>
      <c r="B1308">
        <v>0</v>
      </c>
      <c r="C1308" s="496">
        <v>0</v>
      </c>
    </row>
    <row r="1309" spans="1:3" x14ac:dyDescent="0.35">
      <c r="A1309" t="s">
        <v>2344</v>
      </c>
      <c r="B1309">
        <v>0</v>
      </c>
      <c r="C1309" s="496">
        <v>0</v>
      </c>
    </row>
    <row r="1310" spans="1:3" x14ac:dyDescent="0.35">
      <c r="A1310" t="s">
        <v>2345</v>
      </c>
      <c r="B1310">
        <v>0</v>
      </c>
      <c r="C1310" s="496">
        <v>0</v>
      </c>
    </row>
    <row r="1311" spans="1:3" x14ac:dyDescent="0.35">
      <c r="A1311" t="s">
        <v>2346</v>
      </c>
    </row>
    <row r="1312" spans="1:3" x14ac:dyDescent="0.35">
      <c r="A1312" t="s">
        <v>2347</v>
      </c>
    </row>
    <row r="1313" spans="1:3" x14ac:dyDescent="0.35">
      <c r="A1313" t="s">
        <v>2348</v>
      </c>
      <c r="B1313">
        <v>5000</v>
      </c>
      <c r="C1313">
        <v>5000</v>
      </c>
    </row>
    <row r="1314" spans="1:3" x14ac:dyDescent="0.35">
      <c r="A1314" t="s">
        <v>2349</v>
      </c>
      <c r="B1314">
        <v>5000</v>
      </c>
      <c r="C1314">
        <v>5000</v>
      </c>
    </row>
    <row r="1315" spans="1:3" x14ac:dyDescent="0.35">
      <c r="A1315" t="s">
        <v>2350</v>
      </c>
      <c r="B1315">
        <v>5000</v>
      </c>
      <c r="C1315">
        <v>5000</v>
      </c>
    </row>
    <row r="1316" spans="1:3" x14ac:dyDescent="0.35">
      <c r="A1316" t="s">
        <v>2351</v>
      </c>
      <c r="B1316">
        <v>0</v>
      </c>
      <c r="C1316" s="820">
        <v>0</v>
      </c>
    </row>
    <row r="1317" spans="1:3" x14ac:dyDescent="0.35">
      <c r="A1317" t="s">
        <v>2352</v>
      </c>
      <c r="B1317">
        <v>0</v>
      </c>
      <c r="C1317" s="820">
        <v>0</v>
      </c>
    </row>
    <row r="1318" spans="1:3" x14ac:dyDescent="0.35">
      <c r="A1318" t="s">
        <v>2353</v>
      </c>
      <c r="B1318">
        <v>0</v>
      </c>
      <c r="C1318" s="820">
        <v>0</v>
      </c>
    </row>
    <row r="1319" spans="1:3" x14ac:dyDescent="0.35">
      <c r="A1319" t="s">
        <v>2354</v>
      </c>
      <c r="B1319">
        <v>0</v>
      </c>
      <c r="C1319" s="820">
        <v>0</v>
      </c>
    </row>
    <row r="1320" spans="1:3" x14ac:dyDescent="0.35">
      <c r="A1320" t="s">
        <v>2355</v>
      </c>
      <c r="B1320">
        <v>0</v>
      </c>
      <c r="C1320" s="820">
        <v>0</v>
      </c>
    </row>
    <row r="1321" spans="1:3" x14ac:dyDescent="0.35">
      <c r="A1321" t="s">
        <v>2356</v>
      </c>
      <c r="B1321">
        <v>0</v>
      </c>
      <c r="C1321" s="820">
        <v>0</v>
      </c>
    </row>
    <row r="1322" spans="1:3" x14ac:dyDescent="0.35">
      <c r="A1322" t="s">
        <v>2357</v>
      </c>
      <c r="B1322">
        <v>0</v>
      </c>
      <c r="C1322" s="820">
        <v>0</v>
      </c>
    </row>
    <row r="1323" spans="1:3" x14ac:dyDescent="0.35">
      <c r="A1323" t="s">
        <v>2358</v>
      </c>
      <c r="B1323">
        <v>0</v>
      </c>
      <c r="C1323" s="820">
        <v>0</v>
      </c>
    </row>
    <row r="1324" spans="1:3" x14ac:dyDescent="0.35">
      <c r="A1324" t="s">
        <v>2359</v>
      </c>
      <c r="B1324">
        <v>0</v>
      </c>
      <c r="C1324" s="820">
        <v>0</v>
      </c>
    </row>
    <row r="1325" spans="1:3" x14ac:dyDescent="0.35">
      <c r="A1325" t="s">
        <v>2360</v>
      </c>
      <c r="B1325">
        <v>1</v>
      </c>
      <c r="C1325" s="820">
        <v>1</v>
      </c>
    </row>
    <row r="1326" spans="1:3" x14ac:dyDescent="0.35">
      <c r="A1326" t="s">
        <v>2361</v>
      </c>
      <c r="B1326">
        <v>1</v>
      </c>
      <c r="C1326" s="820">
        <v>1</v>
      </c>
    </row>
    <row r="1327" spans="1:3" x14ac:dyDescent="0.35">
      <c r="A1327" t="s">
        <v>2362</v>
      </c>
      <c r="B1327">
        <v>1</v>
      </c>
      <c r="C1327" s="820">
        <v>1</v>
      </c>
    </row>
    <row r="1328" spans="1:3" x14ac:dyDescent="0.35">
      <c r="A1328" t="s">
        <v>2363</v>
      </c>
      <c r="B1328">
        <v>1</v>
      </c>
      <c r="C1328" s="820">
        <v>1</v>
      </c>
    </row>
    <row r="1329" spans="1:3" x14ac:dyDescent="0.35">
      <c r="A1329" t="s">
        <v>2364</v>
      </c>
      <c r="B1329">
        <v>1</v>
      </c>
      <c r="C1329" s="820">
        <v>1</v>
      </c>
    </row>
    <row r="1330" spans="1:3" x14ac:dyDescent="0.35">
      <c r="A1330" t="s">
        <v>2365</v>
      </c>
      <c r="B1330">
        <v>1</v>
      </c>
      <c r="C1330" s="820">
        <v>1</v>
      </c>
    </row>
    <row r="1331" spans="1:3" x14ac:dyDescent="0.35">
      <c r="A1331" t="s">
        <v>2366</v>
      </c>
      <c r="B1331">
        <v>1</v>
      </c>
      <c r="C1331" s="820">
        <v>1</v>
      </c>
    </row>
    <row r="1332" spans="1:3" x14ac:dyDescent="0.35">
      <c r="A1332" t="s">
        <v>2367</v>
      </c>
      <c r="B1332">
        <v>1</v>
      </c>
      <c r="C1332" s="820">
        <v>1</v>
      </c>
    </row>
    <row r="1333" spans="1:3" x14ac:dyDescent="0.35">
      <c r="A1333" t="s">
        <v>2368</v>
      </c>
      <c r="B1333">
        <v>1</v>
      </c>
      <c r="C1333" s="820">
        <v>1</v>
      </c>
    </row>
    <row r="1334" spans="1:3" x14ac:dyDescent="0.35">
      <c r="A1334" t="s">
        <v>2369</v>
      </c>
      <c r="B1334">
        <v>1</v>
      </c>
      <c r="C1334" s="815">
        <v>1</v>
      </c>
    </row>
    <row r="1335" spans="1:3" x14ac:dyDescent="0.35">
      <c r="A1335" t="s">
        <v>2370</v>
      </c>
      <c r="B1335">
        <v>1</v>
      </c>
      <c r="C1335" s="815">
        <v>1</v>
      </c>
    </row>
    <row r="1336" spans="1:3" x14ac:dyDescent="0.35">
      <c r="A1336" t="s">
        <v>2371</v>
      </c>
      <c r="B1336">
        <v>1</v>
      </c>
      <c r="C1336" s="815">
        <v>1</v>
      </c>
    </row>
    <row r="1337" spans="1:3" x14ac:dyDescent="0.35">
      <c r="A1337" t="s">
        <v>2372</v>
      </c>
      <c r="B1337" t="b">
        <v>0</v>
      </c>
      <c r="C1337" s="819" t="b">
        <v>0</v>
      </c>
    </row>
    <row r="1338" spans="1:3" x14ac:dyDescent="0.35">
      <c r="A1338" t="s">
        <v>2373</v>
      </c>
    </row>
    <row r="1339" spans="1:3" x14ac:dyDescent="0.35">
      <c r="A1339" t="s">
        <v>2374</v>
      </c>
      <c r="B1339">
        <v>1</v>
      </c>
      <c r="C1339" s="822">
        <v>1</v>
      </c>
    </row>
    <row r="1340" spans="1:3" x14ac:dyDescent="0.35">
      <c r="A1340" t="s">
        <v>2375</v>
      </c>
      <c r="B1340">
        <v>1</v>
      </c>
      <c r="C1340" s="822">
        <v>1</v>
      </c>
    </row>
    <row r="1341" spans="1:3" x14ac:dyDescent="0.35">
      <c r="A1341" t="s">
        <v>2376</v>
      </c>
      <c r="B1341">
        <v>1</v>
      </c>
      <c r="C1341" s="822">
        <v>1</v>
      </c>
    </row>
    <row r="1342" spans="1:3" x14ac:dyDescent="0.35">
      <c r="A1342" t="s">
        <v>2377</v>
      </c>
      <c r="B1342">
        <v>1</v>
      </c>
      <c r="C1342" s="822">
        <v>1</v>
      </c>
    </row>
    <row r="1343" spans="1:3" x14ac:dyDescent="0.35">
      <c r="A1343" t="s">
        <v>2378</v>
      </c>
      <c r="B1343">
        <v>1</v>
      </c>
      <c r="C1343" s="822">
        <v>1</v>
      </c>
    </row>
    <row r="1344" spans="1:3" x14ac:dyDescent="0.35">
      <c r="A1344" t="s">
        <v>2379</v>
      </c>
      <c r="B1344">
        <v>1</v>
      </c>
      <c r="C1344" s="822">
        <v>1</v>
      </c>
    </row>
    <row r="1345" spans="1:3" x14ac:dyDescent="0.35">
      <c r="A1345" t="s">
        <v>2380</v>
      </c>
      <c r="B1345">
        <v>1</v>
      </c>
      <c r="C1345" s="822">
        <v>1</v>
      </c>
    </row>
    <row r="1346" spans="1:3" x14ac:dyDescent="0.35">
      <c r="A1346" t="s">
        <v>2381</v>
      </c>
      <c r="B1346">
        <v>1</v>
      </c>
      <c r="C1346" s="822">
        <v>1</v>
      </c>
    </row>
    <row r="1347" spans="1:3" x14ac:dyDescent="0.35">
      <c r="A1347" t="s">
        <v>2382</v>
      </c>
      <c r="B1347">
        <v>1</v>
      </c>
      <c r="C1347" s="822">
        <v>1</v>
      </c>
    </row>
    <row r="1348" spans="1:3" x14ac:dyDescent="0.35">
      <c r="A1348" t="s">
        <v>2383</v>
      </c>
      <c r="B1348">
        <v>5000</v>
      </c>
      <c r="C1348" s="815">
        <v>5000</v>
      </c>
    </row>
    <row r="1349" spans="1:3" x14ac:dyDescent="0.35">
      <c r="A1349" t="s">
        <v>2384</v>
      </c>
      <c r="B1349">
        <v>5000</v>
      </c>
      <c r="C1349" s="815">
        <v>5000</v>
      </c>
    </row>
    <row r="1350" spans="1:3" x14ac:dyDescent="0.35">
      <c r="A1350" t="s">
        <v>2385</v>
      </c>
      <c r="B1350">
        <v>5000</v>
      </c>
      <c r="C1350" s="815">
        <v>5000</v>
      </c>
    </row>
    <row r="1351" spans="1:3" x14ac:dyDescent="0.35">
      <c r="A1351" t="s">
        <v>2386</v>
      </c>
      <c r="B1351">
        <v>0</v>
      </c>
      <c r="C1351" s="815">
        <v>0</v>
      </c>
    </row>
    <row r="1352" spans="1:3" x14ac:dyDescent="0.35">
      <c r="A1352" t="s">
        <v>2387</v>
      </c>
      <c r="B1352">
        <v>0</v>
      </c>
      <c r="C1352" s="815">
        <v>0</v>
      </c>
    </row>
    <row r="1353" spans="1:3" x14ac:dyDescent="0.35">
      <c r="A1353" t="s">
        <v>2388</v>
      </c>
      <c r="B1353">
        <v>0</v>
      </c>
      <c r="C1353" s="815">
        <v>0</v>
      </c>
    </row>
    <row r="1354" spans="1:3" x14ac:dyDescent="0.35">
      <c r="A1354" t="s">
        <v>2389</v>
      </c>
      <c r="B1354">
        <v>0</v>
      </c>
      <c r="C1354" s="815">
        <v>0</v>
      </c>
    </row>
    <row r="1355" spans="1:3" x14ac:dyDescent="0.35">
      <c r="A1355" t="s">
        <v>2390</v>
      </c>
      <c r="B1355">
        <v>0</v>
      </c>
      <c r="C1355" s="815">
        <v>0</v>
      </c>
    </row>
    <row r="1356" spans="1:3" x14ac:dyDescent="0.35">
      <c r="A1356" t="s">
        <v>2391</v>
      </c>
      <c r="B1356">
        <v>0</v>
      </c>
      <c r="C1356" s="815">
        <v>0</v>
      </c>
    </row>
    <row r="1357" spans="1:3" x14ac:dyDescent="0.35">
      <c r="A1357" t="s">
        <v>2392</v>
      </c>
      <c r="B1357">
        <v>0</v>
      </c>
      <c r="C1357" s="815">
        <v>0</v>
      </c>
    </row>
    <row r="1358" spans="1:3" x14ac:dyDescent="0.35">
      <c r="A1358" t="s">
        <v>2393</v>
      </c>
      <c r="B1358">
        <v>0</v>
      </c>
      <c r="C1358" s="815">
        <v>0</v>
      </c>
    </row>
    <row r="1359" spans="1:3" x14ac:dyDescent="0.35">
      <c r="A1359" t="s">
        <v>2394</v>
      </c>
      <c r="B1359">
        <v>0</v>
      </c>
      <c r="C1359" s="815">
        <v>0</v>
      </c>
    </row>
    <row r="1360" spans="1:3" x14ac:dyDescent="0.35">
      <c r="A1360" t="s">
        <v>2395</v>
      </c>
      <c r="B1360">
        <v>0</v>
      </c>
      <c r="C1360" s="815">
        <v>0</v>
      </c>
    </row>
    <row r="1361" spans="1:3" x14ac:dyDescent="0.35">
      <c r="A1361" t="s">
        <v>2396</v>
      </c>
      <c r="B1361">
        <v>0</v>
      </c>
      <c r="C1361" s="815">
        <v>0</v>
      </c>
    </row>
    <row r="1362" spans="1:3" x14ac:dyDescent="0.35">
      <c r="A1362" t="s">
        <v>2397</v>
      </c>
      <c r="B1362">
        <v>0</v>
      </c>
      <c r="C1362" s="815">
        <v>0</v>
      </c>
    </row>
    <row r="1363" spans="1:3" x14ac:dyDescent="0.35">
      <c r="A1363" t="s">
        <v>2398</v>
      </c>
    </row>
    <row r="1364" spans="1:3" x14ac:dyDescent="0.35">
      <c r="A1364" t="s">
        <v>2399</v>
      </c>
      <c r="B1364">
        <v>2</v>
      </c>
      <c r="C1364" s="823">
        <v>2</v>
      </c>
    </row>
    <row r="1365" spans="1:3" x14ac:dyDescent="0.35">
      <c r="A1365" t="s">
        <v>2400</v>
      </c>
      <c r="B1365">
        <v>1</v>
      </c>
      <c r="C1365" s="823">
        <v>1</v>
      </c>
    </row>
    <row r="1366" spans="1:3" x14ac:dyDescent="0.35">
      <c r="A1366" t="s">
        <v>2401</v>
      </c>
      <c r="B1366">
        <v>1</v>
      </c>
      <c r="C1366" s="823">
        <v>1</v>
      </c>
    </row>
    <row r="1367" spans="1:3" x14ac:dyDescent="0.35">
      <c r="A1367" t="s">
        <v>2402</v>
      </c>
      <c r="B1367">
        <v>1</v>
      </c>
      <c r="C1367" s="823">
        <v>1</v>
      </c>
    </row>
    <row r="1368" spans="1:3" x14ac:dyDescent="0.35">
      <c r="A1368" t="s">
        <v>2403</v>
      </c>
      <c r="B1368">
        <v>1</v>
      </c>
      <c r="C1368" s="823">
        <v>1</v>
      </c>
    </row>
    <row r="1369" spans="1:3" x14ac:dyDescent="0.35">
      <c r="A1369" t="s">
        <v>2404</v>
      </c>
      <c r="B1369">
        <v>1</v>
      </c>
      <c r="C1369" s="823">
        <v>1</v>
      </c>
    </row>
    <row r="1370" spans="1:3" x14ac:dyDescent="0.35">
      <c r="A1370" t="s">
        <v>2405</v>
      </c>
      <c r="B1370">
        <v>1</v>
      </c>
      <c r="C1370" s="823">
        <v>1</v>
      </c>
    </row>
    <row r="1371" spans="1:3" x14ac:dyDescent="0.35">
      <c r="A1371" t="s">
        <v>2406</v>
      </c>
      <c r="B1371">
        <v>1</v>
      </c>
      <c r="C1371" s="823">
        <v>1</v>
      </c>
    </row>
    <row r="1372" spans="1:3" x14ac:dyDescent="0.35">
      <c r="A1372" t="s">
        <v>2407</v>
      </c>
      <c r="B1372">
        <v>1</v>
      </c>
      <c r="C1372" s="823">
        <v>1</v>
      </c>
    </row>
    <row r="1373" spans="1:3" x14ac:dyDescent="0.35">
      <c r="A1373" t="s">
        <v>2408</v>
      </c>
      <c r="B1373">
        <v>1</v>
      </c>
      <c r="C1373" s="823">
        <v>1</v>
      </c>
    </row>
    <row r="1374" spans="1:3" x14ac:dyDescent="0.35">
      <c r="A1374" t="s">
        <v>2409</v>
      </c>
    </row>
    <row r="1375" spans="1:3" x14ac:dyDescent="0.35">
      <c r="A1375" t="s">
        <v>2410</v>
      </c>
      <c r="B1375">
        <v>30</v>
      </c>
      <c r="C1375">
        <v>30</v>
      </c>
    </row>
    <row r="1376" spans="1:3" x14ac:dyDescent="0.35">
      <c r="A1376" t="s">
        <v>2424</v>
      </c>
      <c r="B1376">
        <v>1</v>
      </c>
      <c r="C1376">
        <v>1</v>
      </c>
    </row>
    <row r="1377" spans="1:3" x14ac:dyDescent="0.35">
      <c r="A1377" s="518" t="s">
        <v>2429</v>
      </c>
      <c r="B1377">
        <v>1</v>
      </c>
      <c r="C1377">
        <v>1</v>
      </c>
    </row>
    <row r="1378" spans="1:3" x14ac:dyDescent="0.35">
      <c r="A1378" s="517" t="s">
        <v>2433</v>
      </c>
    </row>
    <row r="1379" spans="1:3" x14ac:dyDescent="0.35">
      <c r="A1379" s="517" t="s">
        <v>2434</v>
      </c>
    </row>
    <row r="1380" spans="1:3" x14ac:dyDescent="0.35">
      <c r="A1380" s="517" t="s">
        <v>2435</v>
      </c>
    </row>
    <row r="1381" spans="1:3" x14ac:dyDescent="0.35">
      <c r="A1381" s="517" t="s">
        <v>2436</v>
      </c>
    </row>
    <row r="1382" spans="1:3" x14ac:dyDescent="0.35">
      <c r="A1382" s="517" t="s">
        <v>2437</v>
      </c>
    </row>
    <row r="1383" spans="1:3" x14ac:dyDescent="0.35">
      <c r="A1383" s="517" t="s">
        <v>2438</v>
      </c>
    </row>
    <row r="1384" spans="1:3" x14ac:dyDescent="0.35">
      <c r="A1384" s="517" t="s">
        <v>2439</v>
      </c>
    </row>
    <row r="1385" spans="1:3" x14ac:dyDescent="0.35">
      <c r="A1385" s="517" t="s">
        <v>2440</v>
      </c>
    </row>
    <row r="1386" spans="1:3" x14ac:dyDescent="0.35">
      <c r="A1386" s="517" t="s">
        <v>2441</v>
      </c>
    </row>
    <row r="1387" spans="1:3" x14ac:dyDescent="0.35">
      <c r="A1387" s="517" t="s">
        <v>2442</v>
      </c>
    </row>
    <row r="1388" spans="1:3" x14ac:dyDescent="0.35">
      <c r="A1388" s="517" t="s">
        <v>2443</v>
      </c>
    </row>
    <row r="1389" spans="1:3" x14ac:dyDescent="0.35">
      <c r="A1389" s="517" t="s">
        <v>2444</v>
      </c>
    </row>
    <row r="1390" spans="1:3" x14ac:dyDescent="0.35">
      <c r="A1390" s="517" t="s">
        <v>2445</v>
      </c>
    </row>
    <row r="1391" spans="1:3" x14ac:dyDescent="0.35">
      <c r="A1391" s="517" t="s">
        <v>2446</v>
      </c>
    </row>
    <row r="1392" spans="1:3" x14ac:dyDescent="0.35">
      <c r="A1392" s="517" t="s">
        <v>2447</v>
      </c>
    </row>
    <row r="1393" spans="1:1" x14ac:dyDescent="0.35">
      <c r="A1393" s="517" t="s">
        <v>2448</v>
      </c>
    </row>
    <row r="1394" spans="1:1" x14ac:dyDescent="0.35">
      <c r="A1394" s="517" t="s">
        <v>2449</v>
      </c>
    </row>
    <row r="1395" spans="1:1" x14ac:dyDescent="0.35">
      <c r="A1395" s="517" t="s">
        <v>2450</v>
      </c>
    </row>
    <row r="1396" spans="1:1" x14ac:dyDescent="0.35">
      <c r="A1396" s="517" t="s">
        <v>2451</v>
      </c>
    </row>
    <row r="1397" spans="1:1" x14ac:dyDescent="0.35">
      <c r="A1397" s="517" t="s">
        <v>2452</v>
      </c>
    </row>
    <row r="1398" spans="1:1" x14ac:dyDescent="0.35">
      <c r="A1398" s="517" t="s">
        <v>2453</v>
      </c>
    </row>
    <row r="1399" spans="1:1" x14ac:dyDescent="0.35">
      <c r="A1399" s="517" t="s">
        <v>2454</v>
      </c>
    </row>
    <row r="1400" spans="1:1" x14ac:dyDescent="0.35">
      <c r="A1400" s="517" t="s">
        <v>2455</v>
      </c>
    </row>
    <row r="1401" spans="1:1" x14ac:dyDescent="0.35">
      <c r="A1401" s="517" t="s">
        <v>2456</v>
      </c>
    </row>
    <row r="1402" spans="1:1" x14ac:dyDescent="0.35">
      <c r="A1402" s="517" t="s">
        <v>2457</v>
      </c>
    </row>
    <row r="1403" spans="1:1" x14ac:dyDescent="0.35">
      <c r="A1403" s="517" t="s">
        <v>2458</v>
      </c>
    </row>
    <row r="1404" spans="1:1" x14ac:dyDescent="0.35">
      <c r="A1404" s="517" t="s">
        <v>2459</v>
      </c>
    </row>
    <row r="1405" spans="1:1" x14ac:dyDescent="0.35">
      <c r="A1405" s="517" t="s">
        <v>2460</v>
      </c>
    </row>
    <row r="1406" spans="1:1" x14ac:dyDescent="0.35">
      <c r="A1406" s="517" t="s">
        <v>2461</v>
      </c>
    </row>
    <row r="1407" spans="1:1" x14ac:dyDescent="0.35">
      <c r="A1407" s="517" t="s">
        <v>2462</v>
      </c>
    </row>
    <row r="1408" spans="1:1" x14ac:dyDescent="0.35">
      <c r="A1408" s="517" t="s">
        <v>2463</v>
      </c>
    </row>
    <row r="1409" spans="1:1" x14ac:dyDescent="0.35">
      <c r="A1409" s="517" t="s">
        <v>2464</v>
      </c>
    </row>
    <row r="1410" spans="1:1" x14ac:dyDescent="0.35">
      <c r="A1410" s="517" t="s">
        <v>2465</v>
      </c>
    </row>
    <row r="1411" spans="1:1" x14ac:dyDescent="0.35">
      <c r="A1411" s="517" t="s">
        <v>2466</v>
      </c>
    </row>
    <row r="1412" spans="1:1" x14ac:dyDescent="0.35">
      <c r="A1412" s="517" t="s">
        <v>2467</v>
      </c>
    </row>
    <row r="1413" spans="1:1" x14ac:dyDescent="0.35">
      <c r="A1413" s="517" t="s">
        <v>2468</v>
      </c>
    </row>
    <row r="1414" spans="1:1" x14ac:dyDescent="0.35">
      <c r="A1414" s="517" t="s">
        <v>2469</v>
      </c>
    </row>
    <row r="1415" spans="1:1" x14ac:dyDescent="0.35">
      <c r="A1415" s="517" t="s">
        <v>2470</v>
      </c>
    </row>
    <row r="1416" spans="1:1" x14ac:dyDescent="0.35">
      <c r="A1416" s="517" t="s">
        <v>2471</v>
      </c>
    </row>
    <row r="1417" spans="1:1" x14ac:dyDescent="0.35">
      <c r="A1417" s="517" t="s">
        <v>2472</v>
      </c>
    </row>
    <row r="1418" spans="1:1" x14ac:dyDescent="0.35">
      <c r="A1418" s="517" t="s">
        <v>2473</v>
      </c>
    </row>
    <row r="1419" spans="1:1" x14ac:dyDescent="0.35">
      <c r="A1419" s="517" t="s">
        <v>2474</v>
      </c>
    </row>
    <row r="1420" spans="1:1" x14ac:dyDescent="0.35">
      <c r="A1420" s="517" t="s">
        <v>2475</v>
      </c>
    </row>
    <row r="1421" spans="1:1" x14ac:dyDescent="0.35">
      <c r="A1421" s="517" t="s">
        <v>2476</v>
      </c>
    </row>
    <row r="1422" spans="1:1" x14ac:dyDescent="0.35">
      <c r="A1422" s="517" t="s">
        <v>2477</v>
      </c>
    </row>
    <row r="1423" spans="1:1" x14ac:dyDescent="0.35">
      <c r="A1423" s="517" t="s">
        <v>2478</v>
      </c>
    </row>
    <row r="1424" spans="1:1" x14ac:dyDescent="0.35">
      <c r="A1424" s="517" t="s">
        <v>2479</v>
      </c>
    </row>
    <row r="1425" spans="1:1" x14ac:dyDescent="0.35">
      <c r="A1425" s="517" t="s">
        <v>2480</v>
      </c>
    </row>
    <row r="1426" spans="1:1" x14ac:dyDescent="0.35">
      <c r="A1426" s="517" t="s">
        <v>2481</v>
      </c>
    </row>
    <row r="1427" spans="1:1" x14ac:dyDescent="0.35">
      <c r="A1427" s="517" t="s">
        <v>2482</v>
      </c>
    </row>
    <row r="1428" spans="1:1" x14ac:dyDescent="0.35">
      <c r="A1428" s="517" t="s">
        <v>2483</v>
      </c>
    </row>
    <row r="1429" spans="1:1" x14ac:dyDescent="0.35">
      <c r="A1429" s="517" t="s">
        <v>2484</v>
      </c>
    </row>
    <row r="1430" spans="1:1" x14ac:dyDescent="0.35">
      <c r="A1430" s="517" t="s">
        <v>2485</v>
      </c>
    </row>
    <row r="1431" spans="1:1" x14ac:dyDescent="0.35">
      <c r="A1431" s="517" t="s">
        <v>2486</v>
      </c>
    </row>
    <row r="1432" spans="1:1" x14ac:dyDescent="0.35">
      <c r="A1432" s="517" t="s">
        <v>2487</v>
      </c>
    </row>
    <row r="1433" spans="1:1" x14ac:dyDescent="0.35">
      <c r="A1433" s="517" t="s">
        <v>2488</v>
      </c>
    </row>
    <row r="1434" spans="1:1" x14ac:dyDescent="0.35">
      <c r="A1434" s="517" t="s">
        <v>2489</v>
      </c>
    </row>
    <row r="1435" spans="1:1" x14ac:dyDescent="0.35">
      <c r="A1435" s="517" t="s">
        <v>2490</v>
      </c>
    </row>
    <row r="1436" spans="1:1" x14ac:dyDescent="0.35">
      <c r="A1436" s="517" t="s">
        <v>2491</v>
      </c>
    </row>
    <row r="1437" spans="1:1" x14ac:dyDescent="0.35">
      <c r="A1437" s="517" t="s">
        <v>2492</v>
      </c>
    </row>
    <row r="1438" spans="1:1" x14ac:dyDescent="0.35">
      <c r="A1438" s="517" t="s">
        <v>2493</v>
      </c>
    </row>
    <row r="1439" spans="1:1" x14ac:dyDescent="0.35">
      <c r="A1439" s="517" t="s">
        <v>2494</v>
      </c>
    </row>
    <row r="1440" spans="1:1" x14ac:dyDescent="0.35">
      <c r="A1440" s="522" t="s">
        <v>2417</v>
      </c>
    </row>
  </sheetData>
  <sortState ref="A79:A202">
    <sortCondition ref="A79"/>
  </sortState>
  <customSheetViews>
    <customSheetView guid="{33CCADFA-0D48-46A6-8927-2B2144029216}" state="veryHidden">
      <pane xSplit="1" ySplit="1" topLeftCell="B182" activePane="bottomRight" state="frozen"/>
      <selection pane="bottomRight" activeCell="A594" sqref="A594"/>
      <pageMargins left="0.96" right="0.61" top="0.48" bottom="0.89" header="0.41" footer="0.68"/>
      <printOptions gridLines="1"/>
      <pageSetup paperSize="9" orientation="portrait" horizontalDpi="300" verticalDpi="300" r:id="rId1"/>
      <headerFooter alignWithMargins="0">
        <oddFooter>&amp;L&amp;P</oddFooter>
      </headerFooter>
    </customSheetView>
  </customSheetViews>
  <phoneticPr fontId="29" type="noConversion"/>
  <printOptions gridLines="1"/>
  <pageMargins left="0.96" right="0.61" top="0.48" bottom="0.89" header="0.41" footer="0.68"/>
  <pageSetup paperSize="9" orientation="portrait" horizontalDpi="300" verticalDpi="300" r:id="rId2"/>
  <headerFooter alignWithMargins="0">
    <oddFooter>&amp;L&amp;P</oddFooter>
  </headerFooter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>
    <tabColor rgb="FF00B0F0"/>
  </sheetPr>
  <dimension ref="A1:I10"/>
  <sheetViews>
    <sheetView workbookViewId="0"/>
  </sheetViews>
  <sheetFormatPr defaultRowHeight="12.85" x14ac:dyDescent="0.35"/>
  <cols>
    <col min="1" max="1" width="10.86328125" bestFit="1" customWidth="1"/>
    <col min="2" max="2" width="13.86328125" bestFit="1" customWidth="1"/>
    <col min="3" max="3" width="9.86328125" bestFit="1" customWidth="1"/>
    <col min="4" max="4" width="11.265625" bestFit="1" customWidth="1"/>
    <col min="5" max="5" width="9.73046875" bestFit="1" customWidth="1"/>
    <col min="6" max="6" width="9.86328125" bestFit="1" customWidth="1"/>
    <col min="7" max="7" width="7.73046875" bestFit="1" customWidth="1"/>
    <col min="8" max="8" width="6.59765625" bestFit="1" customWidth="1"/>
    <col min="9" max="9" width="19.73046875" customWidth="1"/>
  </cols>
  <sheetData>
    <row r="1" spans="1:9" x14ac:dyDescent="0.35">
      <c r="A1" s="577" t="s">
        <v>769</v>
      </c>
      <c r="B1" t="s">
        <v>446</v>
      </c>
      <c r="C1" t="s">
        <v>447</v>
      </c>
      <c r="D1" t="s">
        <v>448</v>
      </c>
      <c r="E1" t="s">
        <v>449</v>
      </c>
      <c r="F1" t="s">
        <v>450</v>
      </c>
      <c r="G1" t="s">
        <v>572</v>
      </c>
      <c r="H1" t="s">
        <v>265</v>
      </c>
      <c r="I1" t="s">
        <v>921</v>
      </c>
    </row>
    <row r="2" spans="1:9" x14ac:dyDescent="0.35">
      <c r="B2" s="30" t="e">
        <f ca="1">Vandaag()</f>
        <v>#NAME?</v>
      </c>
      <c r="C2" s="30">
        <v>42370</v>
      </c>
      <c r="D2" t="s">
        <v>562</v>
      </c>
      <c r="E2" t="s">
        <v>563</v>
      </c>
      <c r="F2" s="30">
        <v>42370</v>
      </c>
      <c r="G2" s="188">
        <v>100</v>
      </c>
      <c r="H2">
        <v>80</v>
      </c>
      <c r="I2" s="237"/>
    </row>
    <row r="3" spans="1:9" x14ac:dyDescent="0.35">
      <c r="C3" s="7"/>
      <c r="D3" s="7"/>
      <c r="E3" s="7"/>
      <c r="G3" s="7"/>
    </row>
    <row r="4" spans="1:9" x14ac:dyDescent="0.35">
      <c r="C4" s="7"/>
      <c r="D4" s="7"/>
      <c r="E4" s="7"/>
      <c r="G4" s="7"/>
    </row>
    <row r="6" spans="1:9" x14ac:dyDescent="0.35">
      <c r="A6" s="577"/>
    </row>
    <row r="8" spans="1:9" x14ac:dyDescent="0.35">
      <c r="E8" s="267"/>
    </row>
    <row r="10" spans="1:9" x14ac:dyDescent="0.35">
      <c r="E10" s="267"/>
    </row>
  </sheetData>
  <customSheetViews>
    <customSheetView guid="{33CCADFA-0D48-46A6-8927-2B2144029216}" state="veryHidden">
      <selection activeCell="B2" sqref="B2"/>
      <pageMargins left="0.75" right="0.75" top="1" bottom="1" header="0.5" footer="0.5"/>
      <pageSetup paperSize="9" orientation="portrait" horizontalDpi="300" verticalDpi="300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horizontalDpi="300" verticalDpi="300" r:id="rId2"/>
  <headerFooter alignWithMargins="0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atient">
    <tabColor rgb="FFFF0000"/>
  </sheetPr>
  <dimension ref="A1"/>
  <sheetViews>
    <sheetView workbookViewId="0"/>
  </sheetViews>
  <sheetFormatPr defaultRowHeight="12.85" x14ac:dyDescent="0.3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Opm">
    <tabColor rgb="FF92D050"/>
  </sheetPr>
  <dimension ref="A1:D46"/>
  <sheetViews>
    <sheetView topLeftCell="A16" workbookViewId="0"/>
  </sheetViews>
  <sheetFormatPr defaultRowHeight="12.85" x14ac:dyDescent="0.35"/>
  <cols>
    <col min="1" max="1" width="11.73046875" customWidth="1"/>
    <col min="2" max="2" width="37.73046875" customWidth="1"/>
    <col min="3" max="3" width="13.265625" customWidth="1"/>
  </cols>
  <sheetData>
    <row r="1" spans="1:3" x14ac:dyDescent="0.35">
      <c r="A1" s="577" t="s">
        <v>513</v>
      </c>
      <c r="B1" t="s">
        <v>185</v>
      </c>
      <c r="C1" t="s">
        <v>514</v>
      </c>
    </row>
    <row r="2" spans="1:3" x14ac:dyDescent="0.35">
      <c r="A2" t="s">
        <v>515</v>
      </c>
      <c r="B2" t="s">
        <v>216</v>
      </c>
    </row>
    <row r="3" spans="1:3" x14ac:dyDescent="0.35">
      <c r="A3" t="s">
        <v>515</v>
      </c>
      <c r="B3" t="s">
        <v>223</v>
      </c>
    </row>
    <row r="4" spans="1:3" x14ac:dyDescent="0.35">
      <c r="A4" t="s">
        <v>515</v>
      </c>
      <c r="B4" t="s">
        <v>119</v>
      </c>
    </row>
    <row r="5" spans="1:3" x14ac:dyDescent="0.35">
      <c r="A5" t="s">
        <v>515</v>
      </c>
      <c r="B5" t="s">
        <v>120</v>
      </c>
    </row>
    <row r="6" spans="1:3" x14ac:dyDescent="0.35">
      <c r="A6" s="577" t="s">
        <v>515</v>
      </c>
      <c r="B6" t="s">
        <v>121</v>
      </c>
    </row>
    <row r="7" spans="1:3" x14ac:dyDescent="0.35">
      <c r="A7" t="s">
        <v>515</v>
      </c>
      <c r="B7" t="s">
        <v>122</v>
      </c>
    </row>
    <row r="8" spans="1:3" x14ac:dyDescent="0.35">
      <c r="A8" t="s">
        <v>515</v>
      </c>
      <c r="B8" t="s">
        <v>123</v>
      </c>
    </row>
    <row r="9" spans="1:3" x14ac:dyDescent="0.35">
      <c r="A9" t="s">
        <v>515</v>
      </c>
      <c r="B9" t="s">
        <v>124</v>
      </c>
    </row>
    <row r="10" spans="1:3" x14ac:dyDescent="0.35">
      <c r="A10" t="s">
        <v>515</v>
      </c>
      <c r="B10" t="s">
        <v>246</v>
      </c>
      <c r="C10" s="25"/>
    </row>
    <row r="11" spans="1:3" x14ac:dyDescent="0.35">
      <c r="A11" t="s">
        <v>515</v>
      </c>
      <c r="B11" t="s">
        <v>296</v>
      </c>
      <c r="C11" s="25"/>
    </row>
    <row r="12" spans="1:3" x14ac:dyDescent="0.35">
      <c r="A12" t="s">
        <v>515</v>
      </c>
      <c r="B12" t="s">
        <v>297</v>
      </c>
    </row>
    <row r="13" spans="1:3" x14ac:dyDescent="0.35">
      <c r="A13" t="s">
        <v>515</v>
      </c>
      <c r="B13" t="s">
        <v>298</v>
      </c>
    </row>
    <row r="14" spans="1:3" x14ac:dyDescent="0.35">
      <c r="A14" t="s">
        <v>515</v>
      </c>
      <c r="B14" t="s">
        <v>299</v>
      </c>
    </row>
    <row r="15" spans="1:3" x14ac:dyDescent="0.35">
      <c r="A15" t="s">
        <v>515</v>
      </c>
      <c r="B15" t="s">
        <v>300</v>
      </c>
    </row>
    <row r="16" spans="1:3" x14ac:dyDescent="0.35">
      <c r="A16" t="s">
        <v>231</v>
      </c>
      <c r="B16" t="s">
        <v>232</v>
      </c>
      <c r="C16" s="517"/>
    </row>
    <row r="17" spans="1:4" x14ac:dyDescent="0.35">
      <c r="A17" t="s">
        <v>231</v>
      </c>
      <c r="B17" t="s">
        <v>232</v>
      </c>
      <c r="C17" s="517"/>
    </row>
    <row r="18" spans="1:4" x14ac:dyDescent="0.35">
      <c r="A18" t="s">
        <v>231</v>
      </c>
      <c r="B18" t="s">
        <v>232</v>
      </c>
      <c r="C18" s="517"/>
      <c r="D18" s="517"/>
    </row>
    <row r="19" spans="1:4" x14ac:dyDescent="0.35">
      <c r="A19" t="s">
        <v>231</v>
      </c>
      <c r="B19" t="s">
        <v>232</v>
      </c>
      <c r="C19" s="517"/>
      <c r="D19" s="517"/>
    </row>
    <row r="20" spans="1:4" x14ac:dyDescent="0.35">
      <c r="A20" t="s">
        <v>231</v>
      </c>
      <c r="B20" t="s">
        <v>232</v>
      </c>
      <c r="C20" s="517"/>
      <c r="D20" s="517"/>
    </row>
    <row r="21" spans="1:4" x14ac:dyDescent="0.35">
      <c r="A21" t="s">
        <v>231</v>
      </c>
      <c r="B21" t="s">
        <v>232</v>
      </c>
      <c r="C21" s="517"/>
      <c r="D21" s="517"/>
    </row>
    <row r="22" spans="1:4" x14ac:dyDescent="0.35">
      <c r="A22" t="s">
        <v>231</v>
      </c>
      <c r="B22" t="s">
        <v>232</v>
      </c>
      <c r="C22" s="517"/>
      <c r="D22" s="517"/>
    </row>
    <row r="23" spans="1:4" x14ac:dyDescent="0.35">
      <c r="A23" t="s">
        <v>231</v>
      </c>
      <c r="B23" t="s">
        <v>232</v>
      </c>
      <c r="C23" s="517"/>
      <c r="D23" s="517"/>
    </row>
    <row r="24" spans="1:4" x14ac:dyDescent="0.35">
      <c r="A24" t="s">
        <v>231</v>
      </c>
      <c r="B24" t="s">
        <v>232</v>
      </c>
      <c r="C24" s="517"/>
      <c r="D24" s="517"/>
    </row>
    <row r="25" spans="1:4" x14ac:dyDescent="0.35">
      <c r="A25" t="s">
        <v>231</v>
      </c>
      <c r="B25" t="s">
        <v>232</v>
      </c>
      <c r="C25" s="517"/>
      <c r="D25" s="517"/>
    </row>
    <row r="26" spans="1:4" x14ac:dyDescent="0.35">
      <c r="A26" t="s">
        <v>231</v>
      </c>
      <c r="B26" t="s">
        <v>232</v>
      </c>
      <c r="C26" s="517"/>
      <c r="D26" s="517"/>
    </row>
    <row r="27" spans="1:4" x14ac:dyDescent="0.35">
      <c r="A27" t="s">
        <v>231</v>
      </c>
      <c r="B27" t="s">
        <v>232</v>
      </c>
      <c r="C27" s="517"/>
      <c r="D27" s="517"/>
    </row>
    <row r="28" spans="1:4" x14ac:dyDescent="0.35">
      <c r="A28" t="s">
        <v>231</v>
      </c>
      <c r="B28" t="s">
        <v>232</v>
      </c>
      <c r="C28" s="517"/>
      <c r="D28" s="517"/>
    </row>
    <row r="29" spans="1:4" x14ac:dyDescent="0.35">
      <c r="A29" t="s">
        <v>231</v>
      </c>
      <c r="B29" t="s">
        <v>232</v>
      </c>
      <c r="C29" s="517"/>
      <c r="D29" s="517"/>
    </row>
    <row r="30" spans="1:4" x14ac:dyDescent="0.35">
      <c r="A30" t="s">
        <v>231</v>
      </c>
      <c r="B30" t="s">
        <v>232</v>
      </c>
      <c r="C30" s="517"/>
      <c r="D30" s="517"/>
    </row>
    <row r="31" spans="1:4" x14ac:dyDescent="0.35">
      <c r="A31" t="s">
        <v>231</v>
      </c>
      <c r="B31" t="s">
        <v>232</v>
      </c>
      <c r="C31" s="517"/>
      <c r="D31" s="517"/>
    </row>
    <row r="32" spans="1:4" x14ac:dyDescent="0.35">
      <c r="A32" t="s">
        <v>231</v>
      </c>
      <c r="B32" t="s">
        <v>232</v>
      </c>
      <c r="C32" s="517"/>
      <c r="D32" s="517"/>
    </row>
    <row r="33" spans="1:4" x14ac:dyDescent="0.35">
      <c r="A33" t="s">
        <v>231</v>
      </c>
      <c r="B33" t="s">
        <v>232</v>
      </c>
      <c r="C33" s="517"/>
      <c r="D33" s="517"/>
    </row>
    <row r="34" spans="1:4" x14ac:dyDescent="0.35">
      <c r="A34" t="s">
        <v>231</v>
      </c>
      <c r="B34" t="s">
        <v>232</v>
      </c>
      <c r="C34" s="517"/>
      <c r="D34" s="517"/>
    </row>
    <row r="35" spans="1:4" x14ac:dyDescent="0.35">
      <c r="A35" t="s">
        <v>231</v>
      </c>
      <c r="B35" t="s">
        <v>232</v>
      </c>
      <c r="C35" s="517"/>
      <c r="D35" s="517"/>
    </row>
    <row r="36" spans="1:4" x14ac:dyDescent="0.35">
      <c r="A36" s="518" t="s">
        <v>515</v>
      </c>
      <c r="B36" s="518" t="s">
        <v>1348</v>
      </c>
      <c r="C36" s="517"/>
    </row>
    <row r="37" spans="1:4" x14ac:dyDescent="0.35">
      <c r="A37" s="517" t="s">
        <v>231</v>
      </c>
      <c r="B37" s="517" t="s">
        <v>232</v>
      </c>
      <c r="C37" s="517"/>
    </row>
    <row r="38" spans="1:4" x14ac:dyDescent="0.35">
      <c r="A38" s="517" t="s">
        <v>231</v>
      </c>
      <c r="B38" s="517" t="s">
        <v>232</v>
      </c>
      <c r="C38" s="517"/>
      <c r="D38" s="517"/>
    </row>
    <row r="39" spans="1:4" x14ac:dyDescent="0.35">
      <c r="A39" s="517" t="s">
        <v>231</v>
      </c>
      <c r="B39" s="517" t="s">
        <v>232</v>
      </c>
      <c r="C39" s="517"/>
      <c r="D39" s="517"/>
    </row>
    <row r="40" spans="1:4" x14ac:dyDescent="0.35">
      <c r="A40" s="517" t="s">
        <v>231</v>
      </c>
      <c r="B40" s="517" t="s">
        <v>232</v>
      </c>
      <c r="C40" s="517"/>
      <c r="D40" s="517"/>
    </row>
    <row r="41" spans="1:4" x14ac:dyDescent="0.35">
      <c r="A41" s="517" t="s">
        <v>231</v>
      </c>
      <c r="B41" s="517" t="s">
        <v>232</v>
      </c>
      <c r="C41" s="517"/>
      <c r="D41" s="517"/>
    </row>
    <row r="42" spans="1:4" x14ac:dyDescent="0.35">
      <c r="A42" s="517" t="s">
        <v>231</v>
      </c>
      <c r="B42" s="517" t="s">
        <v>232</v>
      </c>
      <c r="C42" s="517"/>
      <c r="D42" s="517"/>
    </row>
    <row r="43" spans="1:4" x14ac:dyDescent="0.35">
      <c r="A43" s="517" t="s">
        <v>231</v>
      </c>
      <c r="B43" s="517" t="s">
        <v>232</v>
      </c>
      <c r="C43" s="517"/>
      <c r="D43" s="517"/>
    </row>
    <row r="44" spans="1:4" x14ac:dyDescent="0.35">
      <c r="A44" s="517" t="s">
        <v>231</v>
      </c>
      <c r="B44" s="517" t="s">
        <v>232</v>
      </c>
      <c r="C44" s="517"/>
      <c r="D44" s="517"/>
    </row>
    <row r="45" spans="1:4" x14ac:dyDescent="0.35">
      <c r="A45" s="517" t="s">
        <v>231</v>
      </c>
      <c r="B45" s="517" t="s">
        <v>232</v>
      </c>
      <c r="C45" s="517"/>
      <c r="D45" s="517"/>
    </row>
    <row r="46" spans="1:4" x14ac:dyDescent="0.35">
      <c r="A46" s="517" t="s">
        <v>231</v>
      </c>
      <c r="B46" s="517" t="s">
        <v>232</v>
      </c>
      <c r="C46" s="517"/>
      <c r="D46" s="517"/>
    </row>
  </sheetData>
  <customSheetViews>
    <customSheetView guid="{33CCADFA-0D48-46A6-8927-2B2144029216}" state="veryHidden">
      <selection activeCell="C2" sqref="C2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horizontalDpi="300" r:id="rId2"/>
  <headerFooter alignWithMargins="0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Conversie">
    <tabColor rgb="FF92D050"/>
  </sheetPr>
  <dimension ref="A1:H20"/>
  <sheetViews>
    <sheetView workbookViewId="0"/>
  </sheetViews>
  <sheetFormatPr defaultRowHeight="12.85" x14ac:dyDescent="0.35"/>
  <cols>
    <col min="1" max="1" width="36.265625" customWidth="1"/>
    <col min="2" max="2" width="10.59765625" style="1" customWidth="1"/>
    <col min="4" max="4" width="13.265625" customWidth="1"/>
    <col min="5" max="5" width="12.3984375" style="1" customWidth="1"/>
    <col min="7" max="7" width="11.3984375" customWidth="1"/>
    <col min="8" max="8" width="11.73046875" customWidth="1"/>
  </cols>
  <sheetData>
    <row r="1" spans="1:8" x14ac:dyDescent="0.35">
      <c r="A1" s="577"/>
      <c r="D1" t="s">
        <v>105</v>
      </c>
      <c r="E1" s="1" t="s">
        <v>330</v>
      </c>
    </row>
    <row r="2" spans="1:8" x14ac:dyDescent="0.35">
      <c r="D2" t="s">
        <v>77</v>
      </c>
    </row>
    <row r="4" spans="1:8" x14ac:dyDescent="0.35">
      <c r="C4" s="6"/>
      <c r="D4" s="44" t="s">
        <v>472</v>
      </c>
      <c r="E4" s="44">
        <v>4.3478000000000003E-2</v>
      </c>
      <c r="H4" s="44"/>
    </row>
    <row r="5" spans="1:8" x14ac:dyDescent="0.35">
      <c r="C5" s="6"/>
      <c r="D5" s="44" t="s">
        <v>473</v>
      </c>
      <c r="E5" s="44">
        <v>2.5641000000000001E-2</v>
      </c>
      <c r="H5" s="44"/>
    </row>
    <row r="6" spans="1:8" x14ac:dyDescent="0.35">
      <c r="A6" s="577"/>
      <c r="D6" s="44" t="s">
        <v>474</v>
      </c>
      <c r="E6" s="44">
        <v>2.5000000000000001E-2</v>
      </c>
      <c r="H6" s="44"/>
    </row>
    <row r="7" spans="1:8" x14ac:dyDescent="0.35">
      <c r="D7" s="44" t="s">
        <v>481</v>
      </c>
      <c r="E7" s="44">
        <v>3.2288999999999998E-2</v>
      </c>
      <c r="H7" s="44"/>
    </row>
    <row r="8" spans="1:8" x14ac:dyDescent="0.35">
      <c r="D8" s="44" t="s">
        <v>475</v>
      </c>
      <c r="E8" s="44">
        <v>4.1140999999999997E-2</v>
      </c>
      <c r="H8" s="44"/>
    </row>
    <row r="9" spans="1:8" x14ac:dyDescent="0.35">
      <c r="D9" s="44"/>
      <c r="E9" s="44"/>
      <c r="H9" s="44"/>
    </row>
    <row r="10" spans="1:8" x14ac:dyDescent="0.35">
      <c r="D10" s="44"/>
      <c r="E10" s="44"/>
      <c r="H10" s="44"/>
    </row>
    <row r="11" spans="1:8" x14ac:dyDescent="0.35">
      <c r="D11" s="44"/>
      <c r="E11" s="44"/>
      <c r="H11" s="44"/>
    </row>
    <row r="12" spans="1:8" x14ac:dyDescent="0.35">
      <c r="D12" s="44"/>
      <c r="E12" s="44"/>
      <c r="H12" s="44"/>
    </row>
    <row r="13" spans="1:8" x14ac:dyDescent="0.35">
      <c r="D13" s="44"/>
      <c r="E13" s="44"/>
      <c r="H13" s="44"/>
    </row>
    <row r="14" spans="1:8" x14ac:dyDescent="0.35">
      <c r="D14" s="44"/>
      <c r="E14" s="44"/>
      <c r="H14" s="44"/>
    </row>
    <row r="15" spans="1:8" x14ac:dyDescent="0.35">
      <c r="D15" s="44"/>
      <c r="E15" s="44"/>
      <c r="H15" s="44"/>
    </row>
    <row r="16" spans="1:8" x14ac:dyDescent="0.35">
      <c r="D16" s="44"/>
      <c r="E16" s="44"/>
      <c r="H16" s="44"/>
    </row>
    <row r="17" spans="4:8" x14ac:dyDescent="0.35">
      <c r="D17" s="44"/>
      <c r="E17" s="44"/>
      <c r="H17" s="44"/>
    </row>
    <row r="18" spans="4:8" x14ac:dyDescent="0.35">
      <c r="D18" s="44"/>
      <c r="E18" s="44"/>
      <c r="H18" s="44"/>
    </row>
    <row r="19" spans="4:8" x14ac:dyDescent="0.35">
      <c r="D19" s="44"/>
      <c r="E19" s="44"/>
      <c r="H19" s="44"/>
    </row>
    <row r="20" spans="4:8" x14ac:dyDescent="0.35">
      <c r="D20" s="44"/>
      <c r="E20" s="44"/>
      <c r="H20" s="44"/>
    </row>
  </sheetData>
  <customSheetViews>
    <customSheetView guid="{33CCADFA-0D48-46A6-8927-2B2144029216}" state="veryHidden">
      <selection activeCell="D1" sqref="D1:E8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headerFooter alignWithMargins="0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emp">
    <tabColor rgb="FFFF3399"/>
  </sheetPr>
  <dimension ref="A1:B1440"/>
  <sheetViews>
    <sheetView workbookViewId="0">
      <selection sqref="A1:B1440"/>
    </sheetView>
  </sheetViews>
  <sheetFormatPr defaultRowHeight="12.85" x14ac:dyDescent="0.35"/>
  <cols>
    <col min="1" max="1" width="27.3984375" customWidth="1"/>
    <col min="2" max="2" width="28.59765625" customWidth="1"/>
    <col min="3" max="3" width="34.1328125" customWidth="1"/>
  </cols>
  <sheetData>
    <row r="1" spans="1:2" x14ac:dyDescent="0.35">
      <c r="A1" t="s">
        <v>355</v>
      </c>
      <c r="B1" t="s">
        <v>356</v>
      </c>
    </row>
    <row r="2" spans="1:2" x14ac:dyDescent="0.35">
      <c r="A2" t="s">
        <v>969</v>
      </c>
      <c r="B2" t="s">
        <v>2639</v>
      </c>
    </row>
    <row r="3" spans="1:2" x14ac:dyDescent="0.35">
      <c r="A3" t="s">
        <v>970</v>
      </c>
      <c r="B3" t="s">
        <v>2639</v>
      </c>
    </row>
    <row r="4" spans="1:2" x14ac:dyDescent="0.35">
      <c r="A4" t="s">
        <v>450</v>
      </c>
      <c r="B4">
        <v>42640</v>
      </c>
    </row>
    <row r="5" spans="1:2" x14ac:dyDescent="0.35">
      <c r="A5" t="s">
        <v>757</v>
      </c>
      <c r="B5" t="b">
        <v>1</v>
      </c>
    </row>
    <row r="6" spans="1:2" x14ac:dyDescent="0.35">
      <c r="A6" t="s">
        <v>758</v>
      </c>
      <c r="B6">
        <v>7</v>
      </c>
    </row>
    <row r="7" spans="1:2" x14ac:dyDescent="0.35">
      <c r="A7" t="s">
        <v>568</v>
      </c>
      <c r="B7" t="b">
        <v>1</v>
      </c>
    </row>
    <row r="8" spans="1:2" x14ac:dyDescent="0.35">
      <c r="A8" t="s">
        <v>78</v>
      </c>
      <c r="B8">
        <v>1</v>
      </c>
    </row>
    <row r="9" spans="1:2" x14ac:dyDescent="0.35">
      <c r="A9" t="s">
        <v>79</v>
      </c>
    </row>
    <row r="10" spans="1:2" x14ac:dyDescent="0.35">
      <c r="A10" t="s">
        <v>80</v>
      </c>
    </row>
    <row r="11" spans="1:2" x14ac:dyDescent="0.35">
      <c r="A11" t="s">
        <v>81</v>
      </c>
    </row>
    <row r="12" spans="1:2" x14ac:dyDescent="0.35">
      <c r="A12" t="s">
        <v>21</v>
      </c>
    </row>
    <row r="13" spans="1:2" x14ac:dyDescent="0.35">
      <c r="A13" t="s">
        <v>22</v>
      </c>
    </row>
    <row r="14" spans="1:2" x14ac:dyDescent="0.35">
      <c r="A14" t="s">
        <v>703</v>
      </c>
    </row>
    <row r="15" spans="1:2" x14ac:dyDescent="0.35">
      <c r="A15" t="s">
        <v>704</v>
      </c>
    </row>
    <row r="16" spans="1:2" x14ac:dyDescent="0.35">
      <c r="A16" t="s">
        <v>705</v>
      </c>
    </row>
    <row r="17" spans="1:2" x14ac:dyDescent="0.35">
      <c r="A17" t="s">
        <v>706</v>
      </c>
    </row>
    <row r="18" spans="1:2" x14ac:dyDescent="0.35">
      <c r="A18" t="s">
        <v>455</v>
      </c>
    </row>
    <row r="19" spans="1:2" x14ac:dyDescent="0.35">
      <c r="A19" t="s">
        <v>456</v>
      </c>
      <c r="B19">
        <v>4</v>
      </c>
    </row>
    <row r="20" spans="1:2" x14ac:dyDescent="0.35">
      <c r="A20" t="s">
        <v>457</v>
      </c>
    </row>
    <row r="21" spans="1:2" x14ac:dyDescent="0.35">
      <c r="A21" t="s">
        <v>2546</v>
      </c>
    </row>
    <row r="22" spans="1:2" x14ac:dyDescent="0.35">
      <c r="A22" t="s">
        <v>2547</v>
      </c>
    </row>
    <row r="23" spans="1:2" x14ac:dyDescent="0.35">
      <c r="A23" t="s">
        <v>2548</v>
      </c>
    </row>
    <row r="24" spans="1:2" x14ac:dyDescent="0.35">
      <c r="A24" t="s">
        <v>2549</v>
      </c>
    </row>
    <row r="25" spans="1:2" x14ac:dyDescent="0.35">
      <c r="A25" t="s">
        <v>2550</v>
      </c>
    </row>
    <row r="26" spans="1:2" x14ac:dyDescent="0.35">
      <c r="A26" t="s">
        <v>2551</v>
      </c>
    </row>
    <row r="27" spans="1:2" x14ac:dyDescent="0.35">
      <c r="A27" t="s">
        <v>2552</v>
      </c>
    </row>
    <row r="28" spans="1:2" x14ac:dyDescent="0.35">
      <c r="A28" t="s">
        <v>2553</v>
      </c>
    </row>
    <row r="29" spans="1:2" x14ac:dyDescent="0.35">
      <c r="A29" t="s">
        <v>2554</v>
      </c>
    </row>
    <row r="30" spans="1:2" x14ac:dyDescent="0.35">
      <c r="A30" t="s">
        <v>2555</v>
      </c>
    </row>
    <row r="31" spans="1:2" x14ac:dyDescent="0.35">
      <c r="A31" t="s">
        <v>458</v>
      </c>
      <c r="B31">
        <v>1</v>
      </c>
    </row>
    <row r="32" spans="1:2" x14ac:dyDescent="0.35">
      <c r="A32" t="s">
        <v>57</v>
      </c>
    </row>
    <row r="33" spans="1:2" x14ac:dyDescent="0.35">
      <c r="A33" t="s">
        <v>58</v>
      </c>
    </row>
    <row r="34" spans="1:2" x14ac:dyDescent="0.35">
      <c r="A34" t="s">
        <v>59</v>
      </c>
    </row>
    <row r="35" spans="1:2" x14ac:dyDescent="0.35">
      <c r="A35" t="s">
        <v>60</v>
      </c>
    </row>
    <row r="36" spans="1:2" x14ac:dyDescent="0.35">
      <c r="A36" t="s">
        <v>61</v>
      </c>
    </row>
    <row r="37" spans="1:2" x14ac:dyDescent="0.35">
      <c r="A37" t="s">
        <v>134</v>
      </c>
    </row>
    <row r="38" spans="1:2" x14ac:dyDescent="0.35">
      <c r="A38" t="s">
        <v>135</v>
      </c>
      <c r="B38" t="s">
        <v>364</v>
      </c>
    </row>
    <row r="39" spans="1:2" x14ac:dyDescent="0.35">
      <c r="A39" t="s">
        <v>136</v>
      </c>
    </row>
    <row r="40" spans="1:2" x14ac:dyDescent="0.35">
      <c r="A40" t="s">
        <v>137</v>
      </c>
    </row>
    <row r="41" spans="1:2" x14ac:dyDescent="0.35">
      <c r="A41" t="s">
        <v>138</v>
      </c>
    </row>
    <row r="42" spans="1:2" x14ac:dyDescent="0.35">
      <c r="A42" t="s">
        <v>139</v>
      </c>
    </row>
    <row r="43" spans="1:2" x14ac:dyDescent="0.35">
      <c r="A43" t="s">
        <v>140</v>
      </c>
    </row>
    <row r="44" spans="1:2" x14ac:dyDescent="0.35">
      <c r="A44" t="s">
        <v>141</v>
      </c>
    </row>
    <row r="45" spans="1:2" x14ac:dyDescent="0.35">
      <c r="A45" t="s">
        <v>142</v>
      </c>
    </row>
    <row r="46" spans="1:2" x14ac:dyDescent="0.35">
      <c r="A46" t="s">
        <v>143</v>
      </c>
    </row>
    <row r="47" spans="1:2" x14ac:dyDescent="0.35">
      <c r="A47" t="s">
        <v>144</v>
      </c>
    </row>
    <row r="48" spans="1:2" x14ac:dyDescent="0.35">
      <c r="A48" t="s">
        <v>145</v>
      </c>
    </row>
    <row r="49" spans="1:2" x14ac:dyDescent="0.35">
      <c r="A49" t="s">
        <v>146</v>
      </c>
      <c r="B49" t="s">
        <v>364</v>
      </c>
    </row>
    <row r="50" spans="1:2" x14ac:dyDescent="0.35">
      <c r="A50" t="s">
        <v>147</v>
      </c>
    </row>
    <row r="51" spans="1:2" x14ac:dyDescent="0.35">
      <c r="A51" t="s">
        <v>2536</v>
      </c>
    </row>
    <row r="52" spans="1:2" x14ac:dyDescent="0.35">
      <c r="A52" t="s">
        <v>2537</v>
      </c>
    </row>
    <row r="53" spans="1:2" x14ac:dyDescent="0.35">
      <c r="A53" t="s">
        <v>2538</v>
      </c>
    </row>
    <row r="54" spans="1:2" x14ac:dyDescent="0.35">
      <c r="A54" t="s">
        <v>2539</v>
      </c>
    </row>
    <row r="55" spans="1:2" x14ac:dyDescent="0.35">
      <c r="A55" t="s">
        <v>2540</v>
      </c>
    </row>
    <row r="56" spans="1:2" x14ac:dyDescent="0.35">
      <c r="A56" t="s">
        <v>2541</v>
      </c>
    </row>
    <row r="57" spans="1:2" x14ac:dyDescent="0.35">
      <c r="A57" t="s">
        <v>2542</v>
      </c>
    </row>
    <row r="58" spans="1:2" x14ac:dyDescent="0.35">
      <c r="A58" t="s">
        <v>2543</v>
      </c>
    </row>
    <row r="59" spans="1:2" x14ac:dyDescent="0.35">
      <c r="A59" t="s">
        <v>2544</v>
      </c>
    </row>
    <row r="60" spans="1:2" x14ac:dyDescent="0.35">
      <c r="A60" t="s">
        <v>2545</v>
      </c>
    </row>
    <row r="61" spans="1:2" x14ac:dyDescent="0.35">
      <c r="A61" t="s">
        <v>148</v>
      </c>
      <c r="B61" t="s">
        <v>364</v>
      </c>
    </row>
    <row r="62" spans="1:2" x14ac:dyDescent="0.35">
      <c r="A62" t="s">
        <v>149</v>
      </c>
    </row>
    <row r="63" spans="1:2" x14ac:dyDescent="0.35">
      <c r="A63" t="s">
        <v>150</v>
      </c>
    </row>
    <row r="64" spans="1:2" x14ac:dyDescent="0.35">
      <c r="A64" t="s">
        <v>151</v>
      </c>
    </row>
    <row r="65" spans="1:2" x14ac:dyDescent="0.35">
      <c r="A65" t="s">
        <v>483</v>
      </c>
    </row>
    <row r="66" spans="1:2" x14ac:dyDescent="0.35">
      <c r="A66" t="s">
        <v>484</v>
      </c>
    </row>
    <row r="67" spans="1:2" x14ac:dyDescent="0.35">
      <c r="A67" t="s">
        <v>505</v>
      </c>
    </row>
    <row r="68" spans="1:2" x14ac:dyDescent="0.35">
      <c r="A68" t="s">
        <v>301</v>
      </c>
      <c r="B68">
        <v>1</v>
      </c>
    </row>
    <row r="69" spans="1:2" x14ac:dyDescent="0.35">
      <c r="A69" t="s">
        <v>302</v>
      </c>
    </row>
    <row r="70" spans="1:2" x14ac:dyDescent="0.35">
      <c r="A70" t="s">
        <v>303</v>
      </c>
    </row>
    <row r="71" spans="1:2" x14ac:dyDescent="0.35">
      <c r="A71" t="s">
        <v>304</v>
      </c>
    </row>
    <row r="72" spans="1:2" x14ac:dyDescent="0.35">
      <c r="A72" t="s">
        <v>572</v>
      </c>
      <c r="B72">
        <v>80</v>
      </c>
    </row>
    <row r="73" spans="1:2" x14ac:dyDescent="0.35">
      <c r="A73" t="s">
        <v>291</v>
      </c>
      <c r="B73">
        <v>1</v>
      </c>
    </row>
    <row r="74" spans="1:2" x14ac:dyDescent="0.35">
      <c r="A74" t="s">
        <v>292</v>
      </c>
      <c r="B74">
        <v>1</v>
      </c>
    </row>
    <row r="75" spans="1:2" x14ac:dyDescent="0.35">
      <c r="A75" t="s">
        <v>293</v>
      </c>
      <c r="B75">
        <v>1</v>
      </c>
    </row>
    <row r="76" spans="1:2" x14ac:dyDescent="0.35">
      <c r="A76" t="s">
        <v>294</v>
      </c>
      <c r="B76">
        <v>1</v>
      </c>
    </row>
    <row r="77" spans="1:2" x14ac:dyDescent="0.35">
      <c r="A77" t="s">
        <v>295</v>
      </c>
      <c r="B77">
        <v>1</v>
      </c>
    </row>
    <row r="78" spans="1:2" x14ac:dyDescent="0.35">
      <c r="A78" t="s">
        <v>763</v>
      </c>
      <c r="B78">
        <v>1</v>
      </c>
    </row>
    <row r="79" spans="1:2" x14ac:dyDescent="0.35">
      <c r="A79" t="s">
        <v>279</v>
      </c>
      <c r="B79" t="b">
        <v>1</v>
      </c>
    </row>
    <row r="80" spans="1:2" x14ac:dyDescent="0.35">
      <c r="A80" t="s">
        <v>739</v>
      </c>
      <c r="B80" t="b">
        <v>1</v>
      </c>
    </row>
    <row r="81" spans="1:2" x14ac:dyDescent="0.35">
      <c r="A81" t="s">
        <v>280</v>
      </c>
      <c r="B81">
        <v>7</v>
      </c>
    </row>
    <row r="82" spans="1:2" x14ac:dyDescent="0.35">
      <c r="A82" t="s">
        <v>740</v>
      </c>
      <c r="B82">
        <v>2</v>
      </c>
    </row>
    <row r="83" spans="1:2" x14ac:dyDescent="0.35">
      <c r="A83" t="s">
        <v>305</v>
      </c>
      <c r="B83">
        <v>1</v>
      </c>
    </row>
    <row r="84" spans="1:2" x14ac:dyDescent="0.35">
      <c r="A84" t="s">
        <v>306</v>
      </c>
    </row>
    <row r="85" spans="1:2" x14ac:dyDescent="0.35">
      <c r="A85" t="s">
        <v>307</v>
      </c>
    </row>
    <row r="86" spans="1:2" x14ac:dyDescent="0.35">
      <c r="A86" t="s">
        <v>308</v>
      </c>
    </row>
    <row r="87" spans="1:2" x14ac:dyDescent="0.35">
      <c r="A87" t="s">
        <v>642</v>
      </c>
      <c r="B87" t="b">
        <v>1</v>
      </c>
    </row>
    <row r="88" spans="1:2" x14ac:dyDescent="0.35">
      <c r="A88" t="s">
        <v>65</v>
      </c>
      <c r="B88">
        <v>8</v>
      </c>
    </row>
    <row r="89" spans="1:2" x14ac:dyDescent="0.35">
      <c r="A89" t="s">
        <v>1350</v>
      </c>
    </row>
    <row r="90" spans="1:2" x14ac:dyDescent="0.35">
      <c r="A90" t="s">
        <v>1351</v>
      </c>
    </row>
    <row r="91" spans="1:2" x14ac:dyDescent="0.35">
      <c r="A91" t="s">
        <v>1352</v>
      </c>
    </row>
    <row r="92" spans="1:2" x14ac:dyDescent="0.35">
      <c r="A92" t="s">
        <v>1353</v>
      </c>
    </row>
    <row r="93" spans="1:2" x14ac:dyDescent="0.35">
      <c r="A93" t="s">
        <v>1354</v>
      </c>
    </row>
    <row r="94" spans="1:2" x14ac:dyDescent="0.35">
      <c r="A94" t="s">
        <v>1355</v>
      </c>
    </row>
    <row r="95" spans="1:2" x14ac:dyDescent="0.35">
      <c r="A95" t="s">
        <v>1356</v>
      </c>
    </row>
    <row r="96" spans="1:2" x14ac:dyDescent="0.35">
      <c r="A96" t="s">
        <v>1357</v>
      </c>
    </row>
    <row r="97" spans="1:1" x14ac:dyDescent="0.35">
      <c r="A97" t="s">
        <v>1358</v>
      </c>
    </row>
    <row r="98" spans="1:1" x14ac:dyDescent="0.35">
      <c r="A98" t="s">
        <v>1359</v>
      </c>
    </row>
    <row r="99" spans="1:1" x14ac:dyDescent="0.35">
      <c r="A99" t="s">
        <v>1360</v>
      </c>
    </row>
    <row r="100" spans="1:1" x14ac:dyDescent="0.35">
      <c r="A100" t="s">
        <v>1361</v>
      </c>
    </row>
    <row r="101" spans="1:1" x14ac:dyDescent="0.35">
      <c r="A101" t="s">
        <v>1362</v>
      </c>
    </row>
    <row r="102" spans="1:1" x14ac:dyDescent="0.35">
      <c r="A102" t="s">
        <v>1363</v>
      </c>
    </row>
    <row r="103" spans="1:1" x14ac:dyDescent="0.35">
      <c r="A103" t="s">
        <v>1364</v>
      </c>
    </row>
    <row r="104" spans="1:1" x14ac:dyDescent="0.35">
      <c r="A104" t="s">
        <v>1365</v>
      </c>
    </row>
    <row r="105" spans="1:1" x14ac:dyDescent="0.35">
      <c r="A105" t="s">
        <v>1366</v>
      </c>
    </row>
    <row r="106" spans="1:1" x14ac:dyDescent="0.35">
      <c r="A106" t="s">
        <v>1367</v>
      </c>
    </row>
    <row r="107" spans="1:1" x14ac:dyDescent="0.35">
      <c r="A107" t="s">
        <v>1368</v>
      </c>
    </row>
    <row r="108" spans="1:1" x14ac:dyDescent="0.35">
      <c r="A108" t="s">
        <v>1369</v>
      </c>
    </row>
    <row r="109" spans="1:1" x14ac:dyDescent="0.35">
      <c r="A109" t="s">
        <v>1448</v>
      </c>
    </row>
    <row r="110" spans="1:1" x14ac:dyDescent="0.35">
      <c r="A110" t="s">
        <v>1449</v>
      </c>
    </row>
    <row r="111" spans="1:1" x14ac:dyDescent="0.35">
      <c r="A111" t="s">
        <v>1370</v>
      </c>
    </row>
    <row r="112" spans="1:1" x14ac:dyDescent="0.35">
      <c r="A112" t="s">
        <v>1450</v>
      </c>
    </row>
    <row r="113" spans="1:1" x14ac:dyDescent="0.35">
      <c r="A113" t="s">
        <v>1451</v>
      </c>
    </row>
    <row r="114" spans="1:1" x14ac:dyDescent="0.35">
      <c r="A114" t="s">
        <v>1371</v>
      </c>
    </row>
    <row r="115" spans="1:1" x14ac:dyDescent="0.35">
      <c r="A115" t="s">
        <v>1372</v>
      </c>
    </row>
    <row r="116" spans="1:1" x14ac:dyDescent="0.35">
      <c r="A116" t="s">
        <v>1373</v>
      </c>
    </row>
    <row r="117" spans="1:1" x14ac:dyDescent="0.35">
      <c r="A117" t="s">
        <v>1374</v>
      </c>
    </row>
    <row r="118" spans="1:1" x14ac:dyDescent="0.35">
      <c r="A118" t="s">
        <v>1375</v>
      </c>
    </row>
    <row r="119" spans="1:1" x14ac:dyDescent="0.35">
      <c r="A119" t="s">
        <v>1376</v>
      </c>
    </row>
    <row r="120" spans="1:1" x14ac:dyDescent="0.35">
      <c r="A120" t="s">
        <v>1377</v>
      </c>
    </row>
    <row r="121" spans="1:1" x14ac:dyDescent="0.35">
      <c r="A121" t="s">
        <v>1378</v>
      </c>
    </row>
    <row r="122" spans="1:1" x14ac:dyDescent="0.35">
      <c r="A122" t="s">
        <v>1379</v>
      </c>
    </row>
    <row r="123" spans="1:1" x14ac:dyDescent="0.35">
      <c r="A123" t="s">
        <v>1380</v>
      </c>
    </row>
    <row r="124" spans="1:1" x14ac:dyDescent="0.35">
      <c r="A124" t="s">
        <v>1381</v>
      </c>
    </row>
    <row r="125" spans="1:1" x14ac:dyDescent="0.35">
      <c r="A125" t="s">
        <v>1382</v>
      </c>
    </row>
    <row r="126" spans="1:1" x14ac:dyDescent="0.35">
      <c r="A126" t="s">
        <v>1383</v>
      </c>
    </row>
    <row r="127" spans="1:1" x14ac:dyDescent="0.35">
      <c r="A127" t="s">
        <v>1384</v>
      </c>
    </row>
    <row r="128" spans="1:1" x14ac:dyDescent="0.35">
      <c r="A128" t="s">
        <v>1385</v>
      </c>
    </row>
    <row r="129" spans="1:1" x14ac:dyDescent="0.35">
      <c r="A129" t="s">
        <v>1386</v>
      </c>
    </row>
    <row r="130" spans="1:1" x14ac:dyDescent="0.35">
      <c r="A130" t="s">
        <v>1387</v>
      </c>
    </row>
    <row r="131" spans="1:1" x14ac:dyDescent="0.35">
      <c r="A131" t="s">
        <v>1388</v>
      </c>
    </row>
    <row r="132" spans="1:1" x14ac:dyDescent="0.35">
      <c r="A132" t="s">
        <v>1389</v>
      </c>
    </row>
    <row r="133" spans="1:1" x14ac:dyDescent="0.35">
      <c r="A133" t="s">
        <v>1390</v>
      </c>
    </row>
    <row r="134" spans="1:1" x14ac:dyDescent="0.35">
      <c r="A134" t="s">
        <v>1391</v>
      </c>
    </row>
    <row r="135" spans="1:1" x14ac:dyDescent="0.35">
      <c r="A135" t="s">
        <v>1392</v>
      </c>
    </row>
    <row r="136" spans="1:1" x14ac:dyDescent="0.35">
      <c r="A136" t="s">
        <v>1393</v>
      </c>
    </row>
    <row r="137" spans="1:1" x14ac:dyDescent="0.35">
      <c r="A137" t="s">
        <v>1394</v>
      </c>
    </row>
    <row r="138" spans="1:1" x14ac:dyDescent="0.35">
      <c r="A138" t="s">
        <v>1395</v>
      </c>
    </row>
    <row r="139" spans="1:1" x14ac:dyDescent="0.35">
      <c r="A139" t="s">
        <v>1396</v>
      </c>
    </row>
    <row r="140" spans="1:1" x14ac:dyDescent="0.35">
      <c r="A140" t="s">
        <v>1444</v>
      </c>
    </row>
    <row r="141" spans="1:1" x14ac:dyDescent="0.35">
      <c r="A141" t="s">
        <v>1445</v>
      </c>
    </row>
    <row r="142" spans="1:1" x14ac:dyDescent="0.35">
      <c r="A142" t="s">
        <v>1397</v>
      </c>
    </row>
    <row r="143" spans="1:1" x14ac:dyDescent="0.35">
      <c r="A143" t="s">
        <v>1446</v>
      </c>
    </row>
    <row r="144" spans="1:1" x14ac:dyDescent="0.35">
      <c r="A144" t="s">
        <v>1447</v>
      </c>
    </row>
    <row r="145" spans="1:1" x14ac:dyDescent="0.35">
      <c r="A145" t="s">
        <v>1398</v>
      </c>
    </row>
    <row r="146" spans="1:1" x14ac:dyDescent="0.35">
      <c r="A146" t="s">
        <v>1399</v>
      </c>
    </row>
    <row r="147" spans="1:1" x14ac:dyDescent="0.35">
      <c r="A147" t="s">
        <v>1400</v>
      </c>
    </row>
    <row r="148" spans="1:1" x14ac:dyDescent="0.35">
      <c r="A148" t="s">
        <v>1401</v>
      </c>
    </row>
    <row r="149" spans="1:1" x14ac:dyDescent="0.35">
      <c r="A149" t="s">
        <v>1402</v>
      </c>
    </row>
    <row r="150" spans="1:1" x14ac:dyDescent="0.35">
      <c r="A150" t="s">
        <v>1403</v>
      </c>
    </row>
    <row r="151" spans="1:1" x14ac:dyDescent="0.35">
      <c r="A151" t="s">
        <v>1404</v>
      </c>
    </row>
    <row r="152" spans="1:1" x14ac:dyDescent="0.35">
      <c r="A152" t="s">
        <v>1405</v>
      </c>
    </row>
    <row r="153" spans="1:1" x14ac:dyDescent="0.35">
      <c r="A153" t="s">
        <v>1406</v>
      </c>
    </row>
    <row r="154" spans="1:1" x14ac:dyDescent="0.35">
      <c r="A154" t="s">
        <v>1407</v>
      </c>
    </row>
    <row r="155" spans="1:1" x14ac:dyDescent="0.35">
      <c r="A155" t="s">
        <v>1408</v>
      </c>
    </row>
    <row r="156" spans="1:1" x14ac:dyDescent="0.35">
      <c r="A156" t="s">
        <v>1409</v>
      </c>
    </row>
    <row r="157" spans="1:1" x14ac:dyDescent="0.35">
      <c r="A157" t="s">
        <v>1410</v>
      </c>
    </row>
    <row r="158" spans="1:1" x14ac:dyDescent="0.35">
      <c r="A158" t="s">
        <v>1411</v>
      </c>
    </row>
    <row r="159" spans="1:1" x14ac:dyDescent="0.35">
      <c r="A159" t="s">
        <v>1412</v>
      </c>
    </row>
    <row r="160" spans="1:1" x14ac:dyDescent="0.35">
      <c r="A160" t="s">
        <v>1413</v>
      </c>
    </row>
    <row r="161" spans="1:1" x14ac:dyDescent="0.35">
      <c r="A161" t="s">
        <v>1414</v>
      </c>
    </row>
    <row r="162" spans="1:1" x14ac:dyDescent="0.35">
      <c r="A162" t="s">
        <v>1415</v>
      </c>
    </row>
    <row r="163" spans="1:1" x14ac:dyDescent="0.35">
      <c r="A163" t="s">
        <v>1416</v>
      </c>
    </row>
    <row r="164" spans="1:1" x14ac:dyDescent="0.35">
      <c r="A164" t="s">
        <v>1417</v>
      </c>
    </row>
    <row r="165" spans="1:1" x14ac:dyDescent="0.35">
      <c r="A165" t="s">
        <v>1418</v>
      </c>
    </row>
    <row r="166" spans="1:1" x14ac:dyDescent="0.35">
      <c r="A166" t="s">
        <v>1419</v>
      </c>
    </row>
    <row r="167" spans="1:1" x14ac:dyDescent="0.35">
      <c r="A167" t="s">
        <v>1420</v>
      </c>
    </row>
    <row r="168" spans="1:1" x14ac:dyDescent="0.35">
      <c r="A168" t="s">
        <v>1421</v>
      </c>
    </row>
    <row r="169" spans="1:1" x14ac:dyDescent="0.35">
      <c r="A169" t="s">
        <v>1422</v>
      </c>
    </row>
    <row r="170" spans="1:1" x14ac:dyDescent="0.35">
      <c r="A170" t="s">
        <v>1423</v>
      </c>
    </row>
    <row r="171" spans="1:1" x14ac:dyDescent="0.35">
      <c r="A171" t="s">
        <v>1440</v>
      </c>
    </row>
    <row r="172" spans="1:1" x14ac:dyDescent="0.35">
      <c r="A172" t="s">
        <v>1441</v>
      </c>
    </row>
    <row r="173" spans="1:1" x14ac:dyDescent="0.35">
      <c r="A173" t="s">
        <v>1424</v>
      </c>
    </row>
    <row r="174" spans="1:1" x14ac:dyDescent="0.35">
      <c r="A174" t="s">
        <v>1442</v>
      </c>
    </row>
    <row r="175" spans="1:1" x14ac:dyDescent="0.35">
      <c r="A175" t="s">
        <v>1443</v>
      </c>
    </row>
    <row r="176" spans="1:1" x14ac:dyDescent="0.35">
      <c r="A176" t="s">
        <v>1425</v>
      </c>
    </row>
    <row r="177" spans="1:1" x14ac:dyDescent="0.35">
      <c r="A177" t="s">
        <v>1426</v>
      </c>
    </row>
    <row r="178" spans="1:1" x14ac:dyDescent="0.35">
      <c r="A178" t="s">
        <v>1427</v>
      </c>
    </row>
    <row r="179" spans="1:1" x14ac:dyDescent="0.35">
      <c r="A179" t="s">
        <v>1428</v>
      </c>
    </row>
    <row r="180" spans="1:1" x14ac:dyDescent="0.35">
      <c r="A180" t="s">
        <v>1429</v>
      </c>
    </row>
    <row r="181" spans="1:1" x14ac:dyDescent="0.35">
      <c r="A181" t="s">
        <v>1430</v>
      </c>
    </row>
    <row r="182" spans="1:1" x14ac:dyDescent="0.35">
      <c r="A182" t="s">
        <v>712</v>
      </c>
    </row>
    <row r="183" spans="1:1" x14ac:dyDescent="0.35">
      <c r="A183" t="s">
        <v>713</v>
      </c>
    </row>
    <row r="184" spans="1:1" x14ac:dyDescent="0.35">
      <c r="A184" t="s">
        <v>714</v>
      </c>
    </row>
    <row r="185" spans="1:1" x14ac:dyDescent="0.35">
      <c r="A185" t="s">
        <v>715</v>
      </c>
    </row>
    <row r="186" spans="1:1" x14ac:dyDescent="0.35">
      <c r="A186" t="s">
        <v>716</v>
      </c>
    </row>
    <row r="187" spans="1:1" x14ac:dyDescent="0.35">
      <c r="A187" t="s">
        <v>717</v>
      </c>
    </row>
    <row r="188" spans="1:1" x14ac:dyDescent="0.35">
      <c r="A188" t="s">
        <v>718</v>
      </c>
    </row>
    <row r="189" spans="1:1" x14ac:dyDescent="0.35">
      <c r="A189" t="s">
        <v>152</v>
      </c>
    </row>
    <row r="190" spans="1:1" x14ac:dyDescent="0.35">
      <c r="A190" t="s">
        <v>153</v>
      </c>
    </row>
    <row r="191" spans="1:1" x14ac:dyDescent="0.35">
      <c r="A191" t="s">
        <v>154</v>
      </c>
    </row>
    <row r="192" spans="1:1" x14ac:dyDescent="0.35">
      <c r="A192" t="s">
        <v>155</v>
      </c>
    </row>
    <row r="193" spans="1:1" x14ac:dyDescent="0.35">
      <c r="A193" t="s">
        <v>156</v>
      </c>
    </row>
    <row r="194" spans="1:1" x14ac:dyDescent="0.35">
      <c r="A194" t="s">
        <v>157</v>
      </c>
    </row>
    <row r="195" spans="1:1" x14ac:dyDescent="0.35">
      <c r="A195" t="s">
        <v>158</v>
      </c>
    </row>
    <row r="196" spans="1:1" x14ac:dyDescent="0.35">
      <c r="A196" t="s">
        <v>159</v>
      </c>
    </row>
    <row r="197" spans="1:1" x14ac:dyDescent="0.35">
      <c r="A197" t="s">
        <v>160</v>
      </c>
    </row>
    <row r="198" spans="1:1" x14ac:dyDescent="0.35">
      <c r="A198" t="s">
        <v>161</v>
      </c>
    </row>
    <row r="199" spans="1:1" x14ac:dyDescent="0.35">
      <c r="A199" t="s">
        <v>162</v>
      </c>
    </row>
    <row r="200" spans="1:1" x14ac:dyDescent="0.35">
      <c r="A200" t="s">
        <v>163</v>
      </c>
    </row>
    <row r="201" spans="1:1" x14ac:dyDescent="0.35">
      <c r="A201" t="s">
        <v>164</v>
      </c>
    </row>
    <row r="202" spans="1:1" x14ac:dyDescent="0.35">
      <c r="A202" t="s">
        <v>1436</v>
      </c>
    </row>
    <row r="203" spans="1:1" x14ac:dyDescent="0.35">
      <c r="A203" t="s">
        <v>1437</v>
      </c>
    </row>
    <row r="204" spans="1:1" x14ac:dyDescent="0.35">
      <c r="A204" t="s">
        <v>165</v>
      </c>
    </row>
    <row r="205" spans="1:1" x14ac:dyDescent="0.35">
      <c r="A205" t="s">
        <v>1438</v>
      </c>
    </row>
    <row r="206" spans="1:1" x14ac:dyDescent="0.35">
      <c r="A206" t="s">
        <v>1439</v>
      </c>
    </row>
    <row r="207" spans="1:1" x14ac:dyDescent="0.35">
      <c r="A207" t="s">
        <v>166</v>
      </c>
    </row>
    <row r="208" spans="1:1" x14ac:dyDescent="0.35">
      <c r="A208" t="s">
        <v>167</v>
      </c>
    </row>
    <row r="209" spans="1:1" x14ac:dyDescent="0.35">
      <c r="A209" t="s">
        <v>168</v>
      </c>
    </row>
    <row r="210" spans="1:1" x14ac:dyDescent="0.35">
      <c r="A210" t="s">
        <v>169</v>
      </c>
    </row>
    <row r="211" spans="1:1" x14ac:dyDescent="0.35">
      <c r="A211" t="s">
        <v>170</v>
      </c>
    </row>
    <row r="212" spans="1:1" x14ac:dyDescent="0.35">
      <c r="A212" t="s">
        <v>171</v>
      </c>
    </row>
    <row r="213" spans="1:1" x14ac:dyDescent="0.35">
      <c r="A213" t="s">
        <v>773</v>
      </c>
    </row>
    <row r="214" spans="1:1" x14ac:dyDescent="0.35">
      <c r="A214" t="s">
        <v>774</v>
      </c>
    </row>
    <row r="215" spans="1:1" x14ac:dyDescent="0.35">
      <c r="A215" t="s">
        <v>775</v>
      </c>
    </row>
    <row r="216" spans="1:1" x14ac:dyDescent="0.35">
      <c r="A216" t="s">
        <v>776</v>
      </c>
    </row>
    <row r="217" spans="1:1" x14ac:dyDescent="0.35">
      <c r="A217" t="s">
        <v>777</v>
      </c>
    </row>
    <row r="218" spans="1:1" x14ac:dyDescent="0.35">
      <c r="A218" t="s">
        <v>778</v>
      </c>
    </row>
    <row r="219" spans="1:1" x14ac:dyDescent="0.35">
      <c r="A219" t="s">
        <v>779</v>
      </c>
    </row>
    <row r="220" spans="1:1" x14ac:dyDescent="0.35">
      <c r="A220" t="s">
        <v>780</v>
      </c>
    </row>
    <row r="221" spans="1:1" x14ac:dyDescent="0.35">
      <c r="A221" t="s">
        <v>200</v>
      </c>
    </row>
    <row r="222" spans="1:1" x14ac:dyDescent="0.35">
      <c r="A222" t="s">
        <v>201</v>
      </c>
    </row>
    <row r="223" spans="1:1" x14ac:dyDescent="0.35">
      <c r="A223" t="s">
        <v>202</v>
      </c>
    </row>
    <row r="224" spans="1:1" x14ac:dyDescent="0.35">
      <c r="A224" t="s">
        <v>781</v>
      </c>
    </row>
    <row r="225" spans="1:1" x14ac:dyDescent="0.35">
      <c r="A225" t="s">
        <v>203</v>
      </c>
    </row>
    <row r="226" spans="1:1" x14ac:dyDescent="0.35">
      <c r="A226" t="s">
        <v>204</v>
      </c>
    </row>
    <row r="227" spans="1:1" x14ac:dyDescent="0.35">
      <c r="A227" t="s">
        <v>205</v>
      </c>
    </row>
    <row r="228" spans="1:1" x14ac:dyDescent="0.35">
      <c r="A228" t="s">
        <v>206</v>
      </c>
    </row>
    <row r="229" spans="1:1" x14ac:dyDescent="0.35">
      <c r="A229" t="s">
        <v>207</v>
      </c>
    </row>
    <row r="230" spans="1:1" x14ac:dyDescent="0.35">
      <c r="A230" t="s">
        <v>208</v>
      </c>
    </row>
    <row r="231" spans="1:1" x14ac:dyDescent="0.35">
      <c r="A231" t="s">
        <v>209</v>
      </c>
    </row>
    <row r="232" spans="1:1" x14ac:dyDescent="0.35">
      <c r="A232" t="s">
        <v>210</v>
      </c>
    </row>
    <row r="233" spans="1:1" x14ac:dyDescent="0.35">
      <c r="A233" t="s">
        <v>1431</v>
      </c>
    </row>
    <row r="234" spans="1:1" x14ac:dyDescent="0.35">
      <c r="A234" t="s">
        <v>1432</v>
      </c>
    </row>
    <row r="235" spans="1:1" x14ac:dyDescent="0.35">
      <c r="A235" t="s">
        <v>782</v>
      </c>
    </row>
    <row r="236" spans="1:1" x14ac:dyDescent="0.35">
      <c r="A236" t="s">
        <v>1433</v>
      </c>
    </row>
    <row r="237" spans="1:1" x14ac:dyDescent="0.35">
      <c r="A237" t="s">
        <v>1434</v>
      </c>
    </row>
    <row r="238" spans="1:1" x14ac:dyDescent="0.35">
      <c r="A238" t="s">
        <v>1435</v>
      </c>
    </row>
    <row r="239" spans="1:1" x14ac:dyDescent="0.35">
      <c r="A239" t="s">
        <v>287</v>
      </c>
    </row>
    <row r="240" spans="1:1" x14ac:dyDescent="0.35">
      <c r="A240" t="s">
        <v>288</v>
      </c>
    </row>
    <row r="241" spans="1:2" x14ac:dyDescent="0.35">
      <c r="A241" t="s">
        <v>289</v>
      </c>
    </row>
    <row r="242" spans="1:2" x14ac:dyDescent="0.35">
      <c r="A242" t="s">
        <v>290</v>
      </c>
    </row>
    <row r="243" spans="1:2" x14ac:dyDescent="0.35">
      <c r="A243" t="s">
        <v>604</v>
      </c>
    </row>
    <row r="244" spans="1:2" x14ac:dyDescent="0.35">
      <c r="A244" t="s">
        <v>605</v>
      </c>
    </row>
    <row r="245" spans="1:2" x14ac:dyDescent="0.35">
      <c r="A245" t="s">
        <v>265</v>
      </c>
      <c r="B245">
        <v>100</v>
      </c>
    </row>
    <row r="246" spans="1:2" x14ac:dyDescent="0.35">
      <c r="A246" t="s">
        <v>700</v>
      </c>
      <c r="B246">
        <v>10</v>
      </c>
    </row>
    <row r="247" spans="1:2" x14ac:dyDescent="0.35">
      <c r="A247" t="s">
        <v>75</v>
      </c>
      <c r="B247">
        <v>1</v>
      </c>
    </row>
    <row r="248" spans="1:2" x14ac:dyDescent="0.35">
      <c r="A248" t="s">
        <v>76</v>
      </c>
    </row>
    <row r="249" spans="1:2" x14ac:dyDescent="0.35">
      <c r="A249" t="s">
        <v>331</v>
      </c>
    </row>
    <row r="250" spans="1:2" x14ac:dyDescent="0.35">
      <c r="A250" t="s">
        <v>310</v>
      </c>
    </row>
    <row r="251" spans="1:2" x14ac:dyDescent="0.35">
      <c r="A251" t="s">
        <v>311</v>
      </c>
    </row>
    <row r="252" spans="1:2" x14ac:dyDescent="0.35">
      <c r="A252" t="s">
        <v>312</v>
      </c>
    </row>
    <row r="253" spans="1:2" x14ac:dyDescent="0.35">
      <c r="A253" t="s">
        <v>125</v>
      </c>
    </row>
    <row r="254" spans="1:2" x14ac:dyDescent="0.35">
      <c r="A254" t="s">
        <v>126</v>
      </c>
    </row>
    <row r="255" spans="1:2" x14ac:dyDescent="0.35">
      <c r="A255" t="s">
        <v>127</v>
      </c>
    </row>
    <row r="256" spans="1:2" x14ac:dyDescent="0.35">
      <c r="A256" t="s">
        <v>672</v>
      </c>
    </row>
    <row r="257" spans="1:2" x14ac:dyDescent="0.35">
      <c r="A257" t="s">
        <v>673</v>
      </c>
    </row>
    <row r="258" spans="1:2" x14ac:dyDescent="0.35">
      <c r="A258" t="s">
        <v>674</v>
      </c>
      <c r="B258">
        <v>4</v>
      </c>
    </row>
    <row r="259" spans="1:2" x14ac:dyDescent="0.35">
      <c r="A259" t="s">
        <v>675</v>
      </c>
    </row>
    <row r="260" spans="1:2" x14ac:dyDescent="0.35">
      <c r="A260" t="s">
        <v>676</v>
      </c>
      <c r="B260">
        <v>1</v>
      </c>
    </row>
    <row r="261" spans="1:2" x14ac:dyDescent="0.35">
      <c r="A261" t="s">
        <v>550</v>
      </c>
    </row>
    <row r="262" spans="1:2" x14ac:dyDescent="0.35">
      <c r="A262" t="s">
        <v>551</v>
      </c>
    </row>
    <row r="263" spans="1:2" x14ac:dyDescent="0.35">
      <c r="A263" t="s">
        <v>552</v>
      </c>
    </row>
    <row r="264" spans="1:2" x14ac:dyDescent="0.35">
      <c r="A264" t="s">
        <v>553</v>
      </c>
    </row>
    <row r="265" spans="1:2" x14ac:dyDescent="0.35">
      <c r="A265" t="s">
        <v>600</v>
      </c>
    </row>
    <row r="266" spans="1:2" x14ac:dyDescent="0.35">
      <c r="A266" t="s">
        <v>601</v>
      </c>
    </row>
    <row r="267" spans="1:2" x14ac:dyDescent="0.35">
      <c r="A267" t="s">
        <v>313</v>
      </c>
    </row>
    <row r="268" spans="1:2" x14ac:dyDescent="0.35">
      <c r="A268" t="s">
        <v>314</v>
      </c>
    </row>
    <row r="269" spans="1:2" x14ac:dyDescent="0.35">
      <c r="A269" t="s">
        <v>315</v>
      </c>
    </row>
    <row r="270" spans="1:2" x14ac:dyDescent="0.35">
      <c r="A270" t="s">
        <v>316</v>
      </c>
    </row>
    <row r="271" spans="1:2" x14ac:dyDescent="0.35">
      <c r="A271" t="s">
        <v>317</v>
      </c>
    </row>
    <row r="272" spans="1:2" x14ac:dyDescent="0.35">
      <c r="A272" t="s">
        <v>318</v>
      </c>
    </row>
    <row r="273" spans="1:1" x14ac:dyDescent="0.35">
      <c r="A273" t="s">
        <v>677</v>
      </c>
    </row>
    <row r="274" spans="1:1" x14ac:dyDescent="0.35">
      <c r="A274" t="s">
        <v>678</v>
      </c>
    </row>
    <row r="275" spans="1:1" x14ac:dyDescent="0.35">
      <c r="A275" t="s">
        <v>679</v>
      </c>
    </row>
    <row r="276" spans="1:1" x14ac:dyDescent="0.35">
      <c r="A276" t="s">
        <v>680</v>
      </c>
    </row>
    <row r="277" spans="1:1" x14ac:dyDescent="0.35">
      <c r="A277" t="s">
        <v>485</v>
      </c>
    </row>
    <row r="278" spans="1:1" x14ac:dyDescent="0.35">
      <c r="A278" t="s">
        <v>486</v>
      </c>
    </row>
    <row r="279" spans="1:1" x14ac:dyDescent="0.35">
      <c r="A279" t="s">
        <v>487</v>
      </c>
    </row>
    <row r="280" spans="1:1" x14ac:dyDescent="0.35">
      <c r="A280" t="s">
        <v>2586</v>
      </c>
    </row>
    <row r="281" spans="1:1" x14ac:dyDescent="0.35">
      <c r="A281" t="s">
        <v>2587</v>
      </c>
    </row>
    <row r="282" spans="1:1" x14ac:dyDescent="0.35">
      <c r="A282" t="s">
        <v>2588</v>
      </c>
    </row>
    <row r="283" spans="1:1" x14ac:dyDescent="0.35">
      <c r="A283" t="s">
        <v>2589</v>
      </c>
    </row>
    <row r="284" spans="1:1" x14ac:dyDescent="0.35">
      <c r="A284" t="s">
        <v>2590</v>
      </c>
    </row>
    <row r="285" spans="1:1" x14ac:dyDescent="0.35">
      <c r="A285" t="s">
        <v>2591</v>
      </c>
    </row>
    <row r="286" spans="1:1" x14ac:dyDescent="0.35">
      <c r="A286" t="s">
        <v>2592</v>
      </c>
    </row>
    <row r="287" spans="1:1" x14ac:dyDescent="0.35">
      <c r="A287" t="s">
        <v>2593</v>
      </c>
    </row>
    <row r="288" spans="1:1" x14ac:dyDescent="0.35">
      <c r="A288" t="s">
        <v>2594</v>
      </c>
    </row>
    <row r="289" spans="1:2" x14ac:dyDescent="0.35">
      <c r="A289" t="s">
        <v>2595</v>
      </c>
    </row>
    <row r="290" spans="1:2" x14ac:dyDescent="0.35">
      <c r="A290" t="s">
        <v>895</v>
      </c>
    </row>
    <row r="291" spans="1:2" x14ac:dyDescent="0.35">
      <c r="A291" t="s">
        <v>341</v>
      </c>
    </row>
    <row r="292" spans="1:2" x14ac:dyDescent="0.35">
      <c r="A292" t="s">
        <v>342</v>
      </c>
    </row>
    <row r="293" spans="1:2" x14ac:dyDescent="0.35">
      <c r="A293" t="s">
        <v>343</v>
      </c>
    </row>
    <row r="294" spans="1:2" x14ac:dyDescent="0.35">
      <c r="A294" t="s">
        <v>783</v>
      </c>
    </row>
    <row r="295" spans="1:2" x14ac:dyDescent="0.35">
      <c r="A295" t="s">
        <v>784</v>
      </c>
    </row>
    <row r="296" spans="1:2" x14ac:dyDescent="0.35">
      <c r="A296" t="s">
        <v>785</v>
      </c>
    </row>
    <row r="297" spans="1:2" x14ac:dyDescent="0.35">
      <c r="A297" t="s">
        <v>786</v>
      </c>
      <c r="B297">
        <v>12</v>
      </c>
    </row>
    <row r="298" spans="1:2" x14ac:dyDescent="0.35">
      <c r="A298" t="s">
        <v>787</v>
      </c>
      <c r="B298">
        <v>1</v>
      </c>
    </row>
    <row r="299" spans="1:2" x14ac:dyDescent="0.35">
      <c r="A299" t="s">
        <v>788</v>
      </c>
    </row>
    <row r="300" spans="1:2" x14ac:dyDescent="0.35">
      <c r="A300" t="s">
        <v>789</v>
      </c>
    </row>
    <row r="301" spans="1:2" x14ac:dyDescent="0.35">
      <c r="A301" t="s">
        <v>790</v>
      </c>
    </row>
    <row r="302" spans="1:2" x14ac:dyDescent="0.35">
      <c r="A302" t="s">
        <v>840</v>
      </c>
    </row>
    <row r="303" spans="1:2" x14ac:dyDescent="0.35">
      <c r="A303" t="s">
        <v>841</v>
      </c>
    </row>
    <row r="304" spans="1:2" x14ac:dyDescent="0.35">
      <c r="A304" t="s">
        <v>842</v>
      </c>
      <c r="B304">
        <v>2</v>
      </c>
    </row>
    <row r="305" spans="1:2" x14ac:dyDescent="0.35">
      <c r="A305" t="s">
        <v>843</v>
      </c>
      <c r="B305">
        <v>22</v>
      </c>
    </row>
    <row r="306" spans="1:2" x14ac:dyDescent="0.35">
      <c r="A306" t="s">
        <v>844</v>
      </c>
      <c r="B306">
        <v>1</v>
      </c>
    </row>
    <row r="307" spans="1:2" x14ac:dyDescent="0.35">
      <c r="A307" t="s">
        <v>845</v>
      </c>
      <c r="B307">
        <v>1</v>
      </c>
    </row>
    <row r="308" spans="1:2" x14ac:dyDescent="0.35">
      <c r="A308" t="s">
        <v>846</v>
      </c>
      <c r="B308">
        <v>1</v>
      </c>
    </row>
    <row r="309" spans="1:2" x14ac:dyDescent="0.35">
      <c r="A309" t="s">
        <v>497</v>
      </c>
      <c r="B309">
        <v>1</v>
      </c>
    </row>
    <row r="310" spans="1:2" x14ac:dyDescent="0.35">
      <c r="A310" t="s">
        <v>498</v>
      </c>
      <c r="B310">
        <v>1</v>
      </c>
    </row>
    <row r="311" spans="1:2" x14ac:dyDescent="0.35">
      <c r="A311" t="s">
        <v>499</v>
      </c>
      <c r="B311">
        <v>1</v>
      </c>
    </row>
    <row r="312" spans="1:2" x14ac:dyDescent="0.35">
      <c r="A312" t="s">
        <v>2016</v>
      </c>
      <c r="B312">
        <v>0</v>
      </c>
    </row>
    <row r="313" spans="1:2" x14ac:dyDescent="0.35">
      <c r="A313" t="s">
        <v>2017</v>
      </c>
      <c r="B313">
        <v>0</v>
      </c>
    </row>
    <row r="314" spans="1:2" x14ac:dyDescent="0.35">
      <c r="A314" t="s">
        <v>2018</v>
      </c>
      <c r="B314">
        <v>0</v>
      </c>
    </row>
    <row r="315" spans="1:2" x14ac:dyDescent="0.35">
      <c r="A315" t="s">
        <v>2019</v>
      </c>
    </row>
    <row r="316" spans="1:2" x14ac:dyDescent="0.35">
      <c r="A316" t="s">
        <v>2020</v>
      </c>
    </row>
    <row r="317" spans="1:2" x14ac:dyDescent="0.35">
      <c r="A317" t="s">
        <v>2021</v>
      </c>
    </row>
    <row r="318" spans="1:2" x14ac:dyDescent="0.35">
      <c r="A318" t="s">
        <v>2022</v>
      </c>
    </row>
    <row r="319" spans="1:2" x14ac:dyDescent="0.35">
      <c r="A319" t="s">
        <v>2023</v>
      </c>
    </row>
    <row r="320" spans="1:2" x14ac:dyDescent="0.35">
      <c r="A320" t="s">
        <v>2024</v>
      </c>
    </row>
    <row r="321" spans="1:2" x14ac:dyDescent="0.35">
      <c r="A321" t="s">
        <v>2025</v>
      </c>
    </row>
    <row r="322" spans="1:2" x14ac:dyDescent="0.35">
      <c r="A322" t="s">
        <v>500</v>
      </c>
    </row>
    <row r="323" spans="1:2" x14ac:dyDescent="0.35">
      <c r="A323" t="s">
        <v>501</v>
      </c>
    </row>
    <row r="324" spans="1:2" x14ac:dyDescent="0.35">
      <c r="A324" t="s">
        <v>502</v>
      </c>
    </row>
    <row r="325" spans="1:2" x14ac:dyDescent="0.35">
      <c r="A325" t="s">
        <v>503</v>
      </c>
    </row>
    <row r="326" spans="1:2" x14ac:dyDescent="0.35">
      <c r="A326" t="s">
        <v>504</v>
      </c>
    </row>
    <row r="327" spans="1:2" x14ac:dyDescent="0.35">
      <c r="A327" t="s">
        <v>759</v>
      </c>
      <c r="B327">
        <v>2</v>
      </c>
    </row>
    <row r="328" spans="1:2" x14ac:dyDescent="0.35">
      <c r="A328" t="s">
        <v>760</v>
      </c>
      <c r="B328">
        <v>1</v>
      </c>
    </row>
    <row r="329" spans="1:2" x14ac:dyDescent="0.35">
      <c r="A329" t="s">
        <v>761</v>
      </c>
      <c r="B329">
        <v>1</v>
      </c>
    </row>
    <row r="330" spans="1:2" x14ac:dyDescent="0.35">
      <c r="A330" t="s">
        <v>669</v>
      </c>
      <c r="B330">
        <v>1</v>
      </c>
    </row>
    <row r="331" spans="1:2" x14ac:dyDescent="0.35">
      <c r="A331" t="s">
        <v>741</v>
      </c>
      <c r="B331">
        <v>1</v>
      </c>
    </row>
    <row r="332" spans="1:2" x14ac:dyDescent="0.35">
      <c r="A332" t="s">
        <v>742</v>
      </c>
      <c r="B332">
        <v>1</v>
      </c>
    </row>
    <row r="333" spans="1:2" x14ac:dyDescent="0.35">
      <c r="A333" t="s">
        <v>743</v>
      </c>
      <c r="B333">
        <v>1</v>
      </c>
    </row>
    <row r="334" spans="1:2" x14ac:dyDescent="0.35">
      <c r="A334" t="s">
        <v>744</v>
      </c>
      <c r="B334">
        <v>3</v>
      </c>
    </row>
    <row r="335" spans="1:2" x14ac:dyDescent="0.35">
      <c r="A335" t="s">
        <v>667</v>
      </c>
      <c r="B335">
        <v>3</v>
      </c>
    </row>
    <row r="336" spans="1:2" x14ac:dyDescent="0.35">
      <c r="A336" t="s">
        <v>668</v>
      </c>
      <c r="B336">
        <v>1</v>
      </c>
    </row>
    <row r="337" spans="1:2" x14ac:dyDescent="0.35">
      <c r="A337" t="s">
        <v>664</v>
      </c>
      <c r="B337">
        <v>1</v>
      </c>
    </row>
    <row r="338" spans="1:2" x14ac:dyDescent="0.35">
      <c r="A338" t="s">
        <v>665</v>
      </c>
      <c r="B338">
        <v>1</v>
      </c>
    </row>
    <row r="339" spans="1:2" x14ac:dyDescent="0.35">
      <c r="A339" t="s">
        <v>666</v>
      </c>
      <c r="B339">
        <v>1</v>
      </c>
    </row>
    <row r="340" spans="1:2" x14ac:dyDescent="0.35">
      <c r="A340" t="s">
        <v>658</v>
      </c>
      <c r="B340">
        <v>1</v>
      </c>
    </row>
    <row r="341" spans="1:2" x14ac:dyDescent="0.35">
      <c r="A341" t="s">
        <v>659</v>
      </c>
      <c r="B341">
        <v>1</v>
      </c>
    </row>
    <row r="342" spans="1:2" x14ac:dyDescent="0.35">
      <c r="A342" t="s">
        <v>660</v>
      </c>
      <c r="B342">
        <v>19</v>
      </c>
    </row>
    <row r="343" spans="1:2" x14ac:dyDescent="0.35">
      <c r="A343" t="s">
        <v>661</v>
      </c>
    </row>
    <row r="344" spans="1:2" x14ac:dyDescent="0.35">
      <c r="A344" t="s">
        <v>662</v>
      </c>
    </row>
    <row r="345" spans="1:2" x14ac:dyDescent="0.35">
      <c r="A345" t="s">
        <v>816</v>
      </c>
    </row>
    <row r="346" spans="1:2" x14ac:dyDescent="0.35">
      <c r="A346" t="s">
        <v>817</v>
      </c>
    </row>
    <row r="347" spans="1:2" x14ac:dyDescent="0.35">
      <c r="A347" t="s">
        <v>818</v>
      </c>
    </row>
    <row r="348" spans="1:2" x14ac:dyDescent="0.35">
      <c r="A348" t="s">
        <v>819</v>
      </c>
    </row>
    <row r="349" spans="1:2" x14ac:dyDescent="0.35">
      <c r="A349" t="s">
        <v>820</v>
      </c>
      <c r="B349">
        <v>4</v>
      </c>
    </row>
    <row r="350" spans="1:2" x14ac:dyDescent="0.35">
      <c r="A350" t="s">
        <v>821</v>
      </c>
      <c r="B350">
        <v>15</v>
      </c>
    </row>
    <row r="351" spans="1:2" x14ac:dyDescent="0.35">
      <c r="A351" t="s">
        <v>822</v>
      </c>
    </row>
    <row r="352" spans="1:2" x14ac:dyDescent="0.35">
      <c r="A352" t="s">
        <v>823</v>
      </c>
    </row>
    <row r="353" spans="1:2" x14ac:dyDescent="0.35">
      <c r="A353" t="s">
        <v>824</v>
      </c>
    </row>
    <row r="354" spans="1:2" x14ac:dyDescent="0.35">
      <c r="A354" t="s">
        <v>825</v>
      </c>
    </row>
    <row r="355" spans="1:2" x14ac:dyDescent="0.35">
      <c r="A355" t="s">
        <v>826</v>
      </c>
    </row>
    <row r="356" spans="1:2" x14ac:dyDescent="0.35">
      <c r="A356" t="s">
        <v>827</v>
      </c>
    </row>
    <row r="357" spans="1:2" x14ac:dyDescent="0.35">
      <c r="A357" t="s">
        <v>2006</v>
      </c>
      <c r="B357">
        <v>0</v>
      </c>
    </row>
    <row r="358" spans="1:2" x14ac:dyDescent="0.35">
      <c r="A358" t="s">
        <v>2007</v>
      </c>
      <c r="B358">
        <v>1</v>
      </c>
    </row>
    <row r="359" spans="1:2" x14ac:dyDescent="0.35">
      <c r="A359" t="s">
        <v>2008</v>
      </c>
      <c r="B359">
        <v>0</v>
      </c>
    </row>
    <row r="360" spans="1:2" x14ac:dyDescent="0.35">
      <c r="A360" t="s">
        <v>2009</v>
      </c>
    </row>
    <row r="361" spans="1:2" x14ac:dyDescent="0.35">
      <c r="A361" t="s">
        <v>2010</v>
      </c>
    </row>
    <row r="362" spans="1:2" x14ac:dyDescent="0.35">
      <c r="A362" t="s">
        <v>2011</v>
      </c>
    </row>
    <row r="363" spans="1:2" x14ac:dyDescent="0.35">
      <c r="A363" t="s">
        <v>2012</v>
      </c>
    </row>
    <row r="364" spans="1:2" x14ac:dyDescent="0.35">
      <c r="A364" t="s">
        <v>2013</v>
      </c>
    </row>
    <row r="365" spans="1:2" x14ac:dyDescent="0.35">
      <c r="A365" t="s">
        <v>2014</v>
      </c>
    </row>
    <row r="366" spans="1:2" x14ac:dyDescent="0.35">
      <c r="A366" t="s">
        <v>2015</v>
      </c>
    </row>
    <row r="367" spans="1:2" x14ac:dyDescent="0.35">
      <c r="A367" t="s">
        <v>828</v>
      </c>
    </row>
    <row r="368" spans="1:2" x14ac:dyDescent="0.35">
      <c r="A368" t="s">
        <v>588</v>
      </c>
    </row>
    <row r="369" spans="1:2" x14ac:dyDescent="0.35">
      <c r="A369" t="s">
        <v>589</v>
      </c>
    </row>
    <row r="370" spans="1:2" x14ac:dyDescent="0.35">
      <c r="A370" t="s">
        <v>590</v>
      </c>
    </row>
    <row r="371" spans="1:2" x14ac:dyDescent="0.35">
      <c r="A371" t="s">
        <v>224</v>
      </c>
    </row>
    <row r="372" spans="1:2" x14ac:dyDescent="0.35">
      <c r="A372" t="s">
        <v>225</v>
      </c>
      <c r="B372" t="s">
        <v>2640</v>
      </c>
    </row>
    <row r="373" spans="1:2" x14ac:dyDescent="0.35">
      <c r="A373" t="s">
        <v>226</v>
      </c>
    </row>
    <row r="374" spans="1:2" x14ac:dyDescent="0.35">
      <c r="A374" t="s">
        <v>227</v>
      </c>
    </row>
    <row r="375" spans="1:2" x14ac:dyDescent="0.35">
      <c r="A375" t="s">
        <v>228</v>
      </c>
    </row>
    <row r="376" spans="1:2" x14ac:dyDescent="0.35">
      <c r="A376" t="s">
        <v>229</v>
      </c>
    </row>
    <row r="377" spans="1:2" x14ac:dyDescent="0.35">
      <c r="A377" t="s">
        <v>591</v>
      </c>
    </row>
    <row r="378" spans="1:2" x14ac:dyDescent="0.35">
      <c r="A378" t="s">
        <v>592</v>
      </c>
    </row>
    <row r="379" spans="1:2" x14ac:dyDescent="0.35">
      <c r="A379" t="s">
        <v>593</v>
      </c>
    </row>
    <row r="380" spans="1:2" x14ac:dyDescent="0.35">
      <c r="A380" t="s">
        <v>398</v>
      </c>
    </row>
    <row r="381" spans="1:2" x14ac:dyDescent="0.35">
      <c r="A381" t="s">
        <v>399</v>
      </c>
    </row>
    <row r="382" spans="1:2" x14ac:dyDescent="0.35">
      <c r="A382" t="s">
        <v>400</v>
      </c>
    </row>
    <row r="383" spans="1:2" x14ac:dyDescent="0.35">
      <c r="A383" t="s">
        <v>401</v>
      </c>
      <c r="B383" t="s">
        <v>2641</v>
      </c>
    </row>
    <row r="384" spans="1:2" x14ac:dyDescent="0.35">
      <c r="A384" t="s">
        <v>402</v>
      </c>
    </row>
    <row r="385" spans="1:2" x14ac:dyDescent="0.35">
      <c r="A385" t="s">
        <v>2506</v>
      </c>
    </row>
    <row r="386" spans="1:2" x14ac:dyDescent="0.35">
      <c r="A386" t="s">
        <v>2507</v>
      </c>
    </row>
    <row r="387" spans="1:2" x14ac:dyDescent="0.35">
      <c r="A387" t="s">
        <v>2508</v>
      </c>
    </row>
    <row r="388" spans="1:2" x14ac:dyDescent="0.35">
      <c r="A388" t="s">
        <v>2509</v>
      </c>
    </row>
    <row r="389" spans="1:2" x14ac:dyDescent="0.35">
      <c r="A389" t="s">
        <v>2510</v>
      </c>
    </row>
    <row r="390" spans="1:2" x14ac:dyDescent="0.35">
      <c r="A390" t="s">
        <v>2511</v>
      </c>
    </row>
    <row r="391" spans="1:2" x14ac:dyDescent="0.35">
      <c r="A391" t="s">
        <v>2512</v>
      </c>
    </row>
    <row r="392" spans="1:2" x14ac:dyDescent="0.35">
      <c r="A392" t="s">
        <v>2513</v>
      </c>
    </row>
    <row r="393" spans="1:2" x14ac:dyDescent="0.35">
      <c r="A393" t="s">
        <v>2514</v>
      </c>
    </row>
    <row r="394" spans="1:2" x14ac:dyDescent="0.35">
      <c r="A394" t="s">
        <v>2515</v>
      </c>
    </row>
    <row r="395" spans="1:2" x14ac:dyDescent="0.35">
      <c r="A395" t="s">
        <v>403</v>
      </c>
      <c r="B395" t="s">
        <v>2642</v>
      </c>
    </row>
    <row r="396" spans="1:2" x14ac:dyDescent="0.35">
      <c r="A396" t="s">
        <v>404</v>
      </c>
    </row>
    <row r="397" spans="1:2" x14ac:dyDescent="0.35">
      <c r="A397" t="s">
        <v>405</v>
      </c>
    </row>
    <row r="398" spans="1:2" x14ac:dyDescent="0.35">
      <c r="A398" t="s">
        <v>406</v>
      </c>
    </row>
    <row r="399" spans="1:2" x14ac:dyDescent="0.35">
      <c r="A399" t="s">
        <v>407</v>
      </c>
    </row>
    <row r="400" spans="1:2" x14ac:dyDescent="0.35">
      <c r="A400" t="s">
        <v>408</v>
      </c>
    </row>
    <row r="401" spans="1:2" x14ac:dyDescent="0.35">
      <c r="A401" t="s">
        <v>409</v>
      </c>
    </row>
    <row r="402" spans="1:2" x14ac:dyDescent="0.35">
      <c r="A402" t="s">
        <v>410</v>
      </c>
      <c r="B402">
        <v>4</v>
      </c>
    </row>
    <row r="403" spans="1:2" x14ac:dyDescent="0.35">
      <c r="A403" t="s">
        <v>411</v>
      </c>
    </row>
    <row r="404" spans="1:2" x14ac:dyDescent="0.35">
      <c r="A404" t="s">
        <v>412</v>
      </c>
    </row>
    <row r="405" spans="1:2" x14ac:dyDescent="0.35">
      <c r="A405" t="s">
        <v>413</v>
      </c>
    </row>
    <row r="406" spans="1:2" x14ac:dyDescent="0.35">
      <c r="A406" t="s">
        <v>414</v>
      </c>
    </row>
    <row r="407" spans="1:2" x14ac:dyDescent="0.35">
      <c r="A407" t="s">
        <v>415</v>
      </c>
    </row>
    <row r="408" spans="1:2" x14ac:dyDescent="0.35">
      <c r="A408" t="s">
        <v>416</v>
      </c>
    </row>
    <row r="409" spans="1:2" x14ac:dyDescent="0.35">
      <c r="A409" t="s">
        <v>610</v>
      </c>
    </row>
    <row r="410" spans="1:2" x14ac:dyDescent="0.35">
      <c r="A410" t="s">
        <v>611</v>
      </c>
    </row>
    <row r="411" spans="1:2" x14ac:dyDescent="0.35">
      <c r="A411" t="s">
        <v>795</v>
      </c>
    </row>
    <row r="412" spans="1:2" x14ac:dyDescent="0.35">
      <c r="A412" t="s">
        <v>527</v>
      </c>
    </row>
    <row r="413" spans="1:2" x14ac:dyDescent="0.35">
      <c r="A413" t="s">
        <v>528</v>
      </c>
      <c r="B413">
        <v>3</v>
      </c>
    </row>
    <row r="414" spans="1:2" x14ac:dyDescent="0.35">
      <c r="A414" t="s">
        <v>357</v>
      </c>
    </row>
    <row r="415" spans="1:2" x14ac:dyDescent="0.35">
      <c r="A415" t="s">
        <v>2576</v>
      </c>
    </row>
    <row r="416" spans="1:2" x14ac:dyDescent="0.35">
      <c r="A416" t="s">
        <v>2577</v>
      </c>
    </row>
    <row r="417" spans="1:2" x14ac:dyDescent="0.35">
      <c r="A417" t="s">
        <v>2578</v>
      </c>
    </row>
    <row r="418" spans="1:2" x14ac:dyDescent="0.35">
      <c r="A418" t="s">
        <v>2579</v>
      </c>
    </row>
    <row r="419" spans="1:2" x14ac:dyDescent="0.35">
      <c r="A419" t="s">
        <v>2580</v>
      </c>
    </row>
    <row r="420" spans="1:2" x14ac:dyDescent="0.35">
      <c r="A420" t="s">
        <v>2581</v>
      </c>
    </row>
    <row r="421" spans="1:2" x14ac:dyDescent="0.35">
      <c r="A421" t="s">
        <v>2582</v>
      </c>
    </row>
    <row r="422" spans="1:2" x14ac:dyDescent="0.35">
      <c r="A422" t="s">
        <v>2583</v>
      </c>
    </row>
    <row r="423" spans="1:2" x14ac:dyDescent="0.35">
      <c r="A423" t="s">
        <v>2584</v>
      </c>
    </row>
    <row r="424" spans="1:2" x14ac:dyDescent="0.35">
      <c r="A424" t="s">
        <v>2585</v>
      </c>
    </row>
    <row r="425" spans="1:2" x14ac:dyDescent="0.35">
      <c r="A425" t="s">
        <v>358</v>
      </c>
    </row>
    <row r="426" spans="1:2" x14ac:dyDescent="0.35">
      <c r="A426" t="s">
        <v>359</v>
      </c>
    </row>
    <row r="427" spans="1:2" x14ac:dyDescent="0.35">
      <c r="A427" t="s">
        <v>360</v>
      </c>
    </row>
    <row r="428" spans="1:2" x14ac:dyDescent="0.35">
      <c r="A428" t="s">
        <v>361</v>
      </c>
    </row>
    <row r="429" spans="1:2" x14ac:dyDescent="0.35">
      <c r="A429" t="s">
        <v>230</v>
      </c>
    </row>
    <row r="430" spans="1:2" x14ac:dyDescent="0.35">
      <c r="A430" t="s">
        <v>883</v>
      </c>
    </row>
    <row r="431" spans="1:2" x14ac:dyDescent="0.35">
      <c r="A431" t="s">
        <v>884</v>
      </c>
    </row>
    <row r="432" spans="1:2" x14ac:dyDescent="0.35">
      <c r="A432" t="s">
        <v>885</v>
      </c>
      <c r="B432">
        <v>50</v>
      </c>
    </row>
    <row r="433" spans="1:2" x14ac:dyDescent="0.35">
      <c r="A433" t="s">
        <v>886</v>
      </c>
    </row>
    <row r="434" spans="1:2" x14ac:dyDescent="0.35">
      <c r="A434" t="s">
        <v>887</v>
      </c>
    </row>
    <row r="435" spans="1:2" x14ac:dyDescent="0.35">
      <c r="A435" t="s">
        <v>888</v>
      </c>
    </row>
    <row r="436" spans="1:2" x14ac:dyDescent="0.35">
      <c r="A436" t="s">
        <v>69</v>
      </c>
    </row>
    <row r="437" spans="1:2" x14ac:dyDescent="0.35">
      <c r="A437" t="s">
        <v>70</v>
      </c>
    </row>
    <row r="438" spans="1:2" x14ac:dyDescent="0.35">
      <c r="A438" t="s">
        <v>71</v>
      </c>
    </row>
    <row r="439" spans="1:2" x14ac:dyDescent="0.35">
      <c r="A439" t="s">
        <v>72</v>
      </c>
    </row>
    <row r="440" spans="1:2" x14ac:dyDescent="0.35">
      <c r="A440" t="s">
        <v>73</v>
      </c>
    </row>
    <row r="441" spans="1:2" x14ac:dyDescent="0.35">
      <c r="A441" t="s">
        <v>74</v>
      </c>
    </row>
    <row r="442" spans="1:2" x14ac:dyDescent="0.35">
      <c r="A442" t="s">
        <v>278</v>
      </c>
    </row>
    <row r="443" spans="1:2" x14ac:dyDescent="0.35">
      <c r="A443" t="s">
        <v>132</v>
      </c>
      <c r="B443">
        <v>5</v>
      </c>
    </row>
    <row r="444" spans="1:2" x14ac:dyDescent="0.35">
      <c r="A444" t="s">
        <v>133</v>
      </c>
    </row>
    <row r="445" spans="1:2" x14ac:dyDescent="0.35">
      <c r="A445" t="s">
        <v>2616</v>
      </c>
    </row>
    <row r="446" spans="1:2" x14ac:dyDescent="0.35">
      <c r="A446" t="s">
        <v>2617</v>
      </c>
    </row>
    <row r="447" spans="1:2" x14ac:dyDescent="0.35">
      <c r="A447" t="s">
        <v>2618</v>
      </c>
    </row>
    <row r="448" spans="1:2" x14ac:dyDescent="0.35">
      <c r="A448" t="s">
        <v>2619</v>
      </c>
    </row>
    <row r="449" spans="1:2" x14ac:dyDescent="0.35">
      <c r="A449" t="s">
        <v>2620</v>
      </c>
    </row>
    <row r="450" spans="1:2" x14ac:dyDescent="0.35">
      <c r="A450" t="s">
        <v>2621</v>
      </c>
    </row>
    <row r="451" spans="1:2" x14ac:dyDescent="0.35">
      <c r="A451" t="s">
        <v>2622</v>
      </c>
    </row>
    <row r="452" spans="1:2" x14ac:dyDescent="0.35">
      <c r="A452" t="s">
        <v>2623</v>
      </c>
    </row>
    <row r="453" spans="1:2" x14ac:dyDescent="0.35">
      <c r="A453" t="s">
        <v>2624</v>
      </c>
    </row>
    <row r="454" spans="1:2" x14ac:dyDescent="0.35">
      <c r="A454" t="s">
        <v>2625</v>
      </c>
    </row>
    <row r="455" spans="1:2" x14ac:dyDescent="0.35">
      <c r="A455" t="s">
        <v>52</v>
      </c>
    </row>
    <row r="456" spans="1:2" x14ac:dyDescent="0.35">
      <c r="A456" t="s">
        <v>53</v>
      </c>
    </row>
    <row r="457" spans="1:2" x14ac:dyDescent="0.35">
      <c r="A457" t="s">
        <v>650</v>
      </c>
    </row>
    <row r="458" spans="1:2" x14ac:dyDescent="0.35">
      <c r="A458" t="s">
        <v>651</v>
      </c>
    </row>
    <row r="459" spans="1:2" x14ac:dyDescent="0.35">
      <c r="A459" t="s">
        <v>652</v>
      </c>
    </row>
    <row r="460" spans="1:2" x14ac:dyDescent="0.35">
      <c r="A460" t="s">
        <v>603</v>
      </c>
    </row>
    <row r="461" spans="1:2" x14ac:dyDescent="0.35">
      <c r="A461" t="s">
        <v>639</v>
      </c>
    </row>
    <row r="462" spans="1:2" x14ac:dyDescent="0.35">
      <c r="A462" t="s">
        <v>523</v>
      </c>
      <c r="B462">
        <v>5</v>
      </c>
    </row>
    <row r="463" spans="1:2" x14ac:dyDescent="0.35">
      <c r="A463" t="s">
        <v>524</v>
      </c>
      <c r="B463">
        <v>1</v>
      </c>
    </row>
    <row r="464" spans="1:2" x14ac:dyDescent="0.35">
      <c r="A464" t="s">
        <v>525</v>
      </c>
      <c r="B464">
        <v>1</v>
      </c>
    </row>
    <row r="465" spans="1:2" x14ac:dyDescent="0.35">
      <c r="A465" t="s">
        <v>526</v>
      </c>
      <c r="B465">
        <v>1</v>
      </c>
    </row>
    <row r="466" spans="1:2" x14ac:dyDescent="0.35">
      <c r="A466" t="s">
        <v>807</v>
      </c>
      <c r="B466">
        <v>1</v>
      </c>
    </row>
    <row r="467" spans="1:2" x14ac:dyDescent="0.35">
      <c r="A467" t="s">
        <v>808</v>
      </c>
      <c r="B467">
        <v>1</v>
      </c>
    </row>
    <row r="468" spans="1:2" x14ac:dyDescent="0.35">
      <c r="A468" t="s">
        <v>809</v>
      </c>
      <c r="B468">
        <v>1</v>
      </c>
    </row>
    <row r="469" spans="1:2" x14ac:dyDescent="0.35">
      <c r="A469" t="s">
        <v>810</v>
      </c>
      <c r="B469">
        <v>1</v>
      </c>
    </row>
    <row r="470" spans="1:2" x14ac:dyDescent="0.35">
      <c r="A470" t="s">
        <v>811</v>
      </c>
      <c r="B470">
        <v>1</v>
      </c>
    </row>
    <row r="471" spans="1:2" x14ac:dyDescent="0.35">
      <c r="A471" t="s">
        <v>829</v>
      </c>
      <c r="B471">
        <v>1</v>
      </c>
    </row>
    <row r="472" spans="1:2" x14ac:dyDescent="0.35">
      <c r="A472" t="s">
        <v>830</v>
      </c>
      <c r="B472">
        <v>1</v>
      </c>
    </row>
    <row r="473" spans="1:2" x14ac:dyDescent="0.35">
      <c r="A473" t="s">
        <v>831</v>
      </c>
      <c r="B473">
        <v>6</v>
      </c>
    </row>
    <row r="474" spans="1:2" x14ac:dyDescent="0.35">
      <c r="A474" t="s">
        <v>832</v>
      </c>
      <c r="B474">
        <v>1</v>
      </c>
    </row>
    <row r="475" spans="1:2" x14ac:dyDescent="0.35">
      <c r="A475" t="s">
        <v>2556</v>
      </c>
      <c r="B475">
        <v>1</v>
      </c>
    </row>
    <row r="476" spans="1:2" x14ac:dyDescent="0.35">
      <c r="A476" t="s">
        <v>2557</v>
      </c>
      <c r="B476">
        <v>1</v>
      </c>
    </row>
    <row r="477" spans="1:2" x14ac:dyDescent="0.35">
      <c r="A477" t="s">
        <v>2558</v>
      </c>
      <c r="B477">
        <v>1</v>
      </c>
    </row>
    <row r="478" spans="1:2" x14ac:dyDescent="0.35">
      <c r="A478" t="s">
        <v>2559</v>
      </c>
      <c r="B478">
        <v>1</v>
      </c>
    </row>
    <row r="479" spans="1:2" x14ac:dyDescent="0.35">
      <c r="A479" t="s">
        <v>2560</v>
      </c>
      <c r="B479">
        <v>1</v>
      </c>
    </row>
    <row r="480" spans="1:2" x14ac:dyDescent="0.35">
      <c r="A480" t="s">
        <v>2561</v>
      </c>
      <c r="B480">
        <v>1</v>
      </c>
    </row>
    <row r="481" spans="1:2" x14ac:dyDescent="0.35">
      <c r="A481" t="s">
        <v>2562</v>
      </c>
      <c r="B481">
        <v>1</v>
      </c>
    </row>
    <row r="482" spans="1:2" x14ac:dyDescent="0.35">
      <c r="A482" t="s">
        <v>2563</v>
      </c>
      <c r="B482">
        <v>1</v>
      </c>
    </row>
    <row r="483" spans="1:2" x14ac:dyDescent="0.35">
      <c r="A483" t="s">
        <v>2564</v>
      </c>
      <c r="B483">
        <v>1</v>
      </c>
    </row>
    <row r="484" spans="1:2" x14ac:dyDescent="0.35">
      <c r="A484" t="s">
        <v>2565</v>
      </c>
      <c r="B484">
        <v>1</v>
      </c>
    </row>
    <row r="485" spans="1:2" x14ac:dyDescent="0.35">
      <c r="A485" t="s">
        <v>833</v>
      </c>
      <c r="B485">
        <v>11</v>
      </c>
    </row>
    <row r="486" spans="1:2" x14ac:dyDescent="0.35">
      <c r="A486" t="s">
        <v>834</v>
      </c>
      <c r="B486">
        <v>1</v>
      </c>
    </row>
    <row r="487" spans="1:2" x14ac:dyDescent="0.35">
      <c r="A487" t="s">
        <v>835</v>
      </c>
      <c r="B487">
        <v>1</v>
      </c>
    </row>
    <row r="488" spans="1:2" x14ac:dyDescent="0.35">
      <c r="A488" t="s">
        <v>681</v>
      </c>
      <c r="B488">
        <v>1</v>
      </c>
    </row>
    <row r="489" spans="1:2" x14ac:dyDescent="0.35">
      <c r="A489" t="s">
        <v>746</v>
      </c>
      <c r="B489">
        <v>1</v>
      </c>
    </row>
    <row r="490" spans="1:2" x14ac:dyDescent="0.35">
      <c r="A490" t="s">
        <v>747</v>
      </c>
      <c r="B490">
        <v>1</v>
      </c>
    </row>
    <row r="491" spans="1:2" x14ac:dyDescent="0.35">
      <c r="A491" t="s">
        <v>748</v>
      </c>
      <c r="B491">
        <v>1</v>
      </c>
    </row>
    <row r="492" spans="1:2" x14ac:dyDescent="0.35">
      <c r="A492" t="s">
        <v>749</v>
      </c>
      <c r="B492" t="s">
        <v>2426</v>
      </c>
    </row>
    <row r="493" spans="1:2" x14ac:dyDescent="0.35">
      <c r="A493" t="s">
        <v>750</v>
      </c>
    </row>
    <row r="494" spans="1:2" x14ac:dyDescent="0.35">
      <c r="A494" t="s">
        <v>419</v>
      </c>
    </row>
    <row r="495" spans="1:2" x14ac:dyDescent="0.35">
      <c r="A495" t="s">
        <v>529</v>
      </c>
    </row>
    <row r="496" spans="1:2" x14ac:dyDescent="0.35">
      <c r="A496" t="s">
        <v>530</v>
      </c>
    </row>
    <row r="497" spans="1:2" x14ac:dyDescent="0.35">
      <c r="A497" t="s">
        <v>531</v>
      </c>
    </row>
    <row r="498" spans="1:2" x14ac:dyDescent="0.35">
      <c r="A498" t="s">
        <v>532</v>
      </c>
    </row>
    <row r="499" spans="1:2" x14ac:dyDescent="0.35">
      <c r="A499" t="s">
        <v>533</v>
      </c>
    </row>
    <row r="500" spans="1:2" x14ac:dyDescent="0.35">
      <c r="A500" t="s">
        <v>534</v>
      </c>
    </row>
    <row r="501" spans="1:2" x14ac:dyDescent="0.35">
      <c r="A501" t="s">
        <v>731</v>
      </c>
    </row>
    <row r="502" spans="1:2" x14ac:dyDescent="0.35">
      <c r="A502" t="s">
        <v>708</v>
      </c>
    </row>
    <row r="503" spans="1:2" x14ac:dyDescent="0.35">
      <c r="A503" t="s">
        <v>709</v>
      </c>
      <c r="B503" t="s">
        <v>2426</v>
      </c>
    </row>
    <row r="504" spans="1:2" x14ac:dyDescent="0.35">
      <c r="A504" t="s">
        <v>710</v>
      </c>
    </row>
    <row r="505" spans="1:2" x14ac:dyDescent="0.35">
      <c r="A505" t="s">
        <v>2566</v>
      </c>
    </row>
    <row r="506" spans="1:2" x14ac:dyDescent="0.35">
      <c r="A506" t="s">
        <v>2567</v>
      </c>
    </row>
    <row r="507" spans="1:2" x14ac:dyDescent="0.35">
      <c r="A507" t="s">
        <v>2568</v>
      </c>
    </row>
    <row r="508" spans="1:2" x14ac:dyDescent="0.35">
      <c r="A508" t="s">
        <v>2569</v>
      </c>
    </row>
    <row r="509" spans="1:2" x14ac:dyDescent="0.35">
      <c r="A509" t="s">
        <v>2570</v>
      </c>
    </row>
    <row r="510" spans="1:2" x14ac:dyDescent="0.35">
      <c r="A510" t="s">
        <v>2571</v>
      </c>
    </row>
    <row r="511" spans="1:2" x14ac:dyDescent="0.35">
      <c r="A511" t="s">
        <v>2572</v>
      </c>
    </row>
    <row r="512" spans="1:2" x14ac:dyDescent="0.35">
      <c r="A512" t="s">
        <v>2573</v>
      </c>
    </row>
    <row r="513" spans="1:2" x14ac:dyDescent="0.35">
      <c r="A513" t="s">
        <v>2574</v>
      </c>
    </row>
    <row r="514" spans="1:2" x14ac:dyDescent="0.35">
      <c r="A514" t="s">
        <v>2575</v>
      </c>
    </row>
    <row r="515" spans="1:2" x14ac:dyDescent="0.35">
      <c r="A515" t="s">
        <v>711</v>
      </c>
      <c r="B515" t="s">
        <v>2425</v>
      </c>
    </row>
    <row r="516" spans="1:2" x14ac:dyDescent="0.35">
      <c r="A516" t="s">
        <v>791</v>
      </c>
    </row>
    <row r="517" spans="1:2" x14ac:dyDescent="0.35">
      <c r="A517" t="s">
        <v>848</v>
      </c>
    </row>
    <row r="518" spans="1:2" x14ac:dyDescent="0.35">
      <c r="A518" t="s">
        <v>849</v>
      </c>
    </row>
    <row r="519" spans="1:2" x14ac:dyDescent="0.35">
      <c r="A519" t="s">
        <v>850</v>
      </c>
    </row>
    <row r="520" spans="1:2" x14ac:dyDescent="0.35">
      <c r="A520" t="s">
        <v>851</v>
      </c>
    </row>
    <row r="521" spans="1:2" x14ac:dyDescent="0.35">
      <c r="A521" t="s">
        <v>222</v>
      </c>
    </row>
    <row r="522" spans="1:2" x14ac:dyDescent="0.35">
      <c r="A522" t="s">
        <v>346</v>
      </c>
      <c r="B522" t="b">
        <v>1</v>
      </c>
    </row>
    <row r="523" spans="1:2" x14ac:dyDescent="0.35">
      <c r="A523" t="s">
        <v>347</v>
      </c>
      <c r="B523">
        <v>7</v>
      </c>
    </row>
    <row r="524" spans="1:2" x14ac:dyDescent="0.35">
      <c r="A524" t="s">
        <v>348</v>
      </c>
      <c r="B524" t="b">
        <v>1</v>
      </c>
    </row>
    <row r="525" spans="1:2" x14ac:dyDescent="0.35">
      <c r="A525" t="s">
        <v>48</v>
      </c>
      <c r="B525" t="b">
        <v>1</v>
      </c>
    </row>
    <row r="526" spans="1:2" x14ac:dyDescent="0.35">
      <c r="A526" t="s">
        <v>799</v>
      </c>
      <c r="B526">
        <v>10</v>
      </c>
    </row>
    <row r="527" spans="1:2" x14ac:dyDescent="0.35">
      <c r="A527" t="s">
        <v>49</v>
      </c>
      <c r="B527">
        <v>2</v>
      </c>
    </row>
    <row r="528" spans="1:2" x14ac:dyDescent="0.35">
      <c r="A528" t="s">
        <v>233</v>
      </c>
    </row>
    <row r="529" spans="1:1" x14ac:dyDescent="0.35">
      <c r="A529" t="s">
        <v>234</v>
      </c>
    </row>
    <row r="530" spans="1:1" x14ac:dyDescent="0.35">
      <c r="A530" t="s">
        <v>612</v>
      </c>
    </row>
    <row r="531" spans="1:1" x14ac:dyDescent="0.35">
      <c r="A531" t="s">
        <v>613</v>
      </c>
    </row>
    <row r="532" spans="1:1" x14ac:dyDescent="0.35">
      <c r="A532" t="s">
        <v>614</v>
      </c>
    </row>
    <row r="533" spans="1:1" x14ac:dyDescent="0.35">
      <c r="A533" t="s">
        <v>320</v>
      </c>
    </row>
    <row r="534" spans="1:1" x14ac:dyDescent="0.35">
      <c r="A534" t="s">
        <v>1453</v>
      </c>
    </row>
    <row r="535" spans="1:1" x14ac:dyDescent="0.35">
      <c r="A535" t="s">
        <v>321</v>
      </c>
    </row>
    <row r="536" spans="1:1" x14ac:dyDescent="0.35">
      <c r="A536" t="s">
        <v>322</v>
      </c>
    </row>
    <row r="537" spans="1:1" x14ac:dyDescent="0.35">
      <c r="A537" t="s">
        <v>323</v>
      </c>
    </row>
    <row r="538" spans="1:1" x14ac:dyDescent="0.35">
      <c r="A538" t="s">
        <v>324</v>
      </c>
    </row>
    <row r="539" spans="1:1" x14ac:dyDescent="0.35">
      <c r="A539" t="s">
        <v>451</v>
      </c>
    </row>
    <row r="540" spans="1:1" x14ac:dyDescent="0.35">
      <c r="A540" t="s">
        <v>349</v>
      </c>
    </row>
    <row r="541" spans="1:1" x14ac:dyDescent="0.35">
      <c r="A541" t="s">
        <v>350</v>
      </c>
    </row>
    <row r="542" spans="1:1" x14ac:dyDescent="0.35">
      <c r="A542" t="s">
        <v>351</v>
      </c>
    </row>
    <row r="543" spans="1:1" x14ac:dyDescent="0.35">
      <c r="A543" t="s">
        <v>327</v>
      </c>
    </row>
    <row r="544" spans="1:1" x14ac:dyDescent="0.35">
      <c r="A544" t="s">
        <v>328</v>
      </c>
    </row>
    <row r="545" spans="1:1" x14ac:dyDescent="0.35">
      <c r="A545" t="s">
        <v>670</v>
      </c>
    </row>
    <row r="546" spans="1:1" x14ac:dyDescent="0.35">
      <c r="A546" t="s">
        <v>671</v>
      </c>
    </row>
    <row r="547" spans="1:1" x14ac:dyDescent="0.35">
      <c r="A547" t="s">
        <v>607</v>
      </c>
    </row>
    <row r="548" spans="1:1" x14ac:dyDescent="0.35">
      <c r="A548" t="s">
        <v>608</v>
      </c>
    </row>
    <row r="549" spans="1:1" x14ac:dyDescent="0.35">
      <c r="A549" t="s">
        <v>609</v>
      </c>
    </row>
    <row r="550" spans="1:1" x14ac:dyDescent="0.35">
      <c r="A550" t="s">
        <v>253</v>
      </c>
    </row>
    <row r="551" spans="1:1" x14ac:dyDescent="0.35">
      <c r="A551" t="s">
        <v>254</v>
      </c>
    </row>
    <row r="552" spans="1:1" x14ac:dyDescent="0.35">
      <c r="A552" t="s">
        <v>255</v>
      </c>
    </row>
    <row r="553" spans="1:1" x14ac:dyDescent="0.35">
      <c r="A553" t="s">
        <v>256</v>
      </c>
    </row>
    <row r="554" spans="1:1" x14ac:dyDescent="0.35">
      <c r="A554" t="s">
        <v>257</v>
      </c>
    </row>
    <row r="555" spans="1:1" x14ac:dyDescent="0.35">
      <c r="A555" t="s">
        <v>371</v>
      </c>
    </row>
    <row r="556" spans="1:1" x14ac:dyDescent="0.35">
      <c r="A556" t="s">
        <v>2606</v>
      </c>
    </row>
    <row r="557" spans="1:1" x14ac:dyDescent="0.35">
      <c r="A557" t="s">
        <v>2607</v>
      </c>
    </row>
    <row r="558" spans="1:1" x14ac:dyDescent="0.35">
      <c r="A558" t="s">
        <v>2608</v>
      </c>
    </row>
    <row r="559" spans="1:1" x14ac:dyDescent="0.35">
      <c r="A559" t="s">
        <v>2609</v>
      </c>
    </row>
    <row r="560" spans="1:1" x14ac:dyDescent="0.35">
      <c r="A560" t="s">
        <v>2610</v>
      </c>
    </row>
    <row r="561" spans="1:2" x14ac:dyDescent="0.35">
      <c r="A561" t="s">
        <v>2611</v>
      </c>
    </row>
    <row r="562" spans="1:2" x14ac:dyDescent="0.35">
      <c r="A562" t="s">
        <v>2612</v>
      </c>
    </row>
    <row r="563" spans="1:2" x14ac:dyDescent="0.35">
      <c r="A563" t="s">
        <v>2613</v>
      </c>
    </row>
    <row r="564" spans="1:2" x14ac:dyDescent="0.35">
      <c r="A564" t="s">
        <v>2614</v>
      </c>
    </row>
    <row r="565" spans="1:2" x14ac:dyDescent="0.35">
      <c r="A565" t="s">
        <v>2615</v>
      </c>
    </row>
    <row r="566" spans="1:2" x14ac:dyDescent="0.35">
      <c r="A566" t="s">
        <v>366</v>
      </c>
    </row>
    <row r="567" spans="1:2" x14ac:dyDescent="0.35">
      <c r="A567" t="s">
        <v>367</v>
      </c>
    </row>
    <row r="568" spans="1:2" x14ac:dyDescent="0.35">
      <c r="A568" t="s">
        <v>368</v>
      </c>
    </row>
    <row r="569" spans="1:2" x14ac:dyDescent="0.35">
      <c r="A569" t="s">
        <v>369</v>
      </c>
    </row>
    <row r="570" spans="1:2" x14ac:dyDescent="0.35">
      <c r="A570" t="s">
        <v>370</v>
      </c>
    </row>
    <row r="571" spans="1:2" x14ac:dyDescent="0.35">
      <c r="A571" t="s">
        <v>622</v>
      </c>
    </row>
    <row r="572" spans="1:2" x14ac:dyDescent="0.35">
      <c r="A572" t="s">
        <v>729</v>
      </c>
    </row>
    <row r="573" spans="1:2" x14ac:dyDescent="0.35">
      <c r="A573" t="s">
        <v>447</v>
      </c>
      <c r="B573">
        <v>42716</v>
      </c>
    </row>
    <row r="574" spans="1:2" x14ac:dyDescent="0.35">
      <c r="A574" t="s">
        <v>769</v>
      </c>
      <c r="B574">
        <v>1234567</v>
      </c>
    </row>
    <row r="575" spans="1:2" x14ac:dyDescent="0.35">
      <c r="A575" t="s">
        <v>630</v>
      </c>
      <c r="B575">
        <v>1</v>
      </c>
    </row>
    <row r="576" spans="1:2" x14ac:dyDescent="0.35">
      <c r="A576" t="s">
        <v>548</v>
      </c>
    </row>
    <row r="577" spans="1:2" x14ac:dyDescent="0.35">
      <c r="A577" t="s">
        <v>114</v>
      </c>
    </row>
    <row r="578" spans="1:2" x14ac:dyDescent="0.35">
      <c r="A578" t="s">
        <v>117</v>
      </c>
    </row>
    <row r="579" spans="1:2" x14ac:dyDescent="0.35">
      <c r="A579" t="s">
        <v>116</v>
      </c>
    </row>
    <row r="580" spans="1:2" x14ac:dyDescent="0.35">
      <c r="A580" t="s">
        <v>113</v>
      </c>
    </row>
    <row r="581" spans="1:2" x14ac:dyDescent="0.35">
      <c r="A581" t="s">
        <v>112</v>
      </c>
    </row>
    <row r="582" spans="1:2" x14ac:dyDescent="0.35">
      <c r="A582" t="s">
        <v>115</v>
      </c>
    </row>
    <row r="583" spans="1:2" x14ac:dyDescent="0.35">
      <c r="A583" t="s">
        <v>118</v>
      </c>
    </row>
    <row r="584" spans="1:2" x14ac:dyDescent="0.35">
      <c r="A584" t="s">
        <v>554</v>
      </c>
      <c r="B584">
        <v>893</v>
      </c>
    </row>
    <row r="585" spans="1:2" x14ac:dyDescent="0.35">
      <c r="A585" t="s">
        <v>555</v>
      </c>
    </row>
    <row r="586" spans="1:2" x14ac:dyDescent="0.35">
      <c r="A586" t="s">
        <v>556</v>
      </c>
    </row>
    <row r="587" spans="1:2" x14ac:dyDescent="0.35">
      <c r="A587" t="s">
        <v>557</v>
      </c>
    </row>
    <row r="588" spans="1:2" x14ac:dyDescent="0.35">
      <c r="A588" t="s">
        <v>862</v>
      </c>
    </row>
    <row r="589" spans="1:2" x14ac:dyDescent="0.35">
      <c r="A589" t="s">
        <v>863</v>
      </c>
    </row>
    <row r="590" spans="1:2" x14ac:dyDescent="0.35">
      <c r="A590" t="s">
        <v>864</v>
      </c>
    </row>
    <row r="591" spans="1:2" x14ac:dyDescent="0.35">
      <c r="A591" t="s">
        <v>865</v>
      </c>
    </row>
    <row r="592" spans="1:2" x14ac:dyDescent="0.35">
      <c r="A592" t="s">
        <v>510</v>
      </c>
    </row>
    <row r="593" spans="1:2" x14ac:dyDescent="0.35">
      <c r="A593" t="s">
        <v>792</v>
      </c>
    </row>
    <row r="594" spans="1:2" x14ac:dyDescent="0.35">
      <c r="A594" t="s">
        <v>793</v>
      </c>
    </row>
    <row r="595" spans="1:2" x14ac:dyDescent="0.35">
      <c r="A595" t="s">
        <v>794</v>
      </c>
      <c r="B595">
        <v>6</v>
      </c>
    </row>
    <row r="596" spans="1:2" x14ac:dyDescent="0.35">
      <c r="A596" t="s">
        <v>488</v>
      </c>
    </row>
    <row r="597" spans="1:2" x14ac:dyDescent="0.35">
      <c r="A597" t="s">
        <v>2596</v>
      </c>
    </row>
    <row r="598" spans="1:2" x14ac:dyDescent="0.35">
      <c r="A598" t="s">
        <v>2597</v>
      </c>
    </row>
    <row r="599" spans="1:2" x14ac:dyDescent="0.35">
      <c r="A599" t="s">
        <v>2598</v>
      </c>
    </row>
    <row r="600" spans="1:2" x14ac:dyDescent="0.35">
      <c r="A600" t="s">
        <v>2599</v>
      </c>
    </row>
    <row r="601" spans="1:2" x14ac:dyDescent="0.35">
      <c r="A601" t="s">
        <v>2600</v>
      </c>
    </row>
    <row r="602" spans="1:2" x14ac:dyDescent="0.35">
      <c r="A602" t="s">
        <v>2601</v>
      </c>
    </row>
    <row r="603" spans="1:2" x14ac:dyDescent="0.35">
      <c r="A603" t="s">
        <v>2602</v>
      </c>
    </row>
    <row r="604" spans="1:2" x14ac:dyDescent="0.35">
      <c r="A604" t="s">
        <v>2603</v>
      </c>
    </row>
    <row r="605" spans="1:2" x14ac:dyDescent="0.35">
      <c r="A605" t="s">
        <v>2604</v>
      </c>
    </row>
    <row r="606" spans="1:2" x14ac:dyDescent="0.35">
      <c r="A606" t="s">
        <v>2605</v>
      </c>
    </row>
    <row r="607" spans="1:2" x14ac:dyDescent="0.35">
      <c r="A607" t="s">
        <v>489</v>
      </c>
      <c r="B607">
        <v>1696</v>
      </c>
    </row>
    <row r="608" spans="1:2" x14ac:dyDescent="0.35">
      <c r="A608" t="s">
        <v>490</v>
      </c>
    </row>
    <row r="609" spans="1:2" x14ac:dyDescent="0.35">
      <c r="A609" t="s">
        <v>491</v>
      </c>
    </row>
    <row r="610" spans="1:2" x14ac:dyDescent="0.35">
      <c r="A610" t="s">
        <v>492</v>
      </c>
    </row>
    <row r="611" spans="1:2" x14ac:dyDescent="0.35">
      <c r="A611" t="s">
        <v>493</v>
      </c>
    </row>
    <row r="612" spans="1:2" x14ac:dyDescent="0.35">
      <c r="A612" t="s">
        <v>494</v>
      </c>
    </row>
    <row r="613" spans="1:2" x14ac:dyDescent="0.35">
      <c r="A613" t="s">
        <v>495</v>
      </c>
    </row>
    <row r="614" spans="1:2" x14ac:dyDescent="0.35">
      <c r="A614" t="s">
        <v>435</v>
      </c>
      <c r="B614" t="b">
        <v>1</v>
      </c>
    </row>
    <row r="615" spans="1:2" x14ac:dyDescent="0.35">
      <c r="A615" t="s">
        <v>800</v>
      </c>
      <c r="B615">
        <v>13</v>
      </c>
    </row>
    <row r="616" spans="1:2" x14ac:dyDescent="0.35">
      <c r="A616" t="s">
        <v>445</v>
      </c>
      <c r="B616">
        <v>1</v>
      </c>
    </row>
    <row r="617" spans="1:2" x14ac:dyDescent="0.35">
      <c r="A617" t="s">
        <v>632</v>
      </c>
    </row>
    <row r="618" spans="1:2" x14ac:dyDescent="0.35">
      <c r="A618" t="s">
        <v>633</v>
      </c>
    </row>
    <row r="619" spans="1:2" x14ac:dyDescent="0.35">
      <c r="A619" t="s">
        <v>634</v>
      </c>
    </row>
    <row r="620" spans="1:2" x14ac:dyDescent="0.35">
      <c r="A620" t="s">
        <v>635</v>
      </c>
    </row>
    <row r="621" spans="1:2" x14ac:dyDescent="0.35">
      <c r="A621" t="s">
        <v>636</v>
      </c>
    </row>
    <row r="622" spans="1:2" x14ac:dyDescent="0.35">
      <c r="A622" t="s">
        <v>637</v>
      </c>
    </row>
    <row r="623" spans="1:2" x14ac:dyDescent="0.35">
      <c r="A623" t="s">
        <v>417</v>
      </c>
    </row>
    <row r="624" spans="1:2" x14ac:dyDescent="0.35">
      <c r="A624" t="s">
        <v>814</v>
      </c>
    </row>
    <row r="625" spans="1:2" x14ac:dyDescent="0.35">
      <c r="A625" t="s">
        <v>815</v>
      </c>
    </row>
    <row r="626" spans="1:2" x14ac:dyDescent="0.35">
      <c r="A626" t="s">
        <v>628</v>
      </c>
      <c r="B626">
        <v>14</v>
      </c>
    </row>
    <row r="627" spans="1:2" x14ac:dyDescent="0.35">
      <c r="A627" t="s">
        <v>599</v>
      </c>
      <c r="B627">
        <v>1</v>
      </c>
    </row>
    <row r="628" spans="1:2" x14ac:dyDescent="0.35">
      <c r="A628" t="s">
        <v>861</v>
      </c>
      <c r="B628">
        <v>1</v>
      </c>
    </row>
    <row r="629" spans="1:2" x14ac:dyDescent="0.35">
      <c r="A629" t="s">
        <v>801</v>
      </c>
      <c r="B629">
        <v>14</v>
      </c>
    </row>
    <row r="630" spans="1:2" x14ac:dyDescent="0.35">
      <c r="A630" t="s">
        <v>332</v>
      </c>
      <c r="B630">
        <v>5</v>
      </c>
    </row>
    <row r="631" spans="1:2" x14ac:dyDescent="0.35">
      <c r="A631" t="s">
        <v>333</v>
      </c>
    </row>
    <row r="632" spans="1:2" x14ac:dyDescent="0.35">
      <c r="A632" t="s">
        <v>334</v>
      </c>
    </row>
    <row r="633" spans="1:2" x14ac:dyDescent="0.35">
      <c r="A633" t="s">
        <v>335</v>
      </c>
    </row>
    <row r="634" spans="1:2" x14ac:dyDescent="0.35">
      <c r="A634" t="s">
        <v>336</v>
      </c>
    </row>
    <row r="635" spans="1:2" x14ac:dyDescent="0.35">
      <c r="A635" t="s">
        <v>337</v>
      </c>
    </row>
    <row r="636" spans="1:2" x14ac:dyDescent="0.35">
      <c r="A636" t="s">
        <v>338</v>
      </c>
    </row>
    <row r="637" spans="1:2" x14ac:dyDescent="0.35">
      <c r="A637" t="s">
        <v>339</v>
      </c>
    </row>
    <row r="638" spans="1:2" x14ac:dyDescent="0.35">
      <c r="A638" t="s">
        <v>340</v>
      </c>
    </row>
    <row r="639" spans="1:2" x14ac:dyDescent="0.35">
      <c r="A639" t="s">
        <v>28</v>
      </c>
    </row>
    <row r="640" spans="1:2" x14ac:dyDescent="0.35">
      <c r="A640" t="s">
        <v>29</v>
      </c>
    </row>
    <row r="641" spans="1:2" x14ac:dyDescent="0.35">
      <c r="A641" t="s">
        <v>30</v>
      </c>
      <c r="B641">
        <v>20</v>
      </c>
    </row>
    <row r="642" spans="1:2" x14ac:dyDescent="0.35">
      <c r="A642" t="s">
        <v>31</v>
      </c>
    </row>
    <row r="643" spans="1:2" x14ac:dyDescent="0.35">
      <c r="A643" t="s">
        <v>32</v>
      </c>
      <c r="B643">
        <v>120</v>
      </c>
    </row>
    <row r="644" spans="1:2" x14ac:dyDescent="0.35">
      <c r="A644" t="s">
        <v>33</v>
      </c>
    </row>
    <row r="645" spans="1:2" x14ac:dyDescent="0.35">
      <c r="A645" t="s">
        <v>34</v>
      </c>
    </row>
    <row r="646" spans="1:2" x14ac:dyDescent="0.35">
      <c r="A646" t="s">
        <v>35</v>
      </c>
    </row>
    <row r="647" spans="1:2" x14ac:dyDescent="0.35">
      <c r="A647" t="s">
        <v>36</v>
      </c>
    </row>
    <row r="648" spans="1:2" x14ac:dyDescent="0.35">
      <c r="A648" t="s">
        <v>37</v>
      </c>
    </row>
    <row r="649" spans="1:2" x14ac:dyDescent="0.35">
      <c r="A649" t="s">
        <v>38</v>
      </c>
    </row>
    <row r="650" spans="1:2" x14ac:dyDescent="0.35">
      <c r="A650" t="s">
        <v>2526</v>
      </c>
    </row>
    <row r="651" spans="1:2" x14ac:dyDescent="0.35">
      <c r="A651" t="s">
        <v>2527</v>
      </c>
    </row>
    <row r="652" spans="1:2" x14ac:dyDescent="0.35">
      <c r="A652" t="s">
        <v>2528</v>
      </c>
    </row>
    <row r="653" spans="1:2" x14ac:dyDescent="0.35">
      <c r="A653" t="s">
        <v>2529</v>
      </c>
    </row>
    <row r="654" spans="1:2" x14ac:dyDescent="0.35">
      <c r="A654" t="s">
        <v>2530</v>
      </c>
    </row>
    <row r="655" spans="1:2" x14ac:dyDescent="0.35">
      <c r="A655" t="s">
        <v>2531</v>
      </c>
    </row>
    <row r="656" spans="1:2" x14ac:dyDescent="0.35">
      <c r="A656" t="s">
        <v>2532</v>
      </c>
    </row>
    <row r="657" spans="1:2" x14ac:dyDescent="0.35">
      <c r="A657" t="s">
        <v>2533</v>
      </c>
    </row>
    <row r="658" spans="1:2" x14ac:dyDescent="0.35">
      <c r="A658" t="s">
        <v>2534</v>
      </c>
    </row>
    <row r="659" spans="1:2" x14ac:dyDescent="0.35">
      <c r="A659" t="s">
        <v>2535</v>
      </c>
    </row>
    <row r="660" spans="1:2" x14ac:dyDescent="0.35">
      <c r="A660" t="s">
        <v>900</v>
      </c>
      <c r="B660">
        <v>1500</v>
      </c>
    </row>
    <row r="661" spans="1:2" x14ac:dyDescent="0.35">
      <c r="A661" t="s">
        <v>901</v>
      </c>
      <c r="B661">
        <v>1500</v>
      </c>
    </row>
    <row r="662" spans="1:2" x14ac:dyDescent="0.35">
      <c r="A662" t="s">
        <v>902</v>
      </c>
      <c r="B662">
        <v>1500</v>
      </c>
    </row>
    <row r="663" spans="1:2" x14ac:dyDescent="0.35">
      <c r="A663" t="s">
        <v>903</v>
      </c>
      <c r="B663">
        <v>1500</v>
      </c>
    </row>
    <row r="664" spans="1:2" x14ac:dyDescent="0.35">
      <c r="A664" t="s">
        <v>16</v>
      </c>
      <c r="B664">
        <v>1500</v>
      </c>
    </row>
    <row r="665" spans="1:2" x14ac:dyDescent="0.35">
      <c r="A665" t="s">
        <v>17</v>
      </c>
      <c r="B665">
        <v>1500</v>
      </c>
    </row>
    <row r="666" spans="1:2" x14ac:dyDescent="0.35">
      <c r="A666" t="s">
        <v>18</v>
      </c>
      <c r="B666">
        <v>1500</v>
      </c>
    </row>
    <row r="667" spans="1:2" x14ac:dyDescent="0.35">
      <c r="A667" t="s">
        <v>19</v>
      </c>
      <c r="B667">
        <v>1500</v>
      </c>
    </row>
    <row r="668" spans="1:2" x14ac:dyDescent="0.35">
      <c r="A668" t="s">
        <v>20</v>
      </c>
      <c r="B668">
        <v>1500</v>
      </c>
    </row>
    <row r="669" spans="1:2" x14ac:dyDescent="0.35">
      <c r="A669" t="s">
        <v>379</v>
      </c>
      <c r="B669">
        <v>1500</v>
      </c>
    </row>
    <row r="670" spans="1:2" x14ac:dyDescent="0.35">
      <c r="A670" t="s">
        <v>380</v>
      </c>
      <c r="B670">
        <v>1500</v>
      </c>
    </row>
    <row r="671" spans="1:2" x14ac:dyDescent="0.35">
      <c r="A671" t="s">
        <v>381</v>
      </c>
      <c r="B671">
        <v>1500</v>
      </c>
    </row>
    <row r="672" spans="1:2" x14ac:dyDescent="0.35">
      <c r="A672" t="s">
        <v>43</v>
      </c>
      <c r="B672">
        <v>1500</v>
      </c>
    </row>
    <row r="673" spans="1:2" x14ac:dyDescent="0.35">
      <c r="A673" t="s">
        <v>2496</v>
      </c>
      <c r="B673">
        <v>1500</v>
      </c>
    </row>
    <row r="674" spans="1:2" x14ac:dyDescent="0.35">
      <c r="A674" t="s">
        <v>2497</v>
      </c>
      <c r="B674">
        <v>1500</v>
      </c>
    </row>
    <row r="675" spans="1:2" x14ac:dyDescent="0.35">
      <c r="A675" t="s">
        <v>2498</v>
      </c>
      <c r="B675">
        <v>1500</v>
      </c>
    </row>
    <row r="676" spans="1:2" x14ac:dyDescent="0.35">
      <c r="A676" t="s">
        <v>2499</v>
      </c>
      <c r="B676">
        <v>1500</v>
      </c>
    </row>
    <row r="677" spans="1:2" x14ac:dyDescent="0.35">
      <c r="A677" t="s">
        <v>2500</v>
      </c>
      <c r="B677">
        <v>1500</v>
      </c>
    </row>
    <row r="678" spans="1:2" x14ac:dyDescent="0.35">
      <c r="A678" t="s">
        <v>2501</v>
      </c>
      <c r="B678">
        <v>1500</v>
      </c>
    </row>
    <row r="679" spans="1:2" x14ac:dyDescent="0.35">
      <c r="A679" t="s">
        <v>2502</v>
      </c>
      <c r="B679">
        <v>1500</v>
      </c>
    </row>
    <row r="680" spans="1:2" x14ac:dyDescent="0.35">
      <c r="A680" t="s">
        <v>2503</v>
      </c>
      <c r="B680">
        <v>1500</v>
      </c>
    </row>
    <row r="681" spans="1:2" x14ac:dyDescent="0.35">
      <c r="A681" t="s">
        <v>2504</v>
      </c>
      <c r="B681">
        <v>1500</v>
      </c>
    </row>
    <row r="682" spans="1:2" x14ac:dyDescent="0.35">
      <c r="A682" t="s">
        <v>2505</v>
      </c>
      <c r="B682">
        <v>1500</v>
      </c>
    </row>
    <row r="683" spans="1:2" x14ac:dyDescent="0.35">
      <c r="A683" t="s">
        <v>44</v>
      </c>
      <c r="B683">
        <v>1500</v>
      </c>
    </row>
    <row r="684" spans="1:2" x14ac:dyDescent="0.35">
      <c r="A684" t="s">
        <v>45</v>
      </c>
      <c r="B684">
        <v>1500</v>
      </c>
    </row>
    <row r="685" spans="1:2" x14ac:dyDescent="0.35">
      <c r="A685" t="s">
        <v>46</v>
      </c>
      <c r="B685">
        <v>1500</v>
      </c>
    </row>
    <row r="686" spans="1:2" x14ac:dyDescent="0.35">
      <c r="A686" t="s">
        <v>558</v>
      </c>
      <c r="B686">
        <v>1500</v>
      </c>
    </row>
    <row r="687" spans="1:2" x14ac:dyDescent="0.35">
      <c r="A687" t="s">
        <v>559</v>
      </c>
      <c r="B687">
        <v>1500</v>
      </c>
    </row>
    <row r="688" spans="1:2" x14ac:dyDescent="0.35">
      <c r="A688" t="s">
        <v>560</v>
      </c>
      <c r="B688">
        <v>1500</v>
      </c>
    </row>
    <row r="689" spans="1:2" x14ac:dyDescent="0.35">
      <c r="A689" t="s">
        <v>561</v>
      </c>
      <c r="B689">
        <v>1500</v>
      </c>
    </row>
    <row r="690" spans="1:2" x14ac:dyDescent="0.35">
      <c r="A690" t="s">
        <v>478</v>
      </c>
      <c r="B690">
        <v>2</v>
      </c>
    </row>
    <row r="691" spans="1:2" x14ac:dyDescent="0.35">
      <c r="A691" t="s">
        <v>802</v>
      </c>
      <c r="B691">
        <v>8</v>
      </c>
    </row>
    <row r="692" spans="1:2" x14ac:dyDescent="0.35">
      <c r="A692" t="s">
        <v>803</v>
      </c>
      <c r="B692" t="b">
        <v>1</v>
      </c>
    </row>
    <row r="693" spans="1:2" x14ac:dyDescent="0.35">
      <c r="A693" t="s">
        <v>804</v>
      </c>
      <c r="B693">
        <v>8</v>
      </c>
    </row>
    <row r="694" spans="1:2" x14ac:dyDescent="0.35">
      <c r="A694" t="s">
        <v>309</v>
      </c>
      <c r="B694">
        <v>0</v>
      </c>
    </row>
    <row r="695" spans="1:2" x14ac:dyDescent="0.35">
      <c r="A695" t="s">
        <v>701</v>
      </c>
    </row>
    <row r="696" spans="1:2" x14ac:dyDescent="0.35">
      <c r="A696" t="s">
        <v>702</v>
      </c>
    </row>
    <row r="697" spans="1:2" x14ac:dyDescent="0.35">
      <c r="A697" t="s">
        <v>452</v>
      </c>
    </row>
    <row r="698" spans="1:2" x14ac:dyDescent="0.35">
      <c r="A698" t="s">
        <v>969</v>
      </c>
      <c r="B698" t="s">
        <v>2639</v>
      </c>
    </row>
    <row r="699" spans="1:2" x14ac:dyDescent="0.35">
      <c r="A699" t="s">
        <v>1115</v>
      </c>
    </row>
    <row r="700" spans="1:2" x14ac:dyDescent="0.35">
      <c r="A700" t="s">
        <v>1116</v>
      </c>
      <c r="B700">
        <v>0</v>
      </c>
    </row>
    <row r="701" spans="1:2" x14ac:dyDescent="0.35">
      <c r="A701" t="s">
        <v>1117</v>
      </c>
      <c r="B701">
        <v>5000</v>
      </c>
    </row>
    <row r="702" spans="1:2" x14ac:dyDescent="0.35">
      <c r="A702" t="s">
        <v>1118</v>
      </c>
      <c r="B702">
        <v>0</v>
      </c>
    </row>
    <row r="703" spans="1:2" x14ac:dyDescent="0.35">
      <c r="A703" t="s">
        <v>1119</v>
      </c>
      <c r="B703">
        <v>1</v>
      </c>
    </row>
    <row r="704" spans="1:2" x14ac:dyDescent="0.35">
      <c r="A704" t="s">
        <v>1120</v>
      </c>
      <c r="B704">
        <v>1</v>
      </c>
    </row>
    <row r="705" spans="1:2" x14ac:dyDescent="0.35">
      <c r="A705" t="s">
        <v>1121</v>
      </c>
      <c r="B705">
        <v>1</v>
      </c>
    </row>
    <row r="706" spans="1:2" x14ac:dyDescent="0.35">
      <c r="A706" t="s">
        <v>1122</v>
      </c>
      <c r="B706">
        <v>1</v>
      </c>
    </row>
    <row r="707" spans="1:2" x14ac:dyDescent="0.35">
      <c r="A707" t="s">
        <v>1123</v>
      </c>
      <c r="B707">
        <v>1</v>
      </c>
    </row>
    <row r="708" spans="1:2" x14ac:dyDescent="0.35">
      <c r="A708" t="s">
        <v>1124</v>
      </c>
      <c r="B708">
        <v>1</v>
      </c>
    </row>
    <row r="709" spans="1:2" x14ac:dyDescent="0.35">
      <c r="A709" t="s">
        <v>1125</v>
      </c>
      <c r="B709">
        <v>1</v>
      </c>
    </row>
    <row r="710" spans="1:2" x14ac:dyDescent="0.35">
      <c r="A710" t="s">
        <v>1126</v>
      </c>
      <c r="B710">
        <v>1</v>
      </c>
    </row>
    <row r="711" spans="1:2" x14ac:dyDescent="0.35">
      <c r="A711" t="s">
        <v>1127</v>
      </c>
      <c r="B711">
        <v>1</v>
      </c>
    </row>
    <row r="712" spans="1:2" x14ac:dyDescent="0.35">
      <c r="A712" t="s">
        <v>1128</v>
      </c>
      <c r="B712">
        <v>1</v>
      </c>
    </row>
    <row r="713" spans="1:2" x14ac:dyDescent="0.35">
      <c r="A713" t="s">
        <v>1129</v>
      </c>
      <c r="B713">
        <v>1</v>
      </c>
    </row>
    <row r="714" spans="1:2" x14ac:dyDescent="0.35">
      <c r="A714" t="s">
        <v>1130</v>
      </c>
      <c r="B714">
        <v>0</v>
      </c>
    </row>
    <row r="715" spans="1:2" x14ac:dyDescent="0.35">
      <c r="A715" t="s">
        <v>1131</v>
      </c>
      <c r="B715">
        <v>0</v>
      </c>
    </row>
    <row r="716" spans="1:2" x14ac:dyDescent="0.35">
      <c r="A716" t="s">
        <v>1132</v>
      </c>
      <c r="B716">
        <v>0</v>
      </c>
    </row>
    <row r="717" spans="1:2" x14ac:dyDescent="0.35">
      <c r="A717" t="s">
        <v>1133</v>
      </c>
      <c r="B717">
        <v>0</v>
      </c>
    </row>
    <row r="718" spans="1:2" x14ac:dyDescent="0.35">
      <c r="A718" t="s">
        <v>1134</v>
      </c>
      <c r="B718">
        <v>0</v>
      </c>
    </row>
    <row r="719" spans="1:2" x14ac:dyDescent="0.35">
      <c r="A719" t="s">
        <v>1135</v>
      </c>
      <c r="B719">
        <v>0</v>
      </c>
    </row>
    <row r="720" spans="1:2" x14ac:dyDescent="0.35">
      <c r="A720" t="s">
        <v>1136</v>
      </c>
      <c r="B720">
        <v>0</v>
      </c>
    </row>
    <row r="721" spans="1:2" x14ac:dyDescent="0.35">
      <c r="A721" t="s">
        <v>1137</v>
      </c>
      <c r="B721">
        <v>0</v>
      </c>
    </row>
    <row r="722" spans="1:2" x14ac:dyDescent="0.35">
      <c r="A722" t="s">
        <v>1138</v>
      </c>
      <c r="B722">
        <v>0</v>
      </c>
    </row>
    <row r="723" spans="1:2" x14ac:dyDescent="0.35">
      <c r="A723" t="s">
        <v>1139</v>
      </c>
      <c r="B723">
        <v>0</v>
      </c>
    </row>
    <row r="724" spans="1:2" x14ac:dyDescent="0.35">
      <c r="A724" t="s">
        <v>1140</v>
      </c>
      <c r="B724">
        <v>0</v>
      </c>
    </row>
    <row r="725" spans="1:2" x14ac:dyDescent="0.35">
      <c r="A725" t="s">
        <v>1141</v>
      </c>
      <c r="B725">
        <v>42370</v>
      </c>
    </row>
    <row r="726" spans="1:2" x14ac:dyDescent="0.35">
      <c r="A726" t="s">
        <v>1142</v>
      </c>
      <c r="B726">
        <v>8</v>
      </c>
    </row>
    <row r="727" spans="1:2" x14ac:dyDescent="0.35">
      <c r="A727" t="s">
        <v>1143</v>
      </c>
      <c r="B727">
        <v>0</v>
      </c>
    </row>
    <row r="728" spans="1:2" x14ac:dyDescent="0.35">
      <c r="A728" t="s">
        <v>1144</v>
      </c>
      <c r="B728">
        <v>0</v>
      </c>
    </row>
    <row r="729" spans="1:2" x14ac:dyDescent="0.35">
      <c r="A729" t="s">
        <v>1145</v>
      </c>
      <c r="B729">
        <v>5000</v>
      </c>
    </row>
    <row r="730" spans="1:2" x14ac:dyDescent="0.35">
      <c r="A730" t="s">
        <v>1146</v>
      </c>
      <c r="B730">
        <v>5000</v>
      </c>
    </row>
    <row r="731" spans="1:2" x14ac:dyDescent="0.35">
      <c r="A731" t="s">
        <v>1147</v>
      </c>
      <c r="B731">
        <v>5000</v>
      </c>
    </row>
    <row r="732" spans="1:2" x14ac:dyDescent="0.35">
      <c r="A732" t="s">
        <v>1148</v>
      </c>
      <c r="B732">
        <v>1</v>
      </c>
    </row>
    <row r="733" spans="1:2" x14ac:dyDescent="0.35">
      <c r="A733" t="s">
        <v>1149</v>
      </c>
      <c r="B733">
        <v>1</v>
      </c>
    </row>
    <row r="734" spans="1:2" x14ac:dyDescent="0.35">
      <c r="A734" t="s">
        <v>1150</v>
      </c>
      <c r="B734">
        <v>1</v>
      </c>
    </row>
    <row r="735" spans="1:2" x14ac:dyDescent="0.35">
      <c r="A735" t="s">
        <v>1151</v>
      </c>
      <c r="B735">
        <v>1</v>
      </c>
    </row>
    <row r="736" spans="1:2" x14ac:dyDescent="0.35">
      <c r="A736" t="s">
        <v>1152</v>
      </c>
      <c r="B736">
        <v>1</v>
      </c>
    </row>
    <row r="737" spans="1:2" x14ac:dyDescent="0.35">
      <c r="A737" t="s">
        <v>1153</v>
      </c>
      <c r="B737">
        <v>1</v>
      </c>
    </row>
    <row r="738" spans="1:2" x14ac:dyDescent="0.35">
      <c r="A738" t="s">
        <v>1154</v>
      </c>
      <c r="B738">
        <v>1</v>
      </c>
    </row>
    <row r="739" spans="1:2" x14ac:dyDescent="0.35">
      <c r="A739" t="s">
        <v>1155</v>
      </c>
      <c r="B739">
        <v>1</v>
      </c>
    </row>
    <row r="740" spans="1:2" x14ac:dyDescent="0.35">
      <c r="A740" t="s">
        <v>1156</v>
      </c>
      <c r="B740">
        <v>1</v>
      </c>
    </row>
    <row r="741" spans="1:2" x14ac:dyDescent="0.35">
      <c r="A741" t="s">
        <v>1157</v>
      </c>
      <c r="B741">
        <v>0</v>
      </c>
    </row>
    <row r="742" spans="1:2" x14ac:dyDescent="0.35">
      <c r="A742" t="s">
        <v>1158</v>
      </c>
      <c r="B742">
        <v>0</v>
      </c>
    </row>
    <row r="743" spans="1:2" x14ac:dyDescent="0.35">
      <c r="A743" t="s">
        <v>1159</v>
      </c>
      <c r="B743">
        <v>0</v>
      </c>
    </row>
    <row r="744" spans="1:2" x14ac:dyDescent="0.35">
      <c r="A744" t="s">
        <v>1160</v>
      </c>
      <c r="B744">
        <v>0</v>
      </c>
    </row>
    <row r="745" spans="1:2" x14ac:dyDescent="0.35">
      <c r="A745" t="s">
        <v>1161</v>
      </c>
      <c r="B745">
        <v>0</v>
      </c>
    </row>
    <row r="746" spans="1:2" x14ac:dyDescent="0.35">
      <c r="A746" t="s">
        <v>1162</v>
      </c>
      <c r="B746">
        <v>0</v>
      </c>
    </row>
    <row r="747" spans="1:2" x14ac:dyDescent="0.35">
      <c r="A747" t="s">
        <v>1163</v>
      </c>
      <c r="B747">
        <v>0</v>
      </c>
    </row>
    <row r="748" spans="1:2" x14ac:dyDescent="0.35">
      <c r="A748" t="s">
        <v>1164</v>
      </c>
      <c r="B748">
        <v>0</v>
      </c>
    </row>
    <row r="749" spans="1:2" x14ac:dyDescent="0.35">
      <c r="A749" t="s">
        <v>1165</v>
      </c>
      <c r="B749">
        <v>0</v>
      </c>
    </row>
    <row r="750" spans="1:2" x14ac:dyDescent="0.35">
      <c r="A750" t="s">
        <v>1166</v>
      </c>
    </row>
    <row r="751" spans="1:2" x14ac:dyDescent="0.35">
      <c r="A751" t="s">
        <v>1167</v>
      </c>
    </row>
    <row r="752" spans="1:2" x14ac:dyDescent="0.35">
      <c r="A752" t="s">
        <v>1168</v>
      </c>
      <c r="B752">
        <v>5000</v>
      </c>
    </row>
    <row r="753" spans="1:2" x14ac:dyDescent="0.35">
      <c r="A753" t="s">
        <v>1169</v>
      </c>
      <c r="B753">
        <v>5000</v>
      </c>
    </row>
    <row r="754" spans="1:2" x14ac:dyDescent="0.35">
      <c r="A754" t="s">
        <v>1170</v>
      </c>
      <c r="B754">
        <v>5000</v>
      </c>
    </row>
    <row r="755" spans="1:2" x14ac:dyDescent="0.35">
      <c r="A755" t="s">
        <v>1171</v>
      </c>
      <c r="B755">
        <v>0</v>
      </c>
    </row>
    <row r="756" spans="1:2" x14ac:dyDescent="0.35">
      <c r="A756" t="s">
        <v>1172</v>
      </c>
      <c r="B756">
        <v>0</v>
      </c>
    </row>
    <row r="757" spans="1:2" x14ac:dyDescent="0.35">
      <c r="A757" t="s">
        <v>1173</v>
      </c>
      <c r="B757">
        <v>0</v>
      </c>
    </row>
    <row r="758" spans="1:2" x14ac:dyDescent="0.35">
      <c r="A758" t="s">
        <v>1174</v>
      </c>
      <c r="B758">
        <v>0</v>
      </c>
    </row>
    <row r="759" spans="1:2" x14ac:dyDescent="0.35">
      <c r="A759" t="s">
        <v>1175</v>
      </c>
      <c r="B759">
        <v>0</v>
      </c>
    </row>
    <row r="760" spans="1:2" x14ac:dyDescent="0.35">
      <c r="A760" t="s">
        <v>1176</v>
      </c>
      <c r="B760">
        <v>0</v>
      </c>
    </row>
    <row r="761" spans="1:2" x14ac:dyDescent="0.35">
      <c r="A761" t="s">
        <v>1177</v>
      </c>
      <c r="B761">
        <v>0</v>
      </c>
    </row>
    <row r="762" spans="1:2" x14ac:dyDescent="0.35">
      <c r="A762" t="s">
        <v>1178</v>
      </c>
      <c r="B762">
        <v>0</v>
      </c>
    </row>
    <row r="763" spans="1:2" x14ac:dyDescent="0.35">
      <c r="A763" t="s">
        <v>1179</v>
      </c>
      <c r="B763">
        <v>0</v>
      </c>
    </row>
    <row r="764" spans="1:2" x14ac:dyDescent="0.35">
      <c r="A764" t="s">
        <v>1180</v>
      </c>
      <c r="B764">
        <v>1</v>
      </c>
    </row>
    <row r="765" spans="1:2" x14ac:dyDescent="0.35">
      <c r="A765" t="s">
        <v>1181</v>
      </c>
      <c r="B765">
        <v>1</v>
      </c>
    </row>
    <row r="766" spans="1:2" x14ac:dyDescent="0.35">
      <c r="A766" t="s">
        <v>1182</v>
      </c>
      <c r="B766">
        <v>1</v>
      </c>
    </row>
    <row r="767" spans="1:2" x14ac:dyDescent="0.35">
      <c r="A767" t="s">
        <v>1183</v>
      </c>
      <c r="B767">
        <v>1</v>
      </c>
    </row>
    <row r="768" spans="1:2" x14ac:dyDescent="0.35">
      <c r="A768" t="s">
        <v>1184</v>
      </c>
      <c r="B768">
        <v>1</v>
      </c>
    </row>
    <row r="769" spans="1:2" x14ac:dyDescent="0.35">
      <c r="A769" t="s">
        <v>1185</v>
      </c>
      <c r="B769">
        <v>1</v>
      </c>
    </row>
    <row r="770" spans="1:2" x14ac:dyDescent="0.35">
      <c r="A770" t="s">
        <v>1186</v>
      </c>
      <c r="B770">
        <v>1</v>
      </c>
    </row>
    <row r="771" spans="1:2" x14ac:dyDescent="0.35">
      <c r="A771" t="s">
        <v>1187</v>
      </c>
      <c r="B771">
        <v>1</v>
      </c>
    </row>
    <row r="772" spans="1:2" x14ac:dyDescent="0.35">
      <c r="A772" t="s">
        <v>1188</v>
      </c>
      <c r="B772">
        <v>1</v>
      </c>
    </row>
    <row r="773" spans="1:2" x14ac:dyDescent="0.35">
      <c r="A773" t="s">
        <v>1189</v>
      </c>
    </row>
    <row r="774" spans="1:2" x14ac:dyDescent="0.35">
      <c r="A774" t="s">
        <v>1997</v>
      </c>
      <c r="B774">
        <v>1</v>
      </c>
    </row>
    <row r="775" spans="1:2" x14ac:dyDescent="0.35">
      <c r="A775" t="s">
        <v>1998</v>
      </c>
      <c r="B775">
        <v>1</v>
      </c>
    </row>
    <row r="776" spans="1:2" x14ac:dyDescent="0.35">
      <c r="A776" t="s">
        <v>1999</v>
      </c>
      <c r="B776">
        <v>1</v>
      </c>
    </row>
    <row r="777" spans="1:2" x14ac:dyDescent="0.35">
      <c r="A777" t="s">
        <v>2000</v>
      </c>
      <c r="B777">
        <v>1</v>
      </c>
    </row>
    <row r="778" spans="1:2" x14ac:dyDescent="0.35">
      <c r="A778" t="s">
        <v>2001</v>
      </c>
      <c r="B778">
        <v>1</v>
      </c>
    </row>
    <row r="779" spans="1:2" x14ac:dyDescent="0.35">
      <c r="A779" t="s">
        <v>2002</v>
      </c>
      <c r="B779">
        <v>1</v>
      </c>
    </row>
    <row r="780" spans="1:2" x14ac:dyDescent="0.35">
      <c r="A780" t="s">
        <v>2003</v>
      </c>
      <c r="B780">
        <v>1</v>
      </c>
    </row>
    <row r="781" spans="1:2" x14ac:dyDescent="0.35">
      <c r="A781" t="s">
        <v>2004</v>
      </c>
      <c r="B781">
        <v>1</v>
      </c>
    </row>
    <row r="782" spans="1:2" x14ac:dyDescent="0.35">
      <c r="A782" t="s">
        <v>2005</v>
      </c>
      <c r="B782">
        <v>1</v>
      </c>
    </row>
    <row r="783" spans="1:2" x14ac:dyDescent="0.35">
      <c r="A783" t="s">
        <v>1190</v>
      </c>
      <c r="B783">
        <v>5000</v>
      </c>
    </row>
    <row r="784" spans="1:2" x14ac:dyDescent="0.35">
      <c r="A784" t="s">
        <v>1191</v>
      </c>
      <c r="B784">
        <v>5000</v>
      </c>
    </row>
    <row r="785" spans="1:2" x14ac:dyDescent="0.35">
      <c r="A785" t="s">
        <v>1192</v>
      </c>
      <c r="B785">
        <v>5000</v>
      </c>
    </row>
    <row r="786" spans="1:2" x14ac:dyDescent="0.35">
      <c r="A786" t="s">
        <v>1193</v>
      </c>
      <c r="B786">
        <v>0</v>
      </c>
    </row>
    <row r="787" spans="1:2" x14ac:dyDescent="0.35">
      <c r="A787" t="s">
        <v>1194</v>
      </c>
      <c r="B787">
        <v>0</v>
      </c>
    </row>
    <row r="788" spans="1:2" x14ac:dyDescent="0.35">
      <c r="A788" t="s">
        <v>1195</v>
      </c>
      <c r="B788">
        <v>0</v>
      </c>
    </row>
    <row r="789" spans="1:2" x14ac:dyDescent="0.35">
      <c r="A789" t="s">
        <v>1196</v>
      </c>
      <c r="B789">
        <v>0</v>
      </c>
    </row>
    <row r="790" spans="1:2" x14ac:dyDescent="0.35">
      <c r="A790" t="s">
        <v>1197</v>
      </c>
      <c r="B790">
        <v>0</v>
      </c>
    </row>
    <row r="791" spans="1:2" x14ac:dyDescent="0.35">
      <c r="A791" t="s">
        <v>1198</v>
      </c>
      <c r="B791">
        <v>0</v>
      </c>
    </row>
    <row r="792" spans="1:2" x14ac:dyDescent="0.35">
      <c r="A792" t="s">
        <v>1199</v>
      </c>
      <c r="B792">
        <v>0</v>
      </c>
    </row>
    <row r="793" spans="1:2" x14ac:dyDescent="0.35">
      <c r="A793" t="s">
        <v>1200</v>
      </c>
      <c r="B793">
        <v>0</v>
      </c>
    </row>
    <row r="794" spans="1:2" x14ac:dyDescent="0.35">
      <c r="A794" t="s">
        <v>1201</v>
      </c>
      <c r="B794">
        <v>0</v>
      </c>
    </row>
    <row r="795" spans="1:2" x14ac:dyDescent="0.35">
      <c r="A795" t="s">
        <v>1202</v>
      </c>
      <c r="B795">
        <v>0</v>
      </c>
    </row>
    <row r="796" spans="1:2" x14ac:dyDescent="0.35">
      <c r="A796" t="s">
        <v>1203</v>
      </c>
      <c r="B796">
        <v>0</v>
      </c>
    </row>
    <row r="797" spans="1:2" x14ac:dyDescent="0.35">
      <c r="A797" t="s">
        <v>1204</v>
      </c>
      <c r="B797">
        <v>0</v>
      </c>
    </row>
    <row r="798" spans="1:2" x14ac:dyDescent="0.35">
      <c r="A798" t="s">
        <v>1205</v>
      </c>
      <c r="B798">
        <v>0</v>
      </c>
    </row>
    <row r="799" spans="1:2" x14ac:dyDescent="0.35">
      <c r="A799" t="s">
        <v>1206</v>
      </c>
      <c r="B799">
        <v>0</v>
      </c>
    </row>
    <row r="800" spans="1:2" x14ac:dyDescent="0.35">
      <c r="A800" t="s">
        <v>1207</v>
      </c>
      <c r="B800">
        <v>0</v>
      </c>
    </row>
    <row r="801" spans="1:2" x14ac:dyDescent="0.35">
      <c r="A801" t="s">
        <v>1208</v>
      </c>
      <c r="B801">
        <v>0</v>
      </c>
    </row>
    <row r="802" spans="1:2" x14ac:dyDescent="0.35">
      <c r="A802" t="s">
        <v>1209</v>
      </c>
      <c r="B802">
        <v>0</v>
      </c>
    </row>
    <row r="803" spans="1:2" x14ac:dyDescent="0.35">
      <c r="A803" t="s">
        <v>1210</v>
      </c>
      <c r="B803">
        <v>0</v>
      </c>
    </row>
    <row r="804" spans="1:2" x14ac:dyDescent="0.35">
      <c r="A804" t="s">
        <v>1677</v>
      </c>
      <c r="B804">
        <v>2</v>
      </c>
    </row>
    <row r="805" spans="1:2" x14ac:dyDescent="0.35">
      <c r="A805" t="s">
        <v>1211</v>
      </c>
      <c r="B805">
        <v>1</v>
      </c>
    </row>
    <row r="806" spans="1:2" x14ac:dyDescent="0.35">
      <c r="A806" t="s">
        <v>1212</v>
      </c>
      <c r="B806">
        <v>1</v>
      </c>
    </row>
    <row r="807" spans="1:2" x14ac:dyDescent="0.35">
      <c r="A807" t="s">
        <v>1213</v>
      </c>
      <c r="B807">
        <v>1</v>
      </c>
    </row>
    <row r="808" spans="1:2" x14ac:dyDescent="0.35">
      <c r="A808" t="s">
        <v>1214</v>
      </c>
      <c r="B808">
        <v>1</v>
      </c>
    </row>
    <row r="809" spans="1:2" x14ac:dyDescent="0.35">
      <c r="A809" t="s">
        <v>1678</v>
      </c>
      <c r="B809">
        <v>1</v>
      </c>
    </row>
    <row r="810" spans="1:2" x14ac:dyDescent="0.35">
      <c r="A810" t="s">
        <v>1679</v>
      </c>
      <c r="B810">
        <v>1</v>
      </c>
    </row>
    <row r="811" spans="1:2" x14ac:dyDescent="0.35">
      <c r="A811" t="s">
        <v>1680</v>
      </c>
      <c r="B811">
        <v>1</v>
      </c>
    </row>
    <row r="812" spans="1:2" x14ac:dyDescent="0.35">
      <c r="A812" t="s">
        <v>1681</v>
      </c>
      <c r="B812">
        <v>1</v>
      </c>
    </row>
    <row r="813" spans="1:2" x14ac:dyDescent="0.35">
      <c r="A813" t="s">
        <v>1215</v>
      </c>
      <c r="B813">
        <v>1</v>
      </c>
    </row>
    <row r="814" spans="1:2" x14ac:dyDescent="0.35">
      <c r="A814" t="s">
        <v>1216</v>
      </c>
      <c r="B814" t="s">
        <v>2639</v>
      </c>
    </row>
    <row r="815" spans="1:2" x14ac:dyDescent="0.35">
      <c r="A815" t="s">
        <v>1217</v>
      </c>
      <c r="B815">
        <v>30</v>
      </c>
    </row>
    <row r="816" spans="1:2" x14ac:dyDescent="0.35">
      <c r="A816" t="s">
        <v>1219</v>
      </c>
      <c r="B816">
        <v>2</v>
      </c>
    </row>
    <row r="817" spans="1:2" x14ac:dyDescent="0.35">
      <c r="A817" t="s">
        <v>1220</v>
      </c>
      <c r="B817">
        <v>0</v>
      </c>
    </row>
    <row r="818" spans="1:2" x14ac:dyDescent="0.35">
      <c r="A818" t="s">
        <v>1221</v>
      </c>
      <c r="B818" t="b">
        <v>0</v>
      </c>
    </row>
    <row r="819" spans="1:2" x14ac:dyDescent="0.35">
      <c r="A819" t="s">
        <v>1222</v>
      </c>
      <c r="B819">
        <v>2</v>
      </c>
    </row>
    <row r="820" spans="1:2" x14ac:dyDescent="0.35">
      <c r="A820" t="s">
        <v>1223</v>
      </c>
      <c r="B820" t="b">
        <v>0</v>
      </c>
    </row>
    <row r="821" spans="1:2" x14ac:dyDescent="0.35">
      <c r="A821" t="s">
        <v>1224</v>
      </c>
      <c r="B821" t="b">
        <v>0</v>
      </c>
    </row>
    <row r="822" spans="1:2" x14ac:dyDescent="0.35">
      <c r="A822" t="s">
        <v>1225</v>
      </c>
      <c r="B822" t="b">
        <v>0</v>
      </c>
    </row>
    <row r="823" spans="1:2" x14ac:dyDescent="0.35">
      <c r="A823" t="s">
        <v>1226</v>
      </c>
      <c r="B823" t="b">
        <v>0</v>
      </c>
    </row>
    <row r="824" spans="1:2" x14ac:dyDescent="0.35">
      <c r="A824" t="s">
        <v>1227</v>
      </c>
      <c r="B824">
        <v>0</v>
      </c>
    </row>
    <row r="825" spans="1:2" x14ac:dyDescent="0.35">
      <c r="A825" t="s">
        <v>1228</v>
      </c>
      <c r="B825">
        <v>0</v>
      </c>
    </row>
    <row r="826" spans="1:2" x14ac:dyDescent="0.35">
      <c r="A826" t="s">
        <v>1229</v>
      </c>
      <c r="B826">
        <v>0</v>
      </c>
    </row>
    <row r="827" spans="1:2" x14ac:dyDescent="0.35">
      <c r="A827" t="s">
        <v>1230</v>
      </c>
      <c r="B827">
        <v>0</v>
      </c>
    </row>
    <row r="828" spans="1:2" x14ac:dyDescent="0.35">
      <c r="A828" t="s">
        <v>1231</v>
      </c>
      <c r="B828">
        <v>0</v>
      </c>
    </row>
    <row r="829" spans="1:2" x14ac:dyDescent="0.35">
      <c r="A829" t="s">
        <v>1232</v>
      </c>
      <c r="B829">
        <v>0</v>
      </c>
    </row>
    <row r="830" spans="1:2" x14ac:dyDescent="0.35">
      <c r="A830" t="s">
        <v>1454</v>
      </c>
      <c r="B830" t="s">
        <v>2643</v>
      </c>
    </row>
    <row r="831" spans="1:2" x14ac:dyDescent="0.35">
      <c r="A831" t="s">
        <v>1455</v>
      </c>
      <c r="B831" t="s">
        <v>2644</v>
      </c>
    </row>
    <row r="832" spans="1:2" x14ac:dyDescent="0.35">
      <c r="A832" t="s">
        <v>1456</v>
      </c>
      <c r="B832" t="s">
        <v>2427</v>
      </c>
    </row>
    <row r="833" spans="1:1" x14ac:dyDescent="0.35">
      <c r="A833" t="s">
        <v>1457</v>
      </c>
    </row>
    <row r="834" spans="1:1" x14ac:dyDescent="0.35">
      <c r="A834" t="s">
        <v>1458</v>
      </c>
    </row>
    <row r="835" spans="1:1" x14ac:dyDescent="0.35">
      <c r="A835" t="s">
        <v>1459</v>
      </c>
    </row>
    <row r="836" spans="1:1" x14ac:dyDescent="0.35">
      <c r="A836" t="s">
        <v>1460</v>
      </c>
    </row>
    <row r="837" spans="1:1" x14ac:dyDescent="0.35">
      <c r="A837" t="s">
        <v>1461</v>
      </c>
    </row>
    <row r="838" spans="1:1" x14ac:dyDescent="0.35">
      <c r="A838" t="s">
        <v>1462</v>
      </c>
    </row>
    <row r="839" spans="1:1" x14ac:dyDescent="0.35">
      <c r="A839" t="s">
        <v>1463</v>
      </c>
    </row>
    <row r="840" spans="1:1" x14ac:dyDescent="0.35">
      <c r="A840" t="s">
        <v>1464</v>
      </c>
    </row>
    <row r="841" spans="1:1" x14ac:dyDescent="0.35">
      <c r="A841" t="s">
        <v>1465</v>
      </c>
    </row>
    <row r="842" spans="1:1" x14ac:dyDescent="0.35">
      <c r="A842" t="s">
        <v>1466</v>
      </c>
    </row>
    <row r="843" spans="1:1" x14ac:dyDescent="0.35">
      <c r="A843" t="s">
        <v>1467</v>
      </c>
    </row>
    <row r="844" spans="1:1" x14ac:dyDescent="0.35">
      <c r="A844" t="s">
        <v>1468</v>
      </c>
    </row>
    <row r="845" spans="1:1" x14ac:dyDescent="0.35">
      <c r="A845" t="s">
        <v>1469</v>
      </c>
    </row>
    <row r="846" spans="1:1" x14ac:dyDescent="0.35">
      <c r="A846" t="s">
        <v>1470</v>
      </c>
    </row>
    <row r="847" spans="1:1" x14ac:dyDescent="0.35">
      <c r="A847" t="s">
        <v>1471</v>
      </c>
    </row>
    <row r="848" spans="1:1" x14ac:dyDescent="0.35">
      <c r="A848" t="s">
        <v>1472</v>
      </c>
    </row>
    <row r="849" spans="1:1" x14ac:dyDescent="0.35">
      <c r="A849" t="s">
        <v>1473</v>
      </c>
    </row>
    <row r="850" spans="1:1" x14ac:dyDescent="0.35">
      <c r="A850" t="s">
        <v>2516</v>
      </c>
    </row>
    <row r="851" spans="1:1" x14ac:dyDescent="0.35">
      <c r="A851" t="s">
        <v>2517</v>
      </c>
    </row>
    <row r="852" spans="1:1" x14ac:dyDescent="0.35">
      <c r="A852" t="s">
        <v>2518</v>
      </c>
    </row>
    <row r="853" spans="1:1" x14ac:dyDescent="0.35">
      <c r="A853" t="s">
        <v>2519</v>
      </c>
    </row>
    <row r="854" spans="1:1" x14ac:dyDescent="0.35">
      <c r="A854" t="s">
        <v>2520</v>
      </c>
    </row>
    <row r="855" spans="1:1" x14ac:dyDescent="0.35">
      <c r="A855" t="s">
        <v>2521</v>
      </c>
    </row>
    <row r="856" spans="1:1" x14ac:dyDescent="0.35">
      <c r="A856" t="s">
        <v>2522</v>
      </c>
    </row>
    <row r="857" spans="1:1" x14ac:dyDescent="0.35">
      <c r="A857" t="s">
        <v>2523</v>
      </c>
    </row>
    <row r="858" spans="1:1" x14ac:dyDescent="0.35">
      <c r="A858" t="s">
        <v>2524</v>
      </c>
    </row>
    <row r="859" spans="1:1" x14ac:dyDescent="0.35">
      <c r="A859" t="s">
        <v>2525</v>
      </c>
    </row>
    <row r="860" spans="1:1" x14ac:dyDescent="0.35">
      <c r="A860" t="s">
        <v>1778</v>
      </c>
    </row>
    <row r="861" spans="1:1" x14ac:dyDescent="0.35">
      <c r="A861" t="s">
        <v>1779</v>
      </c>
    </row>
    <row r="862" spans="1:1" x14ac:dyDescent="0.35">
      <c r="A862" t="s">
        <v>1780</v>
      </c>
    </row>
    <row r="863" spans="1:1" x14ac:dyDescent="0.35">
      <c r="A863" t="s">
        <v>1781</v>
      </c>
    </row>
    <row r="864" spans="1:1" x14ac:dyDescent="0.35">
      <c r="A864" t="s">
        <v>1782</v>
      </c>
    </row>
    <row r="865" spans="1:1" x14ac:dyDescent="0.35">
      <c r="A865" t="s">
        <v>1783</v>
      </c>
    </row>
    <row r="866" spans="1:1" x14ac:dyDescent="0.35">
      <c r="A866" t="s">
        <v>1784</v>
      </c>
    </row>
    <row r="867" spans="1:1" x14ac:dyDescent="0.35">
      <c r="A867" t="s">
        <v>1785</v>
      </c>
    </row>
    <row r="868" spans="1:1" x14ac:dyDescent="0.35">
      <c r="A868" t="s">
        <v>1786</v>
      </c>
    </row>
    <row r="869" spans="1:1" x14ac:dyDescent="0.35">
      <c r="A869" t="s">
        <v>1787</v>
      </c>
    </row>
    <row r="870" spans="1:1" x14ac:dyDescent="0.35">
      <c r="A870" t="s">
        <v>1788</v>
      </c>
    </row>
    <row r="871" spans="1:1" x14ac:dyDescent="0.35">
      <c r="A871" t="s">
        <v>1789</v>
      </c>
    </row>
    <row r="872" spans="1:1" x14ac:dyDescent="0.35">
      <c r="A872" t="s">
        <v>1790</v>
      </c>
    </row>
    <row r="873" spans="1:1" x14ac:dyDescent="0.35">
      <c r="A873" t="s">
        <v>1791</v>
      </c>
    </row>
    <row r="874" spans="1:1" x14ac:dyDescent="0.35">
      <c r="A874" t="s">
        <v>1792</v>
      </c>
    </row>
    <row r="875" spans="1:1" x14ac:dyDescent="0.35">
      <c r="A875" t="s">
        <v>1793</v>
      </c>
    </row>
    <row r="876" spans="1:1" x14ac:dyDescent="0.35">
      <c r="A876" t="s">
        <v>1794</v>
      </c>
    </row>
    <row r="877" spans="1:1" x14ac:dyDescent="0.35">
      <c r="A877" t="s">
        <v>1795</v>
      </c>
    </row>
    <row r="878" spans="1:1" x14ac:dyDescent="0.35">
      <c r="A878" t="s">
        <v>1796</v>
      </c>
    </row>
    <row r="879" spans="1:1" x14ac:dyDescent="0.35">
      <c r="A879" t="s">
        <v>1797</v>
      </c>
    </row>
    <row r="880" spans="1:1" x14ac:dyDescent="0.35">
      <c r="A880" t="s">
        <v>1798</v>
      </c>
    </row>
    <row r="881" spans="1:1" x14ac:dyDescent="0.35">
      <c r="A881" t="s">
        <v>1799</v>
      </c>
    </row>
    <row r="882" spans="1:1" x14ac:dyDescent="0.35">
      <c r="A882" t="s">
        <v>1800</v>
      </c>
    </row>
    <row r="883" spans="1:1" x14ac:dyDescent="0.35">
      <c r="A883" t="s">
        <v>1801</v>
      </c>
    </row>
    <row r="884" spans="1:1" x14ac:dyDescent="0.35">
      <c r="A884" t="s">
        <v>1802</v>
      </c>
    </row>
    <row r="885" spans="1:1" x14ac:dyDescent="0.35">
      <c r="A885" t="s">
        <v>1803</v>
      </c>
    </row>
    <row r="886" spans="1:1" x14ac:dyDescent="0.35">
      <c r="A886" t="s">
        <v>1804</v>
      </c>
    </row>
    <row r="887" spans="1:1" x14ac:dyDescent="0.35">
      <c r="A887" t="s">
        <v>1805</v>
      </c>
    </row>
    <row r="888" spans="1:1" x14ac:dyDescent="0.35">
      <c r="A888" t="s">
        <v>1806</v>
      </c>
    </row>
    <row r="889" spans="1:1" x14ac:dyDescent="0.35">
      <c r="A889" t="s">
        <v>1807</v>
      </c>
    </row>
    <row r="890" spans="1:1" x14ac:dyDescent="0.35">
      <c r="A890" t="s">
        <v>1808</v>
      </c>
    </row>
    <row r="891" spans="1:1" x14ac:dyDescent="0.35">
      <c r="A891" t="s">
        <v>1809</v>
      </c>
    </row>
    <row r="892" spans="1:1" x14ac:dyDescent="0.35">
      <c r="A892" t="s">
        <v>1810</v>
      </c>
    </row>
    <row r="893" spans="1:1" x14ac:dyDescent="0.35">
      <c r="A893" t="s">
        <v>1811</v>
      </c>
    </row>
    <row r="894" spans="1:1" x14ac:dyDescent="0.35">
      <c r="A894" t="s">
        <v>1812</v>
      </c>
    </row>
    <row r="895" spans="1:1" x14ac:dyDescent="0.35">
      <c r="A895" t="s">
        <v>1813</v>
      </c>
    </row>
    <row r="896" spans="1:1" x14ac:dyDescent="0.35">
      <c r="A896" t="s">
        <v>1814</v>
      </c>
    </row>
    <row r="897" spans="1:1" x14ac:dyDescent="0.35">
      <c r="A897" t="s">
        <v>1815</v>
      </c>
    </row>
    <row r="898" spans="1:1" x14ac:dyDescent="0.35">
      <c r="A898" t="s">
        <v>1816</v>
      </c>
    </row>
    <row r="899" spans="1:1" x14ac:dyDescent="0.35">
      <c r="A899" t="s">
        <v>1817</v>
      </c>
    </row>
    <row r="900" spans="1:1" x14ac:dyDescent="0.35">
      <c r="A900" t="s">
        <v>1818</v>
      </c>
    </row>
    <row r="901" spans="1:1" x14ac:dyDescent="0.35">
      <c r="A901" t="s">
        <v>1819</v>
      </c>
    </row>
    <row r="902" spans="1:1" x14ac:dyDescent="0.35">
      <c r="A902" t="s">
        <v>1820</v>
      </c>
    </row>
    <row r="903" spans="1:1" x14ac:dyDescent="0.35">
      <c r="A903" t="s">
        <v>1821</v>
      </c>
    </row>
    <row r="904" spans="1:1" x14ac:dyDescent="0.35">
      <c r="A904" t="s">
        <v>1822</v>
      </c>
    </row>
    <row r="905" spans="1:1" x14ac:dyDescent="0.35">
      <c r="A905" t="s">
        <v>1823</v>
      </c>
    </row>
    <row r="906" spans="1:1" x14ac:dyDescent="0.35">
      <c r="A906" t="s">
        <v>1824</v>
      </c>
    </row>
    <row r="907" spans="1:1" x14ac:dyDescent="0.35">
      <c r="A907" t="s">
        <v>1825</v>
      </c>
    </row>
    <row r="908" spans="1:1" x14ac:dyDescent="0.35">
      <c r="A908" t="s">
        <v>1826</v>
      </c>
    </row>
    <row r="909" spans="1:1" x14ac:dyDescent="0.35">
      <c r="A909" t="s">
        <v>1827</v>
      </c>
    </row>
    <row r="910" spans="1:1" x14ac:dyDescent="0.35">
      <c r="A910" t="s">
        <v>1828</v>
      </c>
    </row>
    <row r="911" spans="1:1" x14ac:dyDescent="0.35">
      <c r="A911" t="s">
        <v>1829</v>
      </c>
    </row>
    <row r="912" spans="1:1" x14ac:dyDescent="0.35">
      <c r="A912" t="s">
        <v>1830</v>
      </c>
    </row>
    <row r="913" spans="1:1" x14ac:dyDescent="0.35">
      <c r="A913" t="s">
        <v>1831</v>
      </c>
    </row>
    <row r="914" spans="1:1" x14ac:dyDescent="0.35">
      <c r="A914" t="s">
        <v>1832</v>
      </c>
    </row>
    <row r="915" spans="1:1" x14ac:dyDescent="0.35">
      <c r="A915" t="s">
        <v>1833</v>
      </c>
    </row>
    <row r="916" spans="1:1" x14ac:dyDescent="0.35">
      <c r="A916" t="s">
        <v>1834</v>
      </c>
    </row>
    <row r="917" spans="1:1" x14ac:dyDescent="0.35">
      <c r="A917" t="s">
        <v>1835</v>
      </c>
    </row>
    <row r="918" spans="1:1" x14ac:dyDescent="0.35">
      <c r="A918" t="s">
        <v>1836</v>
      </c>
    </row>
    <row r="919" spans="1:1" x14ac:dyDescent="0.35">
      <c r="A919" t="s">
        <v>1837</v>
      </c>
    </row>
    <row r="920" spans="1:1" x14ac:dyDescent="0.35">
      <c r="A920" t="s">
        <v>1838</v>
      </c>
    </row>
    <row r="921" spans="1:1" x14ac:dyDescent="0.35">
      <c r="A921" t="s">
        <v>1839</v>
      </c>
    </row>
    <row r="922" spans="1:1" x14ac:dyDescent="0.35">
      <c r="A922" t="s">
        <v>1840</v>
      </c>
    </row>
    <row r="923" spans="1:1" x14ac:dyDescent="0.35">
      <c r="A923" t="s">
        <v>1841</v>
      </c>
    </row>
    <row r="924" spans="1:1" x14ac:dyDescent="0.35">
      <c r="A924" t="s">
        <v>1842</v>
      </c>
    </row>
    <row r="925" spans="1:1" x14ac:dyDescent="0.35">
      <c r="A925" t="s">
        <v>1843</v>
      </c>
    </row>
    <row r="926" spans="1:1" x14ac:dyDescent="0.35">
      <c r="A926" t="s">
        <v>1844</v>
      </c>
    </row>
    <row r="927" spans="1:1" x14ac:dyDescent="0.35">
      <c r="A927" t="s">
        <v>1845</v>
      </c>
    </row>
    <row r="928" spans="1:1" x14ac:dyDescent="0.35">
      <c r="A928" t="s">
        <v>1846</v>
      </c>
    </row>
    <row r="929" spans="1:1" x14ac:dyDescent="0.35">
      <c r="A929" t="s">
        <v>1847</v>
      </c>
    </row>
    <row r="930" spans="1:1" x14ac:dyDescent="0.35">
      <c r="A930" t="s">
        <v>1848</v>
      </c>
    </row>
    <row r="931" spans="1:1" x14ac:dyDescent="0.35">
      <c r="A931" t="s">
        <v>1849</v>
      </c>
    </row>
    <row r="932" spans="1:1" x14ac:dyDescent="0.35">
      <c r="A932" t="s">
        <v>1850</v>
      </c>
    </row>
    <row r="933" spans="1:1" x14ac:dyDescent="0.35">
      <c r="A933" t="s">
        <v>1851</v>
      </c>
    </row>
    <row r="934" spans="1:1" x14ac:dyDescent="0.35">
      <c r="A934" t="s">
        <v>1852</v>
      </c>
    </row>
    <row r="935" spans="1:1" x14ac:dyDescent="0.35">
      <c r="A935" t="s">
        <v>1853</v>
      </c>
    </row>
    <row r="936" spans="1:1" x14ac:dyDescent="0.35">
      <c r="A936" t="s">
        <v>1854</v>
      </c>
    </row>
    <row r="937" spans="1:1" x14ac:dyDescent="0.35">
      <c r="A937" t="s">
        <v>1855</v>
      </c>
    </row>
    <row r="938" spans="1:1" x14ac:dyDescent="0.35">
      <c r="A938" t="s">
        <v>1856</v>
      </c>
    </row>
    <row r="939" spans="1:1" x14ac:dyDescent="0.35">
      <c r="A939" t="s">
        <v>1857</v>
      </c>
    </row>
    <row r="940" spans="1:1" x14ac:dyDescent="0.35">
      <c r="A940" t="s">
        <v>1858</v>
      </c>
    </row>
    <row r="941" spans="1:1" x14ac:dyDescent="0.35">
      <c r="A941" t="s">
        <v>1859</v>
      </c>
    </row>
    <row r="942" spans="1:1" x14ac:dyDescent="0.35">
      <c r="A942" t="s">
        <v>1860</v>
      </c>
    </row>
    <row r="943" spans="1:1" x14ac:dyDescent="0.35">
      <c r="A943" t="s">
        <v>2413</v>
      </c>
    </row>
    <row r="944" spans="1:1" x14ac:dyDescent="0.35">
      <c r="A944" t="s">
        <v>1861</v>
      </c>
    </row>
    <row r="945" spans="1:1" x14ac:dyDescent="0.35">
      <c r="A945" t="s">
        <v>1862</v>
      </c>
    </row>
    <row r="946" spans="1:1" x14ac:dyDescent="0.35">
      <c r="A946" t="s">
        <v>2265</v>
      </c>
    </row>
    <row r="947" spans="1:1" x14ac:dyDescent="0.35">
      <c r="A947" t="s">
        <v>2266</v>
      </c>
    </row>
    <row r="948" spans="1:1" x14ac:dyDescent="0.35">
      <c r="A948" t="s">
        <v>1863</v>
      </c>
    </row>
    <row r="949" spans="1:1" x14ac:dyDescent="0.35">
      <c r="A949" t="s">
        <v>1864</v>
      </c>
    </row>
    <row r="950" spans="1:1" x14ac:dyDescent="0.35">
      <c r="A950" t="s">
        <v>1865</v>
      </c>
    </row>
    <row r="951" spans="1:1" x14ac:dyDescent="0.35">
      <c r="A951" t="s">
        <v>1866</v>
      </c>
    </row>
    <row r="952" spans="1:1" x14ac:dyDescent="0.35">
      <c r="A952" t="s">
        <v>2267</v>
      </c>
    </row>
    <row r="953" spans="1:1" x14ac:dyDescent="0.35">
      <c r="A953" t="s">
        <v>2268</v>
      </c>
    </row>
    <row r="954" spans="1:1" x14ac:dyDescent="0.35">
      <c r="A954" t="s">
        <v>1867</v>
      </c>
    </row>
    <row r="955" spans="1:1" x14ac:dyDescent="0.35">
      <c r="A955" t="s">
        <v>1868</v>
      </c>
    </row>
    <row r="956" spans="1:1" x14ac:dyDescent="0.35">
      <c r="A956" t="s">
        <v>1869</v>
      </c>
    </row>
    <row r="957" spans="1:1" x14ac:dyDescent="0.35">
      <c r="A957" t="s">
        <v>1870</v>
      </c>
    </row>
    <row r="958" spans="1:1" x14ac:dyDescent="0.35">
      <c r="A958" t="s">
        <v>1871</v>
      </c>
    </row>
    <row r="959" spans="1:1" x14ac:dyDescent="0.35">
      <c r="A959" t="s">
        <v>1872</v>
      </c>
    </row>
    <row r="960" spans="1:1" x14ac:dyDescent="0.35">
      <c r="A960" t="s">
        <v>1873</v>
      </c>
    </row>
    <row r="961" spans="1:1" x14ac:dyDescent="0.35">
      <c r="A961" t="s">
        <v>1874</v>
      </c>
    </row>
    <row r="962" spans="1:1" x14ac:dyDescent="0.35">
      <c r="A962" t="s">
        <v>1875</v>
      </c>
    </row>
    <row r="963" spans="1:1" x14ac:dyDescent="0.35">
      <c r="A963" t="s">
        <v>1876</v>
      </c>
    </row>
    <row r="964" spans="1:1" x14ac:dyDescent="0.35">
      <c r="A964" t="s">
        <v>1877</v>
      </c>
    </row>
    <row r="965" spans="1:1" x14ac:dyDescent="0.35">
      <c r="A965" t="s">
        <v>1878</v>
      </c>
    </row>
    <row r="966" spans="1:1" x14ac:dyDescent="0.35">
      <c r="A966" t="s">
        <v>1879</v>
      </c>
    </row>
    <row r="967" spans="1:1" x14ac:dyDescent="0.35">
      <c r="A967" t="s">
        <v>1880</v>
      </c>
    </row>
    <row r="968" spans="1:1" x14ac:dyDescent="0.35">
      <c r="A968" t="s">
        <v>1881</v>
      </c>
    </row>
    <row r="969" spans="1:1" x14ac:dyDescent="0.35">
      <c r="A969" t="s">
        <v>1882</v>
      </c>
    </row>
    <row r="970" spans="1:1" x14ac:dyDescent="0.35">
      <c r="A970" t="s">
        <v>1883</v>
      </c>
    </row>
    <row r="971" spans="1:1" x14ac:dyDescent="0.35">
      <c r="A971" t="s">
        <v>1884</v>
      </c>
    </row>
    <row r="972" spans="1:1" x14ac:dyDescent="0.35">
      <c r="A972" t="s">
        <v>1885</v>
      </c>
    </row>
    <row r="973" spans="1:1" x14ac:dyDescent="0.35">
      <c r="A973" t="s">
        <v>1886</v>
      </c>
    </row>
    <row r="974" spans="1:1" x14ac:dyDescent="0.35">
      <c r="A974" t="s">
        <v>1887</v>
      </c>
    </row>
    <row r="975" spans="1:1" x14ac:dyDescent="0.35">
      <c r="A975" t="s">
        <v>1888</v>
      </c>
    </row>
    <row r="976" spans="1:1" x14ac:dyDescent="0.35">
      <c r="A976" t="s">
        <v>1889</v>
      </c>
    </row>
    <row r="977" spans="1:1" x14ac:dyDescent="0.35">
      <c r="A977" t="s">
        <v>1890</v>
      </c>
    </row>
    <row r="978" spans="1:1" x14ac:dyDescent="0.35">
      <c r="A978" t="s">
        <v>1891</v>
      </c>
    </row>
    <row r="979" spans="1:1" x14ac:dyDescent="0.35">
      <c r="A979" t="s">
        <v>1892</v>
      </c>
    </row>
    <row r="980" spans="1:1" x14ac:dyDescent="0.35">
      <c r="A980" t="s">
        <v>1893</v>
      </c>
    </row>
    <row r="981" spans="1:1" x14ac:dyDescent="0.35">
      <c r="A981" t="s">
        <v>1894</v>
      </c>
    </row>
    <row r="982" spans="1:1" x14ac:dyDescent="0.35">
      <c r="A982" t="s">
        <v>1895</v>
      </c>
    </row>
    <row r="983" spans="1:1" x14ac:dyDescent="0.35">
      <c r="A983" t="s">
        <v>1896</v>
      </c>
    </row>
    <row r="984" spans="1:1" x14ac:dyDescent="0.35">
      <c r="A984" t="s">
        <v>1897</v>
      </c>
    </row>
    <row r="985" spans="1:1" x14ac:dyDescent="0.35">
      <c r="A985" t="s">
        <v>1898</v>
      </c>
    </row>
    <row r="986" spans="1:1" x14ac:dyDescent="0.35">
      <c r="A986" t="s">
        <v>1899</v>
      </c>
    </row>
    <row r="987" spans="1:1" x14ac:dyDescent="0.35">
      <c r="A987" t="s">
        <v>1900</v>
      </c>
    </row>
    <row r="988" spans="1:1" x14ac:dyDescent="0.35">
      <c r="A988" t="s">
        <v>1901</v>
      </c>
    </row>
    <row r="989" spans="1:1" x14ac:dyDescent="0.35">
      <c r="A989" t="s">
        <v>1902</v>
      </c>
    </row>
    <row r="990" spans="1:1" x14ac:dyDescent="0.35">
      <c r="A990" t="s">
        <v>1903</v>
      </c>
    </row>
    <row r="991" spans="1:1" x14ac:dyDescent="0.35">
      <c r="A991" t="s">
        <v>1904</v>
      </c>
    </row>
    <row r="992" spans="1:1" x14ac:dyDescent="0.35">
      <c r="A992" t="s">
        <v>1905</v>
      </c>
    </row>
    <row r="993" spans="1:1" x14ac:dyDescent="0.35">
      <c r="A993" t="s">
        <v>1906</v>
      </c>
    </row>
    <row r="994" spans="1:1" x14ac:dyDescent="0.35">
      <c r="A994" t="s">
        <v>1907</v>
      </c>
    </row>
    <row r="995" spans="1:1" x14ac:dyDescent="0.35">
      <c r="A995" t="s">
        <v>1908</v>
      </c>
    </row>
    <row r="996" spans="1:1" x14ac:dyDescent="0.35">
      <c r="A996" t="s">
        <v>1909</v>
      </c>
    </row>
    <row r="997" spans="1:1" x14ac:dyDescent="0.35">
      <c r="A997" t="s">
        <v>1910</v>
      </c>
    </row>
    <row r="998" spans="1:1" x14ac:dyDescent="0.35">
      <c r="A998" t="s">
        <v>1911</v>
      </c>
    </row>
    <row r="999" spans="1:1" x14ac:dyDescent="0.35">
      <c r="A999" t="s">
        <v>1912</v>
      </c>
    </row>
    <row r="1000" spans="1:1" x14ac:dyDescent="0.35">
      <c r="A1000" t="s">
        <v>1913</v>
      </c>
    </row>
    <row r="1001" spans="1:1" x14ac:dyDescent="0.35">
      <c r="A1001" t="s">
        <v>1914</v>
      </c>
    </row>
    <row r="1002" spans="1:1" x14ac:dyDescent="0.35">
      <c r="A1002" t="s">
        <v>1915</v>
      </c>
    </row>
    <row r="1003" spans="1:1" x14ac:dyDescent="0.35">
      <c r="A1003" t="s">
        <v>1916</v>
      </c>
    </row>
    <row r="1004" spans="1:1" x14ac:dyDescent="0.35">
      <c r="A1004" t="s">
        <v>1917</v>
      </c>
    </row>
    <row r="1005" spans="1:1" x14ac:dyDescent="0.35">
      <c r="A1005" t="s">
        <v>1918</v>
      </c>
    </row>
    <row r="1006" spans="1:1" x14ac:dyDescent="0.35">
      <c r="A1006" t="s">
        <v>2269</v>
      </c>
    </row>
    <row r="1007" spans="1:1" x14ac:dyDescent="0.35">
      <c r="A1007" t="s">
        <v>1919</v>
      </c>
    </row>
    <row r="1008" spans="1:1" x14ac:dyDescent="0.35">
      <c r="A1008" t="s">
        <v>1920</v>
      </c>
    </row>
    <row r="1009" spans="1:1" x14ac:dyDescent="0.35">
      <c r="A1009" t="s">
        <v>1921</v>
      </c>
    </row>
    <row r="1010" spans="1:1" x14ac:dyDescent="0.35">
      <c r="A1010" t="s">
        <v>1922</v>
      </c>
    </row>
    <row r="1011" spans="1:1" x14ac:dyDescent="0.35">
      <c r="A1011" t="s">
        <v>1923</v>
      </c>
    </row>
    <row r="1012" spans="1:1" x14ac:dyDescent="0.35">
      <c r="A1012" t="s">
        <v>1924</v>
      </c>
    </row>
    <row r="1013" spans="1:1" x14ac:dyDescent="0.35">
      <c r="A1013" t="s">
        <v>1925</v>
      </c>
    </row>
    <row r="1014" spans="1:1" x14ac:dyDescent="0.35">
      <c r="A1014" t="s">
        <v>1926</v>
      </c>
    </row>
    <row r="1015" spans="1:1" x14ac:dyDescent="0.35">
      <c r="A1015" t="s">
        <v>1927</v>
      </c>
    </row>
    <row r="1016" spans="1:1" x14ac:dyDescent="0.35">
      <c r="A1016" t="s">
        <v>1928</v>
      </c>
    </row>
    <row r="1017" spans="1:1" x14ac:dyDescent="0.35">
      <c r="A1017" t="s">
        <v>1929</v>
      </c>
    </row>
    <row r="1018" spans="1:1" x14ac:dyDescent="0.35">
      <c r="A1018" t="s">
        <v>2414</v>
      </c>
    </row>
    <row r="1019" spans="1:1" x14ac:dyDescent="0.35">
      <c r="A1019" t="s">
        <v>1930</v>
      </c>
    </row>
    <row r="1020" spans="1:1" x14ac:dyDescent="0.35">
      <c r="A1020" t="s">
        <v>1931</v>
      </c>
    </row>
    <row r="1021" spans="1:1" x14ac:dyDescent="0.35">
      <c r="A1021" t="s">
        <v>1932</v>
      </c>
    </row>
    <row r="1022" spans="1:1" x14ac:dyDescent="0.35">
      <c r="A1022" t="s">
        <v>1933</v>
      </c>
    </row>
    <row r="1023" spans="1:1" x14ac:dyDescent="0.35">
      <c r="A1023" t="s">
        <v>1934</v>
      </c>
    </row>
    <row r="1024" spans="1:1" x14ac:dyDescent="0.35">
      <c r="A1024" t="s">
        <v>1935</v>
      </c>
    </row>
    <row r="1025" spans="1:2" x14ac:dyDescent="0.35">
      <c r="A1025" t="s">
        <v>1936</v>
      </c>
    </row>
    <row r="1026" spans="1:2" x14ac:dyDescent="0.35">
      <c r="A1026" t="s">
        <v>1937</v>
      </c>
    </row>
    <row r="1027" spans="1:2" x14ac:dyDescent="0.35">
      <c r="A1027" t="s">
        <v>1938</v>
      </c>
    </row>
    <row r="1028" spans="1:2" x14ac:dyDescent="0.35">
      <c r="A1028" t="s">
        <v>1939</v>
      </c>
    </row>
    <row r="1029" spans="1:2" x14ac:dyDescent="0.35">
      <c r="A1029" t="s">
        <v>1940</v>
      </c>
    </row>
    <row r="1030" spans="1:2" x14ac:dyDescent="0.35">
      <c r="A1030" t="s">
        <v>1941</v>
      </c>
    </row>
    <row r="1031" spans="1:2" x14ac:dyDescent="0.35">
      <c r="A1031" t="s">
        <v>1942</v>
      </c>
    </row>
    <row r="1032" spans="1:2" x14ac:dyDescent="0.35">
      <c r="A1032" t="s">
        <v>1943</v>
      </c>
    </row>
    <row r="1033" spans="1:2" x14ac:dyDescent="0.35">
      <c r="A1033" t="s">
        <v>1944</v>
      </c>
    </row>
    <row r="1034" spans="1:2" x14ac:dyDescent="0.35">
      <c r="A1034" t="s">
        <v>1945</v>
      </c>
      <c r="B1034">
        <v>50</v>
      </c>
    </row>
    <row r="1035" spans="1:2" x14ac:dyDescent="0.35">
      <c r="A1035" t="s">
        <v>1946</v>
      </c>
    </row>
    <row r="1036" spans="1:2" x14ac:dyDescent="0.35">
      <c r="A1036" t="s">
        <v>2026</v>
      </c>
    </row>
    <row r="1037" spans="1:2" x14ac:dyDescent="0.35">
      <c r="A1037" t="s">
        <v>2027</v>
      </c>
    </row>
    <row r="1038" spans="1:2" x14ac:dyDescent="0.35">
      <c r="A1038" t="s">
        <v>2028</v>
      </c>
    </row>
    <row r="1039" spans="1:2" x14ac:dyDescent="0.35">
      <c r="A1039" t="s">
        <v>2029</v>
      </c>
    </row>
    <row r="1040" spans="1:2" x14ac:dyDescent="0.35">
      <c r="A1040" t="s">
        <v>2030</v>
      </c>
    </row>
    <row r="1041" spans="1:1" x14ac:dyDescent="0.35">
      <c r="A1041" t="s">
        <v>2031</v>
      </c>
    </row>
    <row r="1042" spans="1:1" x14ac:dyDescent="0.35">
      <c r="A1042" t="s">
        <v>2032</v>
      </c>
    </row>
    <row r="1043" spans="1:1" x14ac:dyDescent="0.35">
      <c r="A1043" t="s">
        <v>2033</v>
      </c>
    </row>
    <row r="1044" spans="1:1" x14ac:dyDescent="0.35">
      <c r="A1044" t="s">
        <v>2034</v>
      </c>
    </row>
    <row r="1045" spans="1:1" x14ac:dyDescent="0.35">
      <c r="A1045" t="s">
        <v>2035</v>
      </c>
    </row>
    <row r="1046" spans="1:1" x14ac:dyDescent="0.35">
      <c r="A1046" t="s">
        <v>2036</v>
      </c>
    </row>
    <row r="1047" spans="1:1" x14ac:dyDescent="0.35">
      <c r="A1047" t="s">
        <v>2037</v>
      </c>
    </row>
    <row r="1048" spans="1:1" x14ac:dyDescent="0.35">
      <c r="A1048" t="s">
        <v>2038</v>
      </c>
    </row>
    <row r="1049" spans="1:1" x14ac:dyDescent="0.35">
      <c r="A1049" t="s">
        <v>2039</v>
      </c>
    </row>
    <row r="1050" spans="1:1" x14ac:dyDescent="0.35">
      <c r="A1050" t="s">
        <v>2040</v>
      </c>
    </row>
    <row r="1051" spans="1:1" x14ac:dyDescent="0.35">
      <c r="A1051" t="s">
        <v>2041</v>
      </c>
    </row>
    <row r="1052" spans="1:1" x14ac:dyDescent="0.35">
      <c r="A1052" t="s">
        <v>2042</v>
      </c>
    </row>
    <row r="1053" spans="1:1" x14ac:dyDescent="0.35">
      <c r="A1053" t="s">
        <v>2043</v>
      </c>
    </row>
    <row r="1054" spans="1:1" x14ac:dyDescent="0.35">
      <c r="A1054" t="s">
        <v>2044</v>
      </c>
    </row>
    <row r="1055" spans="1:1" x14ac:dyDescent="0.35">
      <c r="A1055" t="s">
        <v>2045</v>
      </c>
    </row>
    <row r="1056" spans="1:1" x14ac:dyDescent="0.35">
      <c r="A1056" t="s">
        <v>2046</v>
      </c>
    </row>
    <row r="1057" spans="1:1" x14ac:dyDescent="0.35">
      <c r="A1057" t="s">
        <v>2047</v>
      </c>
    </row>
    <row r="1058" spans="1:1" x14ac:dyDescent="0.35">
      <c r="A1058" t="s">
        <v>2048</v>
      </c>
    </row>
    <row r="1059" spans="1:1" x14ac:dyDescent="0.35">
      <c r="A1059" t="s">
        <v>2049</v>
      </c>
    </row>
    <row r="1060" spans="1:1" x14ac:dyDescent="0.35">
      <c r="A1060" t="s">
        <v>2050</v>
      </c>
    </row>
    <row r="1061" spans="1:1" x14ac:dyDescent="0.35">
      <c r="A1061" t="s">
        <v>2051</v>
      </c>
    </row>
    <row r="1062" spans="1:1" x14ac:dyDescent="0.35">
      <c r="A1062" t="s">
        <v>2052</v>
      </c>
    </row>
    <row r="1063" spans="1:1" x14ac:dyDescent="0.35">
      <c r="A1063" t="s">
        <v>2053</v>
      </c>
    </row>
    <row r="1064" spans="1:1" x14ac:dyDescent="0.35">
      <c r="A1064" t="s">
        <v>2054</v>
      </c>
    </row>
    <row r="1065" spans="1:1" x14ac:dyDescent="0.35">
      <c r="A1065" t="s">
        <v>2055</v>
      </c>
    </row>
    <row r="1066" spans="1:1" x14ac:dyDescent="0.35">
      <c r="A1066" t="s">
        <v>2056</v>
      </c>
    </row>
    <row r="1067" spans="1:1" x14ac:dyDescent="0.35">
      <c r="A1067" t="s">
        <v>2181</v>
      </c>
    </row>
    <row r="1068" spans="1:1" x14ac:dyDescent="0.35">
      <c r="A1068" t="s">
        <v>2057</v>
      </c>
    </row>
    <row r="1069" spans="1:1" x14ac:dyDescent="0.35">
      <c r="A1069" t="s">
        <v>2058</v>
      </c>
    </row>
    <row r="1070" spans="1:1" x14ac:dyDescent="0.35">
      <c r="A1070" t="s">
        <v>2059</v>
      </c>
    </row>
    <row r="1071" spans="1:1" x14ac:dyDescent="0.35">
      <c r="A1071" t="s">
        <v>2060</v>
      </c>
    </row>
    <row r="1072" spans="1:1" x14ac:dyDescent="0.35">
      <c r="A1072" t="s">
        <v>2061</v>
      </c>
    </row>
    <row r="1073" spans="1:1" x14ac:dyDescent="0.35">
      <c r="A1073" t="s">
        <v>2062</v>
      </c>
    </row>
    <row r="1074" spans="1:1" x14ac:dyDescent="0.35">
      <c r="A1074" t="s">
        <v>2063</v>
      </c>
    </row>
    <row r="1075" spans="1:1" x14ac:dyDescent="0.35">
      <c r="A1075" t="s">
        <v>2064</v>
      </c>
    </row>
    <row r="1076" spans="1:1" x14ac:dyDescent="0.35">
      <c r="A1076" t="s">
        <v>2065</v>
      </c>
    </row>
    <row r="1077" spans="1:1" x14ac:dyDescent="0.35">
      <c r="A1077" t="s">
        <v>2066</v>
      </c>
    </row>
    <row r="1078" spans="1:1" x14ac:dyDescent="0.35">
      <c r="A1078" t="s">
        <v>2067</v>
      </c>
    </row>
    <row r="1079" spans="1:1" x14ac:dyDescent="0.35">
      <c r="A1079" t="s">
        <v>2068</v>
      </c>
    </row>
    <row r="1080" spans="1:1" x14ac:dyDescent="0.35">
      <c r="A1080" t="s">
        <v>2069</v>
      </c>
    </row>
    <row r="1081" spans="1:1" x14ac:dyDescent="0.35">
      <c r="A1081" t="s">
        <v>2070</v>
      </c>
    </row>
    <row r="1082" spans="1:1" x14ac:dyDescent="0.35">
      <c r="A1082" t="s">
        <v>2071</v>
      </c>
    </row>
    <row r="1083" spans="1:1" x14ac:dyDescent="0.35">
      <c r="A1083" t="s">
        <v>2072</v>
      </c>
    </row>
    <row r="1084" spans="1:1" x14ac:dyDescent="0.35">
      <c r="A1084" t="s">
        <v>2073</v>
      </c>
    </row>
    <row r="1085" spans="1:1" x14ac:dyDescent="0.35">
      <c r="A1085" t="s">
        <v>2074</v>
      </c>
    </row>
    <row r="1086" spans="1:1" x14ac:dyDescent="0.35">
      <c r="A1086" t="s">
        <v>2075</v>
      </c>
    </row>
    <row r="1087" spans="1:1" x14ac:dyDescent="0.35">
      <c r="A1087" t="s">
        <v>2076</v>
      </c>
    </row>
    <row r="1088" spans="1:1" x14ac:dyDescent="0.35">
      <c r="A1088" t="s">
        <v>2077</v>
      </c>
    </row>
    <row r="1089" spans="1:1" x14ac:dyDescent="0.35">
      <c r="A1089" t="s">
        <v>2078</v>
      </c>
    </row>
    <row r="1090" spans="1:1" x14ac:dyDescent="0.35">
      <c r="A1090" t="s">
        <v>2079</v>
      </c>
    </row>
    <row r="1091" spans="1:1" x14ac:dyDescent="0.35">
      <c r="A1091" t="s">
        <v>2080</v>
      </c>
    </row>
    <row r="1092" spans="1:1" x14ac:dyDescent="0.35">
      <c r="A1092" t="s">
        <v>2081</v>
      </c>
    </row>
    <row r="1093" spans="1:1" x14ac:dyDescent="0.35">
      <c r="A1093" t="s">
        <v>2082</v>
      </c>
    </row>
    <row r="1094" spans="1:1" x14ac:dyDescent="0.35">
      <c r="A1094" t="s">
        <v>2083</v>
      </c>
    </row>
    <row r="1095" spans="1:1" x14ac:dyDescent="0.35">
      <c r="A1095" t="s">
        <v>2084</v>
      </c>
    </row>
    <row r="1096" spans="1:1" x14ac:dyDescent="0.35">
      <c r="A1096" t="s">
        <v>2085</v>
      </c>
    </row>
    <row r="1097" spans="1:1" x14ac:dyDescent="0.35">
      <c r="A1097" t="s">
        <v>2086</v>
      </c>
    </row>
    <row r="1098" spans="1:1" x14ac:dyDescent="0.35">
      <c r="A1098" t="s">
        <v>2087</v>
      </c>
    </row>
    <row r="1099" spans="1:1" x14ac:dyDescent="0.35">
      <c r="A1099" t="s">
        <v>2088</v>
      </c>
    </row>
    <row r="1100" spans="1:1" x14ac:dyDescent="0.35">
      <c r="A1100" t="s">
        <v>2089</v>
      </c>
    </row>
    <row r="1101" spans="1:1" x14ac:dyDescent="0.35">
      <c r="A1101" t="s">
        <v>2090</v>
      </c>
    </row>
    <row r="1102" spans="1:1" x14ac:dyDescent="0.35">
      <c r="A1102" t="s">
        <v>2091</v>
      </c>
    </row>
    <row r="1103" spans="1:1" x14ac:dyDescent="0.35">
      <c r="A1103" t="s">
        <v>2092</v>
      </c>
    </row>
    <row r="1104" spans="1:1" x14ac:dyDescent="0.35">
      <c r="A1104" t="s">
        <v>2093</v>
      </c>
    </row>
    <row r="1105" spans="1:1" x14ac:dyDescent="0.35">
      <c r="A1105" t="s">
        <v>2094</v>
      </c>
    </row>
    <row r="1106" spans="1:1" x14ac:dyDescent="0.35">
      <c r="A1106" t="s">
        <v>2095</v>
      </c>
    </row>
    <row r="1107" spans="1:1" x14ac:dyDescent="0.35">
      <c r="A1107" t="s">
        <v>2096</v>
      </c>
    </row>
    <row r="1108" spans="1:1" x14ac:dyDescent="0.35">
      <c r="A1108" t="s">
        <v>2097</v>
      </c>
    </row>
    <row r="1109" spans="1:1" x14ac:dyDescent="0.35">
      <c r="A1109" t="s">
        <v>2098</v>
      </c>
    </row>
    <row r="1110" spans="1:1" x14ac:dyDescent="0.35">
      <c r="A1110" t="s">
        <v>2099</v>
      </c>
    </row>
    <row r="1111" spans="1:1" x14ac:dyDescent="0.35">
      <c r="A1111" t="s">
        <v>2100</v>
      </c>
    </row>
    <row r="1112" spans="1:1" x14ac:dyDescent="0.35">
      <c r="A1112" t="s">
        <v>2101</v>
      </c>
    </row>
    <row r="1113" spans="1:1" x14ac:dyDescent="0.35">
      <c r="A1113" t="s">
        <v>2102</v>
      </c>
    </row>
    <row r="1114" spans="1:1" x14ac:dyDescent="0.35">
      <c r="A1114" t="s">
        <v>2103</v>
      </c>
    </row>
    <row r="1115" spans="1:1" x14ac:dyDescent="0.35">
      <c r="A1115" t="s">
        <v>2104</v>
      </c>
    </row>
    <row r="1116" spans="1:1" x14ac:dyDescent="0.35">
      <c r="A1116" t="s">
        <v>2105</v>
      </c>
    </row>
    <row r="1117" spans="1:1" x14ac:dyDescent="0.35">
      <c r="A1117" t="s">
        <v>2106</v>
      </c>
    </row>
    <row r="1118" spans="1:1" x14ac:dyDescent="0.35">
      <c r="A1118" t="s">
        <v>2107</v>
      </c>
    </row>
    <row r="1119" spans="1:1" x14ac:dyDescent="0.35">
      <c r="A1119" t="s">
        <v>2108</v>
      </c>
    </row>
    <row r="1120" spans="1:1" x14ac:dyDescent="0.35">
      <c r="A1120" t="s">
        <v>2109</v>
      </c>
    </row>
    <row r="1121" spans="1:1" x14ac:dyDescent="0.35">
      <c r="A1121" t="s">
        <v>2110</v>
      </c>
    </row>
    <row r="1122" spans="1:1" x14ac:dyDescent="0.35">
      <c r="A1122" t="s">
        <v>2111</v>
      </c>
    </row>
    <row r="1123" spans="1:1" x14ac:dyDescent="0.35">
      <c r="A1123" t="s">
        <v>2112</v>
      </c>
    </row>
    <row r="1124" spans="1:1" x14ac:dyDescent="0.35">
      <c r="A1124" t="s">
        <v>2113</v>
      </c>
    </row>
    <row r="1125" spans="1:1" x14ac:dyDescent="0.35">
      <c r="A1125" t="s">
        <v>2114</v>
      </c>
    </row>
    <row r="1126" spans="1:1" x14ac:dyDescent="0.35">
      <c r="A1126" t="s">
        <v>2115</v>
      </c>
    </row>
    <row r="1127" spans="1:1" x14ac:dyDescent="0.35">
      <c r="A1127" t="s">
        <v>2116</v>
      </c>
    </row>
    <row r="1128" spans="1:1" x14ac:dyDescent="0.35">
      <c r="A1128" t="s">
        <v>2117</v>
      </c>
    </row>
    <row r="1129" spans="1:1" x14ac:dyDescent="0.35">
      <c r="A1129" t="s">
        <v>2118</v>
      </c>
    </row>
    <row r="1130" spans="1:1" x14ac:dyDescent="0.35">
      <c r="A1130" t="s">
        <v>2119</v>
      </c>
    </row>
    <row r="1131" spans="1:1" x14ac:dyDescent="0.35">
      <c r="A1131" t="s">
        <v>2120</v>
      </c>
    </row>
    <row r="1132" spans="1:1" x14ac:dyDescent="0.35">
      <c r="A1132" t="s">
        <v>2121</v>
      </c>
    </row>
    <row r="1133" spans="1:1" x14ac:dyDescent="0.35">
      <c r="A1133" t="s">
        <v>2122</v>
      </c>
    </row>
    <row r="1134" spans="1:1" x14ac:dyDescent="0.35">
      <c r="A1134" t="s">
        <v>2123</v>
      </c>
    </row>
    <row r="1135" spans="1:1" x14ac:dyDescent="0.35">
      <c r="A1135" t="s">
        <v>2124</v>
      </c>
    </row>
    <row r="1136" spans="1:1" x14ac:dyDescent="0.35">
      <c r="A1136" t="s">
        <v>2125</v>
      </c>
    </row>
    <row r="1137" spans="1:1" x14ac:dyDescent="0.35">
      <c r="A1137" t="s">
        <v>2126</v>
      </c>
    </row>
    <row r="1138" spans="1:1" x14ac:dyDescent="0.35">
      <c r="A1138" t="s">
        <v>2127</v>
      </c>
    </row>
    <row r="1139" spans="1:1" x14ac:dyDescent="0.35">
      <c r="A1139" t="s">
        <v>2128</v>
      </c>
    </row>
    <row r="1140" spans="1:1" x14ac:dyDescent="0.35">
      <c r="A1140" t="s">
        <v>2129</v>
      </c>
    </row>
    <row r="1141" spans="1:1" x14ac:dyDescent="0.35">
      <c r="A1141" t="s">
        <v>2130</v>
      </c>
    </row>
    <row r="1142" spans="1:1" x14ac:dyDescent="0.35">
      <c r="A1142" t="s">
        <v>2131</v>
      </c>
    </row>
    <row r="1143" spans="1:1" x14ac:dyDescent="0.35">
      <c r="A1143" t="s">
        <v>2132</v>
      </c>
    </row>
    <row r="1144" spans="1:1" x14ac:dyDescent="0.35">
      <c r="A1144" t="s">
        <v>2133</v>
      </c>
    </row>
    <row r="1145" spans="1:1" x14ac:dyDescent="0.35">
      <c r="A1145" t="s">
        <v>2134</v>
      </c>
    </row>
    <row r="1146" spans="1:1" x14ac:dyDescent="0.35">
      <c r="A1146" t="s">
        <v>2135</v>
      </c>
    </row>
    <row r="1147" spans="1:1" x14ac:dyDescent="0.35">
      <c r="A1147" t="s">
        <v>2136</v>
      </c>
    </row>
    <row r="1148" spans="1:1" x14ac:dyDescent="0.35">
      <c r="A1148" t="s">
        <v>2137</v>
      </c>
    </row>
    <row r="1149" spans="1:1" x14ac:dyDescent="0.35">
      <c r="A1149" t="s">
        <v>2138</v>
      </c>
    </row>
    <row r="1150" spans="1:1" x14ac:dyDescent="0.35">
      <c r="A1150" t="s">
        <v>2139</v>
      </c>
    </row>
    <row r="1151" spans="1:1" x14ac:dyDescent="0.35">
      <c r="A1151" t="s">
        <v>2140</v>
      </c>
    </row>
    <row r="1152" spans="1:1" x14ac:dyDescent="0.35">
      <c r="A1152" t="s">
        <v>2141</v>
      </c>
    </row>
    <row r="1153" spans="1:1" x14ac:dyDescent="0.35">
      <c r="A1153" t="s">
        <v>2142</v>
      </c>
    </row>
    <row r="1154" spans="1:1" x14ac:dyDescent="0.35">
      <c r="A1154" t="s">
        <v>2143</v>
      </c>
    </row>
    <row r="1155" spans="1:1" x14ac:dyDescent="0.35">
      <c r="A1155" t="s">
        <v>2144</v>
      </c>
    </row>
    <row r="1156" spans="1:1" x14ac:dyDescent="0.35">
      <c r="A1156" t="s">
        <v>2145</v>
      </c>
    </row>
    <row r="1157" spans="1:1" x14ac:dyDescent="0.35">
      <c r="A1157" t="s">
        <v>2146</v>
      </c>
    </row>
    <row r="1158" spans="1:1" x14ac:dyDescent="0.35">
      <c r="A1158" t="s">
        <v>2147</v>
      </c>
    </row>
    <row r="1159" spans="1:1" x14ac:dyDescent="0.35">
      <c r="A1159" t="s">
        <v>2148</v>
      </c>
    </row>
    <row r="1160" spans="1:1" x14ac:dyDescent="0.35">
      <c r="A1160" t="s">
        <v>2149</v>
      </c>
    </row>
    <row r="1161" spans="1:1" x14ac:dyDescent="0.35">
      <c r="A1161" t="s">
        <v>2150</v>
      </c>
    </row>
    <row r="1162" spans="1:1" x14ac:dyDescent="0.35">
      <c r="A1162" t="s">
        <v>2151</v>
      </c>
    </row>
    <row r="1163" spans="1:1" x14ac:dyDescent="0.35">
      <c r="A1163" t="s">
        <v>2152</v>
      </c>
    </row>
    <row r="1164" spans="1:1" x14ac:dyDescent="0.35">
      <c r="A1164" t="s">
        <v>2153</v>
      </c>
    </row>
    <row r="1165" spans="1:1" x14ac:dyDescent="0.35">
      <c r="A1165" t="s">
        <v>2154</v>
      </c>
    </row>
    <row r="1166" spans="1:1" x14ac:dyDescent="0.35">
      <c r="A1166" t="s">
        <v>2155</v>
      </c>
    </row>
    <row r="1167" spans="1:1" x14ac:dyDescent="0.35">
      <c r="A1167" t="s">
        <v>2156</v>
      </c>
    </row>
    <row r="1168" spans="1:1" x14ac:dyDescent="0.35">
      <c r="A1168" t="s">
        <v>2157</v>
      </c>
    </row>
    <row r="1169" spans="1:1" x14ac:dyDescent="0.35">
      <c r="A1169" t="s">
        <v>2158</v>
      </c>
    </row>
    <row r="1170" spans="1:1" x14ac:dyDescent="0.35">
      <c r="A1170" t="s">
        <v>2159</v>
      </c>
    </row>
    <row r="1171" spans="1:1" x14ac:dyDescent="0.35">
      <c r="A1171" t="s">
        <v>2160</v>
      </c>
    </row>
    <row r="1172" spans="1:1" x14ac:dyDescent="0.35">
      <c r="A1172" t="s">
        <v>2161</v>
      </c>
    </row>
    <row r="1173" spans="1:1" x14ac:dyDescent="0.35">
      <c r="A1173" t="s">
        <v>2162</v>
      </c>
    </row>
    <row r="1174" spans="1:1" x14ac:dyDescent="0.35">
      <c r="A1174" t="s">
        <v>2163</v>
      </c>
    </row>
    <row r="1175" spans="1:1" x14ac:dyDescent="0.35">
      <c r="A1175" t="s">
        <v>2164</v>
      </c>
    </row>
    <row r="1176" spans="1:1" x14ac:dyDescent="0.35">
      <c r="A1176" t="s">
        <v>2165</v>
      </c>
    </row>
    <row r="1177" spans="1:1" x14ac:dyDescent="0.35">
      <c r="A1177" t="s">
        <v>2166</v>
      </c>
    </row>
    <row r="1178" spans="1:1" x14ac:dyDescent="0.35">
      <c r="A1178" t="s">
        <v>2167</v>
      </c>
    </row>
    <row r="1179" spans="1:1" x14ac:dyDescent="0.35">
      <c r="A1179" t="s">
        <v>2168</v>
      </c>
    </row>
    <row r="1180" spans="1:1" x14ac:dyDescent="0.35">
      <c r="A1180" t="s">
        <v>2169</v>
      </c>
    </row>
    <row r="1181" spans="1:1" x14ac:dyDescent="0.35">
      <c r="A1181" t="s">
        <v>2170</v>
      </c>
    </row>
    <row r="1182" spans="1:1" x14ac:dyDescent="0.35">
      <c r="A1182" t="s">
        <v>2171</v>
      </c>
    </row>
    <row r="1183" spans="1:1" x14ac:dyDescent="0.35">
      <c r="A1183" t="s">
        <v>2172</v>
      </c>
    </row>
    <row r="1184" spans="1:1" x14ac:dyDescent="0.35">
      <c r="A1184" t="s">
        <v>2173</v>
      </c>
    </row>
    <row r="1185" spans="1:1" x14ac:dyDescent="0.35">
      <c r="A1185" t="s">
        <v>2174</v>
      </c>
    </row>
    <row r="1186" spans="1:1" x14ac:dyDescent="0.35">
      <c r="A1186" t="s">
        <v>2175</v>
      </c>
    </row>
    <row r="1187" spans="1:1" x14ac:dyDescent="0.35">
      <c r="A1187" t="s">
        <v>2176</v>
      </c>
    </row>
    <row r="1188" spans="1:1" x14ac:dyDescent="0.35">
      <c r="A1188" t="s">
        <v>2177</v>
      </c>
    </row>
    <row r="1189" spans="1:1" x14ac:dyDescent="0.35">
      <c r="A1189" t="s">
        <v>2178</v>
      </c>
    </row>
    <row r="1190" spans="1:1" x14ac:dyDescent="0.35">
      <c r="A1190" t="s">
        <v>2179</v>
      </c>
    </row>
    <row r="1191" spans="1:1" x14ac:dyDescent="0.35">
      <c r="A1191" t="s">
        <v>2180</v>
      </c>
    </row>
    <row r="1192" spans="1:1" x14ac:dyDescent="0.35">
      <c r="A1192" t="s">
        <v>2182</v>
      </c>
    </row>
    <row r="1193" spans="1:1" x14ac:dyDescent="0.35">
      <c r="A1193" t="s">
        <v>2183</v>
      </c>
    </row>
    <row r="1194" spans="1:1" x14ac:dyDescent="0.35">
      <c r="A1194" t="s">
        <v>2184</v>
      </c>
    </row>
    <row r="1195" spans="1:1" x14ac:dyDescent="0.35">
      <c r="A1195" t="s">
        <v>2185</v>
      </c>
    </row>
    <row r="1196" spans="1:1" x14ac:dyDescent="0.35">
      <c r="A1196" t="s">
        <v>2186</v>
      </c>
    </row>
    <row r="1197" spans="1:1" x14ac:dyDescent="0.35">
      <c r="A1197" t="s">
        <v>2187</v>
      </c>
    </row>
    <row r="1198" spans="1:1" x14ac:dyDescent="0.35">
      <c r="A1198" t="s">
        <v>2188</v>
      </c>
    </row>
    <row r="1199" spans="1:1" x14ac:dyDescent="0.35">
      <c r="A1199" t="s">
        <v>2189</v>
      </c>
    </row>
    <row r="1200" spans="1:1" x14ac:dyDescent="0.35">
      <c r="A1200" t="s">
        <v>2190</v>
      </c>
    </row>
    <row r="1201" spans="1:1" x14ac:dyDescent="0.35">
      <c r="A1201" t="s">
        <v>2191</v>
      </c>
    </row>
    <row r="1202" spans="1:1" x14ac:dyDescent="0.35">
      <c r="A1202" t="s">
        <v>2192</v>
      </c>
    </row>
    <row r="1203" spans="1:1" x14ac:dyDescent="0.35">
      <c r="A1203" t="s">
        <v>2193</v>
      </c>
    </row>
    <row r="1204" spans="1:1" x14ac:dyDescent="0.35">
      <c r="A1204" t="s">
        <v>2194</v>
      </c>
    </row>
    <row r="1205" spans="1:1" x14ac:dyDescent="0.35">
      <c r="A1205" t="s">
        <v>2195</v>
      </c>
    </row>
    <row r="1206" spans="1:1" x14ac:dyDescent="0.35">
      <c r="A1206" t="s">
        <v>2196</v>
      </c>
    </row>
    <row r="1207" spans="1:1" x14ac:dyDescent="0.35">
      <c r="A1207" t="s">
        <v>2197</v>
      </c>
    </row>
    <row r="1208" spans="1:1" x14ac:dyDescent="0.35">
      <c r="A1208" t="s">
        <v>2198</v>
      </c>
    </row>
    <row r="1209" spans="1:1" x14ac:dyDescent="0.35">
      <c r="A1209" t="s">
        <v>2199</v>
      </c>
    </row>
    <row r="1210" spans="1:1" x14ac:dyDescent="0.35">
      <c r="A1210" t="s">
        <v>2200</v>
      </c>
    </row>
    <row r="1211" spans="1:1" x14ac:dyDescent="0.35">
      <c r="A1211" t="s">
        <v>2201</v>
      </c>
    </row>
    <row r="1212" spans="1:1" x14ac:dyDescent="0.35">
      <c r="A1212" t="s">
        <v>2202</v>
      </c>
    </row>
    <row r="1213" spans="1:1" x14ac:dyDescent="0.35">
      <c r="A1213" t="s">
        <v>2203</v>
      </c>
    </row>
    <row r="1214" spans="1:1" x14ac:dyDescent="0.35">
      <c r="A1214" t="s">
        <v>2204</v>
      </c>
    </row>
    <row r="1215" spans="1:1" x14ac:dyDescent="0.35">
      <c r="A1215" t="s">
        <v>2205</v>
      </c>
    </row>
    <row r="1216" spans="1:1" x14ac:dyDescent="0.35">
      <c r="A1216" t="s">
        <v>2206</v>
      </c>
    </row>
    <row r="1217" spans="1:1" x14ac:dyDescent="0.35">
      <c r="A1217" t="s">
        <v>2207</v>
      </c>
    </row>
    <row r="1218" spans="1:1" x14ac:dyDescent="0.35">
      <c r="A1218" t="s">
        <v>2208</v>
      </c>
    </row>
    <row r="1219" spans="1:1" x14ac:dyDescent="0.35">
      <c r="A1219" t="s">
        <v>2209</v>
      </c>
    </row>
    <row r="1220" spans="1:1" x14ac:dyDescent="0.35">
      <c r="A1220" t="s">
        <v>2210</v>
      </c>
    </row>
    <row r="1221" spans="1:1" x14ac:dyDescent="0.35">
      <c r="A1221" t="s">
        <v>2211</v>
      </c>
    </row>
    <row r="1222" spans="1:1" x14ac:dyDescent="0.35">
      <c r="A1222" t="s">
        <v>2212</v>
      </c>
    </row>
    <row r="1223" spans="1:1" x14ac:dyDescent="0.35">
      <c r="A1223" t="s">
        <v>2213</v>
      </c>
    </row>
    <row r="1224" spans="1:1" x14ac:dyDescent="0.35">
      <c r="A1224" t="s">
        <v>2214</v>
      </c>
    </row>
    <row r="1225" spans="1:1" x14ac:dyDescent="0.35">
      <c r="A1225" t="s">
        <v>2215</v>
      </c>
    </row>
    <row r="1226" spans="1:1" x14ac:dyDescent="0.35">
      <c r="A1226" t="s">
        <v>2216</v>
      </c>
    </row>
    <row r="1227" spans="1:1" x14ac:dyDescent="0.35">
      <c r="A1227" t="s">
        <v>2217</v>
      </c>
    </row>
    <row r="1228" spans="1:1" x14ac:dyDescent="0.35">
      <c r="A1228" t="s">
        <v>2218</v>
      </c>
    </row>
    <row r="1229" spans="1:1" x14ac:dyDescent="0.35">
      <c r="A1229" t="s">
        <v>2219</v>
      </c>
    </row>
    <row r="1230" spans="1:1" x14ac:dyDescent="0.35">
      <c r="A1230" t="s">
        <v>2220</v>
      </c>
    </row>
    <row r="1231" spans="1:1" x14ac:dyDescent="0.35">
      <c r="A1231" t="s">
        <v>2221</v>
      </c>
    </row>
    <row r="1232" spans="1:1" x14ac:dyDescent="0.35">
      <c r="A1232" t="s">
        <v>2222</v>
      </c>
    </row>
    <row r="1233" spans="1:1" x14ac:dyDescent="0.35">
      <c r="A1233" t="s">
        <v>2223</v>
      </c>
    </row>
    <row r="1234" spans="1:1" x14ac:dyDescent="0.35">
      <c r="A1234" t="s">
        <v>2224</v>
      </c>
    </row>
    <row r="1235" spans="1:1" x14ac:dyDescent="0.35">
      <c r="A1235" t="s">
        <v>2225</v>
      </c>
    </row>
    <row r="1236" spans="1:1" x14ac:dyDescent="0.35">
      <c r="A1236" t="s">
        <v>2226</v>
      </c>
    </row>
    <row r="1237" spans="1:1" x14ac:dyDescent="0.35">
      <c r="A1237" t="s">
        <v>2227</v>
      </c>
    </row>
    <row r="1238" spans="1:1" x14ac:dyDescent="0.35">
      <c r="A1238" t="s">
        <v>2228</v>
      </c>
    </row>
    <row r="1239" spans="1:1" x14ac:dyDescent="0.35">
      <c r="A1239" t="s">
        <v>2229</v>
      </c>
    </row>
    <row r="1240" spans="1:1" x14ac:dyDescent="0.35">
      <c r="A1240" t="s">
        <v>2230</v>
      </c>
    </row>
    <row r="1241" spans="1:1" x14ac:dyDescent="0.35">
      <c r="A1241" t="s">
        <v>2231</v>
      </c>
    </row>
    <row r="1242" spans="1:1" x14ac:dyDescent="0.35">
      <c r="A1242" t="s">
        <v>2232</v>
      </c>
    </row>
    <row r="1243" spans="1:1" x14ac:dyDescent="0.35">
      <c r="A1243" t="s">
        <v>2233</v>
      </c>
    </row>
    <row r="1244" spans="1:1" x14ac:dyDescent="0.35">
      <c r="A1244" t="s">
        <v>2234</v>
      </c>
    </row>
    <row r="1245" spans="1:1" x14ac:dyDescent="0.35">
      <c r="A1245" t="s">
        <v>2235</v>
      </c>
    </row>
    <row r="1246" spans="1:1" x14ac:dyDescent="0.35">
      <c r="A1246" t="s">
        <v>2236</v>
      </c>
    </row>
    <row r="1247" spans="1:1" x14ac:dyDescent="0.35">
      <c r="A1247" t="s">
        <v>2237</v>
      </c>
    </row>
    <row r="1248" spans="1:1" x14ac:dyDescent="0.35">
      <c r="A1248" t="s">
        <v>2238</v>
      </c>
    </row>
    <row r="1249" spans="1:2" x14ac:dyDescent="0.35">
      <c r="A1249" t="s">
        <v>2239</v>
      </c>
    </row>
    <row r="1250" spans="1:2" x14ac:dyDescent="0.35">
      <c r="A1250" t="s">
        <v>2240</v>
      </c>
    </row>
    <row r="1251" spans="1:2" x14ac:dyDescent="0.35">
      <c r="A1251" t="s">
        <v>2241</v>
      </c>
    </row>
    <row r="1252" spans="1:2" x14ac:dyDescent="0.35">
      <c r="A1252" t="s">
        <v>2242</v>
      </c>
    </row>
    <row r="1253" spans="1:2" x14ac:dyDescent="0.35">
      <c r="A1253" t="s">
        <v>2243</v>
      </c>
    </row>
    <row r="1254" spans="1:2" x14ac:dyDescent="0.35">
      <c r="A1254" t="s">
        <v>2289</v>
      </c>
    </row>
    <row r="1255" spans="1:2" x14ac:dyDescent="0.35">
      <c r="A1255" t="s">
        <v>2290</v>
      </c>
      <c r="B1255">
        <v>0</v>
      </c>
    </row>
    <row r="1256" spans="1:2" x14ac:dyDescent="0.35">
      <c r="A1256" t="s">
        <v>2291</v>
      </c>
    </row>
    <row r="1257" spans="1:2" x14ac:dyDescent="0.35">
      <c r="A1257" t="s">
        <v>2292</v>
      </c>
      <c r="B1257">
        <v>0</v>
      </c>
    </row>
    <row r="1258" spans="1:2" x14ac:dyDescent="0.35">
      <c r="A1258" t="s">
        <v>2293</v>
      </c>
      <c r="B1258">
        <v>5000</v>
      </c>
    </row>
    <row r="1259" spans="1:2" x14ac:dyDescent="0.35">
      <c r="A1259" t="s">
        <v>2294</v>
      </c>
      <c r="B1259">
        <v>0</v>
      </c>
    </row>
    <row r="1260" spans="1:2" x14ac:dyDescent="0.35">
      <c r="A1260" t="s">
        <v>2295</v>
      </c>
      <c r="B1260">
        <v>1</v>
      </c>
    </row>
    <row r="1261" spans="1:2" x14ac:dyDescent="0.35">
      <c r="A1261" t="s">
        <v>2296</v>
      </c>
      <c r="B1261">
        <v>1</v>
      </c>
    </row>
    <row r="1262" spans="1:2" x14ac:dyDescent="0.35">
      <c r="A1262" t="s">
        <v>2297</v>
      </c>
      <c r="B1262">
        <v>1</v>
      </c>
    </row>
    <row r="1263" spans="1:2" x14ac:dyDescent="0.35">
      <c r="A1263" t="s">
        <v>2298</v>
      </c>
      <c r="B1263">
        <v>1</v>
      </c>
    </row>
    <row r="1264" spans="1:2" x14ac:dyDescent="0.35">
      <c r="A1264" t="s">
        <v>2299</v>
      </c>
      <c r="B1264">
        <v>1</v>
      </c>
    </row>
    <row r="1265" spans="1:2" x14ac:dyDescent="0.35">
      <c r="A1265" t="s">
        <v>2300</v>
      </c>
      <c r="B1265">
        <v>1</v>
      </c>
    </row>
    <row r="1266" spans="1:2" x14ac:dyDescent="0.35">
      <c r="A1266" t="s">
        <v>2301</v>
      </c>
      <c r="B1266">
        <v>1</v>
      </c>
    </row>
    <row r="1267" spans="1:2" x14ac:dyDescent="0.35">
      <c r="A1267" t="s">
        <v>2302</v>
      </c>
      <c r="B1267">
        <v>1</v>
      </c>
    </row>
    <row r="1268" spans="1:2" x14ac:dyDescent="0.35">
      <c r="A1268" t="s">
        <v>2303</v>
      </c>
      <c r="B1268">
        <v>1</v>
      </c>
    </row>
    <row r="1269" spans="1:2" x14ac:dyDescent="0.35">
      <c r="A1269" t="s">
        <v>2304</v>
      </c>
      <c r="B1269">
        <v>1</v>
      </c>
    </row>
    <row r="1270" spans="1:2" x14ac:dyDescent="0.35">
      <c r="A1270" t="s">
        <v>2305</v>
      </c>
      <c r="B1270">
        <v>1</v>
      </c>
    </row>
    <row r="1271" spans="1:2" x14ac:dyDescent="0.35">
      <c r="A1271" t="s">
        <v>2306</v>
      </c>
      <c r="B1271">
        <v>0</v>
      </c>
    </row>
    <row r="1272" spans="1:2" x14ac:dyDescent="0.35">
      <c r="A1272" t="s">
        <v>2307</v>
      </c>
      <c r="B1272" t="b">
        <v>0</v>
      </c>
    </row>
    <row r="1273" spans="1:2" x14ac:dyDescent="0.35">
      <c r="A1273" t="s">
        <v>2308</v>
      </c>
      <c r="B1273" t="b">
        <v>0</v>
      </c>
    </row>
    <row r="1274" spans="1:2" x14ac:dyDescent="0.35">
      <c r="A1274" t="s">
        <v>2309</v>
      </c>
      <c r="B1274" t="b">
        <v>0</v>
      </c>
    </row>
    <row r="1275" spans="1:2" x14ac:dyDescent="0.35">
      <c r="A1275" t="s">
        <v>2310</v>
      </c>
      <c r="B1275" t="b">
        <v>0</v>
      </c>
    </row>
    <row r="1276" spans="1:2" x14ac:dyDescent="0.35">
      <c r="A1276" t="s">
        <v>2311</v>
      </c>
      <c r="B1276">
        <v>0</v>
      </c>
    </row>
    <row r="1277" spans="1:2" x14ac:dyDescent="0.35">
      <c r="A1277" t="s">
        <v>2312</v>
      </c>
      <c r="B1277">
        <v>0</v>
      </c>
    </row>
    <row r="1278" spans="1:2" x14ac:dyDescent="0.35">
      <c r="A1278" t="s">
        <v>2313</v>
      </c>
      <c r="B1278">
        <v>0</v>
      </c>
    </row>
    <row r="1279" spans="1:2" x14ac:dyDescent="0.35">
      <c r="A1279" t="s">
        <v>2314</v>
      </c>
      <c r="B1279">
        <v>0</v>
      </c>
    </row>
    <row r="1280" spans="1:2" x14ac:dyDescent="0.35">
      <c r="A1280" t="s">
        <v>2315</v>
      </c>
      <c r="B1280">
        <v>0</v>
      </c>
    </row>
    <row r="1281" spans="1:2" x14ac:dyDescent="0.35">
      <c r="A1281" t="s">
        <v>2316</v>
      </c>
      <c r="B1281">
        <v>0</v>
      </c>
    </row>
    <row r="1282" spans="1:2" x14ac:dyDescent="0.35">
      <c r="A1282" t="s">
        <v>2317</v>
      </c>
      <c r="B1282">
        <v>0</v>
      </c>
    </row>
    <row r="1283" spans="1:2" x14ac:dyDescent="0.35">
      <c r="A1283" t="s">
        <v>2318</v>
      </c>
      <c r="B1283">
        <v>0</v>
      </c>
    </row>
    <row r="1284" spans="1:2" x14ac:dyDescent="0.35">
      <c r="A1284" t="s">
        <v>2319</v>
      </c>
      <c r="B1284">
        <v>2</v>
      </c>
    </row>
    <row r="1285" spans="1:2" x14ac:dyDescent="0.35">
      <c r="A1285" t="s">
        <v>2320</v>
      </c>
      <c r="B1285">
        <v>0</v>
      </c>
    </row>
    <row r="1286" spans="1:2" x14ac:dyDescent="0.35">
      <c r="A1286" t="s">
        <v>2321</v>
      </c>
      <c r="B1286">
        <v>0</v>
      </c>
    </row>
    <row r="1287" spans="1:2" x14ac:dyDescent="0.35">
      <c r="A1287" t="s">
        <v>2322</v>
      </c>
      <c r="B1287">
        <v>2</v>
      </c>
    </row>
    <row r="1288" spans="1:2" x14ac:dyDescent="0.35">
      <c r="A1288" t="s">
        <v>2323</v>
      </c>
      <c r="B1288">
        <v>0</v>
      </c>
    </row>
    <row r="1289" spans="1:2" x14ac:dyDescent="0.35">
      <c r="A1289" t="s">
        <v>2324</v>
      </c>
      <c r="B1289">
        <v>0</v>
      </c>
    </row>
    <row r="1290" spans="1:2" x14ac:dyDescent="0.35">
      <c r="A1290" t="s">
        <v>2325</v>
      </c>
      <c r="B1290">
        <v>5000</v>
      </c>
    </row>
    <row r="1291" spans="1:2" x14ac:dyDescent="0.35">
      <c r="A1291" t="s">
        <v>2326</v>
      </c>
      <c r="B1291">
        <v>5000</v>
      </c>
    </row>
    <row r="1292" spans="1:2" x14ac:dyDescent="0.35">
      <c r="A1292" t="s">
        <v>2327</v>
      </c>
      <c r="B1292">
        <v>5000</v>
      </c>
    </row>
    <row r="1293" spans="1:2" x14ac:dyDescent="0.35">
      <c r="A1293" t="s">
        <v>2328</v>
      </c>
      <c r="B1293">
        <v>1</v>
      </c>
    </row>
    <row r="1294" spans="1:2" x14ac:dyDescent="0.35">
      <c r="A1294" t="s">
        <v>2329</v>
      </c>
      <c r="B1294">
        <v>1</v>
      </c>
    </row>
    <row r="1295" spans="1:2" x14ac:dyDescent="0.35">
      <c r="A1295" t="s">
        <v>2330</v>
      </c>
      <c r="B1295">
        <v>1</v>
      </c>
    </row>
    <row r="1296" spans="1:2" x14ac:dyDescent="0.35">
      <c r="A1296" t="s">
        <v>2331</v>
      </c>
      <c r="B1296">
        <v>1</v>
      </c>
    </row>
    <row r="1297" spans="1:2" x14ac:dyDescent="0.35">
      <c r="A1297" t="s">
        <v>2332</v>
      </c>
      <c r="B1297">
        <v>1</v>
      </c>
    </row>
    <row r="1298" spans="1:2" x14ac:dyDescent="0.35">
      <c r="A1298" t="s">
        <v>2333</v>
      </c>
      <c r="B1298">
        <v>1</v>
      </c>
    </row>
    <row r="1299" spans="1:2" x14ac:dyDescent="0.35">
      <c r="A1299" t="s">
        <v>2334</v>
      </c>
      <c r="B1299">
        <v>1</v>
      </c>
    </row>
    <row r="1300" spans="1:2" x14ac:dyDescent="0.35">
      <c r="A1300" t="s">
        <v>2335</v>
      </c>
      <c r="B1300">
        <v>1</v>
      </c>
    </row>
    <row r="1301" spans="1:2" x14ac:dyDescent="0.35">
      <c r="A1301" t="s">
        <v>2336</v>
      </c>
      <c r="B1301">
        <v>1</v>
      </c>
    </row>
    <row r="1302" spans="1:2" x14ac:dyDescent="0.35">
      <c r="A1302" t="s">
        <v>2337</v>
      </c>
      <c r="B1302">
        <v>0</v>
      </c>
    </row>
    <row r="1303" spans="1:2" x14ac:dyDescent="0.35">
      <c r="A1303" t="s">
        <v>2338</v>
      </c>
      <c r="B1303">
        <v>0</v>
      </c>
    </row>
    <row r="1304" spans="1:2" x14ac:dyDescent="0.35">
      <c r="A1304" t="s">
        <v>2339</v>
      </c>
      <c r="B1304">
        <v>0</v>
      </c>
    </row>
    <row r="1305" spans="1:2" x14ac:dyDescent="0.35">
      <c r="A1305" t="s">
        <v>2340</v>
      </c>
      <c r="B1305">
        <v>0</v>
      </c>
    </row>
    <row r="1306" spans="1:2" x14ac:dyDescent="0.35">
      <c r="A1306" t="s">
        <v>2341</v>
      </c>
      <c r="B1306">
        <v>0</v>
      </c>
    </row>
    <row r="1307" spans="1:2" x14ac:dyDescent="0.35">
      <c r="A1307" t="s">
        <v>2342</v>
      </c>
      <c r="B1307">
        <v>0</v>
      </c>
    </row>
    <row r="1308" spans="1:2" x14ac:dyDescent="0.35">
      <c r="A1308" t="s">
        <v>2343</v>
      </c>
      <c r="B1308">
        <v>0</v>
      </c>
    </row>
    <row r="1309" spans="1:2" x14ac:dyDescent="0.35">
      <c r="A1309" t="s">
        <v>2344</v>
      </c>
      <c r="B1309">
        <v>0</v>
      </c>
    </row>
    <row r="1310" spans="1:2" x14ac:dyDescent="0.35">
      <c r="A1310" t="s">
        <v>2345</v>
      </c>
      <c r="B1310">
        <v>0</v>
      </c>
    </row>
    <row r="1311" spans="1:2" x14ac:dyDescent="0.35">
      <c r="A1311" t="s">
        <v>2346</v>
      </c>
    </row>
    <row r="1312" spans="1:2" x14ac:dyDescent="0.35">
      <c r="A1312" t="s">
        <v>2347</v>
      </c>
    </row>
    <row r="1313" spans="1:2" x14ac:dyDescent="0.35">
      <c r="A1313" t="s">
        <v>2348</v>
      </c>
      <c r="B1313">
        <v>5000</v>
      </c>
    </row>
    <row r="1314" spans="1:2" x14ac:dyDescent="0.35">
      <c r="A1314" t="s">
        <v>2349</v>
      </c>
      <c r="B1314">
        <v>5000</v>
      </c>
    </row>
    <row r="1315" spans="1:2" x14ac:dyDescent="0.35">
      <c r="A1315" t="s">
        <v>2350</v>
      </c>
      <c r="B1315">
        <v>5000</v>
      </c>
    </row>
    <row r="1316" spans="1:2" x14ac:dyDescent="0.35">
      <c r="A1316" t="s">
        <v>2351</v>
      </c>
      <c r="B1316">
        <v>0</v>
      </c>
    </row>
    <row r="1317" spans="1:2" x14ac:dyDescent="0.35">
      <c r="A1317" t="s">
        <v>2352</v>
      </c>
      <c r="B1317">
        <v>0</v>
      </c>
    </row>
    <row r="1318" spans="1:2" x14ac:dyDescent="0.35">
      <c r="A1318" t="s">
        <v>2353</v>
      </c>
      <c r="B1318">
        <v>0</v>
      </c>
    </row>
    <row r="1319" spans="1:2" x14ac:dyDescent="0.35">
      <c r="A1319" t="s">
        <v>2354</v>
      </c>
      <c r="B1319">
        <v>0</v>
      </c>
    </row>
    <row r="1320" spans="1:2" x14ac:dyDescent="0.35">
      <c r="A1320" t="s">
        <v>2355</v>
      </c>
      <c r="B1320">
        <v>0</v>
      </c>
    </row>
    <row r="1321" spans="1:2" x14ac:dyDescent="0.35">
      <c r="A1321" t="s">
        <v>2356</v>
      </c>
      <c r="B1321">
        <v>0</v>
      </c>
    </row>
    <row r="1322" spans="1:2" x14ac:dyDescent="0.35">
      <c r="A1322" t="s">
        <v>2357</v>
      </c>
      <c r="B1322">
        <v>0</v>
      </c>
    </row>
    <row r="1323" spans="1:2" x14ac:dyDescent="0.35">
      <c r="A1323" t="s">
        <v>2358</v>
      </c>
      <c r="B1323">
        <v>0</v>
      </c>
    </row>
    <row r="1324" spans="1:2" x14ac:dyDescent="0.35">
      <c r="A1324" t="s">
        <v>2359</v>
      </c>
      <c r="B1324">
        <v>0</v>
      </c>
    </row>
    <row r="1325" spans="1:2" x14ac:dyDescent="0.35">
      <c r="A1325" t="s">
        <v>2360</v>
      </c>
      <c r="B1325">
        <v>1</v>
      </c>
    </row>
    <row r="1326" spans="1:2" x14ac:dyDescent="0.35">
      <c r="A1326" t="s">
        <v>2361</v>
      </c>
      <c r="B1326">
        <v>1</v>
      </c>
    </row>
    <row r="1327" spans="1:2" x14ac:dyDescent="0.35">
      <c r="A1327" t="s">
        <v>2362</v>
      </c>
      <c r="B1327">
        <v>1</v>
      </c>
    </row>
    <row r="1328" spans="1:2" x14ac:dyDescent="0.35">
      <c r="A1328" t="s">
        <v>2363</v>
      </c>
      <c r="B1328">
        <v>1</v>
      </c>
    </row>
    <row r="1329" spans="1:2" x14ac:dyDescent="0.35">
      <c r="A1329" t="s">
        <v>2364</v>
      </c>
      <c r="B1329">
        <v>1</v>
      </c>
    </row>
    <row r="1330" spans="1:2" x14ac:dyDescent="0.35">
      <c r="A1330" t="s">
        <v>2365</v>
      </c>
      <c r="B1330">
        <v>1</v>
      </c>
    </row>
    <row r="1331" spans="1:2" x14ac:dyDescent="0.35">
      <c r="A1331" t="s">
        <v>2366</v>
      </c>
      <c r="B1331">
        <v>1</v>
      </c>
    </row>
    <row r="1332" spans="1:2" x14ac:dyDescent="0.35">
      <c r="A1332" t="s">
        <v>2367</v>
      </c>
      <c r="B1332">
        <v>1</v>
      </c>
    </row>
    <row r="1333" spans="1:2" x14ac:dyDescent="0.35">
      <c r="A1333" t="s">
        <v>2368</v>
      </c>
      <c r="B1333">
        <v>1</v>
      </c>
    </row>
    <row r="1334" spans="1:2" x14ac:dyDescent="0.35">
      <c r="A1334" t="s">
        <v>2369</v>
      </c>
      <c r="B1334">
        <v>1</v>
      </c>
    </row>
    <row r="1335" spans="1:2" x14ac:dyDescent="0.35">
      <c r="A1335" t="s">
        <v>2370</v>
      </c>
      <c r="B1335">
        <v>1</v>
      </c>
    </row>
    <row r="1336" spans="1:2" x14ac:dyDescent="0.35">
      <c r="A1336" t="s">
        <v>2371</v>
      </c>
      <c r="B1336">
        <v>1</v>
      </c>
    </row>
    <row r="1337" spans="1:2" x14ac:dyDescent="0.35">
      <c r="A1337" t="s">
        <v>2372</v>
      </c>
      <c r="B1337" t="b">
        <v>0</v>
      </c>
    </row>
    <row r="1338" spans="1:2" x14ac:dyDescent="0.35">
      <c r="A1338" t="s">
        <v>2373</v>
      </c>
    </row>
    <row r="1339" spans="1:2" x14ac:dyDescent="0.35">
      <c r="A1339" t="s">
        <v>2374</v>
      </c>
      <c r="B1339">
        <v>1</v>
      </c>
    </row>
    <row r="1340" spans="1:2" x14ac:dyDescent="0.35">
      <c r="A1340" t="s">
        <v>2375</v>
      </c>
      <c r="B1340">
        <v>1</v>
      </c>
    </row>
    <row r="1341" spans="1:2" x14ac:dyDescent="0.35">
      <c r="A1341" t="s">
        <v>2376</v>
      </c>
      <c r="B1341">
        <v>1</v>
      </c>
    </row>
    <row r="1342" spans="1:2" x14ac:dyDescent="0.35">
      <c r="A1342" t="s">
        <v>2377</v>
      </c>
      <c r="B1342">
        <v>1</v>
      </c>
    </row>
    <row r="1343" spans="1:2" x14ac:dyDescent="0.35">
      <c r="A1343" t="s">
        <v>2378</v>
      </c>
      <c r="B1343">
        <v>1</v>
      </c>
    </row>
    <row r="1344" spans="1:2" x14ac:dyDescent="0.35">
      <c r="A1344" t="s">
        <v>2379</v>
      </c>
      <c r="B1344">
        <v>1</v>
      </c>
    </row>
    <row r="1345" spans="1:2" x14ac:dyDescent="0.35">
      <c r="A1345" t="s">
        <v>2380</v>
      </c>
      <c r="B1345">
        <v>1</v>
      </c>
    </row>
    <row r="1346" spans="1:2" x14ac:dyDescent="0.35">
      <c r="A1346" t="s">
        <v>2381</v>
      </c>
      <c r="B1346">
        <v>1</v>
      </c>
    </row>
    <row r="1347" spans="1:2" x14ac:dyDescent="0.35">
      <c r="A1347" t="s">
        <v>2382</v>
      </c>
      <c r="B1347">
        <v>1</v>
      </c>
    </row>
    <row r="1348" spans="1:2" x14ac:dyDescent="0.35">
      <c r="A1348" t="s">
        <v>2383</v>
      </c>
      <c r="B1348">
        <v>5000</v>
      </c>
    </row>
    <row r="1349" spans="1:2" x14ac:dyDescent="0.35">
      <c r="A1349" t="s">
        <v>2384</v>
      </c>
      <c r="B1349">
        <v>5000</v>
      </c>
    </row>
    <row r="1350" spans="1:2" x14ac:dyDescent="0.35">
      <c r="A1350" t="s">
        <v>2385</v>
      </c>
      <c r="B1350">
        <v>5000</v>
      </c>
    </row>
    <row r="1351" spans="1:2" x14ac:dyDescent="0.35">
      <c r="A1351" t="s">
        <v>2386</v>
      </c>
      <c r="B1351">
        <v>0</v>
      </c>
    </row>
    <row r="1352" spans="1:2" x14ac:dyDescent="0.35">
      <c r="A1352" t="s">
        <v>2387</v>
      </c>
      <c r="B1352">
        <v>0</v>
      </c>
    </row>
    <row r="1353" spans="1:2" x14ac:dyDescent="0.35">
      <c r="A1353" t="s">
        <v>2388</v>
      </c>
      <c r="B1353">
        <v>0</v>
      </c>
    </row>
    <row r="1354" spans="1:2" x14ac:dyDescent="0.35">
      <c r="A1354" t="s">
        <v>2389</v>
      </c>
      <c r="B1354">
        <v>0</v>
      </c>
    </row>
    <row r="1355" spans="1:2" x14ac:dyDescent="0.35">
      <c r="A1355" t="s">
        <v>2390</v>
      </c>
      <c r="B1355">
        <v>0</v>
      </c>
    </row>
    <row r="1356" spans="1:2" x14ac:dyDescent="0.35">
      <c r="A1356" t="s">
        <v>2391</v>
      </c>
      <c r="B1356">
        <v>0</v>
      </c>
    </row>
    <row r="1357" spans="1:2" x14ac:dyDescent="0.35">
      <c r="A1357" t="s">
        <v>2392</v>
      </c>
      <c r="B1357">
        <v>0</v>
      </c>
    </row>
    <row r="1358" spans="1:2" x14ac:dyDescent="0.35">
      <c r="A1358" t="s">
        <v>2393</v>
      </c>
      <c r="B1358">
        <v>0</v>
      </c>
    </row>
    <row r="1359" spans="1:2" x14ac:dyDescent="0.35">
      <c r="A1359" t="s">
        <v>2394</v>
      </c>
      <c r="B1359">
        <v>0</v>
      </c>
    </row>
    <row r="1360" spans="1:2" x14ac:dyDescent="0.35">
      <c r="A1360" t="s">
        <v>2395</v>
      </c>
      <c r="B1360">
        <v>0</v>
      </c>
    </row>
    <row r="1361" spans="1:2" x14ac:dyDescent="0.35">
      <c r="A1361" t="s">
        <v>2396</v>
      </c>
      <c r="B1361">
        <v>0</v>
      </c>
    </row>
    <row r="1362" spans="1:2" x14ac:dyDescent="0.35">
      <c r="A1362" t="s">
        <v>2397</v>
      </c>
      <c r="B1362">
        <v>0</v>
      </c>
    </row>
    <row r="1363" spans="1:2" x14ac:dyDescent="0.35">
      <c r="A1363" t="s">
        <v>2398</v>
      </c>
    </row>
    <row r="1364" spans="1:2" x14ac:dyDescent="0.35">
      <c r="A1364" t="s">
        <v>2399</v>
      </c>
      <c r="B1364">
        <v>2</v>
      </c>
    </row>
    <row r="1365" spans="1:2" x14ac:dyDescent="0.35">
      <c r="A1365" t="s">
        <v>2400</v>
      </c>
      <c r="B1365">
        <v>1</v>
      </c>
    </row>
    <row r="1366" spans="1:2" x14ac:dyDescent="0.35">
      <c r="A1366" t="s">
        <v>2401</v>
      </c>
      <c r="B1366">
        <v>1</v>
      </c>
    </row>
    <row r="1367" spans="1:2" x14ac:dyDescent="0.35">
      <c r="A1367" t="s">
        <v>2402</v>
      </c>
      <c r="B1367">
        <v>1</v>
      </c>
    </row>
    <row r="1368" spans="1:2" x14ac:dyDescent="0.35">
      <c r="A1368" t="s">
        <v>2403</v>
      </c>
      <c r="B1368">
        <v>1</v>
      </c>
    </row>
    <row r="1369" spans="1:2" x14ac:dyDescent="0.35">
      <c r="A1369" t="s">
        <v>2404</v>
      </c>
      <c r="B1369">
        <v>1</v>
      </c>
    </row>
    <row r="1370" spans="1:2" x14ac:dyDescent="0.35">
      <c r="A1370" t="s">
        <v>2405</v>
      </c>
      <c r="B1370">
        <v>1</v>
      </c>
    </row>
    <row r="1371" spans="1:2" x14ac:dyDescent="0.35">
      <c r="A1371" t="s">
        <v>2406</v>
      </c>
      <c r="B1371">
        <v>1</v>
      </c>
    </row>
    <row r="1372" spans="1:2" x14ac:dyDescent="0.35">
      <c r="A1372" t="s">
        <v>2407</v>
      </c>
      <c r="B1372">
        <v>1</v>
      </c>
    </row>
    <row r="1373" spans="1:2" x14ac:dyDescent="0.35">
      <c r="A1373" t="s">
        <v>2408</v>
      </c>
      <c r="B1373">
        <v>1</v>
      </c>
    </row>
    <row r="1374" spans="1:2" x14ac:dyDescent="0.35">
      <c r="A1374" t="s">
        <v>2409</v>
      </c>
    </row>
    <row r="1375" spans="1:2" x14ac:dyDescent="0.35">
      <c r="A1375" t="s">
        <v>2410</v>
      </c>
      <c r="B1375">
        <v>30</v>
      </c>
    </row>
    <row r="1376" spans="1:2" x14ac:dyDescent="0.35">
      <c r="A1376" t="s">
        <v>2424</v>
      </c>
      <c r="B1376">
        <v>1</v>
      </c>
    </row>
    <row r="1377" spans="1:2" x14ac:dyDescent="0.35">
      <c r="A1377" t="s">
        <v>2429</v>
      </c>
      <c r="B1377">
        <v>1</v>
      </c>
    </row>
    <row r="1378" spans="1:2" x14ac:dyDescent="0.35">
      <c r="A1378" t="s">
        <v>2433</v>
      </c>
    </row>
    <row r="1379" spans="1:2" x14ac:dyDescent="0.35">
      <c r="A1379" t="s">
        <v>2434</v>
      </c>
    </row>
    <row r="1380" spans="1:2" x14ac:dyDescent="0.35">
      <c r="A1380" t="s">
        <v>2435</v>
      </c>
    </row>
    <row r="1381" spans="1:2" x14ac:dyDescent="0.35">
      <c r="A1381" t="s">
        <v>2436</v>
      </c>
    </row>
    <row r="1382" spans="1:2" x14ac:dyDescent="0.35">
      <c r="A1382" t="s">
        <v>2437</v>
      </c>
    </row>
    <row r="1383" spans="1:2" x14ac:dyDescent="0.35">
      <c r="A1383" t="s">
        <v>2438</v>
      </c>
    </row>
    <row r="1384" spans="1:2" x14ac:dyDescent="0.35">
      <c r="A1384" t="s">
        <v>2439</v>
      </c>
    </row>
    <row r="1385" spans="1:2" x14ac:dyDescent="0.35">
      <c r="A1385" t="s">
        <v>2440</v>
      </c>
    </row>
    <row r="1386" spans="1:2" x14ac:dyDescent="0.35">
      <c r="A1386" t="s">
        <v>2441</v>
      </c>
    </row>
    <row r="1387" spans="1:2" x14ac:dyDescent="0.35">
      <c r="A1387" t="s">
        <v>2442</v>
      </c>
    </row>
    <row r="1388" spans="1:2" x14ac:dyDescent="0.35">
      <c r="A1388" t="s">
        <v>2443</v>
      </c>
    </row>
    <row r="1389" spans="1:2" x14ac:dyDescent="0.35">
      <c r="A1389" t="s">
        <v>2444</v>
      </c>
    </row>
    <row r="1390" spans="1:2" x14ac:dyDescent="0.35">
      <c r="A1390" t="s">
        <v>2445</v>
      </c>
    </row>
    <row r="1391" spans="1:2" x14ac:dyDescent="0.35">
      <c r="A1391" t="s">
        <v>2446</v>
      </c>
    </row>
    <row r="1392" spans="1:2" x14ac:dyDescent="0.35">
      <c r="A1392" t="s">
        <v>2447</v>
      </c>
    </row>
    <row r="1393" spans="1:1" x14ac:dyDescent="0.35">
      <c r="A1393" t="s">
        <v>2448</v>
      </c>
    </row>
    <row r="1394" spans="1:1" x14ac:dyDescent="0.35">
      <c r="A1394" t="s">
        <v>2449</v>
      </c>
    </row>
    <row r="1395" spans="1:1" x14ac:dyDescent="0.35">
      <c r="A1395" t="s">
        <v>2450</v>
      </c>
    </row>
    <row r="1396" spans="1:1" x14ac:dyDescent="0.35">
      <c r="A1396" t="s">
        <v>2451</v>
      </c>
    </row>
    <row r="1397" spans="1:1" x14ac:dyDescent="0.35">
      <c r="A1397" t="s">
        <v>2452</v>
      </c>
    </row>
    <row r="1398" spans="1:1" x14ac:dyDescent="0.35">
      <c r="A1398" t="s">
        <v>2453</v>
      </c>
    </row>
    <row r="1399" spans="1:1" x14ac:dyDescent="0.35">
      <c r="A1399" t="s">
        <v>2454</v>
      </c>
    </row>
    <row r="1400" spans="1:1" x14ac:dyDescent="0.35">
      <c r="A1400" t="s">
        <v>2455</v>
      </c>
    </row>
    <row r="1401" spans="1:1" x14ac:dyDescent="0.35">
      <c r="A1401" t="s">
        <v>2456</v>
      </c>
    </row>
    <row r="1402" spans="1:1" x14ac:dyDescent="0.35">
      <c r="A1402" t="s">
        <v>2457</v>
      </c>
    </row>
    <row r="1403" spans="1:1" x14ac:dyDescent="0.35">
      <c r="A1403" t="s">
        <v>2458</v>
      </c>
    </row>
    <row r="1404" spans="1:1" x14ac:dyDescent="0.35">
      <c r="A1404" t="s">
        <v>2459</v>
      </c>
    </row>
    <row r="1405" spans="1:1" x14ac:dyDescent="0.35">
      <c r="A1405" t="s">
        <v>2460</v>
      </c>
    </row>
    <row r="1406" spans="1:1" x14ac:dyDescent="0.35">
      <c r="A1406" t="s">
        <v>2461</v>
      </c>
    </row>
    <row r="1407" spans="1:1" x14ac:dyDescent="0.35">
      <c r="A1407" t="s">
        <v>2462</v>
      </c>
    </row>
    <row r="1408" spans="1:1" x14ac:dyDescent="0.35">
      <c r="A1408" t="s">
        <v>2463</v>
      </c>
    </row>
    <row r="1409" spans="1:1" x14ac:dyDescent="0.35">
      <c r="A1409" t="s">
        <v>2464</v>
      </c>
    </row>
    <row r="1410" spans="1:1" x14ac:dyDescent="0.35">
      <c r="A1410" t="s">
        <v>2465</v>
      </c>
    </row>
    <row r="1411" spans="1:1" x14ac:dyDescent="0.35">
      <c r="A1411" t="s">
        <v>2466</v>
      </c>
    </row>
    <row r="1412" spans="1:1" x14ac:dyDescent="0.35">
      <c r="A1412" t="s">
        <v>2467</v>
      </c>
    </row>
    <row r="1413" spans="1:1" x14ac:dyDescent="0.35">
      <c r="A1413" t="s">
        <v>2468</v>
      </c>
    </row>
    <row r="1414" spans="1:1" x14ac:dyDescent="0.35">
      <c r="A1414" t="s">
        <v>2469</v>
      </c>
    </row>
    <row r="1415" spans="1:1" x14ac:dyDescent="0.35">
      <c r="A1415" t="s">
        <v>2470</v>
      </c>
    </row>
    <row r="1416" spans="1:1" x14ac:dyDescent="0.35">
      <c r="A1416" t="s">
        <v>2471</v>
      </c>
    </row>
    <row r="1417" spans="1:1" x14ac:dyDescent="0.35">
      <c r="A1417" t="s">
        <v>2472</v>
      </c>
    </row>
    <row r="1418" spans="1:1" x14ac:dyDescent="0.35">
      <c r="A1418" t="s">
        <v>2473</v>
      </c>
    </row>
    <row r="1419" spans="1:1" x14ac:dyDescent="0.35">
      <c r="A1419" t="s">
        <v>2474</v>
      </c>
    </row>
    <row r="1420" spans="1:1" x14ac:dyDescent="0.35">
      <c r="A1420" t="s">
        <v>2475</v>
      </c>
    </row>
    <row r="1421" spans="1:1" x14ac:dyDescent="0.35">
      <c r="A1421" t="s">
        <v>2476</v>
      </c>
    </row>
    <row r="1422" spans="1:1" x14ac:dyDescent="0.35">
      <c r="A1422" t="s">
        <v>2477</v>
      </c>
    </row>
    <row r="1423" spans="1:1" x14ac:dyDescent="0.35">
      <c r="A1423" t="s">
        <v>2478</v>
      </c>
    </row>
    <row r="1424" spans="1:1" x14ac:dyDescent="0.35">
      <c r="A1424" t="s">
        <v>2479</v>
      </c>
    </row>
    <row r="1425" spans="1:1" x14ac:dyDescent="0.35">
      <c r="A1425" t="s">
        <v>2480</v>
      </c>
    </row>
    <row r="1426" spans="1:1" x14ac:dyDescent="0.35">
      <c r="A1426" t="s">
        <v>2481</v>
      </c>
    </row>
    <row r="1427" spans="1:1" x14ac:dyDescent="0.35">
      <c r="A1427" t="s">
        <v>2482</v>
      </c>
    </row>
    <row r="1428" spans="1:1" x14ac:dyDescent="0.35">
      <c r="A1428" t="s">
        <v>2483</v>
      </c>
    </row>
    <row r="1429" spans="1:1" x14ac:dyDescent="0.35">
      <c r="A1429" t="s">
        <v>2484</v>
      </c>
    </row>
    <row r="1430" spans="1:1" x14ac:dyDescent="0.35">
      <c r="A1430" t="s">
        <v>2485</v>
      </c>
    </row>
    <row r="1431" spans="1:1" x14ac:dyDescent="0.35">
      <c r="A1431" t="s">
        <v>2486</v>
      </c>
    </row>
    <row r="1432" spans="1:1" x14ac:dyDescent="0.35">
      <c r="A1432" t="s">
        <v>2487</v>
      </c>
    </row>
    <row r="1433" spans="1:1" x14ac:dyDescent="0.35">
      <c r="A1433" t="s">
        <v>2488</v>
      </c>
    </row>
    <row r="1434" spans="1:1" x14ac:dyDescent="0.35">
      <c r="A1434" t="s">
        <v>2489</v>
      </c>
    </row>
    <row r="1435" spans="1:1" x14ac:dyDescent="0.35">
      <c r="A1435" t="s">
        <v>2490</v>
      </c>
    </row>
    <row r="1436" spans="1:1" x14ac:dyDescent="0.35">
      <c r="A1436" t="s">
        <v>2491</v>
      </c>
    </row>
    <row r="1437" spans="1:1" x14ac:dyDescent="0.35">
      <c r="A1437" t="s">
        <v>2492</v>
      </c>
    </row>
    <row r="1438" spans="1:1" x14ac:dyDescent="0.35">
      <c r="A1438" t="s">
        <v>2493</v>
      </c>
    </row>
    <row r="1439" spans="1:1" x14ac:dyDescent="0.35">
      <c r="A1439" t="s">
        <v>2494</v>
      </c>
    </row>
    <row r="1440" spans="1:1" x14ac:dyDescent="0.35">
      <c r="A1440" t="s">
        <v>2417</v>
      </c>
    </row>
  </sheetData>
  <customSheetViews>
    <customSheetView guid="{33CCADFA-0D48-46A6-8927-2B2144029216}" state="veryHidden">
      <selection sqref="A1:B605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horizontalDpi="300" r:id="rId2"/>
  <headerFooter alignWithMargins="0"/>
</worksheet>
</file>

<file path=customUI/customUI.xml><?xml version="1.0" encoding="utf-8"?>
<!--RibbonX Visual Designer 1.93 for Microsoft Excel 14.0. XML Code produced on 2014-03-25-->
<customUI xmlns="http://schemas.microsoft.com/office/2006/01/customui">
  <ribbon startFromScratch="false">
    <tabs>
      <tab id="tabMetavision" label="Metavision">
        <group id="GroupAfspraken" label="Afspraken">
          <button id="btnAfsluiten" label="Afsluiten" onAction="ButtonOnAction"/>
          <button id="btnAfsprakenVerwijderen" label="Afspraken verwijderen" onAction="ButtonOnAction"/>
        </group>
        <group id="GroupBedden" label="Bedden">
          <button id="btnBedOpenen" label="Openen" onAction="ButtonOnAction"/>
          <button id="btnBedOpslaan" label="Opslaan" onAction="ButtonOnAction"/>
          <button id="btnGegevensInvoeren" label="Patient Gegevens" onAction="ButtonOnAction"/>
        </group>
        <group id="grpPediatrie" label="Pediatrie" getVisible="GetVisiblePed">
          <button id="btnPContinueivmedicatie" label="Continue iv medicatie" onAction="ButtonOnAction"/>
          <button id="btnPDiscontinuemedicatie" label="Discontinue medicatie" onAction="ButtonOnAction"/>
          <button id="btnPInfusen" label="Infusen en Pacemaker" onAction="ButtonOnAction"/>
          <button id="btnPIntake" label="Intake" onAction="ButtonOnAction"/>
          <button id="btnPLaboratoriumbepalingen" label="Laboratorium bepalingen" onAction="ButtonOnAction"/>
          <button id="btnPAanvullendeAfspraken" label="Aanvullende afspraken" onAction="ButtonOnAction"/>
        </group>
        <group id="grpNeonatologie" label="Neonatologie" getVisible="GetVisibleNeo">
          <button id="btnNInfuusbrief" label="Infuusbrief" onAction="ButtonOnAction"/>
          <button id="btnNDiscontinuemedicatie" label="Discontinue medicatie" onAction="ButtonOnAction"/>
          <button id="btnNAanvullendeAfspraken" label="Aanvullende afspraken" onAction="ButtonOnAction"/>
          <button id="btnNLaboratoriumbepalingen" label="Laboratorium bepalingen" onAction="ButtonOnAction"/>
          <button id="btnNAfspraken1700" label="Afspraken 17.00 uur" onAction="ButtonOnAction"/>
        </group>
        <group id="grpGegevensVerwijderen" label="Acties">
          <button id="btnLabVerwijderen" label="Lab Verwijderen" onAction="ButtonOnAction"/>
          <button id="btnAanvullendVerwijderen" label="Aanvullende afspraken Verwijderen" onAction="ButtonOnAction"/>
        </group>
        <group id="grpActiesNeonatologie" label="Acties Neonatologie" getVisible="GetVisibleNeo">
          <button id="btnNAfspraken1700Overzetten" label="Afspraken 17.00 uur overzetten" onAction="ButtonOnAction"/>
          <button id="btnNActueleAfsprakenOverzetten" label="Actuele afspraken overzetten" onAction="ButtonOnAction"/>
        </group>
        <group id="grpPrintPediatrie" label="Print Pediatrie" getVisible="GetVisiblePed">
          <button id="btnPAcuteBlad" label="Acute blad" onAction="ButtonOnAction"/>
          <button id="btnPPrintAfspraken" label="Afspraken" onAction="ButtonOnAction"/>
          <button id="btnPMedicatie" label="Medicatie" onAction="ButtonOnAction"/>
          <button id="btnPTPN" label="TPN advies" onAction="ButtonOnAction"/>
        </group>
        <group id="grpPrintNeonatologie" label="Print Neonatologie" getVisible="GetVisibleNeo">
          <button id="btnNAcuteBlad" label="Acute blad" onAction="ButtonOnAction"/>
          <button id="btnNAfspraken" label="Afspraken" onAction="ButtonOnAction"/>
          <button id="btnNMedicatie" label="Medicatie" onAction="ButtonOnAction"/>
          <button id="btnNApotheek" label="Apotheek" onAction="ButtonOnAction"/>
          <button id="btnNWerkbrief" label="Werkbrief" onAction="ButtonOnAction"/>
        </group>
      </tab>
      <tab id="tabMetavisionDev" label="Metavision Developer" getVisible="GetVisibleDeveloper">
        <group id="grpDeveloper2" label="Developer">
          <button id="btnDeveloperMode" label="Developer Mode" onAction="ButtonOnAction"/>
          <button id="btnToggleLogging" label="Toggle Logging" onAction="ButtonOnAction"/>
          <button id="btnNaamGeven" label="Geef Naam aan Range" onAction="Button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23</vt:i4>
      </vt:variant>
      <vt:variant>
        <vt:lpstr>Named Ranges</vt:lpstr>
      </vt:variant>
      <vt:variant>
        <vt:i4>1823</vt:i4>
      </vt:variant>
    </vt:vector>
  </HeadingPairs>
  <TitlesOfParts>
    <vt:vector size="1846" baseType="lpstr">
      <vt:lpstr>MedicatieIV</vt:lpstr>
      <vt:lpstr>Med_disc</vt:lpstr>
      <vt:lpstr>Infusen</vt:lpstr>
      <vt:lpstr>Intake</vt:lpstr>
      <vt:lpstr>Lab</vt:lpstr>
      <vt:lpstr>Aanvullende afspraken Ped</vt:lpstr>
      <vt:lpstr>AcuteOpvang</vt:lpstr>
      <vt:lpstr>AfsprakenCMV</vt:lpstr>
      <vt:lpstr>Medicatie</vt:lpstr>
      <vt:lpstr>TPN2tot6kg</vt:lpstr>
      <vt:lpstr>TPN7tot15kg</vt:lpstr>
      <vt:lpstr>TPN16tot30kg</vt:lpstr>
      <vt:lpstr>TPN31tot50kg</vt:lpstr>
      <vt:lpstr>TPNboven50kg</vt:lpstr>
      <vt:lpstr>Afspraken</vt:lpstr>
      <vt:lpstr>Afspraken1700</vt:lpstr>
      <vt:lpstr>WerkBrief</vt:lpstr>
      <vt:lpstr>Medicatie Neo</vt:lpstr>
      <vt:lpstr>Aanvullende afspraken Neo</vt:lpstr>
      <vt:lpstr>Lab Neo</vt:lpstr>
      <vt:lpstr>AcuteOpvang Neo</vt:lpstr>
      <vt:lpstr>Print</vt:lpstr>
      <vt:lpstr>Apotheek</vt:lpstr>
      <vt:lpstr>_Aanvullend_Booleans</vt:lpstr>
      <vt:lpstr>_Aanvullend_Booleans_Ped</vt:lpstr>
      <vt:lpstr>_Aanvullend_Controles</vt:lpstr>
      <vt:lpstr>_Aanvullend_Controles_Ped</vt:lpstr>
      <vt:lpstr>_Aanvullend_Data</vt:lpstr>
      <vt:lpstr>_Aanvullend_Data_Ped</vt:lpstr>
      <vt:lpstr>_Aanvullend_Instellingen</vt:lpstr>
      <vt:lpstr>_Aanvullend_Instellingen_Ped</vt:lpstr>
      <vt:lpstr>_Aanvullend_Kweken</vt:lpstr>
      <vt:lpstr>_Aanvullend_MRIvertrektijd</vt:lpstr>
      <vt:lpstr>_Aanvullend_Onderzoek</vt:lpstr>
      <vt:lpstr>_Aanvullend_Onderzoek_Ped</vt:lpstr>
      <vt:lpstr>_Aanvullend_Overig</vt:lpstr>
      <vt:lpstr>_Aanvullend_Overig_Ped</vt:lpstr>
      <vt:lpstr>_AchterNaam</vt:lpstr>
      <vt:lpstr>_AchterNaamNICU</vt:lpstr>
      <vt:lpstr>_AchterNaamNICU1700</vt:lpstr>
      <vt:lpstr>_ArtLijn</vt:lpstr>
      <vt:lpstr>_ArtLijn1700</vt:lpstr>
      <vt:lpstr>_Arts</vt:lpstr>
      <vt:lpstr>_Arts1700</vt:lpstr>
      <vt:lpstr>_Bed</vt:lpstr>
      <vt:lpstr>_Bed1700</vt:lpstr>
      <vt:lpstr>_CaCl2</vt:lpstr>
      <vt:lpstr>_CaCl21700</vt:lpstr>
      <vt:lpstr>_Dag1700</vt:lpstr>
      <vt:lpstr>_Dagen</vt:lpstr>
      <vt:lpstr>_Dagen1700</vt:lpstr>
      <vt:lpstr>_DagKeuze</vt:lpstr>
      <vt:lpstr>_DagKeuze1700</vt:lpstr>
      <vt:lpstr>_Eenheid_1</vt:lpstr>
      <vt:lpstr>_Eenheid_2</vt:lpstr>
      <vt:lpstr>_Eenheid_3</vt:lpstr>
      <vt:lpstr>_Eenheid_4</vt:lpstr>
      <vt:lpstr>_Eenheid_5</vt:lpstr>
      <vt:lpstr>_Eenheid_6</vt:lpstr>
      <vt:lpstr>_Eenheid_7</vt:lpstr>
      <vt:lpstr>_Eenheid_8</vt:lpstr>
      <vt:lpstr>_Eenheid_9</vt:lpstr>
      <vt:lpstr>_Eenheid1700_1</vt:lpstr>
      <vt:lpstr>_Eenheid1700_2</vt:lpstr>
      <vt:lpstr>_Eenheid1700_3</vt:lpstr>
      <vt:lpstr>_Eenheid1700_4</vt:lpstr>
      <vt:lpstr>_Eenheid1700_5</vt:lpstr>
      <vt:lpstr>_Eenheid1700_6</vt:lpstr>
      <vt:lpstr>_Eenheid1700_7</vt:lpstr>
      <vt:lpstr>_Eenheid1700_8</vt:lpstr>
      <vt:lpstr>_Eenheid1700_9</vt:lpstr>
      <vt:lpstr>_Extra</vt:lpstr>
      <vt:lpstr>_Extra_1</vt:lpstr>
      <vt:lpstr>_Extra_10</vt:lpstr>
      <vt:lpstr>_Extra_11</vt:lpstr>
      <vt:lpstr>_Extra_12</vt:lpstr>
      <vt:lpstr>_Extra_13</vt:lpstr>
      <vt:lpstr>_Extra_2</vt:lpstr>
      <vt:lpstr>_Extra_3</vt:lpstr>
      <vt:lpstr>_Extra_4</vt:lpstr>
      <vt:lpstr>_Extra_5</vt:lpstr>
      <vt:lpstr>_Extra_6</vt:lpstr>
      <vt:lpstr>_Extra_7</vt:lpstr>
      <vt:lpstr>_Extra_8</vt:lpstr>
      <vt:lpstr>_Extra_9</vt:lpstr>
      <vt:lpstr>_Extra1700</vt:lpstr>
      <vt:lpstr>_Extra1700_1</vt:lpstr>
      <vt:lpstr>_Extra1700_10</vt:lpstr>
      <vt:lpstr>_Extra1700_11</vt:lpstr>
      <vt:lpstr>_Extra1700_12</vt:lpstr>
      <vt:lpstr>_Extra1700_13</vt:lpstr>
      <vt:lpstr>_Extra1700_2</vt:lpstr>
      <vt:lpstr>_Extra1700_3</vt:lpstr>
      <vt:lpstr>_Extra1700_4</vt:lpstr>
      <vt:lpstr>_Extra1700_5</vt:lpstr>
      <vt:lpstr>_Extra1700_6</vt:lpstr>
      <vt:lpstr>_Extra1700_7</vt:lpstr>
      <vt:lpstr>_Extra1700_8</vt:lpstr>
      <vt:lpstr>_Extra1700_9</vt:lpstr>
      <vt:lpstr>_Fototherapie</vt:lpstr>
      <vt:lpstr>_Fototherapie1700</vt:lpstr>
      <vt:lpstr>_Frequentie_1</vt:lpstr>
      <vt:lpstr>_Frequentie_2</vt:lpstr>
      <vt:lpstr>_Frequentie1700_1</vt:lpstr>
      <vt:lpstr>_Frequentie1700_2</vt:lpstr>
      <vt:lpstr>_GeboorteDatum</vt:lpstr>
      <vt:lpstr>_GeboorteDatum1700</vt:lpstr>
      <vt:lpstr>_Gewicht</vt:lpstr>
      <vt:lpstr>_Gewicht1700</vt:lpstr>
      <vt:lpstr>_GlucSterkte</vt:lpstr>
      <vt:lpstr>_GlucSterkte1700</vt:lpstr>
      <vt:lpstr>_Hoeveelheid_1</vt:lpstr>
      <vt:lpstr>_Hoeveelheid_2</vt:lpstr>
      <vt:lpstr>_Hoeveelheid1700_1</vt:lpstr>
      <vt:lpstr>_Hoeveelheid1700_2</vt:lpstr>
      <vt:lpstr>_IntakePerKg</vt:lpstr>
      <vt:lpstr>_IntakePerKg1700</vt:lpstr>
      <vt:lpstr>_IntraLipid</vt:lpstr>
      <vt:lpstr>_IntraLipid1700</vt:lpstr>
      <vt:lpstr>_KCl</vt:lpstr>
      <vt:lpstr>_KCl1700</vt:lpstr>
      <vt:lpstr>_Medicament_1</vt:lpstr>
      <vt:lpstr>_Medicament_2</vt:lpstr>
      <vt:lpstr>_Medicament_3</vt:lpstr>
      <vt:lpstr>_Medicament_4</vt:lpstr>
      <vt:lpstr>_Medicament_5</vt:lpstr>
      <vt:lpstr>_Medicament_6</vt:lpstr>
      <vt:lpstr>_Medicament_7</vt:lpstr>
      <vt:lpstr>_Medicament_8</vt:lpstr>
      <vt:lpstr>_Medicament_9</vt:lpstr>
      <vt:lpstr>_Medicament1700_1</vt:lpstr>
      <vt:lpstr>_Medicament1700_2</vt:lpstr>
      <vt:lpstr>_Medicament1700_3</vt:lpstr>
      <vt:lpstr>_Medicament1700_4</vt:lpstr>
      <vt:lpstr>_Medicament1700_5</vt:lpstr>
      <vt:lpstr>_Medicament1700_6</vt:lpstr>
      <vt:lpstr>_Medicament1700_7</vt:lpstr>
      <vt:lpstr>_Medicament1700_8</vt:lpstr>
      <vt:lpstr>_Medicament1700_9</vt:lpstr>
      <vt:lpstr>_MedSterkte_1</vt:lpstr>
      <vt:lpstr>_MedSterkte_2</vt:lpstr>
      <vt:lpstr>_MedSterkte_3</vt:lpstr>
      <vt:lpstr>_MedSterkte_4</vt:lpstr>
      <vt:lpstr>_MedSterkte_5</vt:lpstr>
      <vt:lpstr>_MedSterkte_6</vt:lpstr>
      <vt:lpstr>_MedSterkte_7</vt:lpstr>
      <vt:lpstr>_MedSterkte_8</vt:lpstr>
      <vt:lpstr>_MedSterkte_9</vt:lpstr>
      <vt:lpstr>_MedSterkte1700_1</vt:lpstr>
      <vt:lpstr>_MedSterkte1700_2</vt:lpstr>
      <vt:lpstr>_MedSterkte1700_3</vt:lpstr>
      <vt:lpstr>_MedSterkte1700_4</vt:lpstr>
      <vt:lpstr>_MedSterkte1700_5</vt:lpstr>
      <vt:lpstr>_MedSterkte1700_6</vt:lpstr>
      <vt:lpstr>_MedSterkte1700_7</vt:lpstr>
      <vt:lpstr>_MedSterkte1700_8</vt:lpstr>
      <vt:lpstr>_MedSterkte1700_9</vt:lpstr>
      <vt:lpstr>_MedTekst_1</vt:lpstr>
      <vt:lpstr>_MedTekst_2</vt:lpstr>
      <vt:lpstr>_MedTekst1700_1</vt:lpstr>
      <vt:lpstr>_MedTekst1700_2</vt:lpstr>
      <vt:lpstr>_MgCl2</vt:lpstr>
      <vt:lpstr>_MgCl21700</vt:lpstr>
      <vt:lpstr>_NaCl</vt:lpstr>
      <vt:lpstr>_NaCl1700</vt:lpstr>
      <vt:lpstr>_NeoInfuusContinu1</vt:lpstr>
      <vt:lpstr>_NeoInfuusContinu10</vt:lpstr>
      <vt:lpstr>_NeoInfuusContinu11</vt:lpstr>
      <vt:lpstr>_NeoInfuusContinu12</vt:lpstr>
      <vt:lpstr>_NeoInfuusContinu13</vt:lpstr>
      <vt:lpstr>_NeoInfuusContinu14</vt:lpstr>
      <vt:lpstr>_NeoInfuusContinu15</vt:lpstr>
      <vt:lpstr>_NeoInfuusContinu16</vt:lpstr>
      <vt:lpstr>_NeoInfuusContinu17</vt:lpstr>
      <vt:lpstr>_NeoInfuusContinu1700_1</vt:lpstr>
      <vt:lpstr>_NeoInfuusContinu1700_10</vt:lpstr>
      <vt:lpstr>_NeoInfuusContinu1700_11</vt:lpstr>
      <vt:lpstr>_NeoInfuusContinu1700_12</vt:lpstr>
      <vt:lpstr>_NeoInfuusContinu1700_13</vt:lpstr>
      <vt:lpstr>_NeoInfuusContinu1700_14</vt:lpstr>
      <vt:lpstr>_NeoInfuusContinu1700_15</vt:lpstr>
      <vt:lpstr>_NeoInfuusContinu1700_16</vt:lpstr>
      <vt:lpstr>_NeoInfuusContinu1700_17</vt:lpstr>
      <vt:lpstr>_NeoInfuusContinu1700_18</vt:lpstr>
      <vt:lpstr>_NeoInfuusContinu1700_19</vt:lpstr>
      <vt:lpstr>_NeoInfuusContinu1700_2</vt:lpstr>
      <vt:lpstr>_NeoInfuusContinu1700_20</vt:lpstr>
      <vt:lpstr>_NeoInfuusContinu1700_21</vt:lpstr>
      <vt:lpstr>_NeoInfuusContinu1700_22</vt:lpstr>
      <vt:lpstr>_NeoInfuusContinu1700_23</vt:lpstr>
      <vt:lpstr>_NeoInfuusContinu1700_24</vt:lpstr>
      <vt:lpstr>_NeoInfuusContinu1700_25</vt:lpstr>
      <vt:lpstr>_NeoInfuusContinu1700_26</vt:lpstr>
      <vt:lpstr>_NeoInfuusContinu1700_27</vt:lpstr>
      <vt:lpstr>_NeoInfuusContinu1700_3</vt:lpstr>
      <vt:lpstr>_NeoInfuusContinu1700_4</vt:lpstr>
      <vt:lpstr>_NeoInfuusContinu1700_5</vt:lpstr>
      <vt:lpstr>_NeoInfuusContinu1700_6</vt:lpstr>
      <vt:lpstr>_NeoInfuusContinu1700_7</vt:lpstr>
      <vt:lpstr>_NeoInfuusContinu1700_8</vt:lpstr>
      <vt:lpstr>_NeoInfuusContinu1700_9</vt:lpstr>
      <vt:lpstr>_NeoInfuusContinu18</vt:lpstr>
      <vt:lpstr>_NeoInfuusContinu19</vt:lpstr>
      <vt:lpstr>_NeoInfuusContinu2</vt:lpstr>
      <vt:lpstr>_NeoInfuusContinu20</vt:lpstr>
      <vt:lpstr>_NeoInfuusContinu21</vt:lpstr>
      <vt:lpstr>_NeoInfuusContinu22</vt:lpstr>
      <vt:lpstr>_NeoInfuusContinu23</vt:lpstr>
      <vt:lpstr>_NeoInfuusContinu24</vt:lpstr>
      <vt:lpstr>_NeoInfuusContinu25</vt:lpstr>
      <vt:lpstr>_NeoInfuusContinu26</vt:lpstr>
      <vt:lpstr>_NeoInfuusContinu27</vt:lpstr>
      <vt:lpstr>_NeoInfuusContinu3</vt:lpstr>
      <vt:lpstr>_NeoInfuusContinu4</vt:lpstr>
      <vt:lpstr>_NeoInfuusContinu5</vt:lpstr>
      <vt:lpstr>_NeoInfuusContinu6</vt:lpstr>
      <vt:lpstr>_NeoInfuusContinu7</vt:lpstr>
      <vt:lpstr>_NeoInfuusContinu8</vt:lpstr>
      <vt:lpstr>_NeoInfuusContinu9</vt:lpstr>
      <vt:lpstr>_NeoVoeding1</vt:lpstr>
      <vt:lpstr>_NeoVoeding10</vt:lpstr>
      <vt:lpstr>_NeoVoeding11</vt:lpstr>
      <vt:lpstr>_NeoVoeding12</vt:lpstr>
      <vt:lpstr>_NeoVoeding13</vt:lpstr>
      <vt:lpstr>_NeoVoeding14</vt:lpstr>
      <vt:lpstr>_NeoVoeding15</vt:lpstr>
      <vt:lpstr>_NeoVoeding1700_1</vt:lpstr>
      <vt:lpstr>_NeoVoeding1700_10</vt:lpstr>
      <vt:lpstr>_NeoVoeding1700_11</vt:lpstr>
      <vt:lpstr>_NeoVoeding1700_12</vt:lpstr>
      <vt:lpstr>_NeoVoeding1700_13</vt:lpstr>
      <vt:lpstr>_NeoVoeding1700_14</vt:lpstr>
      <vt:lpstr>_NeoVoeding1700_15</vt:lpstr>
      <vt:lpstr>_NeoVoeding1700_2</vt:lpstr>
      <vt:lpstr>_NeoVoeding1700_3</vt:lpstr>
      <vt:lpstr>_NeoVoeding1700_4</vt:lpstr>
      <vt:lpstr>_NeoVoeding1700_5</vt:lpstr>
      <vt:lpstr>_NeoVoeding1700_6</vt:lpstr>
      <vt:lpstr>_NeoVoeding1700_7</vt:lpstr>
      <vt:lpstr>_NeoVoeding1700_8</vt:lpstr>
      <vt:lpstr>_NeoVoeding1700_9</vt:lpstr>
      <vt:lpstr>_NeoVoeding2</vt:lpstr>
      <vt:lpstr>_NeoVoeding3</vt:lpstr>
      <vt:lpstr>_NeoVoeding4</vt:lpstr>
      <vt:lpstr>_NeoVoeding5</vt:lpstr>
      <vt:lpstr>_NeoVoeding6</vt:lpstr>
      <vt:lpstr>_NeoVoeding7</vt:lpstr>
      <vt:lpstr>_NeoVoeding8</vt:lpstr>
      <vt:lpstr>_NeoVoeding9</vt:lpstr>
      <vt:lpstr>_NICUMix</vt:lpstr>
      <vt:lpstr>_NICUMix1700</vt:lpstr>
      <vt:lpstr>_OplHoev_1</vt:lpstr>
      <vt:lpstr>_OplHoev_2</vt:lpstr>
      <vt:lpstr>_OplHoev_3</vt:lpstr>
      <vt:lpstr>_OplHoev_4</vt:lpstr>
      <vt:lpstr>_OplHoev_5</vt:lpstr>
      <vt:lpstr>_OplHoev_6</vt:lpstr>
      <vt:lpstr>_OplHoev_7</vt:lpstr>
      <vt:lpstr>_OplHoev_8</vt:lpstr>
      <vt:lpstr>_OplHoev_9</vt:lpstr>
      <vt:lpstr>_OplHoev1700_1</vt:lpstr>
      <vt:lpstr>_OplHoev1700_2</vt:lpstr>
      <vt:lpstr>_OplHoev1700_3</vt:lpstr>
      <vt:lpstr>_OplHoev1700_4</vt:lpstr>
      <vt:lpstr>_OplHoev1700_5</vt:lpstr>
      <vt:lpstr>_OplHoev1700_6</vt:lpstr>
      <vt:lpstr>_OplHoev1700_7</vt:lpstr>
      <vt:lpstr>_OplHoev1700_8</vt:lpstr>
      <vt:lpstr>_OplHoev1700_9</vt:lpstr>
      <vt:lpstr>_Oplossing_1</vt:lpstr>
      <vt:lpstr>_Oplossing_10</vt:lpstr>
      <vt:lpstr>_Oplossing_11</vt:lpstr>
      <vt:lpstr>_Oplossing_12</vt:lpstr>
      <vt:lpstr>_Oplossing_2</vt:lpstr>
      <vt:lpstr>_Oplossing_3</vt:lpstr>
      <vt:lpstr>_Oplossing_4</vt:lpstr>
      <vt:lpstr>_Oplossing_5</vt:lpstr>
      <vt:lpstr>_Oplossing_6</vt:lpstr>
      <vt:lpstr>_Oplossing_7</vt:lpstr>
      <vt:lpstr>_Oplossing_8</vt:lpstr>
      <vt:lpstr>_Oplossing_9</vt:lpstr>
      <vt:lpstr>_Oplossing1700_1</vt:lpstr>
      <vt:lpstr>_Oplossing1700_10</vt:lpstr>
      <vt:lpstr>_Oplossing1700_11</vt:lpstr>
      <vt:lpstr>_Oplossing1700_12</vt:lpstr>
      <vt:lpstr>_Oplossing1700_2</vt:lpstr>
      <vt:lpstr>_Oplossing1700_3</vt:lpstr>
      <vt:lpstr>_Oplossing1700_4</vt:lpstr>
      <vt:lpstr>_Oplossing1700_5</vt:lpstr>
      <vt:lpstr>_Oplossing1700_6</vt:lpstr>
      <vt:lpstr>_Oplossing1700_7</vt:lpstr>
      <vt:lpstr>_Oplossing1700_8</vt:lpstr>
      <vt:lpstr>_Oplossing1700_9</vt:lpstr>
      <vt:lpstr>_Parenteraal</vt:lpstr>
      <vt:lpstr>_Parenteraal1700</vt:lpstr>
      <vt:lpstr>_PatNum</vt:lpstr>
      <vt:lpstr>_PatNum1700</vt:lpstr>
      <vt:lpstr>_Percentage_0</vt:lpstr>
      <vt:lpstr>_Percentage_1</vt:lpstr>
      <vt:lpstr>_Percentage_2</vt:lpstr>
      <vt:lpstr>_Percentage_3</vt:lpstr>
      <vt:lpstr>_Percentage_4</vt:lpstr>
      <vt:lpstr>_Percentage_5</vt:lpstr>
      <vt:lpstr>_Percentage_6</vt:lpstr>
      <vt:lpstr>_Percentage_7</vt:lpstr>
      <vt:lpstr>_Percentage_8</vt:lpstr>
      <vt:lpstr>_Percentage1700_0</vt:lpstr>
      <vt:lpstr>_Percentage1700_1</vt:lpstr>
      <vt:lpstr>_Percentage1700_2</vt:lpstr>
      <vt:lpstr>_Percentage1700_3</vt:lpstr>
      <vt:lpstr>_Percentage1700_4</vt:lpstr>
      <vt:lpstr>_Percentage1700_5</vt:lpstr>
      <vt:lpstr>_Percentage1700_6</vt:lpstr>
      <vt:lpstr>_Percentage1700_7</vt:lpstr>
      <vt:lpstr>_Percentage1700_8</vt:lpstr>
      <vt:lpstr>_PercentageKeuze_0</vt:lpstr>
      <vt:lpstr>_PercentageKeuze_1</vt:lpstr>
      <vt:lpstr>_PercentageKeuze_2</vt:lpstr>
      <vt:lpstr>_PercentageKeuze_3</vt:lpstr>
      <vt:lpstr>_PercentageKeuze_4</vt:lpstr>
      <vt:lpstr>_PercentageKeuze_5</vt:lpstr>
      <vt:lpstr>_PercentageKeuze_6</vt:lpstr>
      <vt:lpstr>_PercentageKeuze_7</vt:lpstr>
      <vt:lpstr>_PercentageKeuze_8</vt:lpstr>
      <vt:lpstr>_PercentageKeuze1700_0</vt:lpstr>
      <vt:lpstr>_PercentageKeuze1700_1</vt:lpstr>
      <vt:lpstr>_PercentageKeuze1700_2</vt:lpstr>
      <vt:lpstr>_PercentageKeuze1700_3</vt:lpstr>
      <vt:lpstr>_PercentageKeuze1700_4</vt:lpstr>
      <vt:lpstr>_PercentageKeuze1700_5</vt:lpstr>
      <vt:lpstr>_PercentageKeuze1700_6</vt:lpstr>
      <vt:lpstr>_PercentageKeuze1700_7</vt:lpstr>
      <vt:lpstr>_PercentageKeuze1700_8</vt:lpstr>
      <vt:lpstr>_Primene</vt:lpstr>
      <vt:lpstr>_Primene1700</vt:lpstr>
      <vt:lpstr>_SoluVit</vt:lpstr>
      <vt:lpstr>_SoluVit1700</vt:lpstr>
      <vt:lpstr>_SSTB</vt:lpstr>
      <vt:lpstr>_SSTB1700</vt:lpstr>
      <vt:lpstr>_Stand_1</vt:lpstr>
      <vt:lpstr>_Stand_10</vt:lpstr>
      <vt:lpstr>_Stand_11</vt:lpstr>
      <vt:lpstr>_Stand_12</vt:lpstr>
      <vt:lpstr>_Stand_2</vt:lpstr>
      <vt:lpstr>_Stand_3</vt:lpstr>
      <vt:lpstr>_Stand_4</vt:lpstr>
      <vt:lpstr>_Stand_5</vt:lpstr>
      <vt:lpstr>_Stand_6</vt:lpstr>
      <vt:lpstr>_Stand_7</vt:lpstr>
      <vt:lpstr>_Stand_8</vt:lpstr>
      <vt:lpstr>_Stand_9</vt:lpstr>
      <vt:lpstr>_Stand1700_1</vt:lpstr>
      <vt:lpstr>_Stand1700_10</vt:lpstr>
      <vt:lpstr>_Stand1700_11</vt:lpstr>
      <vt:lpstr>_Stand1700_12</vt:lpstr>
      <vt:lpstr>_Stand1700_2</vt:lpstr>
      <vt:lpstr>_Stand1700_3</vt:lpstr>
      <vt:lpstr>_Stand1700_4</vt:lpstr>
      <vt:lpstr>_Stand1700_5</vt:lpstr>
      <vt:lpstr>_Stand1700_6</vt:lpstr>
      <vt:lpstr>_Stand1700_7</vt:lpstr>
      <vt:lpstr>_Stand1700_8</vt:lpstr>
      <vt:lpstr>_Stand1700_9</vt:lpstr>
      <vt:lpstr>_Sterkte_1</vt:lpstr>
      <vt:lpstr>_Sterkte_2</vt:lpstr>
      <vt:lpstr>_Sterkte_3</vt:lpstr>
      <vt:lpstr>_Sterkte_4</vt:lpstr>
      <vt:lpstr>_Sterkte_5</vt:lpstr>
      <vt:lpstr>_Sterkte_6</vt:lpstr>
      <vt:lpstr>_Sterkte_7</vt:lpstr>
      <vt:lpstr>_Sterkte_8</vt:lpstr>
      <vt:lpstr>_Sterkte_9</vt:lpstr>
      <vt:lpstr>_Supervisor</vt:lpstr>
      <vt:lpstr>_Supervisor1700</vt:lpstr>
      <vt:lpstr>_Toevoeging_0</vt:lpstr>
      <vt:lpstr>_Toevoeging_1</vt:lpstr>
      <vt:lpstr>_Toevoeging_2</vt:lpstr>
      <vt:lpstr>_Toevoeging_3</vt:lpstr>
      <vt:lpstr>_Toevoeging_4</vt:lpstr>
      <vt:lpstr>_Toevoeging_5</vt:lpstr>
      <vt:lpstr>_Toevoeging_6</vt:lpstr>
      <vt:lpstr>_Toevoeging_7</vt:lpstr>
      <vt:lpstr>_Toevoeging_8</vt:lpstr>
      <vt:lpstr>_Toevoeging1700_0</vt:lpstr>
      <vt:lpstr>_Toevoeging1700_1</vt:lpstr>
      <vt:lpstr>_Toevoeging1700_2</vt:lpstr>
      <vt:lpstr>_Toevoeging1700_3</vt:lpstr>
      <vt:lpstr>_Toevoeging1700_4</vt:lpstr>
      <vt:lpstr>_Toevoeging1700_5</vt:lpstr>
      <vt:lpstr>_Toevoeging1700_6</vt:lpstr>
      <vt:lpstr>_Toevoeging1700_7</vt:lpstr>
      <vt:lpstr>_Toevoeging1700_8</vt:lpstr>
      <vt:lpstr>_Voeding</vt:lpstr>
      <vt:lpstr>_Voeding1700</vt:lpstr>
      <vt:lpstr>_VoedingBMFWaarden</vt:lpstr>
      <vt:lpstr>_VoedingToevoegingenBMF</vt:lpstr>
      <vt:lpstr>_VoedingToevoegingenKunstvoeding</vt:lpstr>
      <vt:lpstr>_VoedingToevoegingenMoedermelk</vt:lpstr>
      <vt:lpstr>_VoedingToevoegingenWaarden</vt:lpstr>
      <vt:lpstr>_VoorNaam</vt:lpstr>
      <vt:lpstr>_VoornaamNICU</vt:lpstr>
      <vt:lpstr>_VoornaamNICU1700</vt:lpstr>
      <vt:lpstr>_Weken</vt:lpstr>
      <vt:lpstr>_Weken1700</vt:lpstr>
      <vt:lpstr>_WerkbriefActueelIntravasaleToegangBreuk</vt:lpstr>
      <vt:lpstr>_WerkbriefActueelIntravasaleToegangGeheel</vt:lpstr>
      <vt:lpstr>_WerkbriefActueelIntravasaleToegangStand</vt:lpstr>
      <vt:lpstr>_WerkbriefActueelIntravasaleToegangTekst</vt:lpstr>
      <vt:lpstr>_WerkbriefActueelTPNCaClBreuk</vt:lpstr>
      <vt:lpstr>_WerkbriefActueelTPNCaClGeheel</vt:lpstr>
      <vt:lpstr>_WerkbriefActueelTPNCaClTekst</vt:lpstr>
      <vt:lpstr>_WerkbriefActueelTPNGlucBreuk</vt:lpstr>
      <vt:lpstr>_WerkbriefActueelTPNGlucGeheel</vt:lpstr>
      <vt:lpstr>_WerkbriefActueelTPNGlucTekst</vt:lpstr>
      <vt:lpstr>_WerkbriefActueelTPNKacetaatBreuk</vt:lpstr>
      <vt:lpstr>_WerkbriefActueelTPNKacetaatGeheel</vt:lpstr>
      <vt:lpstr>_WerkbriefActueelTPNKacetaatTekst</vt:lpstr>
      <vt:lpstr>_WerkbriefActueelTPNMgClBreuk</vt:lpstr>
      <vt:lpstr>_WerkbriefActueelTPNMgClGeheel</vt:lpstr>
      <vt:lpstr>_WerkbriefActueelTPNMgClTekst</vt:lpstr>
      <vt:lpstr>_WerkbriefActueelTPNNaClBreuk</vt:lpstr>
      <vt:lpstr>_WerkbriefActueelTPNNaClGeheel</vt:lpstr>
      <vt:lpstr>_WerkbriefActueelTPNNaCLTekst</vt:lpstr>
      <vt:lpstr>_WerkbriefActueelTPNNICUmixBreuk</vt:lpstr>
      <vt:lpstr>_WerkbriefActueelTPNNICUmixGeheel</vt:lpstr>
      <vt:lpstr>_WerkbriefActueelTPNNICUmixTekst</vt:lpstr>
      <vt:lpstr>_WerkbriefActueelTPNPrimeneBreuk</vt:lpstr>
      <vt:lpstr>_WerkbriefActueelTPNPrimeneGeheel</vt:lpstr>
      <vt:lpstr>_WerkbriefActueelTPNPrimeneTekst</vt:lpstr>
      <vt:lpstr>_WerkbriefActueelTPNSamBBreuk</vt:lpstr>
      <vt:lpstr>_WerkbriefActueelTPNSamBGeheel</vt:lpstr>
      <vt:lpstr>_WerkbriefActueelTPNSamBTekst</vt:lpstr>
      <vt:lpstr>_WerkbriefActueelTPNSoluvitBreuk</vt:lpstr>
      <vt:lpstr>_WerkbriefActueelTPNSoluvitGeheel</vt:lpstr>
      <vt:lpstr>_WerkbriefActueelTPNSoluvitTekst</vt:lpstr>
      <vt:lpstr>_WerkbriefActueelTPNStand</vt:lpstr>
      <vt:lpstr>_WerkbriefActueelTPNTotaalBreuk</vt:lpstr>
      <vt:lpstr>_WerkbriefActueelTPNTotaalGeheel</vt:lpstr>
      <vt:lpstr>_WerkbriefIntravasaleToegangBreuk</vt:lpstr>
      <vt:lpstr>_WerkbriefIntravasaleToegangGeheel</vt:lpstr>
      <vt:lpstr>_WerkbriefIntravasaleToegangStand</vt:lpstr>
      <vt:lpstr>_WerkbriefIntravasaleToegangTekst</vt:lpstr>
      <vt:lpstr>_WerkbriefTPNCaClBreuk</vt:lpstr>
      <vt:lpstr>_WerkbriefTPNCaClGeheel</vt:lpstr>
      <vt:lpstr>_WerkbriefTPNCaClTekst</vt:lpstr>
      <vt:lpstr>_WerkbriefTPNGlucBreuk</vt:lpstr>
      <vt:lpstr>_WerkbriefTPNGlucGeheel</vt:lpstr>
      <vt:lpstr>_WerkbriefTPNGlucTekst</vt:lpstr>
      <vt:lpstr>_WerkbriefTPNKacetaatBreuk</vt:lpstr>
      <vt:lpstr>_WerkbriefTPNKacetaatGeheel</vt:lpstr>
      <vt:lpstr>_WerkbriefTPNKacetaatTekst</vt:lpstr>
      <vt:lpstr>_WerkbriefTPNMgClBreuk</vt:lpstr>
      <vt:lpstr>_WerkbriefTPNMgClGeheel</vt:lpstr>
      <vt:lpstr>_WerkbriefTPNMgClTekst</vt:lpstr>
      <vt:lpstr>_WerkbriefTPNNaClBreuk</vt:lpstr>
      <vt:lpstr>_WerkbriefTPNNaClGeheel</vt:lpstr>
      <vt:lpstr>_WerkbriefTPNNaCLTekst</vt:lpstr>
      <vt:lpstr>_WerkbriefTPNNICUmixBreuk</vt:lpstr>
      <vt:lpstr>_WerkbriefTPNNICUmixGeheel</vt:lpstr>
      <vt:lpstr>_WerkbriefTPNNICUmixTekst</vt:lpstr>
      <vt:lpstr>_WerkbriefTPNPrimeneBreuk</vt:lpstr>
      <vt:lpstr>_WerkbriefTPNPrimeneGeheel</vt:lpstr>
      <vt:lpstr>_WerkbriefTPNPrimeneTekst</vt:lpstr>
      <vt:lpstr>_WerkbriefTPNSamBBreuk</vt:lpstr>
      <vt:lpstr>_WerkbriefTPNSamBGeheel</vt:lpstr>
      <vt:lpstr>_WerkbriefTPNSamBTekst</vt:lpstr>
      <vt:lpstr>_WerkbriefTPNSoluvitBreuk</vt:lpstr>
      <vt:lpstr>_WerkbriefTPNSoluvitGeheel</vt:lpstr>
      <vt:lpstr>_WerkbriefTPNSoluvitTekst</vt:lpstr>
      <vt:lpstr>_WerkbriefTPNStand</vt:lpstr>
      <vt:lpstr>_WerkbriefTPNTotaalBreuk</vt:lpstr>
      <vt:lpstr>_WerkbriefTPNTotaalGeheel</vt:lpstr>
      <vt:lpstr>Aanvullend_aEEG</vt:lpstr>
      <vt:lpstr>Aanvullend_LiquorDrainSub1</vt:lpstr>
      <vt:lpstr>Aanvullend_NIBD</vt:lpstr>
      <vt:lpstr>Aanvullend_Overige_Ped</vt:lpstr>
      <vt:lpstr>Aanvullend_PerPeriode</vt:lpstr>
      <vt:lpstr>Aanvullend_ThoraxDrainSub1</vt:lpstr>
      <vt:lpstr>Aanvullend_ThoraxDrainSub2</vt:lpstr>
      <vt:lpstr>Aanvullend_ThoraxDrainSub3</vt:lpstr>
      <vt:lpstr>Aanvullend_Verliezen_Ped</vt:lpstr>
      <vt:lpstr>Aanvullend_Vertrektijden</vt:lpstr>
      <vt:lpstr>Aanvullend_Verwijderen</vt:lpstr>
      <vt:lpstr>Aanvullend_WondkweekTekst</vt:lpstr>
      <vt:lpstr>AanvullendNeoBool_aEEG</vt:lpstr>
      <vt:lpstr>AanvullendNeoBool_ArmLinks</vt:lpstr>
      <vt:lpstr>AanvullendNeoBool_ArmRechts</vt:lpstr>
      <vt:lpstr>AanvullendNeoBool_BeenLinks</vt:lpstr>
      <vt:lpstr>AanvullendNeoBool_BeenRechts</vt:lpstr>
      <vt:lpstr>AanvullendNeoBool_Bloedkweek</vt:lpstr>
      <vt:lpstr>AanvullendNeoBool_CatheterDemeure</vt:lpstr>
      <vt:lpstr>AanvullendNeoBool_CT</vt:lpstr>
      <vt:lpstr>AanvullendNeoBool_ECG</vt:lpstr>
      <vt:lpstr>AanvullendNeoBool_EchoBuik</vt:lpstr>
      <vt:lpstr>AanvullendNeoBool_EchoHart</vt:lpstr>
      <vt:lpstr>AanvullendNeoBool_FaecesBacterieel</vt:lpstr>
      <vt:lpstr>AanvullendNeoBool_Faeceskweek</vt:lpstr>
      <vt:lpstr>AanvullendNeoBool_FaecesRotaAdeno</vt:lpstr>
      <vt:lpstr>AanvullendNeoBool_FaecesSchimmelGist</vt:lpstr>
      <vt:lpstr>AanvullendNeoBool_FaecesViraal</vt:lpstr>
      <vt:lpstr>AanvullendNeoBool_Finnigan</vt:lpstr>
      <vt:lpstr>AanvullendNeoBool_Fototherapie</vt:lpstr>
      <vt:lpstr>AanvullendNeoBool_FototherapieStop</vt:lpstr>
      <vt:lpstr>AanvullendNeoBool_Gatrostoma</vt:lpstr>
      <vt:lpstr>AanvullendNeoBool_Gewicht</vt:lpstr>
      <vt:lpstr>AanvullendNeoBool_InfuusOpSlot</vt:lpstr>
      <vt:lpstr>AanvullendNeoBool_InfuusUit</vt:lpstr>
      <vt:lpstr>AanvullendNeoBool_Keelkweek</vt:lpstr>
      <vt:lpstr>AanvullendNeoBool_Lengte</vt:lpstr>
      <vt:lpstr>AanvullendNeoBool_Liquor</vt:lpstr>
      <vt:lpstr>AanvullendNeoBool_MaagsondeOpenHoog</vt:lpstr>
      <vt:lpstr>AanvullendNeoBool_Monitor</vt:lpstr>
      <vt:lpstr>AanvullendNeoBool_MRI</vt:lpstr>
      <vt:lpstr>AanvullendNeoBool_Neusspoelsel</vt:lpstr>
      <vt:lpstr>AanvullendNeoBool_NeusspoelselViraal</vt:lpstr>
      <vt:lpstr>AanvullendNeoBool_NIBD</vt:lpstr>
      <vt:lpstr>AanvullendNeoBool_NIBDAll</vt:lpstr>
      <vt:lpstr>AanvullendNeoBool_NIRS1</vt:lpstr>
      <vt:lpstr>AanvullendNeoBool_NIRS2</vt:lpstr>
      <vt:lpstr>AanvullendNeoBool_NIRSnier</vt:lpstr>
      <vt:lpstr>AanvullendNeoBool_OntslagAkkoord</vt:lpstr>
      <vt:lpstr>AanvullendNeoBool_OntslagInOverleg</vt:lpstr>
      <vt:lpstr>AanvullendNeoBool_OntslagNaVisite</vt:lpstr>
      <vt:lpstr>AanvullendNeoBool_Opnamekweken</vt:lpstr>
      <vt:lpstr>AanvullendNeoBool_OppervlakteGistSchimmel</vt:lpstr>
      <vt:lpstr>AanvullendNeoBool_Oppervlaktekweken</vt:lpstr>
      <vt:lpstr>AanvullendNeoBool_OppervlakteOpname</vt:lpstr>
      <vt:lpstr>AanvullendNeoBool_Pacemakerdraden</vt:lpstr>
      <vt:lpstr>AanvullendNeoBool_Peritoneaal</vt:lpstr>
      <vt:lpstr>AanvullendNeoBool_PeritoneaalVacuum</vt:lpstr>
      <vt:lpstr>AanvullendNeoBool_Pigtail</vt:lpstr>
      <vt:lpstr>AanvullendNeoBool_PigtailVacuum</vt:lpstr>
      <vt:lpstr>AanvullendNeoBool_Redon</vt:lpstr>
      <vt:lpstr>AanvullendNeoBool_RedonVacuum</vt:lpstr>
      <vt:lpstr>AanvullendNeoBool_Rickham</vt:lpstr>
      <vt:lpstr>AanvullendNeoBool_RS</vt:lpstr>
      <vt:lpstr>AanvullendNeoBool_RSdiagnostiek</vt:lpstr>
      <vt:lpstr>AanvullendNeoBool_SaturatiePost</vt:lpstr>
      <vt:lpstr>AanvullendNeoBool_SaturatiePre</vt:lpstr>
      <vt:lpstr>AanvullendNeoBool_Schedel</vt:lpstr>
      <vt:lpstr>AanvullendNeoBool_SputumBacterieel</vt:lpstr>
      <vt:lpstr>AanvullendNeoBool_Sputumkweek</vt:lpstr>
      <vt:lpstr>AanvullendNeoBool_SputumUreaplasmaMycoplasma</vt:lpstr>
      <vt:lpstr>AanvullendNeoBool_SputumViraal</vt:lpstr>
      <vt:lpstr>AanvullendNeoBool_Thorax1</vt:lpstr>
      <vt:lpstr>AanvullendNeoBool_Thorax2</vt:lpstr>
      <vt:lpstr>AanvullendNeoBool_Thorax3</vt:lpstr>
      <vt:lpstr>AanvullendNeoBool_Uitzuigkweek</vt:lpstr>
      <vt:lpstr>AanvullendNeoBool_Urine</vt:lpstr>
      <vt:lpstr>AanvullendNeoBool_Urine24uur</vt:lpstr>
      <vt:lpstr>AanvullendNeoBool_UrineCMV</vt:lpstr>
      <vt:lpstr>AanvullendNeoBool_Urinekweek</vt:lpstr>
      <vt:lpstr>AanvullendNeoBool_UrinekweekBacterieel</vt:lpstr>
      <vt:lpstr>AanvullendNeoBool_UrineMetabool</vt:lpstr>
      <vt:lpstr>AanvullendNeoBool_UrineNatriumKalium</vt:lpstr>
      <vt:lpstr>AanvullendNeoBool_UrineRchitis</vt:lpstr>
      <vt:lpstr>AanvullendNeoBool_UrineSediment</vt:lpstr>
      <vt:lpstr>AanvullendNeoBool_UrineSedimentKweek</vt:lpstr>
      <vt:lpstr>AanvullendNeoBool_UrineSedimentMaWoVr</vt:lpstr>
      <vt:lpstr>AanvullendNeoBool_Urostoma</vt:lpstr>
      <vt:lpstr>AanvullendNeoBool_Verliezen</vt:lpstr>
      <vt:lpstr>AanvullendNeoBool_VerliezenFFP</vt:lpstr>
      <vt:lpstr>AanvullendNeoBool_VerliezenNaCl</vt:lpstr>
      <vt:lpstr>AanvullendNeoBool_VerliezenRingerslactaat</vt:lpstr>
      <vt:lpstr>AanvullendNeoBool_Verwijderen</vt:lpstr>
      <vt:lpstr>AanvullendNeoBool_VerwijderenCAD</vt:lpstr>
      <vt:lpstr>AanvullendNeoBool_VerwijderenNVL</vt:lpstr>
      <vt:lpstr>AanvullendNeoBool_VerwijderenPAL</vt:lpstr>
      <vt:lpstr>AanvullendNeoBool_VerwijderenSilastic</vt:lpstr>
      <vt:lpstr>AanvullendNeoBool_Vochtbalans</vt:lpstr>
      <vt:lpstr>AanvullendNeoBool_XBOZ</vt:lpstr>
      <vt:lpstr>AanvullendNeoBool_XThorax</vt:lpstr>
      <vt:lpstr>AanvullendNeoData_AantalLampen</vt:lpstr>
      <vt:lpstr>AanvullendNeoData_aEEG</vt:lpstr>
      <vt:lpstr>AanvullendNeoData_GewichtFrequentie</vt:lpstr>
      <vt:lpstr>AanvullendNeoData_GewichtPer</vt:lpstr>
      <vt:lpstr>AanvullendNeoData_LengteFrequentie</vt:lpstr>
      <vt:lpstr>AanvullendNeoData_LengtePer</vt:lpstr>
      <vt:lpstr>AanvullendNeoData_LiquorHoogte</vt:lpstr>
      <vt:lpstr>AanvullendNeoData_LiquorSub</vt:lpstr>
      <vt:lpstr>AanvullendNeoData_NIBDdd</vt:lpstr>
      <vt:lpstr>AanvullendNeoData_Rickhamdd</vt:lpstr>
      <vt:lpstr>AanvullendNeoData_Rickhamml</vt:lpstr>
      <vt:lpstr>AanvullendNeoData_SchedelFrequentie</vt:lpstr>
      <vt:lpstr>AanvullendNeoData_SchedelPer</vt:lpstr>
      <vt:lpstr>AanvullendNeoData_Thorax1Sub1</vt:lpstr>
      <vt:lpstr>AanvullendNeoData_Thorax1Sub2</vt:lpstr>
      <vt:lpstr>AanvullendNeoData_Thorax1Sub3</vt:lpstr>
      <vt:lpstr>AanvullendNeoData_Thorax2Sub1</vt:lpstr>
      <vt:lpstr>AanvullendNeoData_Thorax2Sub2</vt:lpstr>
      <vt:lpstr>AanvullendNeoData_Thorax2Sub3</vt:lpstr>
      <vt:lpstr>AanvullendNeoData_Thorax3Sub1</vt:lpstr>
      <vt:lpstr>AanvullendNeoData_Thorax3Sub2</vt:lpstr>
      <vt:lpstr>AanvullendNeoData_Thorax3Sub3</vt:lpstr>
      <vt:lpstr>AanvullendNeoData_VerliezenFrequentie</vt:lpstr>
      <vt:lpstr>AanvullendNeoData_Vertrek</vt:lpstr>
      <vt:lpstr>AanvullendNeoData_Wondkweek</vt:lpstr>
      <vt:lpstr>AanvullendPedBool_ArmLinks</vt:lpstr>
      <vt:lpstr>AanvullendPedBool_ArmRechts</vt:lpstr>
      <vt:lpstr>AanvullendPedBool_BeenLinks</vt:lpstr>
      <vt:lpstr>AanvullendPedBool_BeenRechts</vt:lpstr>
      <vt:lpstr>AanvullendPedBool_Buik</vt:lpstr>
      <vt:lpstr>AanvullendPedBool_Catheter</vt:lpstr>
      <vt:lpstr>AanvullendPedBool_CFM</vt:lpstr>
      <vt:lpstr>AanvullendPedBool_Duodenumsonde</vt:lpstr>
      <vt:lpstr>AanvullendPedBool_ECG</vt:lpstr>
      <vt:lpstr>AanvullendPedBool_Gastrostoma</vt:lpstr>
      <vt:lpstr>AanvullendPedBool_GCS</vt:lpstr>
      <vt:lpstr>AanvullendPedBool_Gewicht</vt:lpstr>
      <vt:lpstr>AanvullendPedBool_HardeKraag</vt:lpstr>
      <vt:lpstr>AanvullendPedBool_Headblocks</vt:lpstr>
      <vt:lpstr>AanvullendPedBool_ICP</vt:lpstr>
      <vt:lpstr>AanvullendPedBool_Lengte</vt:lpstr>
      <vt:lpstr>AanvullendPedBool_Liquor</vt:lpstr>
      <vt:lpstr>AanvullendPedBool_Maagretentie</vt:lpstr>
      <vt:lpstr>AanvullendPedBool_Maagsonde</vt:lpstr>
      <vt:lpstr>AanvullendPedBool_NIBD</vt:lpstr>
      <vt:lpstr>AanvullendPedBool_NIBDAlle</vt:lpstr>
      <vt:lpstr>AanvullendPedBool_NIRS1</vt:lpstr>
      <vt:lpstr>AanvullendPedBool_NIRS2</vt:lpstr>
      <vt:lpstr>AanvullendPedBool_PEG</vt:lpstr>
      <vt:lpstr>AanvullendPedBool_Peritoneaal</vt:lpstr>
      <vt:lpstr>AanvullendPedBool_PeritoneaalVacuum</vt:lpstr>
      <vt:lpstr>AanvullendPedBool_Pigtail</vt:lpstr>
      <vt:lpstr>AanvullendPedBool_PigtailVacuum</vt:lpstr>
      <vt:lpstr>AanvullendPedBool_Pupil</vt:lpstr>
      <vt:lpstr>AanvullendPedBool_Redon</vt:lpstr>
      <vt:lpstr>AanvullendPedBool_RedonVacuum</vt:lpstr>
      <vt:lpstr>AanvullendPedBool_SaturatiePost</vt:lpstr>
      <vt:lpstr>AanvullendPedBool_SaturatiePre</vt:lpstr>
      <vt:lpstr>AanvullendPedBool_Schedel</vt:lpstr>
      <vt:lpstr>AanvullendPedBool_Sedatie</vt:lpstr>
      <vt:lpstr>AanvullendPedBool_Thorax1</vt:lpstr>
      <vt:lpstr>AanvullendPedBool_Thorax2</vt:lpstr>
      <vt:lpstr>AanvullendPedBool_Thorax3</vt:lpstr>
      <vt:lpstr>AanvullendPedBool_TOSCA</vt:lpstr>
      <vt:lpstr>AanvullendPedBool_Urostoma</vt:lpstr>
      <vt:lpstr>AanvullendPedBool_Verliezen</vt:lpstr>
      <vt:lpstr>AanvullendPedBool_ZachteKraag</vt:lpstr>
      <vt:lpstr>AanvullendPedData_GCSdd</vt:lpstr>
      <vt:lpstr>AanvullendPedData_GewichtFrequentie</vt:lpstr>
      <vt:lpstr>AanvullendPedData_GewichtPer</vt:lpstr>
      <vt:lpstr>AanvullendPedData_LengteFrequentie</vt:lpstr>
      <vt:lpstr>AanvullendPedData_LengtePer</vt:lpstr>
      <vt:lpstr>AanvullendPedData_LiquorHoogte</vt:lpstr>
      <vt:lpstr>AanvullendPedData_LiquorSub</vt:lpstr>
      <vt:lpstr>AanvullendPedData_MaagretentieUur</vt:lpstr>
      <vt:lpstr>AanvullendPedData_NIBDdd</vt:lpstr>
      <vt:lpstr>AanvullendPedData_Overig</vt:lpstr>
      <vt:lpstr>AanvullendPedData_SchedelFrequentie</vt:lpstr>
      <vt:lpstr>AanvullendPedData_SchedelPer</vt:lpstr>
      <vt:lpstr>AanvullendPedData_Thorax1Sub1</vt:lpstr>
      <vt:lpstr>AanvullendPedData_Thorax1Sub2</vt:lpstr>
      <vt:lpstr>AanvullendPedData_Thorax1Sub3</vt:lpstr>
      <vt:lpstr>AanvullendPedData_Thorax2Sub1</vt:lpstr>
      <vt:lpstr>AanvullendPedData_Thorax2Sub2</vt:lpstr>
      <vt:lpstr>AanvullendPedData_Thorax2Sub3</vt:lpstr>
      <vt:lpstr>AanvullendPedData_Thorax3Sub1</vt:lpstr>
      <vt:lpstr>AanvullendPedData_Thorax3Sub2</vt:lpstr>
      <vt:lpstr>AanvullendPedData_Thorax3Sub3</vt:lpstr>
      <vt:lpstr>AanvullendPedData_VerliezenStof</vt:lpstr>
      <vt:lpstr>AanvullendPedData_VerliezenUur</vt:lpstr>
      <vt:lpstr>AfspraakDatum</vt:lpstr>
      <vt:lpstr>AfsprakenVersie</vt:lpstr>
      <vt:lpstr>BedNummer</vt:lpstr>
      <vt:lpstr>CaGluc</vt:lpstr>
      <vt:lpstr>CaGlucVol</vt:lpstr>
      <vt:lpstr>Comfort</vt:lpstr>
      <vt:lpstr>Dag</vt:lpstr>
      <vt:lpstr>dbPatientSave</vt:lpstr>
      <vt:lpstr>Dos</vt:lpstr>
      <vt:lpstr>DosHoev_1</vt:lpstr>
      <vt:lpstr>DosHoev_10</vt:lpstr>
      <vt:lpstr>DosHoev_11</vt:lpstr>
      <vt:lpstr>DosHoev_12</vt:lpstr>
      <vt:lpstr>DosHoev_13</vt:lpstr>
      <vt:lpstr>DosHoev_14</vt:lpstr>
      <vt:lpstr>DosHoev_15</vt:lpstr>
      <vt:lpstr>DosHoev_16</vt:lpstr>
      <vt:lpstr>DosHoev_17</vt:lpstr>
      <vt:lpstr>DosHoev_18</vt:lpstr>
      <vt:lpstr>DosHoev_19</vt:lpstr>
      <vt:lpstr>DosHoev_2</vt:lpstr>
      <vt:lpstr>DosHoev_20</vt:lpstr>
      <vt:lpstr>DosHoev_21</vt:lpstr>
      <vt:lpstr>DosHoev_22</vt:lpstr>
      <vt:lpstr>DosHoev_23</vt:lpstr>
      <vt:lpstr>DosHoev_24</vt:lpstr>
      <vt:lpstr>DosHoev_25</vt:lpstr>
      <vt:lpstr>DosHoev_26</vt:lpstr>
      <vt:lpstr>DosHoev_27</vt:lpstr>
      <vt:lpstr>DosHoev_28</vt:lpstr>
      <vt:lpstr>DosHoev_29</vt:lpstr>
      <vt:lpstr>DosHoev_3</vt:lpstr>
      <vt:lpstr>DosHoev_30</vt:lpstr>
      <vt:lpstr>DosHoev_4</vt:lpstr>
      <vt:lpstr>DosHoev_5</vt:lpstr>
      <vt:lpstr>DosHoev_6</vt:lpstr>
      <vt:lpstr>DosHoev_7</vt:lpstr>
      <vt:lpstr>DosHoev_8</vt:lpstr>
      <vt:lpstr>DosHoev_9</vt:lpstr>
      <vt:lpstr>Eenheid_1</vt:lpstr>
      <vt:lpstr>Eenheid_10</vt:lpstr>
      <vt:lpstr>Eenheid_11</vt:lpstr>
      <vt:lpstr>Eenheid_12</vt:lpstr>
      <vt:lpstr>Eenheid_13</vt:lpstr>
      <vt:lpstr>Eenheid_14</vt:lpstr>
      <vt:lpstr>Eenheid_15</vt:lpstr>
      <vt:lpstr>Eenheid_16</vt:lpstr>
      <vt:lpstr>Eenheid_17</vt:lpstr>
      <vt:lpstr>Eenheid_18</vt:lpstr>
      <vt:lpstr>Eenheid_19</vt:lpstr>
      <vt:lpstr>Eenheid_2</vt:lpstr>
      <vt:lpstr>Eenheid_20</vt:lpstr>
      <vt:lpstr>Eenheid_21</vt:lpstr>
      <vt:lpstr>Eenheid_22</vt:lpstr>
      <vt:lpstr>Eenheid_23</vt:lpstr>
      <vt:lpstr>Eenheid_24</vt:lpstr>
      <vt:lpstr>Eenheid_25</vt:lpstr>
      <vt:lpstr>Eenheid_26</vt:lpstr>
      <vt:lpstr>Eenheid_27</vt:lpstr>
      <vt:lpstr>Eenheid_28</vt:lpstr>
      <vt:lpstr>Eenheid_29</vt:lpstr>
      <vt:lpstr>Eenheid_3</vt:lpstr>
      <vt:lpstr>Eenheid_30</vt:lpstr>
      <vt:lpstr>Eenheid_4</vt:lpstr>
      <vt:lpstr>Eenheid_5</vt:lpstr>
      <vt:lpstr>Eenheid_6</vt:lpstr>
      <vt:lpstr>Eenheid_7</vt:lpstr>
      <vt:lpstr>Eenheid_8</vt:lpstr>
      <vt:lpstr>Eenheid_9</vt:lpstr>
      <vt:lpstr>FaktorLijst</vt:lpstr>
      <vt:lpstr>FreqPO_1</vt:lpstr>
      <vt:lpstr>FreqPO_2</vt:lpstr>
      <vt:lpstr>FreqPO_3</vt:lpstr>
      <vt:lpstr>FreqPO_4</vt:lpstr>
      <vt:lpstr>GebDatum</vt:lpstr>
      <vt:lpstr>Generic_1</vt:lpstr>
      <vt:lpstr>Generic_10</vt:lpstr>
      <vt:lpstr>Generic_11</vt:lpstr>
      <vt:lpstr>Generic_12</vt:lpstr>
      <vt:lpstr>Generic_13</vt:lpstr>
      <vt:lpstr>Generic_14</vt:lpstr>
      <vt:lpstr>Generic_15</vt:lpstr>
      <vt:lpstr>Generic_16</vt:lpstr>
      <vt:lpstr>Generic_17</vt:lpstr>
      <vt:lpstr>Generic_18</vt:lpstr>
      <vt:lpstr>Generic_19</vt:lpstr>
      <vt:lpstr>Generic_2</vt:lpstr>
      <vt:lpstr>Generic_20</vt:lpstr>
      <vt:lpstr>Generic_21</vt:lpstr>
      <vt:lpstr>Generic_22</vt:lpstr>
      <vt:lpstr>Generic_23</vt:lpstr>
      <vt:lpstr>Generic_24</vt:lpstr>
      <vt:lpstr>Generic_25</vt:lpstr>
      <vt:lpstr>Generic_26</vt:lpstr>
      <vt:lpstr>Generic_27</vt:lpstr>
      <vt:lpstr>Generic_28</vt:lpstr>
      <vt:lpstr>Generic_29</vt:lpstr>
      <vt:lpstr>Generic_3</vt:lpstr>
      <vt:lpstr>Generic_30</vt:lpstr>
      <vt:lpstr>Generic_4</vt:lpstr>
      <vt:lpstr>Generic_5</vt:lpstr>
      <vt:lpstr>Generic_6</vt:lpstr>
      <vt:lpstr>Generic_7</vt:lpstr>
      <vt:lpstr>Generic_8</vt:lpstr>
      <vt:lpstr>Generic_9</vt:lpstr>
      <vt:lpstr>Gewicht</vt:lpstr>
      <vt:lpstr>Indicatie_1</vt:lpstr>
      <vt:lpstr>Indicatie_10</vt:lpstr>
      <vt:lpstr>Indicatie_11</vt:lpstr>
      <vt:lpstr>Indicatie_12</vt:lpstr>
      <vt:lpstr>Indicatie_13</vt:lpstr>
      <vt:lpstr>Indicatie_14</vt:lpstr>
      <vt:lpstr>Indicatie_15</vt:lpstr>
      <vt:lpstr>Indicatie_16</vt:lpstr>
      <vt:lpstr>Indicatie_17</vt:lpstr>
      <vt:lpstr>Indicatie_18</vt:lpstr>
      <vt:lpstr>Indicatie_19</vt:lpstr>
      <vt:lpstr>Indicatie_2</vt:lpstr>
      <vt:lpstr>Indicatie_20</vt:lpstr>
      <vt:lpstr>Indicatie_21</vt:lpstr>
      <vt:lpstr>Indicatie_22</vt:lpstr>
      <vt:lpstr>Indicatie_23</vt:lpstr>
      <vt:lpstr>Indicatie_24</vt:lpstr>
      <vt:lpstr>Indicatie_25</vt:lpstr>
      <vt:lpstr>Indicatie_26</vt:lpstr>
      <vt:lpstr>Indicatie_27</vt:lpstr>
      <vt:lpstr>Indicatie_28</vt:lpstr>
      <vt:lpstr>Indicatie_29</vt:lpstr>
      <vt:lpstr>Indicatie_3</vt:lpstr>
      <vt:lpstr>Indicatie_30</vt:lpstr>
      <vt:lpstr>Indicatie_4</vt:lpstr>
      <vt:lpstr>Indicatie_5</vt:lpstr>
      <vt:lpstr>Indicatie_6</vt:lpstr>
      <vt:lpstr>Indicatie_7</vt:lpstr>
      <vt:lpstr>Indicatie_8</vt:lpstr>
      <vt:lpstr>Indicatie_9</vt:lpstr>
      <vt:lpstr>Infuus_1</vt:lpstr>
      <vt:lpstr>Infuus_2</vt:lpstr>
      <vt:lpstr>Infuus_3</vt:lpstr>
      <vt:lpstr>Infuus_4</vt:lpstr>
      <vt:lpstr>Infuus_5</vt:lpstr>
      <vt:lpstr>Infuus_6</vt:lpstr>
      <vt:lpstr>KCl</vt:lpstr>
      <vt:lpstr>KCl_2</vt:lpstr>
      <vt:lpstr>KClVol</vt:lpstr>
      <vt:lpstr>KClVol_2</vt:lpstr>
      <vt:lpstr>KeuzePO_1</vt:lpstr>
      <vt:lpstr>KeuzePO_2</vt:lpstr>
      <vt:lpstr>KeuzePO_3</vt:lpstr>
      <vt:lpstr>KeuzePO_4</vt:lpstr>
      <vt:lpstr>KNaFosfaat</vt:lpstr>
      <vt:lpstr>KNaFosfaatVol</vt:lpstr>
      <vt:lpstr>Lab_Data</vt:lpstr>
      <vt:lpstr>Lab14_1</vt:lpstr>
      <vt:lpstr>Lab14_10</vt:lpstr>
      <vt:lpstr>Lab14_11</vt:lpstr>
      <vt:lpstr>Lab14_12</vt:lpstr>
      <vt:lpstr>Lab14_13</vt:lpstr>
      <vt:lpstr>Lab14_14</vt:lpstr>
      <vt:lpstr>Lab14_15</vt:lpstr>
      <vt:lpstr>Lab14_16</vt:lpstr>
      <vt:lpstr>Lab14_17</vt:lpstr>
      <vt:lpstr>Lab14_18</vt:lpstr>
      <vt:lpstr>Lab14_19</vt:lpstr>
      <vt:lpstr>Lab14_2</vt:lpstr>
      <vt:lpstr>Lab14_20</vt:lpstr>
      <vt:lpstr>Lab14_21</vt:lpstr>
      <vt:lpstr>Lab14_22</vt:lpstr>
      <vt:lpstr>Lab14_23</vt:lpstr>
      <vt:lpstr>Lab14_24</vt:lpstr>
      <vt:lpstr>Lab14_25</vt:lpstr>
      <vt:lpstr>Lab14_26</vt:lpstr>
      <vt:lpstr>Lab14_27</vt:lpstr>
      <vt:lpstr>Lab14_28</vt:lpstr>
      <vt:lpstr>Lab14_29</vt:lpstr>
      <vt:lpstr>Lab14_3</vt:lpstr>
      <vt:lpstr>Lab14_30</vt:lpstr>
      <vt:lpstr>Lab14_31</vt:lpstr>
      <vt:lpstr>Lab14_4</vt:lpstr>
      <vt:lpstr>Lab14_5</vt:lpstr>
      <vt:lpstr>Lab14_6</vt:lpstr>
      <vt:lpstr>Lab14_7</vt:lpstr>
      <vt:lpstr>Lab14_8</vt:lpstr>
      <vt:lpstr>Lab14_9</vt:lpstr>
      <vt:lpstr>Lab19_1</vt:lpstr>
      <vt:lpstr>Lab19_10</vt:lpstr>
      <vt:lpstr>Lab19_11</vt:lpstr>
      <vt:lpstr>Lab19_12</vt:lpstr>
      <vt:lpstr>Lab19_13</vt:lpstr>
      <vt:lpstr>Lab19_14</vt:lpstr>
      <vt:lpstr>Lab19_15</vt:lpstr>
      <vt:lpstr>Lab19_16</vt:lpstr>
      <vt:lpstr>Lab19_17</vt:lpstr>
      <vt:lpstr>Lab19_18</vt:lpstr>
      <vt:lpstr>Lab19_19</vt:lpstr>
      <vt:lpstr>Lab19_2</vt:lpstr>
      <vt:lpstr>Lab19_20</vt:lpstr>
      <vt:lpstr>Lab19_21</vt:lpstr>
      <vt:lpstr>Lab19_22</vt:lpstr>
      <vt:lpstr>Lab19_23</vt:lpstr>
      <vt:lpstr>Lab19_24</vt:lpstr>
      <vt:lpstr>Lab19_25</vt:lpstr>
      <vt:lpstr>Lab19_26</vt:lpstr>
      <vt:lpstr>Lab19_27</vt:lpstr>
      <vt:lpstr>Lab19_28</vt:lpstr>
      <vt:lpstr>Lab19_29</vt:lpstr>
      <vt:lpstr>Lab19_3</vt:lpstr>
      <vt:lpstr>Lab19_30</vt:lpstr>
      <vt:lpstr>Lab19_31</vt:lpstr>
      <vt:lpstr>Lab19_32</vt:lpstr>
      <vt:lpstr>Lab19_4</vt:lpstr>
      <vt:lpstr>Lab19_5</vt:lpstr>
      <vt:lpstr>Lab19_6</vt:lpstr>
      <vt:lpstr>Lab19_7</vt:lpstr>
      <vt:lpstr>Lab19_8</vt:lpstr>
      <vt:lpstr>Lab19_9</vt:lpstr>
      <vt:lpstr>Lab24_1</vt:lpstr>
      <vt:lpstr>Lab24_10</vt:lpstr>
      <vt:lpstr>Lab24_11</vt:lpstr>
      <vt:lpstr>Lab24_12</vt:lpstr>
      <vt:lpstr>Lab24_13</vt:lpstr>
      <vt:lpstr>Lab24_14</vt:lpstr>
      <vt:lpstr>Lab24_15</vt:lpstr>
      <vt:lpstr>Lab24_16</vt:lpstr>
      <vt:lpstr>Lab24_17</vt:lpstr>
      <vt:lpstr>Lab24_18</vt:lpstr>
      <vt:lpstr>Lab24_19</vt:lpstr>
      <vt:lpstr>Lab24_2</vt:lpstr>
      <vt:lpstr>Lab24_20</vt:lpstr>
      <vt:lpstr>Lab24_21</vt:lpstr>
      <vt:lpstr>Lab24_22</vt:lpstr>
      <vt:lpstr>Lab24_23</vt:lpstr>
      <vt:lpstr>Lab24_24</vt:lpstr>
      <vt:lpstr>Lab24_25</vt:lpstr>
      <vt:lpstr>Lab24_26</vt:lpstr>
      <vt:lpstr>Lab24_27</vt:lpstr>
      <vt:lpstr>Lab24_28</vt:lpstr>
      <vt:lpstr>Lab24_29</vt:lpstr>
      <vt:lpstr>Lab24_3</vt:lpstr>
      <vt:lpstr>Lab24_30</vt:lpstr>
      <vt:lpstr>Lab24_31</vt:lpstr>
      <vt:lpstr>Lab24_4</vt:lpstr>
      <vt:lpstr>Lab24_5</vt:lpstr>
      <vt:lpstr>Lab24_6</vt:lpstr>
      <vt:lpstr>Lab24_7</vt:lpstr>
      <vt:lpstr>Lab24_8</vt:lpstr>
      <vt:lpstr>Lab24_9</vt:lpstr>
      <vt:lpstr>LabDag1_1</vt:lpstr>
      <vt:lpstr>LabDag1_10</vt:lpstr>
      <vt:lpstr>LabDag1_11</vt:lpstr>
      <vt:lpstr>LabDag1_12</vt:lpstr>
      <vt:lpstr>LabDag1_13</vt:lpstr>
      <vt:lpstr>LabDag1_14</vt:lpstr>
      <vt:lpstr>LabDag1_15</vt:lpstr>
      <vt:lpstr>LabDag1_16</vt:lpstr>
      <vt:lpstr>LabDag1_17</vt:lpstr>
      <vt:lpstr>LabDag1_18</vt:lpstr>
      <vt:lpstr>LabDag1_19</vt:lpstr>
      <vt:lpstr>LabDag1_2</vt:lpstr>
      <vt:lpstr>LabDag1_20</vt:lpstr>
      <vt:lpstr>LabDag1_21</vt:lpstr>
      <vt:lpstr>LabDag1_22</vt:lpstr>
      <vt:lpstr>LabDag1_23</vt:lpstr>
      <vt:lpstr>LabDag1_24</vt:lpstr>
      <vt:lpstr>LabDag1_25</vt:lpstr>
      <vt:lpstr>LabDag1_26</vt:lpstr>
      <vt:lpstr>LabDag1_27</vt:lpstr>
      <vt:lpstr>LabDag1_28</vt:lpstr>
      <vt:lpstr>LabDag1_29</vt:lpstr>
      <vt:lpstr>LabDag1_3</vt:lpstr>
      <vt:lpstr>LabDag1_30</vt:lpstr>
      <vt:lpstr>LabDag1_31</vt:lpstr>
      <vt:lpstr>LabDag1_4</vt:lpstr>
      <vt:lpstr>LabDag1_5</vt:lpstr>
      <vt:lpstr>LabDag1_6</vt:lpstr>
      <vt:lpstr>LabDag1_7</vt:lpstr>
      <vt:lpstr>LabDag1_8</vt:lpstr>
      <vt:lpstr>LabDag1_9</vt:lpstr>
      <vt:lpstr>LabDag2_1</vt:lpstr>
      <vt:lpstr>LabDag2_10</vt:lpstr>
      <vt:lpstr>LabDag2_11</vt:lpstr>
      <vt:lpstr>LabDag2_12</vt:lpstr>
      <vt:lpstr>LabDag2_13</vt:lpstr>
      <vt:lpstr>LabDag2_14</vt:lpstr>
      <vt:lpstr>LabDag2_15</vt:lpstr>
      <vt:lpstr>LabDag2_16</vt:lpstr>
      <vt:lpstr>LabDag2_17</vt:lpstr>
      <vt:lpstr>LabDag2_18</vt:lpstr>
      <vt:lpstr>LabDag2_19</vt:lpstr>
      <vt:lpstr>LabDag2_2</vt:lpstr>
      <vt:lpstr>LabDag2_20</vt:lpstr>
      <vt:lpstr>LabDag2_21</vt:lpstr>
      <vt:lpstr>LabDag2_22</vt:lpstr>
      <vt:lpstr>LabDag2_23</vt:lpstr>
      <vt:lpstr>LabDag2_24</vt:lpstr>
      <vt:lpstr>LabDag2_25</vt:lpstr>
      <vt:lpstr>LabDag2_26</vt:lpstr>
      <vt:lpstr>LabDag2_27</vt:lpstr>
      <vt:lpstr>LabDag2_28</vt:lpstr>
      <vt:lpstr>LabDag2_29</vt:lpstr>
      <vt:lpstr>LabDag2_3</vt:lpstr>
      <vt:lpstr>LabDag2_30</vt:lpstr>
      <vt:lpstr>LabDag2_31</vt:lpstr>
      <vt:lpstr>LabDag2_4</vt:lpstr>
      <vt:lpstr>LabDag2_5</vt:lpstr>
      <vt:lpstr>LabDag2_6</vt:lpstr>
      <vt:lpstr>LabDag2_7</vt:lpstr>
      <vt:lpstr>LabDag2_8</vt:lpstr>
      <vt:lpstr>LabDag2_9</vt:lpstr>
      <vt:lpstr>LabDag3_1</vt:lpstr>
      <vt:lpstr>LabDag3_10</vt:lpstr>
      <vt:lpstr>LabDag3_11</vt:lpstr>
      <vt:lpstr>LabDag3_12</vt:lpstr>
      <vt:lpstr>LabDag3_13</vt:lpstr>
      <vt:lpstr>LabDag3_14</vt:lpstr>
      <vt:lpstr>LabDag3_15</vt:lpstr>
      <vt:lpstr>LabDag3_16</vt:lpstr>
      <vt:lpstr>LabDag3_17</vt:lpstr>
      <vt:lpstr>LabDag3_18</vt:lpstr>
      <vt:lpstr>LabDag3_19</vt:lpstr>
      <vt:lpstr>LabDag3_2</vt:lpstr>
      <vt:lpstr>LabDag3_20</vt:lpstr>
      <vt:lpstr>LabDag3_21</vt:lpstr>
      <vt:lpstr>LabDag3_22</vt:lpstr>
      <vt:lpstr>LabDag3_23</vt:lpstr>
      <vt:lpstr>LabDag3_24</vt:lpstr>
      <vt:lpstr>LabDag3_25</vt:lpstr>
      <vt:lpstr>LabDag3_26</vt:lpstr>
      <vt:lpstr>LabDag3_27</vt:lpstr>
      <vt:lpstr>LabDag3_28</vt:lpstr>
      <vt:lpstr>LabDag3_29</vt:lpstr>
      <vt:lpstr>LabDag3_3</vt:lpstr>
      <vt:lpstr>LabDag3_30</vt:lpstr>
      <vt:lpstr>LabDag3_31</vt:lpstr>
      <vt:lpstr>LabDag3_4</vt:lpstr>
      <vt:lpstr>LabDag3_5</vt:lpstr>
      <vt:lpstr>LabDag3_6</vt:lpstr>
      <vt:lpstr>LabDag3_7</vt:lpstr>
      <vt:lpstr>LabDag3_8</vt:lpstr>
      <vt:lpstr>LabDag3_9</vt:lpstr>
      <vt:lpstr>LabNeo_Data</vt:lpstr>
      <vt:lpstr>LabNeo04_1</vt:lpstr>
      <vt:lpstr>LabNeo04_10</vt:lpstr>
      <vt:lpstr>LabNeo04_11</vt:lpstr>
      <vt:lpstr>LabNeo04_12</vt:lpstr>
      <vt:lpstr>LabNeo04_13</vt:lpstr>
      <vt:lpstr>LabNeo04_14</vt:lpstr>
      <vt:lpstr>LabNeo04_15</vt:lpstr>
      <vt:lpstr>LabNeo04_16</vt:lpstr>
      <vt:lpstr>LabNeo04_17</vt:lpstr>
      <vt:lpstr>LabNeo04_18</vt:lpstr>
      <vt:lpstr>LabNeo04_19</vt:lpstr>
      <vt:lpstr>LabNeo04_2</vt:lpstr>
      <vt:lpstr>LabNeo04_20</vt:lpstr>
      <vt:lpstr>LabNeo04_21</vt:lpstr>
      <vt:lpstr>LabNeo04_22</vt:lpstr>
      <vt:lpstr>LabNeo04_23</vt:lpstr>
      <vt:lpstr>LabNeo04_24</vt:lpstr>
      <vt:lpstr>LabNeo04_25</vt:lpstr>
      <vt:lpstr>LabNeo04_26</vt:lpstr>
      <vt:lpstr>LabNeo04_27</vt:lpstr>
      <vt:lpstr>LabNeo04_28</vt:lpstr>
      <vt:lpstr>LabNeo04_29</vt:lpstr>
      <vt:lpstr>LabNeo04_3</vt:lpstr>
      <vt:lpstr>LabNeo04_30</vt:lpstr>
      <vt:lpstr>LabNeo04_31</vt:lpstr>
      <vt:lpstr>LabNeo04_4</vt:lpstr>
      <vt:lpstr>LabNeo04_5</vt:lpstr>
      <vt:lpstr>LabNeo04_6</vt:lpstr>
      <vt:lpstr>LabNeo04_7</vt:lpstr>
      <vt:lpstr>LabNeo04_8</vt:lpstr>
      <vt:lpstr>LabNeo04_9</vt:lpstr>
      <vt:lpstr>LabNeo12_1</vt:lpstr>
      <vt:lpstr>LabNeo12_10</vt:lpstr>
      <vt:lpstr>LabNeo12_11</vt:lpstr>
      <vt:lpstr>LabNeo12_12</vt:lpstr>
      <vt:lpstr>LabNeo12_13</vt:lpstr>
      <vt:lpstr>LabNeo12_14</vt:lpstr>
      <vt:lpstr>LabNeo12_15</vt:lpstr>
      <vt:lpstr>LabNeo12_16</vt:lpstr>
      <vt:lpstr>LabNeo12_17</vt:lpstr>
      <vt:lpstr>LabNeo12_18</vt:lpstr>
      <vt:lpstr>LabNeo12_19</vt:lpstr>
      <vt:lpstr>LabNeo12_2</vt:lpstr>
      <vt:lpstr>LabNeo12_20</vt:lpstr>
      <vt:lpstr>LabNeo12_21</vt:lpstr>
      <vt:lpstr>LabNeo12_22</vt:lpstr>
      <vt:lpstr>LabNeo12_23</vt:lpstr>
      <vt:lpstr>LabNeo12_24</vt:lpstr>
      <vt:lpstr>LabNeo12_25</vt:lpstr>
      <vt:lpstr>LabNeo12_26</vt:lpstr>
      <vt:lpstr>LabNeo12_27</vt:lpstr>
      <vt:lpstr>LabNeo12_28</vt:lpstr>
      <vt:lpstr>LabNeo12_29</vt:lpstr>
      <vt:lpstr>LabNeo12_3</vt:lpstr>
      <vt:lpstr>LabNeo12_30</vt:lpstr>
      <vt:lpstr>LabNeo12_31</vt:lpstr>
      <vt:lpstr>LabNeo12_4</vt:lpstr>
      <vt:lpstr>LabNeo12_5</vt:lpstr>
      <vt:lpstr>LabNeo12_6</vt:lpstr>
      <vt:lpstr>LabNeo12_7</vt:lpstr>
      <vt:lpstr>LabNeo12_8</vt:lpstr>
      <vt:lpstr>LabNeo12_9</vt:lpstr>
      <vt:lpstr>LabNeo16_1</vt:lpstr>
      <vt:lpstr>LabNeo16_10</vt:lpstr>
      <vt:lpstr>LabNeo16_11</vt:lpstr>
      <vt:lpstr>LabNeo16_12</vt:lpstr>
      <vt:lpstr>LabNeo16_13</vt:lpstr>
      <vt:lpstr>LabNeo16_14</vt:lpstr>
      <vt:lpstr>LabNeo16_15</vt:lpstr>
      <vt:lpstr>LabNeo16_16</vt:lpstr>
      <vt:lpstr>LabNeo16_17</vt:lpstr>
      <vt:lpstr>LabNeo16_18</vt:lpstr>
      <vt:lpstr>LabNeo16_19</vt:lpstr>
      <vt:lpstr>LabNeo16_2</vt:lpstr>
      <vt:lpstr>LabNeo16_20</vt:lpstr>
      <vt:lpstr>LabNeo16_21</vt:lpstr>
      <vt:lpstr>LabNeo16_22</vt:lpstr>
      <vt:lpstr>LabNeo16_23</vt:lpstr>
      <vt:lpstr>LabNeo16_24</vt:lpstr>
      <vt:lpstr>LabNeo16_25</vt:lpstr>
      <vt:lpstr>LabNeo16_26</vt:lpstr>
      <vt:lpstr>LabNeo16_27</vt:lpstr>
      <vt:lpstr>LabNeo16_28</vt:lpstr>
      <vt:lpstr>LabNeo16_29</vt:lpstr>
      <vt:lpstr>LabNeo16_3</vt:lpstr>
      <vt:lpstr>LabNeo16_30</vt:lpstr>
      <vt:lpstr>LabNeo16_31</vt:lpstr>
      <vt:lpstr>LabNeo16_4</vt:lpstr>
      <vt:lpstr>LabNeo16_5</vt:lpstr>
      <vt:lpstr>LabNeo16_6</vt:lpstr>
      <vt:lpstr>LabNeo16_7</vt:lpstr>
      <vt:lpstr>LabNeo16_8</vt:lpstr>
      <vt:lpstr>LabNeo16_9</vt:lpstr>
      <vt:lpstr>LabNeo20_1</vt:lpstr>
      <vt:lpstr>LabNeo20_10</vt:lpstr>
      <vt:lpstr>LabNeo20_11</vt:lpstr>
      <vt:lpstr>LabNeo20_12</vt:lpstr>
      <vt:lpstr>LabNeo20_13</vt:lpstr>
      <vt:lpstr>LabNeo20_14</vt:lpstr>
      <vt:lpstr>LabNeo20_15</vt:lpstr>
      <vt:lpstr>LabNeo20_16</vt:lpstr>
      <vt:lpstr>LabNeo20_17</vt:lpstr>
      <vt:lpstr>LabNeo20_18</vt:lpstr>
      <vt:lpstr>LabNeo20_19</vt:lpstr>
      <vt:lpstr>LabNeo20_2</vt:lpstr>
      <vt:lpstr>LabNeo20_20</vt:lpstr>
      <vt:lpstr>LabNeo20_21</vt:lpstr>
      <vt:lpstr>LabNeo20_22</vt:lpstr>
      <vt:lpstr>LabNeo20_23</vt:lpstr>
      <vt:lpstr>LabNeo20_24</vt:lpstr>
      <vt:lpstr>LabNeo20_25</vt:lpstr>
      <vt:lpstr>LabNeo20_26</vt:lpstr>
      <vt:lpstr>LabNeo20_27</vt:lpstr>
      <vt:lpstr>LabNeo20_28</vt:lpstr>
      <vt:lpstr>LabNeo20_29</vt:lpstr>
      <vt:lpstr>LabNeo20_3</vt:lpstr>
      <vt:lpstr>LabNeo20_30</vt:lpstr>
      <vt:lpstr>LabNeo20_31</vt:lpstr>
      <vt:lpstr>LabNeo20_4</vt:lpstr>
      <vt:lpstr>LabNeo20_5</vt:lpstr>
      <vt:lpstr>LabNeo20_6</vt:lpstr>
      <vt:lpstr>LabNeo20_7</vt:lpstr>
      <vt:lpstr>LabNeo20_8</vt:lpstr>
      <vt:lpstr>LabNeo20_9</vt:lpstr>
      <vt:lpstr>LabNeo24_1</vt:lpstr>
      <vt:lpstr>LabNeo24_10</vt:lpstr>
      <vt:lpstr>LabNeo24_11</vt:lpstr>
      <vt:lpstr>LabNeo24_12</vt:lpstr>
      <vt:lpstr>LabNeo24_13</vt:lpstr>
      <vt:lpstr>LabNeo24_14</vt:lpstr>
      <vt:lpstr>LabNeo24_15</vt:lpstr>
      <vt:lpstr>LabNeo24_16</vt:lpstr>
      <vt:lpstr>LabNeo24_17</vt:lpstr>
      <vt:lpstr>LabNeo24_18</vt:lpstr>
      <vt:lpstr>LabNeo24_19</vt:lpstr>
      <vt:lpstr>LabNeo24_2</vt:lpstr>
      <vt:lpstr>LabNeo24_20</vt:lpstr>
      <vt:lpstr>LabNeo24_21</vt:lpstr>
      <vt:lpstr>LabNeo24_22</vt:lpstr>
      <vt:lpstr>LabNeo24_23</vt:lpstr>
      <vt:lpstr>LabNeo24_24</vt:lpstr>
      <vt:lpstr>LabNeo24_25</vt:lpstr>
      <vt:lpstr>LabNeo24_26</vt:lpstr>
      <vt:lpstr>LabNeo24_27</vt:lpstr>
      <vt:lpstr>LabNeo24_28</vt:lpstr>
      <vt:lpstr>LabNeo24_29</vt:lpstr>
      <vt:lpstr>LabNeo24_3</vt:lpstr>
      <vt:lpstr>LabNeo24_30</vt:lpstr>
      <vt:lpstr>LabNeo24_31</vt:lpstr>
      <vt:lpstr>LabNeo24_4</vt:lpstr>
      <vt:lpstr>LabNeo24_5</vt:lpstr>
      <vt:lpstr>LabNeo24_6</vt:lpstr>
      <vt:lpstr>LabNeo24_7</vt:lpstr>
      <vt:lpstr>LabNeo24_8</vt:lpstr>
      <vt:lpstr>LabNeo24_9</vt:lpstr>
      <vt:lpstr>LabNeoDag1_1</vt:lpstr>
      <vt:lpstr>LabNeoDag1_10</vt:lpstr>
      <vt:lpstr>LabNeoDag1_11</vt:lpstr>
      <vt:lpstr>LabNeoDag1_12</vt:lpstr>
      <vt:lpstr>LabNeoDag1_13</vt:lpstr>
      <vt:lpstr>LabNeoDag1_14</vt:lpstr>
      <vt:lpstr>LabNeoDag1_15</vt:lpstr>
      <vt:lpstr>LabNeoDag1_16</vt:lpstr>
      <vt:lpstr>LabNeoDag1_17</vt:lpstr>
      <vt:lpstr>LabNeoDag1_18</vt:lpstr>
      <vt:lpstr>LabNeoDag1_19</vt:lpstr>
      <vt:lpstr>LabNeoDag1_2</vt:lpstr>
      <vt:lpstr>LabNeoDag1_20</vt:lpstr>
      <vt:lpstr>LabNeoDag1_21</vt:lpstr>
      <vt:lpstr>LabNeoDag1_22</vt:lpstr>
      <vt:lpstr>LabNeoDag1_23</vt:lpstr>
      <vt:lpstr>LabNeoDag1_24</vt:lpstr>
      <vt:lpstr>LabNeoDag1_25</vt:lpstr>
      <vt:lpstr>LabNeoDag1_26</vt:lpstr>
      <vt:lpstr>LabNeoDag1_27</vt:lpstr>
      <vt:lpstr>LabNeoDag1_28</vt:lpstr>
      <vt:lpstr>LabNeoDag1_29</vt:lpstr>
      <vt:lpstr>LabNeoDag1_3</vt:lpstr>
      <vt:lpstr>LabNeoDag1_30</vt:lpstr>
      <vt:lpstr>LabNeoDag1_31</vt:lpstr>
      <vt:lpstr>LabNeoDag1_4</vt:lpstr>
      <vt:lpstr>LabNeoDag1_5</vt:lpstr>
      <vt:lpstr>LabNeoDag1_6</vt:lpstr>
      <vt:lpstr>LabNeoDag1_7</vt:lpstr>
      <vt:lpstr>LabNeoDag1_8</vt:lpstr>
      <vt:lpstr>LabNeoDag1_9</vt:lpstr>
      <vt:lpstr>LabNeoDag2_1</vt:lpstr>
      <vt:lpstr>LabNeoDag2_10</vt:lpstr>
      <vt:lpstr>LabNeoDag2_11</vt:lpstr>
      <vt:lpstr>LabNeoDag2_12</vt:lpstr>
      <vt:lpstr>LabNeoDag2_13</vt:lpstr>
      <vt:lpstr>LabNeoDag2_14</vt:lpstr>
      <vt:lpstr>LabNeoDag2_15</vt:lpstr>
      <vt:lpstr>LabNeoDag2_16</vt:lpstr>
      <vt:lpstr>LabNeoDag2_17</vt:lpstr>
      <vt:lpstr>LabNeoDag2_18</vt:lpstr>
      <vt:lpstr>LabNeoDag2_19</vt:lpstr>
      <vt:lpstr>LabNeoDag2_2</vt:lpstr>
      <vt:lpstr>LabNeoDag2_20</vt:lpstr>
      <vt:lpstr>LabNeoDag2_21</vt:lpstr>
      <vt:lpstr>LabNeoDag2_22</vt:lpstr>
      <vt:lpstr>LabNeoDag2_23</vt:lpstr>
      <vt:lpstr>LabNeoDag2_24</vt:lpstr>
      <vt:lpstr>LabNeoDag2_25</vt:lpstr>
      <vt:lpstr>LabNeoDag2_26</vt:lpstr>
      <vt:lpstr>LabNeoDag2_27</vt:lpstr>
      <vt:lpstr>LabNeoDag2_28</vt:lpstr>
      <vt:lpstr>LabNeoDag2_29</vt:lpstr>
      <vt:lpstr>LabNeoDag2_3</vt:lpstr>
      <vt:lpstr>LabNeoDag2_30</vt:lpstr>
      <vt:lpstr>LabNeoDag2_31</vt:lpstr>
      <vt:lpstr>LabNeoDag2_4</vt:lpstr>
      <vt:lpstr>LabNeoDag2_5</vt:lpstr>
      <vt:lpstr>LabNeoDag2_6</vt:lpstr>
      <vt:lpstr>LabNeoDag2_7</vt:lpstr>
      <vt:lpstr>LabNeoDag2_8</vt:lpstr>
      <vt:lpstr>LabNeoDag2_9</vt:lpstr>
      <vt:lpstr>LabNeoDag3_1</vt:lpstr>
      <vt:lpstr>LabNeoDag3_10</vt:lpstr>
      <vt:lpstr>LabNeoDag3_11</vt:lpstr>
      <vt:lpstr>LabNeoDag3_12</vt:lpstr>
      <vt:lpstr>LabNeoDag3_13</vt:lpstr>
      <vt:lpstr>LabNeoDag3_14</vt:lpstr>
      <vt:lpstr>LabNeoDag3_15</vt:lpstr>
      <vt:lpstr>LabNeoDag3_16</vt:lpstr>
      <vt:lpstr>LabNeoDag3_17</vt:lpstr>
      <vt:lpstr>LabNeoDag3_18</vt:lpstr>
      <vt:lpstr>LabNeoDag3_19</vt:lpstr>
      <vt:lpstr>LabNeoDag3_2</vt:lpstr>
      <vt:lpstr>LabNeoDag3_20</vt:lpstr>
      <vt:lpstr>LabNeoDag3_21</vt:lpstr>
      <vt:lpstr>LabNeoDag3_22</vt:lpstr>
      <vt:lpstr>LabNeoDag3_23</vt:lpstr>
      <vt:lpstr>LabNeoDag3_24</vt:lpstr>
      <vt:lpstr>LabNeoDag3_25</vt:lpstr>
      <vt:lpstr>LabNeoDag3_26</vt:lpstr>
      <vt:lpstr>LabNeoDag3_27</vt:lpstr>
      <vt:lpstr>LabNeoDag3_28</vt:lpstr>
      <vt:lpstr>LabNeoDag3_29</vt:lpstr>
      <vt:lpstr>LabNeoDag3_3</vt:lpstr>
      <vt:lpstr>LabNeoDag3_30</vt:lpstr>
      <vt:lpstr>LabNeoDag3_31</vt:lpstr>
      <vt:lpstr>LabNeoDag3_4</vt:lpstr>
      <vt:lpstr>LabNeoDag3_5</vt:lpstr>
      <vt:lpstr>LabNeoDag3_6</vt:lpstr>
      <vt:lpstr>LabNeoDag3_7</vt:lpstr>
      <vt:lpstr>LabNeoDag3_8</vt:lpstr>
      <vt:lpstr>LabNeoDag3_9</vt:lpstr>
      <vt:lpstr>LabNeoOpmerkingen</vt:lpstr>
      <vt:lpstr>LabNeoOpn_1</vt:lpstr>
      <vt:lpstr>LabNeoOpn_10</vt:lpstr>
      <vt:lpstr>LabNeoOpn_11</vt:lpstr>
      <vt:lpstr>LabNeoOpn_12</vt:lpstr>
      <vt:lpstr>LabNeoOpn_13</vt:lpstr>
      <vt:lpstr>LabNeoOpn_14</vt:lpstr>
      <vt:lpstr>LabNeoOpn_15</vt:lpstr>
      <vt:lpstr>LabNeoOpn_16</vt:lpstr>
      <vt:lpstr>LabNeoOpn_17</vt:lpstr>
      <vt:lpstr>LabNeoOpn_18</vt:lpstr>
      <vt:lpstr>LabNeoOpn_19</vt:lpstr>
      <vt:lpstr>LabNeoOpn_2</vt:lpstr>
      <vt:lpstr>LabNeoOpn_20</vt:lpstr>
      <vt:lpstr>LabNeoOpn_21</vt:lpstr>
      <vt:lpstr>LabNeoOpn_22</vt:lpstr>
      <vt:lpstr>LabNeoOpn_23</vt:lpstr>
      <vt:lpstr>LabNeoOpn_24</vt:lpstr>
      <vt:lpstr>LabNeoOpn_25</vt:lpstr>
      <vt:lpstr>LabNeoOpn_26</vt:lpstr>
      <vt:lpstr>LabNeoOpn_27</vt:lpstr>
      <vt:lpstr>LabNeoOpn_28</vt:lpstr>
      <vt:lpstr>LabNeoOpn_29</vt:lpstr>
      <vt:lpstr>LabNeoOpn_3</vt:lpstr>
      <vt:lpstr>LabNeoOpn_30</vt:lpstr>
      <vt:lpstr>LabNeoOpn_31</vt:lpstr>
      <vt:lpstr>LabNeoOpn_32</vt:lpstr>
      <vt:lpstr>LabNeoOpn_4</vt:lpstr>
      <vt:lpstr>LabNeoOpn_5</vt:lpstr>
      <vt:lpstr>LabNeoOpn_6</vt:lpstr>
      <vt:lpstr>LabNeoOpn_7</vt:lpstr>
      <vt:lpstr>LabNeoOpn_8</vt:lpstr>
      <vt:lpstr>LabNeoOpn_9</vt:lpstr>
      <vt:lpstr>LabOpn_1</vt:lpstr>
      <vt:lpstr>LabOpn_10</vt:lpstr>
      <vt:lpstr>LabOpn_11</vt:lpstr>
      <vt:lpstr>LabOpn_12</vt:lpstr>
      <vt:lpstr>LabOpn_13</vt:lpstr>
      <vt:lpstr>LabOpn_14</vt:lpstr>
      <vt:lpstr>LabOpn_15</vt:lpstr>
      <vt:lpstr>LabOpn_16</vt:lpstr>
      <vt:lpstr>LabOpn_17</vt:lpstr>
      <vt:lpstr>LabOpn_18</vt:lpstr>
      <vt:lpstr>LabOpn_19</vt:lpstr>
      <vt:lpstr>LabOpn_2</vt:lpstr>
      <vt:lpstr>LabOpn_20</vt:lpstr>
      <vt:lpstr>LabOpn_21</vt:lpstr>
      <vt:lpstr>LabOpn_22</vt:lpstr>
      <vt:lpstr>LabOpn_23</vt:lpstr>
      <vt:lpstr>LabOpn_24</vt:lpstr>
      <vt:lpstr>LabOpn_25</vt:lpstr>
      <vt:lpstr>LabOpn_26</vt:lpstr>
      <vt:lpstr>LabOpn_27</vt:lpstr>
      <vt:lpstr>LabOpn_28</vt:lpstr>
      <vt:lpstr>LabOpn_29</vt:lpstr>
      <vt:lpstr>LabOpn_3</vt:lpstr>
      <vt:lpstr>LabOpn_30</vt:lpstr>
      <vt:lpstr>LabOpn_31</vt:lpstr>
      <vt:lpstr>LabOpn_32</vt:lpstr>
      <vt:lpstr>LabOpn_4</vt:lpstr>
      <vt:lpstr>LabOpn_5</vt:lpstr>
      <vt:lpstr>LabOpn_6</vt:lpstr>
      <vt:lpstr>LabOpn_7</vt:lpstr>
      <vt:lpstr>LabOpn_8</vt:lpstr>
      <vt:lpstr>LabOpn_9</vt:lpstr>
      <vt:lpstr>Lengte</vt:lpstr>
      <vt:lpstr>LijstenLijstToevoegingenKV</vt:lpstr>
      <vt:lpstr>LijstenLijstToevoegingenMM</vt:lpstr>
      <vt:lpstr>LijstenLijstVoeding</vt:lpstr>
      <vt:lpstr>LijstenOpzoektabelKV</vt:lpstr>
      <vt:lpstr>LijstenOpzoektabelMM</vt:lpstr>
      <vt:lpstr>LijstenOpzoektabelVoeding</vt:lpstr>
      <vt:lpstr>lijstIntralipidSmof</vt:lpstr>
      <vt:lpstr>lijstToevoegingenKVPrint</vt:lpstr>
      <vt:lpstr>lijstToevoegingenMMPrint</vt:lpstr>
      <vt:lpstr>LipidenStand</vt:lpstr>
      <vt:lpstr>MedDosHoev_1</vt:lpstr>
      <vt:lpstr>MedDosHoev_10</vt:lpstr>
      <vt:lpstr>MedDosHoev_11</vt:lpstr>
      <vt:lpstr>MedDosHoev_12</vt:lpstr>
      <vt:lpstr>MedDosHoev_13</vt:lpstr>
      <vt:lpstr>MedDosHoev_14</vt:lpstr>
      <vt:lpstr>MedDosHoev_15</vt:lpstr>
      <vt:lpstr>MedDosHoev_16</vt:lpstr>
      <vt:lpstr>MedDosHoev_17</vt:lpstr>
      <vt:lpstr>MedDosHoev_18</vt:lpstr>
      <vt:lpstr>MedDosHoev_19</vt:lpstr>
      <vt:lpstr>MedDosHoev_2</vt:lpstr>
      <vt:lpstr>MedDosHoev_20</vt:lpstr>
      <vt:lpstr>MedDosHoev_3</vt:lpstr>
      <vt:lpstr>MedDosHoev_4</vt:lpstr>
      <vt:lpstr>MedDosHoev_5</vt:lpstr>
      <vt:lpstr>MedDosHoev_6</vt:lpstr>
      <vt:lpstr>MedDosHoev_7</vt:lpstr>
      <vt:lpstr>MedDosHoev_8</vt:lpstr>
      <vt:lpstr>MedDosHoev_9</vt:lpstr>
      <vt:lpstr>Medicamenten</vt:lpstr>
      <vt:lpstr>MedInloop_1</vt:lpstr>
      <vt:lpstr>MedInloop_10</vt:lpstr>
      <vt:lpstr>MedInloop_11</vt:lpstr>
      <vt:lpstr>MedInloop_12</vt:lpstr>
      <vt:lpstr>MedInloop_13</vt:lpstr>
      <vt:lpstr>MedInloop_14</vt:lpstr>
      <vt:lpstr>MedInloop_15</vt:lpstr>
      <vt:lpstr>MedInloop_16</vt:lpstr>
      <vt:lpstr>MedInloop_17</vt:lpstr>
      <vt:lpstr>MedInloop_18</vt:lpstr>
      <vt:lpstr>MedInloop_19</vt:lpstr>
      <vt:lpstr>MedInloop_2</vt:lpstr>
      <vt:lpstr>MedInloop_20</vt:lpstr>
      <vt:lpstr>MedInloop_21</vt:lpstr>
      <vt:lpstr>MedInloop_22</vt:lpstr>
      <vt:lpstr>MedInloop_23</vt:lpstr>
      <vt:lpstr>MedInloop_24</vt:lpstr>
      <vt:lpstr>MedInloop_25</vt:lpstr>
      <vt:lpstr>MedInloop_26</vt:lpstr>
      <vt:lpstr>MedInloop_27</vt:lpstr>
      <vt:lpstr>MedInloop_28</vt:lpstr>
      <vt:lpstr>MedInloop_29</vt:lpstr>
      <vt:lpstr>MedInloop_3</vt:lpstr>
      <vt:lpstr>MedInloop_30</vt:lpstr>
      <vt:lpstr>MedInloop_4</vt:lpstr>
      <vt:lpstr>MedInloop_5</vt:lpstr>
      <vt:lpstr>MedInloop_6</vt:lpstr>
      <vt:lpstr>MedInloop_7</vt:lpstr>
      <vt:lpstr>MedInloop_8</vt:lpstr>
      <vt:lpstr>MedInloop_9</vt:lpstr>
      <vt:lpstr>MedIVKeuze_1</vt:lpstr>
      <vt:lpstr>MedIVKeuze_10</vt:lpstr>
      <vt:lpstr>MedIVKeuze_11</vt:lpstr>
      <vt:lpstr>MedIVKeuze_12</vt:lpstr>
      <vt:lpstr>MedIVKeuze_13</vt:lpstr>
      <vt:lpstr>MedIVKeuze_14</vt:lpstr>
      <vt:lpstr>MedIVKeuze_15</vt:lpstr>
      <vt:lpstr>MedIVKeuze_2</vt:lpstr>
      <vt:lpstr>MedIVKeuze_3</vt:lpstr>
      <vt:lpstr>MedIVKeuze_4</vt:lpstr>
      <vt:lpstr>MedIVKeuze_5</vt:lpstr>
      <vt:lpstr>MedIVKeuze_6</vt:lpstr>
      <vt:lpstr>MedIVKeuze_7</vt:lpstr>
      <vt:lpstr>MedIVKeuze_8</vt:lpstr>
      <vt:lpstr>MedIVKeuze_9</vt:lpstr>
      <vt:lpstr>MedIVMlOpl_1</vt:lpstr>
      <vt:lpstr>MedIVMlOpl_10</vt:lpstr>
      <vt:lpstr>MedIVMlOpl_11</vt:lpstr>
      <vt:lpstr>MedIVMlOpl_12</vt:lpstr>
      <vt:lpstr>MedIVMlOpl_13</vt:lpstr>
      <vt:lpstr>MedIVMlOpl_14</vt:lpstr>
      <vt:lpstr>MedIVMlOpl_15</vt:lpstr>
      <vt:lpstr>MedIVMlOpl_2</vt:lpstr>
      <vt:lpstr>MedIVMlOpl_3</vt:lpstr>
      <vt:lpstr>MedIVMlOpl_4</vt:lpstr>
      <vt:lpstr>MedIVMlOpl_5</vt:lpstr>
      <vt:lpstr>MedIVMlOpl_6</vt:lpstr>
      <vt:lpstr>MedIVMlOpl_7</vt:lpstr>
      <vt:lpstr>MedIVMlOpl_8</vt:lpstr>
      <vt:lpstr>MedIVMlOpl_9</vt:lpstr>
      <vt:lpstr>MedIVOplVlst_1</vt:lpstr>
      <vt:lpstr>MedIVOplVlst_10</vt:lpstr>
      <vt:lpstr>MedIVOplVlst_11</vt:lpstr>
      <vt:lpstr>MedIVOplVlst_12</vt:lpstr>
      <vt:lpstr>MedIVOplVlst_13</vt:lpstr>
      <vt:lpstr>MedIVOplVlst_14</vt:lpstr>
      <vt:lpstr>MedIVOplVlst_15</vt:lpstr>
      <vt:lpstr>MedIVOplVlst_2</vt:lpstr>
      <vt:lpstr>MedIVOplVlst_3</vt:lpstr>
      <vt:lpstr>MedIVOplVlst_4</vt:lpstr>
      <vt:lpstr>MedIVOplVlst_5</vt:lpstr>
      <vt:lpstr>MedIVOplVlst_6</vt:lpstr>
      <vt:lpstr>MedIVOplVlst_7</vt:lpstr>
      <vt:lpstr>MedIVOplVlst_8</vt:lpstr>
      <vt:lpstr>MedIVOplVlst_9</vt:lpstr>
      <vt:lpstr>MedIVStand_1</vt:lpstr>
      <vt:lpstr>MedIVStand_10</vt:lpstr>
      <vt:lpstr>MedIVStand_11</vt:lpstr>
      <vt:lpstr>MedIVStand_12</vt:lpstr>
      <vt:lpstr>MedIVStand_13</vt:lpstr>
      <vt:lpstr>MedIVStand_14</vt:lpstr>
      <vt:lpstr>MedIVStand_15</vt:lpstr>
      <vt:lpstr>MedIVStand_2</vt:lpstr>
      <vt:lpstr>MedIVStand_3</vt:lpstr>
      <vt:lpstr>MedIVStand_4</vt:lpstr>
      <vt:lpstr>MedIVStand_5</vt:lpstr>
      <vt:lpstr>MedIVStand_6</vt:lpstr>
      <vt:lpstr>MedIVStand_7</vt:lpstr>
      <vt:lpstr>MedIVStand_8</vt:lpstr>
      <vt:lpstr>MedIVStand_9</vt:lpstr>
      <vt:lpstr>MedIVSterkte_1</vt:lpstr>
      <vt:lpstr>MedIVSterkte_10</vt:lpstr>
      <vt:lpstr>MedIVSterkte_11</vt:lpstr>
      <vt:lpstr>MedIVSterkte_12</vt:lpstr>
      <vt:lpstr>MedIVSterkte_13</vt:lpstr>
      <vt:lpstr>MedIVSterkte_14</vt:lpstr>
      <vt:lpstr>MedIVSterkte_15</vt:lpstr>
      <vt:lpstr>MedIVSterkte_2</vt:lpstr>
      <vt:lpstr>MedIVSterkte_3</vt:lpstr>
      <vt:lpstr>MedIVSterkte_4</vt:lpstr>
      <vt:lpstr>MedIVSterkte_5</vt:lpstr>
      <vt:lpstr>MedIVSterkte_6</vt:lpstr>
      <vt:lpstr>MedIVSterkte_7</vt:lpstr>
      <vt:lpstr>MedIVSterkte_8</vt:lpstr>
      <vt:lpstr>MedIVSterkte_9</vt:lpstr>
      <vt:lpstr>MedKeuze_0</vt:lpstr>
      <vt:lpstr>MedKeuze_1</vt:lpstr>
      <vt:lpstr>MedKeuze_10</vt:lpstr>
      <vt:lpstr>MedKeuze_11</vt:lpstr>
      <vt:lpstr>MedKeuze_12</vt:lpstr>
      <vt:lpstr>MedKeuze_13</vt:lpstr>
      <vt:lpstr>MedKeuze_14</vt:lpstr>
      <vt:lpstr>MedKeuze_15</vt:lpstr>
      <vt:lpstr>MedKeuze_16</vt:lpstr>
      <vt:lpstr>MedKeuze_17</vt:lpstr>
      <vt:lpstr>MedKeuze_18</vt:lpstr>
      <vt:lpstr>MedKeuze_19</vt:lpstr>
      <vt:lpstr>MedKeuze_2</vt:lpstr>
      <vt:lpstr>MedKeuze_20</vt:lpstr>
      <vt:lpstr>MedKeuze_21</vt:lpstr>
      <vt:lpstr>MedKeuze_22</vt:lpstr>
      <vt:lpstr>MedKeuze_23</vt:lpstr>
      <vt:lpstr>MedKeuze_24</vt:lpstr>
      <vt:lpstr>MedKeuze_25</vt:lpstr>
      <vt:lpstr>MedKeuze_26</vt:lpstr>
      <vt:lpstr>MedKeuze_27</vt:lpstr>
      <vt:lpstr>MedKeuze_28</vt:lpstr>
      <vt:lpstr>MedKeuze_29</vt:lpstr>
      <vt:lpstr>MedKeuze_3</vt:lpstr>
      <vt:lpstr>MedKeuze_30</vt:lpstr>
      <vt:lpstr>MedKeuze_4</vt:lpstr>
      <vt:lpstr>MedKeuze_5</vt:lpstr>
      <vt:lpstr>MedKeuze_6</vt:lpstr>
      <vt:lpstr>MedKeuze_7</vt:lpstr>
      <vt:lpstr>MedKeuze_8</vt:lpstr>
      <vt:lpstr>MedKeuze_9</vt:lpstr>
      <vt:lpstr>MedOpl_1</vt:lpstr>
      <vt:lpstr>MedOpl_10</vt:lpstr>
      <vt:lpstr>MedOpl_11</vt:lpstr>
      <vt:lpstr>MedOpl_12</vt:lpstr>
      <vt:lpstr>MedOpl_13</vt:lpstr>
      <vt:lpstr>MedOpl_14</vt:lpstr>
      <vt:lpstr>MedOpl_15</vt:lpstr>
      <vt:lpstr>MedOpl_16</vt:lpstr>
      <vt:lpstr>MedOpl_17</vt:lpstr>
      <vt:lpstr>MedOpl_18</vt:lpstr>
      <vt:lpstr>MedOpl_19</vt:lpstr>
      <vt:lpstr>MedOpl_2</vt:lpstr>
      <vt:lpstr>MedOpl_20</vt:lpstr>
      <vt:lpstr>MedOpl_21</vt:lpstr>
      <vt:lpstr>MedOpl_22</vt:lpstr>
      <vt:lpstr>MedOpl_23</vt:lpstr>
      <vt:lpstr>MedOpl_24</vt:lpstr>
      <vt:lpstr>MedOpl_25</vt:lpstr>
      <vt:lpstr>MedOpl_26</vt:lpstr>
      <vt:lpstr>MedOpl_27</vt:lpstr>
      <vt:lpstr>MedOpl_28</vt:lpstr>
      <vt:lpstr>MedOpl_29</vt:lpstr>
      <vt:lpstr>MedOpl_3</vt:lpstr>
      <vt:lpstr>MedOpl_30</vt:lpstr>
      <vt:lpstr>MedOpl_4</vt:lpstr>
      <vt:lpstr>MedOpl_5</vt:lpstr>
      <vt:lpstr>MedOpl_6</vt:lpstr>
      <vt:lpstr>MedOpl_7</vt:lpstr>
      <vt:lpstr>MedOpl_8</vt:lpstr>
      <vt:lpstr>MedOpl_9</vt:lpstr>
      <vt:lpstr>MedOplVol_1</vt:lpstr>
      <vt:lpstr>MedOplVol_10</vt:lpstr>
      <vt:lpstr>MedOplVol_11</vt:lpstr>
      <vt:lpstr>MedOplVol_12</vt:lpstr>
      <vt:lpstr>MedOplVol_13</vt:lpstr>
      <vt:lpstr>MedOplVol_14</vt:lpstr>
      <vt:lpstr>MedOplVol_15</vt:lpstr>
      <vt:lpstr>MedOplVol_16</vt:lpstr>
      <vt:lpstr>MedOplVol_17</vt:lpstr>
      <vt:lpstr>MedOplVol_18</vt:lpstr>
      <vt:lpstr>MedOplVol_19</vt:lpstr>
      <vt:lpstr>MedOplVol_2</vt:lpstr>
      <vt:lpstr>MedOplVol_20</vt:lpstr>
      <vt:lpstr>MedOplVol_21</vt:lpstr>
      <vt:lpstr>MedOplVol_22</vt:lpstr>
      <vt:lpstr>MedOplVol_23</vt:lpstr>
      <vt:lpstr>MedOplVol_24</vt:lpstr>
      <vt:lpstr>MedOplVol_25</vt:lpstr>
      <vt:lpstr>MedOplVol_26</vt:lpstr>
      <vt:lpstr>MedOplVol_27</vt:lpstr>
      <vt:lpstr>MedOplVol_28</vt:lpstr>
      <vt:lpstr>MedOplVol_29</vt:lpstr>
      <vt:lpstr>MedOplVol_3</vt:lpstr>
      <vt:lpstr>MedOplVol_30</vt:lpstr>
      <vt:lpstr>MedOplVol_4</vt:lpstr>
      <vt:lpstr>MedOplVol_5</vt:lpstr>
      <vt:lpstr>MedOplVol_6</vt:lpstr>
      <vt:lpstr>MedOplVol_7</vt:lpstr>
      <vt:lpstr>MedOplVol_8</vt:lpstr>
      <vt:lpstr>MedOplVol_9</vt:lpstr>
      <vt:lpstr>MedTijden_1</vt:lpstr>
      <vt:lpstr>MedTijden_10</vt:lpstr>
      <vt:lpstr>MedTijden_11</vt:lpstr>
      <vt:lpstr>MedTijden_12</vt:lpstr>
      <vt:lpstr>MedTijden_13</vt:lpstr>
      <vt:lpstr>MedTijden_14</vt:lpstr>
      <vt:lpstr>MedTijden_15</vt:lpstr>
      <vt:lpstr>MedTijden_16</vt:lpstr>
      <vt:lpstr>MedTijden_17</vt:lpstr>
      <vt:lpstr>MedTijden_18</vt:lpstr>
      <vt:lpstr>MedTijden_19</vt:lpstr>
      <vt:lpstr>MedTijden_2</vt:lpstr>
      <vt:lpstr>MedTijden_20</vt:lpstr>
      <vt:lpstr>MedTijden_21</vt:lpstr>
      <vt:lpstr>MedTijden_22</vt:lpstr>
      <vt:lpstr>MedTijden_23</vt:lpstr>
      <vt:lpstr>MedTijden_24</vt:lpstr>
      <vt:lpstr>MedTijden_25</vt:lpstr>
      <vt:lpstr>MedTijden_26</vt:lpstr>
      <vt:lpstr>MedTijden_27</vt:lpstr>
      <vt:lpstr>MedTijden_28</vt:lpstr>
      <vt:lpstr>MedTijden_29</vt:lpstr>
      <vt:lpstr>MedTijden_3</vt:lpstr>
      <vt:lpstr>MedTijden_30</vt:lpstr>
      <vt:lpstr>MedTijden_4</vt:lpstr>
      <vt:lpstr>MedTijden_5</vt:lpstr>
      <vt:lpstr>MedTijden_6</vt:lpstr>
      <vt:lpstr>MedTijden_7</vt:lpstr>
      <vt:lpstr>MedTijden_8</vt:lpstr>
      <vt:lpstr>MedTijden_9</vt:lpstr>
      <vt:lpstr>MedToed_1</vt:lpstr>
      <vt:lpstr>MedToed_10</vt:lpstr>
      <vt:lpstr>MedToed_11</vt:lpstr>
      <vt:lpstr>MedToed_12</vt:lpstr>
      <vt:lpstr>MedToed_13</vt:lpstr>
      <vt:lpstr>MedToed_14</vt:lpstr>
      <vt:lpstr>MedToed_15</vt:lpstr>
      <vt:lpstr>MedToed_16</vt:lpstr>
      <vt:lpstr>MedToed_17</vt:lpstr>
      <vt:lpstr>MedToed_18</vt:lpstr>
      <vt:lpstr>MedToed_19</vt:lpstr>
      <vt:lpstr>MedToed_2</vt:lpstr>
      <vt:lpstr>MedToed_20</vt:lpstr>
      <vt:lpstr>MedToed_21</vt:lpstr>
      <vt:lpstr>MedToed_22</vt:lpstr>
      <vt:lpstr>MedToed_23</vt:lpstr>
      <vt:lpstr>MedToed_24</vt:lpstr>
      <vt:lpstr>MedToed_25</vt:lpstr>
      <vt:lpstr>MedToed_26</vt:lpstr>
      <vt:lpstr>MedToed_27</vt:lpstr>
      <vt:lpstr>MedToed_28</vt:lpstr>
      <vt:lpstr>MedToed_29</vt:lpstr>
      <vt:lpstr>MedToed_3</vt:lpstr>
      <vt:lpstr>MedToed_30</vt:lpstr>
      <vt:lpstr>MedToed_4</vt:lpstr>
      <vt:lpstr>MedToed_5</vt:lpstr>
      <vt:lpstr>MedToed_6</vt:lpstr>
      <vt:lpstr>MedToed_7</vt:lpstr>
      <vt:lpstr>MedToed_8</vt:lpstr>
      <vt:lpstr>MedToed_9</vt:lpstr>
      <vt:lpstr>MgCl</vt:lpstr>
      <vt:lpstr>MgClVol</vt:lpstr>
      <vt:lpstr>NaCl</vt:lpstr>
      <vt:lpstr>NaCl_2</vt:lpstr>
      <vt:lpstr>NaClVol</vt:lpstr>
      <vt:lpstr>NaClVol_2</vt:lpstr>
      <vt:lpstr>Opl</vt:lpstr>
      <vt:lpstr>opmAfsprBlad__1</vt:lpstr>
      <vt:lpstr>opmAfsprBlad__10</vt:lpstr>
      <vt:lpstr>opmAfsprBlad__11</vt:lpstr>
      <vt:lpstr>opmAfsprBlad__12</vt:lpstr>
      <vt:lpstr>opmAfsprBlad__13</vt:lpstr>
      <vt:lpstr>opmAfsprBlad__14</vt:lpstr>
      <vt:lpstr>opmAfsprBlad__15</vt:lpstr>
      <vt:lpstr>opmAfsprBlad__2</vt:lpstr>
      <vt:lpstr>opmAfsprBlad__3</vt:lpstr>
      <vt:lpstr>opmAfsprBlad__4</vt:lpstr>
      <vt:lpstr>opmAfsprBlad__5</vt:lpstr>
      <vt:lpstr>opmAfsprBlad__6</vt:lpstr>
      <vt:lpstr>opmAfsprBlad__7</vt:lpstr>
      <vt:lpstr>opmAfsprBlad__8</vt:lpstr>
      <vt:lpstr>opmAfsprBlad__9</vt:lpstr>
      <vt:lpstr>opmMedDisc__1</vt:lpstr>
      <vt:lpstr>opmMedDisc__10</vt:lpstr>
      <vt:lpstr>opmMedDisc__11</vt:lpstr>
      <vt:lpstr>opmMedDisc__12</vt:lpstr>
      <vt:lpstr>opmMedDisc__13</vt:lpstr>
      <vt:lpstr>opmMedDisc__14</vt:lpstr>
      <vt:lpstr>opmMedDisc__15</vt:lpstr>
      <vt:lpstr>opmMedDisc__16</vt:lpstr>
      <vt:lpstr>opmMedDisc__17</vt:lpstr>
      <vt:lpstr>opmMedDisc__18</vt:lpstr>
      <vt:lpstr>opmMedDisc__19</vt:lpstr>
      <vt:lpstr>opmMedDisc__2</vt:lpstr>
      <vt:lpstr>opmMedDisc__20</vt:lpstr>
      <vt:lpstr>opmMedDisc__21</vt:lpstr>
      <vt:lpstr>opmMedDisc__22</vt:lpstr>
      <vt:lpstr>opmMedDisc__23</vt:lpstr>
      <vt:lpstr>opmMedDisc__24</vt:lpstr>
      <vt:lpstr>opmMedDisc__25</vt:lpstr>
      <vt:lpstr>opmMedDisc__26</vt:lpstr>
      <vt:lpstr>opmMedDisc__27</vt:lpstr>
      <vt:lpstr>opmMedDisc__28</vt:lpstr>
      <vt:lpstr>opmMedDisc__29</vt:lpstr>
      <vt:lpstr>opmMedDisc__3</vt:lpstr>
      <vt:lpstr>opmMedDisc__30</vt:lpstr>
      <vt:lpstr>opmMedDisc__4</vt:lpstr>
      <vt:lpstr>opmMedDisc__5</vt:lpstr>
      <vt:lpstr>opmMedDisc__6</vt:lpstr>
      <vt:lpstr>opmMedDisc__7</vt:lpstr>
      <vt:lpstr>opmMedDisc__8</vt:lpstr>
      <vt:lpstr>opmMedDisc__9</vt:lpstr>
      <vt:lpstr>OpnDatum</vt:lpstr>
      <vt:lpstr>PatNummer</vt:lpstr>
      <vt:lpstr>patRec</vt:lpstr>
      <vt:lpstr>Peditrace</vt:lpstr>
      <vt:lpstr>PM</vt:lpstr>
      <vt:lpstr>PM_AO</vt:lpstr>
      <vt:lpstr>PM_AS</vt:lpstr>
      <vt:lpstr>PM_AV</vt:lpstr>
      <vt:lpstr>PM_Freq</vt:lpstr>
      <vt:lpstr>PM_Instelling</vt:lpstr>
      <vt:lpstr>PM_Mod</vt:lpstr>
      <vt:lpstr>PM_Standaard</vt:lpstr>
      <vt:lpstr>PM_VO</vt:lpstr>
      <vt:lpstr>PM_VS</vt:lpstr>
      <vt:lpstr>Pos</vt:lpstr>
      <vt:lpstr>AcuteOpvang!Print_Area</vt:lpstr>
      <vt:lpstr>'AcuteOpvang Neo'!Print_Area</vt:lpstr>
      <vt:lpstr>AfsprakenCMV!Print_Area</vt:lpstr>
      <vt:lpstr>Apotheek!Print_Area</vt:lpstr>
      <vt:lpstr>Medicatie!Print_Area</vt:lpstr>
      <vt:lpstr>'Medicatie Neo'!Print_Area</vt:lpstr>
      <vt:lpstr>Print!Print_Area</vt:lpstr>
      <vt:lpstr>TPN16tot30kg!Print_Area</vt:lpstr>
      <vt:lpstr>TPN2tot6kg!Print_Area</vt:lpstr>
      <vt:lpstr>TPN31tot50kg!Print_Area</vt:lpstr>
      <vt:lpstr>TPN7tot15kg!Print_Area</vt:lpstr>
      <vt:lpstr>TPNboven50kg!Print_Area</vt:lpstr>
      <vt:lpstr>WerkBrief!Print_Area</vt:lpstr>
      <vt:lpstr>RecNo_1</vt:lpstr>
      <vt:lpstr>RecNo_10</vt:lpstr>
      <vt:lpstr>RecNo_11</vt:lpstr>
      <vt:lpstr>RecNo_12</vt:lpstr>
      <vt:lpstr>RecNo_13</vt:lpstr>
      <vt:lpstr>RecNo_14</vt:lpstr>
      <vt:lpstr>RecNo_15</vt:lpstr>
      <vt:lpstr>RecNo_16</vt:lpstr>
      <vt:lpstr>RecNo_17</vt:lpstr>
      <vt:lpstr>RecNo_18</vt:lpstr>
      <vt:lpstr>RecNo_19</vt:lpstr>
      <vt:lpstr>RecNo_2</vt:lpstr>
      <vt:lpstr>RecNo_20</vt:lpstr>
      <vt:lpstr>RecNo_21</vt:lpstr>
      <vt:lpstr>RecNo_22</vt:lpstr>
      <vt:lpstr>RecNo_23</vt:lpstr>
      <vt:lpstr>RecNo_24</vt:lpstr>
      <vt:lpstr>RecNo_25</vt:lpstr>
      <vt:lpstr>RecNo_26</vt:lpstr>
      <vt:lpstr>RecNo_27</vt:lpstr>
      <vt:lpstr>RecNo_28</vt:lpstr>
      <vt:lpstr>RecNo_29</vt:lpstr>
      <vt:lpstr>RecNo_3</vt:lpstr>
      <vt:lpstr>RecNo_30</vt:lpstr>
      <vt:lpstr>RecNo_4</vt:lpstr>
      <vt:lpstr>RecNo_5</vt:lpstr>
      <vt:lpstr>RecNo_6</vt:lpstr>
      <vt:lpstr>RecNo_7</vt:lpstr>
      <vt:lpstr>RecNo_8</vt:lpstr>
      <vt:lpstr>RecNo_9</vt:lpstr>
      <vt:lpstr>reservePat</vt:lpstr>
      <vt:lpstr>SelectedIntralipidSmof</vt:lpstr>
      <vt:lpstr>SelectedIntralipidSmof1700</vt:lpstr>
      <vt:lpstr>SMOF</vt:lpstr>
      <vt:lpstr>Soluvit</vt:lpstr>
      <vt:lpstr>SoluvitVol</vt:lpstr>
      <vt:lpstr>Sonde</vt:lpstr>
      <vt:lpstr>SpecVoed_1</vt:lpstr>
      <vt:lpstr>SpecVoed_10</vt:lpstr>
      <vt:lpstr>SpecVoed_11</vt:lpstr>
      <vt:lpstr>SpecVoed_12</vt:lpstr>
      <vt:lpstr>SpecVoed_2</vt:lpstr>
      <vt:lpstr>SpecVoed_3</vt:lpstr>
      <vt:lpstr>SpecVoed_4</vt:lpstr>
      <vt:lpstr>SpecVoed_5</vt:lpstr>
      <vt:lpstr>SpecVoed_6</vt:lpstr>
      <vt:lpstr>SpecVoed_7</vt:lpstr>
      <vt:lpstr>SpecVoed_8</vt:lpstr>
      <vt:lpstr>SpecVoed_9</vt:lpstr>
      <vt:lpstr>SST2Stand</vt:lpstr>
      <vt:lpstr>SSTglucose</vt:lpstr>
      <vt:lpstr>SSTGlucose_2</vt:lpstr>
      <vt:lpstr>SSTStand</vt:lpstr>
      <vt:lpstr>StandDos_1</vt:lpstr>
      <vt:lpstr>StandDos_10</vt:lpstr>
      <vt:lpstr>StandDos_11</vt:lpstr>
      <vt:lpstr>StandDos_12</vt:lpstr>
      <vt:lpstr>StandDos_13</vt:lpstr>
      <vt:lpstr>StandDos_14</vt:lpstr>
      <vt:lpstr>StandDos_15</vt:lpstr>
      <vt:lpstr>StandDos_16</vt:lpstr>
      <vt:lpstr>StandDos_17</vt:lpstr>
      <vt:lpstr>StandDos_18</vt:lpstr>
      <vt:lpstr>StandDos_19</vt:lpstr>
      <vt:lpstr>StandDos_2</vt:lpstr>
      <vt:lpstr>StandDos_20</vt:lpstr>
      <vt:lpstr>StandDos_21</vt:lpstr>
      <vt:lpstr>StandDos_22</vt:lpstr>
      <vt:lpstr>StandDos_23</vt:lpstr>
      <vt:lpstr>StandDos_24</vt:lpstr>
      <vt:lpstr>StandDos_25</vt:lpstr>
      <vt:lpstr>StandDos_26</vt:lpstr>
      <vt:lpstr>StandDos_27</vt:lpstr>
      <vt:lpstr>StandDos_28</vt:lpstr>
      <vt:lpstr>StandDos_29</vt:lpstr>
      <vt:lpstr>StandDos_3</vt:lpstr>
      <vt:lpstr>StandDos_30</vt:lpstr>
      <vt:lpstr>StandDos_4</vt:lpstr>
      <vt:lpstr>StandDos_5</vt:lpstr>
      <vt:lpstr>StandDos_6</vt:lpstr>
      <vt:lpstr>StandDos_7</vt:lpstr>
      <vt:lpstr>StandDos_8</vt:lpstr>
      <vt:lpstr>StandDos_9</vt:lpstr>
      <vt:lpstr>StartDatum_1</vt:lpstr>
      <vt:lpstr>StartDatum_10</vt:lpstr>
      <vt:lpstr>StartDatum_11</vt:lpstr>
      <vt:lpstr>StartDatum_12</vt:lpstr>
      <vt:lpstr>StartDatum_13</vt:lpstr>
      <vt:lpstr>StartDatum_14</vt:lpstr>
      <vt:lpstr>StartDatum_15</vt:lpstr>
      <vt:lpstr>StartDatum_16</vt:lpstr>
      <vt:lpstr>StartDatum_17</vt:lpstr>
      <vt:lpstr>StartDatum_18</vt:lpstr>
      <vt:lpstr>StartDatum_19</vt:lpstr>
      <vt:lpstr>StartDatum_2</vt:lpstr>
      <vt:lpstr>StartDatum_20</vt:lpstr>
      <vt:lpstr>StartDatum_21</vt:lpstr>
      <vt:lpstr>StartDatum_22</vt:lpstr>
      <vt:lpstr>StartDatum_23</vt:lpstr>
      <vt:lpstr>StartDatum_24</vt:lpstr>
      <vt:lpstr>StartDatum_25</vt:lpstr>
      <vt:lpstr>StartDatum_26</vt:lpstr>
      <vt:lpstr>StartDatum_27</vt:lpstr>
      <vt:lpstr>StartDatum_28</vt:lpstr>
      <vt:lpstr>StartDatum_29</vt:lpstr>
      <vt:lpstr>StartDatum_3</vt:lpstr>
      <vt:lpstr>StartDatum_30</vt:lpstr>
      <vt:lpstr>StartDatum_4</vt:lpstr>
      <vt:lpstr>StartDatum_5</vt:lpstr>
      <vt:lpstr>StartDatum_6</vt:lpstr>
      <vt:lpstr>StartDatum_7</vt:lpstr>
      <vt:lpstr>StartDatum_8</vt:lpstr>
      <vt:lpstr>StartDatum_9</vt:lpstr>
      <vt:lpstr>TabelAcuteTubeMaatKgNeo</vt:lpstr>
      <vt:lpstr>tblBerMedContIV</vt:lpstr>
      <vt:lpstr>tblInfusen</vt:lpstr>
      <vt:lpstr>tblInfusenBer</vt:lpstr>
      <vt:lpstr>tblMedDiscEenh</vt:lpstr>
      <vt:lpstr>tblMedDiscOplVl</vt:lpstr>
      <vt:lpstr>tblMedDiscTijden</vt:lpstr>
      <vt:lpstr>tblMedDiscTijdenIndex</vt:lpstr>
      <vt:lpstr>tblMedDiscTijdenValues</vt:lpstr>
      <vt:lpstr>tblMedDiscToed</vt:lpstr>
      <vt:lpstr>tblMedicationContIV</vt:lpstr>
      <vt:lpstr>tblOmrekenCa</vt:lpstr>
      <vt:lpstr>tblOmrekenCl</vt:lpstr>
      <vt:lpstr>tblOmrekenFe</vt:lpstr>
      <vt:lpstr>tblOmrekenK</vt:lpstr>
      <vt:lpstr>tblOmrekenMg</vt:lpstr>
      <vt:lpstr>tblOmrekenNA</vt:lpstr>
      <vt:lpstr>tblOmrekenP</vt:lpstr>
      <vt:lpstr>tblOmrekenVitD</vt:lpstr>
      <vt:lpstr>tblOplossing</vt:lpstr>
      <vt:lpstr>tblOpzoekenMedicatieIV</vt:lpstr>
      <vt:lpstr>tblPacemakerModus</vt:lpstr>
      <vt:lpstr>tblPacemakerPositie</vt:lpstr>
      <vt:lpstr>tblPerOs</vt:lpstr>
      <vt:lpstr>tblPO_poederlijst</vt:lpstr>
      <vt:lpstr>tblPoeder</vt:lpstr>
      <vt:lpstr>tblSonde</vt:lpstr>
      <vt:lpstr>tblSSTGlucose</vt:lpstr>
      <vt:lpstr>tblTijden</vt:lpstr>
      <vt:lpstr>tblTPN</vt:lpstr>
      <vt:lpstr>tblVoedingBasislijst</vt:lpstr>
      <vt:lpstr>tblVoedingPO</vt:lpstr>
      <vt:lpstr>tblVoedingPoeder</vt:lpstr>
      <vt:lpstr>TotaalVocht</vt:lpstr>
      <vt:lpstr>TPN</vt:lpstr>
      <vt:lpstr>tpnB</vt:lpstr>
      <vt:lpstr>tpnC</vt:lpstr>
      <vt:lpstr>tpnD</vt:lpstr>
      <vt:lpstr>tpnE</vt:lpstr>
      <vt:lpstr>TpnNICU</vt:lpstr>
      <vt:lpstr>tpnNutriflex</vt:lpstr>
      <vt:lpstr>tpnSelected</vt:lpstr>
      <vt:lpstr>TPNVol</vt:lpstr>
      <vt:lpstr>VitIntra</vt:lpstr>
      <vt:lpstr>VitIntraVol</vt:lpstr>
      <vt:lpstr>VolPO_1</vt:lpstr>
      <vt:lpstr>VolPO_2</vt:lpstr>
      <vt:lpstr>VolPO_3</vt:lpstr>
      <vt:lpstr>VolPO_4</vt:lpstr>
    </vt:vector>
  </TitlesOfParts>
  <Company>UMC Utrecht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hal</cp:lastModifiedBy>
  <cp:lastPrinted>2016-04-21T10:04:09Z</cp:lastPrinted>
  <dcterms:created xsi:type="dcterms:W3CDTF">2000-03-04T00:29:05Z</dcterms:created>
  <dcterms:modified xsi:type="dcterms:W3CDTF">2016-12-18T12:56:46Z</dcterms:modified>
</cp:coreProperties>
</file>