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9" activeTab="19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GlobNames!$A$1:$I$2209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4" i="14" l="1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3" i="49"/>
  <c r="D8" i="49"/>
  <c r="D24" i="49"/>
  <c r="D25" i="49"/>
  <c r="D9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18" i="11"/>
  <c r="U21" i="11"/>
  <c r="U30" i="11"/>
  <c r="U10" i="11"/>
  <c r="U14" i="11"/>
  <c r="U32" i="11"/>
  <c r="U6" i="11"/>
  <c r="U24" i="11"/>
  <c r="U11" i="11"/>
  <c r="U17" i="11"/>
  <c r="U23" i="11"/>
  <c r="U27" i="11"/>
  <c r="U8" i="11"/>
  <c r="U5" i="11"/>
  <c r="U20" i="11"/>
  <c r="U25" i="11"/>
  <c r="U19" i="11"/>
  <c r="U26" i="11"/>
  <c r="U29" i="11"/>
  <c r="U7" i="11"/>
  <c r="U22" i="11"/>
  <c r="U28" i="11"/>
  <c r="U31" i="11"/>
  <c r="U9" i="11"/>
  <c r="U16" i="11"/>
  <c r="U13" i="11"/>
  <c r="U15" i="11"/>
  <c r="U33" i="11"/>
  <c r="U12" i="11"/>
  <c r="U35" i="11"/>
  <c r="U34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G32" i="45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23" i="45"/>
  <c r="G31" i="45"/>
  <c r="G30" i="45"/>
  <c r="G29" i="45"/>
  <c r="G28" i="45"/>
  <c r="G27" i="45"/>
  <c r="G26" i="45"/>
  <c r="G25" i="45"/>
  <c r="G24" i="45"/>
  <c r="AK31" i="45"/>
  <c r="AK30" i="45"/>
  <c r="AK29" i="45"/>
  <c r="AK28" i="45"/>
  <c r="AK27" i="45"/>
  <c r="AK26" i="45"/>
  <c r="AK25" i="45"/>
  <c r="AK24" i="45"/>
  <c r="AK23" i="45"/>
  <c r="B115" i="9"/>
  <c r="AH28" i="45"/>
  <c r="AH25" i="45"/>
  <c r="AH24" i="45"/>
  <c r="AH26" i="45"/>
  <c r="AH23" i="45"/>
  <c r="AH31" i="45"/>
  <c r="AH27" i="45"/>
  <c r="AH29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59" i="9"/>
  <c r="B67" i="9"/>
  <c r="B60" i="9"/>
  <c r="B62" i="9"/>
  <c r="B58" i="9"/>
  <c r="B66" i="9"/>
  <c r="B64" i="9"/>
  <c r="B65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0" i="9"/>
  <c r="B126" i="9"/>
  <c r="B129" i="9"/>
  <c r="B134" i="9"/>
  <c r="B127" i="9"/>
  <c r="B133" i="9"/>
  <c r="B128" i="9"/>
  <c r="B131" i="9"/>
  <c r="B132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4" i="9"/>
  <c r="B120" i="9"/>
  <c r="B122" i="9"/>
  <c r="B119" i="9"/>
  <c r="B118" i="9"/>
  <c r="B123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T56" i="45"/>
  <c r="AM56" i="45"/>
  <c r="AR56" i="45"/>
  <c r="AW56" i="45"/>
  <c r="AV56" i="45"/>
  <c r="AS56" i="45"/>
  <c r="AP56" i="45"/>
  <c r="AU56" i="45"/>
  <c r="AN56" i="45"/>
  <c r="AO56" i="45"/>
  <c r="AQ56" i="45"/>
  <c r="AX56" i="45"/>
  <c r="B121" i="9"/>
  <c r="B116" i="9"/>
  <c r="B117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T57" i="45"/>
  <c r="AW57" i="45"/>
  <c r="AV57" i="45"/>
  <c r="AO57" i="45"/>
  <c r="AL58" i="45"/>
  <c r="AS57" i="45"/>
  <c r="AM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P57" i="45"/>
  <c r="AU57" i="45"/>
  <c r="AO58" i="45"/>
  <c r="AQ57" i="45"/>
  <c r="AX57" i="45"/>
  <c r="AV58" i="45"/>
  <c r="AN57" i="45"/>
  <c r="AU58" i="45"/>
  <c r="AR57" i="45"/>
  <c r="AR58" i="45"/>
  <c r="AQ58" i="45"/>
  <c r="AN58" i="45"/>
  <c r="AP58" i="45"/>
  <c r="AT58" i="45"/>
  <c r="AX58" i="45"/>
  <c r="AS58" i="45"/>
  <c r="AW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1" i="9"/>
  <c r="B53" i="9"/>
  <c r="B50" i="9"/>
  <c r="B49" i="9"/>
  <c r="B52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7" i="9"/>
  <c r="B55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3" i="14" l="1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F5" i="84" l="1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BK4" i="14" l="1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2" i="24"/>
  <c r="L9" i="24"/>
  <c r="L10" i="24"/>
  <c r="L11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2" i="24"/>
  <c r="M11" i="24"/>
  <c r="L13" i="24"/>
  <c r="M10" i="24"/>
  <c r="L7" i="24"/>
  <c r="L6" i="24"/>
  <c r="M7" i="24"/>
  <c r="L15" i="24"/>
  <c r="L14" i="24"/>
  <c r="M9" i="24"/>
  <c r="L8" i="24"/>
  <c r="L5" i="24"/>
  <c r="L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3" i="24"/>
  <c r="M15" i="24"/>
  <c r="M14" i="24"/>
  <c r="M6" i="24"/>
  <c r="M8" i="24"/>
  <c r="M5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<sst xmlns="http://schemas.openxmlformats.org/spreadsheetml/2006/main" count="11144" uniqueCount="6132">
  <si>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</si>
  <si>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</si>
  <si>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</si>
  <si>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</si>
  <si>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</si>
  <si>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</si>
  <si>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</si>
  <si>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</si>
  <si>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</si>
  <si>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</si>
  <si>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</si>
  <si>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</si>
  <si>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</si>
  <si>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</si>
  <si>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</si>
  <si>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</si>
  <si>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</si>
  <si>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</si>
  <si>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</si>
  <si>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</si>
  <si>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</si>
  <si>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</si>
  <si>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</si>
  <si>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</si>
  <si>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</si>
  <si>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</si>
  <si>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</si>
  <si>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</si>
  <si>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</si>
  <si>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</si>
  <si>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</si>
  <si>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</si>
  <si>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</si>
  <si>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</si>
  <si>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</si>
  <si>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</si>
  <si>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</si>
  <si>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</si>
  <si>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</si>
  <si>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</si>
  <si>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</si>
  <si>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</si>
  <si>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</si>
  <si>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</si>
  <si>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</si>
  <si>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</si>
  <si>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</si>
  <si>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</si>
  <si>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</si>
  <si>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</si>
  <si>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</si>
  <si>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</si>
  <si>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</si>
  <si>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</si>
  <si>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</si>
  <si>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</si>
  <si>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</si>
  <si>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</si>
  <si>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</si>
  <si>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</si>
  <si>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</si>
  <si>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</si>
  <si>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</si>
  <si>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</si>
  <si>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</si>
  <si>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</si>
  <si>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</si>
  <si>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</si>
  <si>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</si>
  <si>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</si>
  <si>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</si>
  <si>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</si>
  <si>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</si>
  <si>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</si>
  <si>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</si>
  <si>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</si>
  <si>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</si>
  <si>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</si>
  <si>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</si>
  <si>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</si>
  <si>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</si>
  <si>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</si>
  <si>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</si>
  <si>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</si>
  <si>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</si>
  <si>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</si>
  <si>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</si>
  <si>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</si>
  <si>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</si>
  <si>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</si>
  <si>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</si>
  <si>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</si>
  <si>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</si>
  <si>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</si>
  <si>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</si>
  <si>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</si>
  <si>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</si>
  <si>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</si>
  <si>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</si>
  <si>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</si>
  <si>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</si>
  <si>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</si>
  <si>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</si>
  <si>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</si>
  <si>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</si>
  <si>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</si>
  <si>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</si>
  <si>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</si>
  <si>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</si>
  <si>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</si>
  <si>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</si>
  <si>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</si>
  <si>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</si>
  <si>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</si>
  <si>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</si>
  <si>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</si>
  <si>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</si>
  <si>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</si>
  <si>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</si>
  <si>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</si>
  <si>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</si>
  <si>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</si>
  <si>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</si>
  <si>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</si>
  <si>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</si>
  <si>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</si>
  <si>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</si>
  <si>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</si>
  <si>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</si>
  <si>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</si>
  <si>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</si>
  <si>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</si>
  <si>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</si>
  <si>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</si>
  <si>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</si>
  <si>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</si>
  <si>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</si>
  <si>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</si>
  <si>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</si>
  <si>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</si>
  <si>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</si>
  <si>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</si>
  <si>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</si>
  <si>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</si>
  <si>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</si>
  <si>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</si>
  <si>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</si>
  <si>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</si>
  <si>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</si>
  <si>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</si>
  <si>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</si>
  <si>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</si>
  <si>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</si>
  <si>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</si>
  <si>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</si>
  <si>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</si>
  <si>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</si>
  <si>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</si>
  <si>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</si>
  <si>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</si>
  <si>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</si>
  <si>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</si>
  <si>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</si>
  <si>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</si>
  <si>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</si>
  <si>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</si>
  <si>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</si>
  <si>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</si>
  <si>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</si>
  <si>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</si>
  <si>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</si>
  <si>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</si>
  <si>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</si>
  <si>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</si>
  <si>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</si>
  <si>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</si>
  <si>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</si>
  <si>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</si>
  <si>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</si>
  <si>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</si>
  <si>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</si>
  <si>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</si>
  <si>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</si>
  <si>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</si>
  <si>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</si>
  <si>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</si>
  <si>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</si>
  <si>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</si>
  <si>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</si>
  <si>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</si>
  <si>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</si>
  <si>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</si>
  <si>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</si>
  <si>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</si>
  <si>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</si>
  <si>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</si>
  <si>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</si>
  <si>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</si>
  <si>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</si>
  <si>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</si>
  <si>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</si>
  <si>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</si>
  <si>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</si>
  <si>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</si>
  <si>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</si>
  <si>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</si>
  <si>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</si>
  <si>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</si>
  <si>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</si>
  <si>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</si>
  <si>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</si>
  <si>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</si>
  <si>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</si>
  <si>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</si>
  <si>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</si>
  <si>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</si>
  <si>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</si>
  <si>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</si>
  <si>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</si>
  <si>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</si>
  <si>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</si>
  <si>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</si>
  <si>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</si>
  <si>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</si>
  <si>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</si>
  <si>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</si>
  <si>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</si>
  <si>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</si>
  <si>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</si>
  <si>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</si>
  <si>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</si>
  <si>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</si>
  <si>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</si>
  <si>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</si>
  <si>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</si>
  <si>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</si>
  <si>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</si>
  <si>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</si>
  <si>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</si>
  <si>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</si>
  <si>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</si>
  <si>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</si>
  <si>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</si>
  <si>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</si>
  <si>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</si>
  <si>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</si>
  <si>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</si>
  <si>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</si>
  <si>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</si>
  <si>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</si>
  <si>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</si>
  <si>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</si>
  <si>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</si>
  <si>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</si>
  <si>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</si>
  <si>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</si>
  <si>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</si>
  <si>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</si>
  <si>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</si>
  <si>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</si>
  <si>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</si>
  <si>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</si>
  <si>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</si>
  <si>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</si>
  <si>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</si>
  <si>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</si>
  <si>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</si>
  <si>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</si>
  <si>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</si>
  <si>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</si>
  <si>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</si>
  <si>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</si>
  <si>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</si>
  <si>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</si>
  <si>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</si>
  <si>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</si>
  <si>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</si>
  <si>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</si>
  <si>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</si>
  <si>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</si>
  <si>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</si>
  <si>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</si>
  <si>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</si>
  <si>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</si>
  <si>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</si>
  <si>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</si>
  <si>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</si>
  <si>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</si>
  <si>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</si>
  <si>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</si>
  <si>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</si>
  <si>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</si>
  <si>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</si>
  <si>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</si>
  <si>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</si>
  <si>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</si>
  <si>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</si>
  <si>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</si>
  <si>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</si>
  <si>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</si>
  <si>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</si>
  <si>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</si>
  <si>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</si>
  <si>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</si>
  <si>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</si>
  <si>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</si>
  <si>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</si>
  <si>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</si>
  <si>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</si>
  <si>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</si>
  <si>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</si>
  <si>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</si>
  <si>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</si>
  <si>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</si>
  <si>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</si>
  <si>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</si>
  <si>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</si>
  <si>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</si>
  <si>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</si>
  <si>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</si>
  <si>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</si>
  <si>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</si>
  <si>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</si>
  <si>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</si>
  <si>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</si>
  <si>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</si>
  <si>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</si>
  <si>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</si>
  <si>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</si>
  <si>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</si>
  <si>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</si>
  <si>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</si>
  <si>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</si>
  <si>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</si>
  <si>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</si>
  <si>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</si>
  <si>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</si>
  <si>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</si>
  <si>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</si>
  <si>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</si>
  <si>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</si>
  <si>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</si>
  <si>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</si>
  <si>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</si>
  <si>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</si>
  <si>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</si>
  <si>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</si>
  <si>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</si>
  <si>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</si>
  <si>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</si>
  <si>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</si>
  <si>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</si>
  <si>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</si>
  <si>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</si>
  <si>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</si>
  <si>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</si>
  <si>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</si>
  <si>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</si>
  <si>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</si>
  <si>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</si>
  <si>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</si>
  <si>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</si>
  <si>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</si>
  <si>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</si>
  <si>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</si>
  <si>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</si>
  <si>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</si>
  <si>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</si>
  <si>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</si>
  <si>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</si>
  <si>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</si>
  <si>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</si>
  <si>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</si>
  <si>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</si>
  <si>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</si>
  <si>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</si>
  <si>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</si>
  <si>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</si>
  <si>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</si>
  <si>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</si>
  <si>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</si>
  <si>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</si>
  <si>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</si>
  <si>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</si>
  <si>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</si>
  <si>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</si>
  <si>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</si>
  <si>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</si>
  <si>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</si>
  <si>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</si>
  <si>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</si>
  <si>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</si>
  <si>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</si>
  <si>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</si>
  <si>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</si>
  <si>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</si>
  <si>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</si>
  <si>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</si>
  <si>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</si>
  <si>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</si>
  <si>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</si>
  <si>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</si>
  <si>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</si>
  <si>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</si>
  <si>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</si>
  <si>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</si>
  <si>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</si>
  <si>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</si>
  <si>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</si>
  <si>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</si>
  <si>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</si>
  <si>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</si>
  <si>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</si>
  <si>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</si>
  <si>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</si>
  <si>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</si>
  <si>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</si>
  <si>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</si>
  <si>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</si>
  <si>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</si>
  <si>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</si>
  <si>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</si>
  <si>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</si>
  <si>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</si>
  <si>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</si>
  <si>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</si>
  <si>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</si>
  <si>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</si>
  <si>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</si>
  <si>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</si>
  <si>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</si>
  <si>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</si>
  <si>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</si>
  <si>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</si>
  <si>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</si>
  <si>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</si>
  <si>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</si>
  <si>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</si>
  <si>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</si>
  <si>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</si>
  <si>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</si>
  <si>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</si>
  <si>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</si>
  <si>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</si>
  <si>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</si>
  <si>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</si>
  <si>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</si>
  <si>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</si>
  <si>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</si>
  <si>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</si>
  <si>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</si>
  <si>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</si>
  <si>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</si>
  <si>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</si>
  <si>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</si>
  <si>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</si>
  <si>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</si>
  <si>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</si>
  <si>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</si>
  <si>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</si>
  <si>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</si>
  <si>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</si>
  <si>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</si>
  <si>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</si>
  <si>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</si>
  <si>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</si>
  <si>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</si>
  <si>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</si>
  <si>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</si>
  <si>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</si>
  <si>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</si>
  <si>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</si>
  <si>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</si>
  <si>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</si>
  <si>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</si>
  <si>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</si>
  <si>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</si>
  <si>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</si>
  <si>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</si>
  <si>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</si>
  <si>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</si>
  <si>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</si>
  <si>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</si>
  <si>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</si>
  <si>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</si>
  <si>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</si>
  <si>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</si>
  <si>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</si>
  <si>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</si>
  <si>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</si>
  <si>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</si>
  <si>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</si>
  <si>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</si>
  <si>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</si>
  <si>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</si>
  <si>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</si>
  <si>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</si>
  <si>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</si>
  <si>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</si>
  <si>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</si>
  <si>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</si>
  <si>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</si>
  <si>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</si>
  <si>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</si>
  <si>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</si>
  <si>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</si>
  <si>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</si>
  <si>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</si>
  <si>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</si>
  <si>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</si>
  <si>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</si>
  <si>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</si>
  <si>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</si>
  <si>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</si>
  <si>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</si>
  <si>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</si>
  <si>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</si>
  <si>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</si>
  <si>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</si>
  <si>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</si>
  <si>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</si>
  <si>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</si>
  <si>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</si>
  <si>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</si>
  <si>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</si>
  <si>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</si>
  <si>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</si>
  <si>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</si>
  <si>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</si>
  <si>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</si>
  <si>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</si>
  <si>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</si>
  <si>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</si>
  <si>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</si>
  <si>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</si>
  <si>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</si>
  <si>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</si>
  <si>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</si>
  <si>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</si>
  <si>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</si>
  <si>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</si>
  <si>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</si>
  <si>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</si>
  <si>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</si>
  <si>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</si>
  <si>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</si>
  <si>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</si>
  <si>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</si>
  <si>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</si>
  <si>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</si>
  <si>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</si>
  <si>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</si>
  <si>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</si>
  <si>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</si>
  <si>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</si>
  <si>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</si>
  <si>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</si>
  <si>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</si>
  <si>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</si>
  <si>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</si>
  <si>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</si>
  <si>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</si>
  <si>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</si>
  <si>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</si>
  <si>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</si>
  <si>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</si>
  <si>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</si>
  <si>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</si>
  <si>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</si>
  <si>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</si>
  <si>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</si>
  <si>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</si>
  <si>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</si>
  <si>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</si>
  <si>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</si>
  <si>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</si>
  <si>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</si>
  <si>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</si>
  <si>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</si>
  <si>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</si>
  <si>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</si>
  <si>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</si>
  <si>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</si>
  <si>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</si>
  <si>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</si>
  <si>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</si>
  <si>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</si>
  <si>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</si>
  <si>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</si>
  <si>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</si>
  <si>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</si>
  <si>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</si>
  <si>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</si>
  <si>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</si>
  <si>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</si>
  <si>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</si>
  <si>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</si>
  <si>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</si>
  <si>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</si>
  <si>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</si>
  <si>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</si>
  <si>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</si>
  <si>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</si>
  <si>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</si>
  <si>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</si>
  <si>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</si>
  <si>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</si>
  <si>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</si>
  <si>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</si>
  <si>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</si>
  <si>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</si>
  <si>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</si>
  <si>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</si>
  <si>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</si>
  <si>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</si>
  <si>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</si>
  <si>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</si>
  <si>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</si>
  <si>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</si>
  <si>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</si>
  <si>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</si>
  <si>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</si>
  <si>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</si>
  <si>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</si>
  <si>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</si>
  <si>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</si>
  <si>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</si>
  <si>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</si>
  <si>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</si>
  <si>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</si>
  <si>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</si>
  <si>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</si>
  <si>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</si>
  <si>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</si>
  <si>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</si>
  <si>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</si>
  <si>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</si>
  <si>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</si>
  <si>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</si>
  <si>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</si>
  <si>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</si>
  <si>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</si>
  <si>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</si>
  <si>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</si>
  <si>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</si>
  <si>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</si>
  <si>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</si>
  <si>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</si>
  <si>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</si>
  <si>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</si>
  <si>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</si>
  <si>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</si>
  <si>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</si>
  <si>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</si>
  <si>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</si>
  <si>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</si>
  <si>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</si>
  <si>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</si>
  <si>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</si>
  <si>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</si>
  <si>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</si>
  <si>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</si>
  <si>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</si>
  <si>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</si>
  <si>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</si>
  <si>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</si>
  <si>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</si>
  <si>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</si>
  <si>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</si>
  <si>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</si>
  <si>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</si>
  <si>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</si>
  <si>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</si>
  <si>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</si>
  <si>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</si>
  <si>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</si>
  <si>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</si>
  <si>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</si>
  <si>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</si>
  <si>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</si>
  <si>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</si>
  <si>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</si>
  <si>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</si>
  <si>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</si>
  <si>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</si>
  <si>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</si>
  <si>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</si>
  <si>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</si>
  <si>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</si>
  <si>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</si>
  <si>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</si>
  <si>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</si>
  <si>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</si>
  <si>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</si>
  <si>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</si>
  <si>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</si>
  <si>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</si>
  <si>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</si>
  <si>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</si>
  <si>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</si>
  <si>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</si>
  <si>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</si>
  <si>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</si>
  <si>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</si>
  <si>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</si>
  <si>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</si>
  <si>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</si>
  <si>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</si>
  <si>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</si>
  <si>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</si>
  <si>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</si>
  <si>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</si>
  <si>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</si>
  <si>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</si>
  <si>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</si>
  <si>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</si>
  <si>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</si>
  <si>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</si>
  <si>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</si>
  <si>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</si>
  <si>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</si>
  <si>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</si>
  <si>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</si>
  <si>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</si>
  <si>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</si>
  <si>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</si>
  <si>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</si>
  <si>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</si>
  <si>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</si>
  <si>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</si>
  <si>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</si>
  <si>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</si>
  <si>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</si>
  <si>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</si>
  <si>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</si>
  <si>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</si>
  <si>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</si>
  <si>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</si>
  <si>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</si>
  <si>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</si>
  <si>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</si>
  <si>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</si>
  <si>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</si>
  <si>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</si>
  <si>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</si>
  <si>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</si>
  <si>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</si>
  <si>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</si>
  <si>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</si>
  <si>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</si>
  <si>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</si>
  <si>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</si>
  <si>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</si>
  <si>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</si>
  <si>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</si>
  <si>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</si>
  <si>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</si>
  <si>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</si>
  <si>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</si>
  <si>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</si>
  <si>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</si>
  <si>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</si>
  <si>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</si>
  <si>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</si>
  <si>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</si>
  <si>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</si>
  <si>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</si>
  <si>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</si>
  <si>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</si>
  <si>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</si>
  <si>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</si>
  <si>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</si>
  <si>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</si>
  <si>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</si>
  <si>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</si>
  <si>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</si>
  <si>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</si>
  <si>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</si>
  <si>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</si>
  <si>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</si>
  <si>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</si>
  <si>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</si>
  <si>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</si>
  <si>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</si>
  <si>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</si>
  <si>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</si>
  <si>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</si>
  <si>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</si>
  <si>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</si>
  <si>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</si>
  <si>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</si>
  <si>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</si>
  <si>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</si>
  <si>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</si>
  <si>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</si>
  <si>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</si>
  <si>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</si>
  <si>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</si>
  <si>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</si>
  <si>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</si>
  <si>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</si>
  <si>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</si>
  <si>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</si>
  <si>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</si>
  <si>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</si>
  <si>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</si>
  <si>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</si>
  <si>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</si>
  <si>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</si>
  <si>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</si>
  <si>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</si>
  <si>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</si>
  <si>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</si>
  <si>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</si>
  <si>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</si>
  <si>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</si>
  <si>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</si>
  <si>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</si>
  <si>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</si>
  <si>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</si>
  <si>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</si>
  <si>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</si>
  <si>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</si>
  <si>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</si>
  <si>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</si>
  <si>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</si>
  <si>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</si>
  <si>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</si>
  <si>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</si>
  <si>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</si>
  <si>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</si>
  <si>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</si>
  <si>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</si>
  <si>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</si>
  <si>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</si>
  <si>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</si>
  <si>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</si>
  <si>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</si>
  <si>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</si>
  <si>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</si>
  <si>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</si>
  <si>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</si>
  <si>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</si>
  <si>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</si>
  <si>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</si>
  <si>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</si>
  <si>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</si>
  <si>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</si>
  <si>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</si>
  <si>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</si>
  <si>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</si>
  <si>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</si>
  <si>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</si>
  <si>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</si>
  <si>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</si>
  <si>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</si>
  <si>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</si>
  <si>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</si>
  <si>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</si>
  <si>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</si>
  <si>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</si>
  <si>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</si>
  <si>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</si>
  <si>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</si>
  <si>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</si>
  <si>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</si>
  <si>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</si>
  <si>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</si>
  <si>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</si>
  <si>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</si>
  <si>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</si>
  <si>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</si>
  <si>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</si>
  <si>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</si>
  <si>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</si>
  <si>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</si>
  <si>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</si>
  <si>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</si>
  <si>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</si>
  <si>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</si>
  <si>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</si>
  <si>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</si>
  <si>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</si>
  <si>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</si>
  <si>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</si>
  <si>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</si>
  <si>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</si>
  <si>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</si>
  <si>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</si>
  <si>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</si>
  <si>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</si>
  <si>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</si>
  <si>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</si>
  <si>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</si>
  <si>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</si>
  <si>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</si>
  <si>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</si>
  <si>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</si>
  <si>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</si>
  <si>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</si>
  <si>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</si>
  <si>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</si>
  <si>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</si>
  <si>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</si>
  <si>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</si>
  <si>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</si>
  <si>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</si>
  <si>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</si>
  <si>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</si>
  <si>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</si>
  <si>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</si>
  <si>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</si>
  <si>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</si>
  <si>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</si>
  <si>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</si>
  <si>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</si>
  <si>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</si>
  <si>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</si>
  <si>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</si>
  <si>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</si>
  <si>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</si>
  <si>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</si>
  <si>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</si>
  <si>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</si>
  <si>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</si>
  <si>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</si>
  <si>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</si>
  <si>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</si>
  <si>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</si>
  <si>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</si>
  <si>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</si>
  <si>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</si>
  <si>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</si>
  <si>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</si>
  <si>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</si>
  <si>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</si>
  <si>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</si>
  <si>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</si>
  <si>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</si>
  <si>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</si>
  <si>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</si>
  <si>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</si>
  <si>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</si>
  <si>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</si>
  <si>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</si>
  <si>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</si>
  <si>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</si>
  <si>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</si>
  <si>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</si>
  <si>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</si>
  <si>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</si>
  <si>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</si>
  <si>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</si>
  <si>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</si>
  <si>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</si>
  <si>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</si>
  <si>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</si>
  <si>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</si>
  <si>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</si>
  <si>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</si>
  <si>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</si>
  <si>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</si>
  <si>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</si>
  <si>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</si>
  <si>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</si>
  <si>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</si>
  <si>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</si>
  <si>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</si>
  <si>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</si>
  <si>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</si>
  <si>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</si>
  <si>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</si>
  <si>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</si>
  <si>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</si>
  <si>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</si>
  <si>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</si>
  <si>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</si>
  <si>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</si>
  <si>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</si>
  <si>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</si>
  <si>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</si>
  <si>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</si>
  <si>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</si>
  <si>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</si>
  <si>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</si>
  <si>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</si>
  <si>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</si>
  <si>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</si>
  <si>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</si>
  <si>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</si>
  <si>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</si>
  <si>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</si>
  <si>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</si>
  <si>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</si>
  <si>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</si>
  <si>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</si>
  <si>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</si>
  <si>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</si>
  <si>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</si>
  <si>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</si>
  <si>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</si>
  <si>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</si>
  <si>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</si>
  <si>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</si>
  <si>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</si>
  <si>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</si>
  <si>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</si>
  <si>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</si>
  <si>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</si>
  <si>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</si>
  <si>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</si>
  <si>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</si>
  <si>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</si>
  <si>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</si>
  <si>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</si>
  <si>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</si>
  <si>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</si>
  <si>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</si>
  <si>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</si>
  <si>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</si>
  <si>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</si>
  <si>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</si>
  <si>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</si>
  <si>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</si>
  <si>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</si>
  <si>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</si>
  <si>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</si>
  <si>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</si>
  <si>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</si>
  <si>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</si>
  <si>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</si>
  <si>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</si>
  <si>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</si>
  <si>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</si>
  <si>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</si>
  <si>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</si>
  <si>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</si>
  <si>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</si>
  <si>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</si>
  <si>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</si>
  <si>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</si>
  <si>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</si>
  <si>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</si>
  <si>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</si>
  <si>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</si>
  <si>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</si>
  <si>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</si>
  <si>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</si>
  <si>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</si>
  <si>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</si>
  <si>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</si>
  <si>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</si>
  <si>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</si>
  <si>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</si>
  <si>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</si>
  <si>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</si>
  <si>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</si>
  <si>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</si>
  <si>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</si>
  <si>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</si>
  <si>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</si>
  <si>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</si>
  <si>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</si>
  <si>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</si>
  <si>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</si>
  <si>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</si>
  <si>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</si>
  <si>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</si>
  <si>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</si>
  <si>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</si>
  <si>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</si>
  <si>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</si>
  <si>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</si>
  <si>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</si>
  <si>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</si>
  <si>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</si>
  <si>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</si>
  <si>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</si>
  <si>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</si>
  <si>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</si>
  <si>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</si>
  <si>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</si>
  <si>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</si>
  <si>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</si>
  <si>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</si>
  <si>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</si>
  <si>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</si>
  <si>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</si>
  <si>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</si>
  <si>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</si>
  <si>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</si>
  <si>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</si>
  <si>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</si>
  <si>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</si>
  <si>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</si>
  <si>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</si>
  <si>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</si>
  <si>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</si>
  <si>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</si>
  <si>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</si>
  <si>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</si>
  <si>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</si>
  <si>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</si>
  <si>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</si>
  <si>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</si>
  <si>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</si>
  <si>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</si>
  <si>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</si>
  <si>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</si>
  <si>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</si>
  <si>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</si>
  <si>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</si>
  <si>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</si>
  <si>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</si>
  <si>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</si>
  <si>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</si>
  <si>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</si>
  <si>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</si>
  <si>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</si>
  <si>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</si>
  <si>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</si>
  <si>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</si>
  <si>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</si>
  <si>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</si>
  <si>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</si>
  <si>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</si>
  <si>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</si>
  <si>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</si>
  <si>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</si>
  <si>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</si>
  <si>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</si>
  <si>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</si>
  <si>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</si>
  <si>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</si>
  <si>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</si>
  <si>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</si>
  <si>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</si>
  <si>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</si>
  <si>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</si>
  <si>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</si>
  <si>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</si>
  <si>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</si>
  <si>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</si>
  <si>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</si>
  <si>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</si>
  <si>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</si>
  <si>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</si>
  <si>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</si>
  <si>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</si>
  <si>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</si>
  <si>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</si>
  <si>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</si>
  <si>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</si>
  <si>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</si>
  <si>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</si>
  <si>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</si>
  <si>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</si>
  <si>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</si>
  <si>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</si>
  <si>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</si>
  <si>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</si>
  <si>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</si>
  <si>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</si>
  <si>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</si>
  <si>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</si>
  <si>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</si>
  <si>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</si>
  <si>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</si>
  <si>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</si>
  <si>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</si>
  <si>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</si>
  <si>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</si>
  <si>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</si>
  <si>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</si>
  <si>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</si>
  <si>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</si>
  <si>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</si>
  <si>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</si>
  <si>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</si>
  <si>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</si>
  <si>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</si>
  <si>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</si>
  <si>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</si>
  <si>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</si>
  <si>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</si>
  <si>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</si>
  <si>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</si>
  <si>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</si>
  <si>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</si>
  <si>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</si>
  <si>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</si>
  <si>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</si>
  <si>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</si>
  <si>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</si>
  <si>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</si>
  <si>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</si>
  <si>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</si>
  <si>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</si>
  <si>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</si>
  <si>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</si>
  <si>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</si>
  <si>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</si>
  <si>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</si>
  <si>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</si>
  <si>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</si>
  <si>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</si>
  <si>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</si>
  <si>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</si>
  <si>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</si>
  <si>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</si>
  <si>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</si>
  <si>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</si>
  <si>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</si>
  <si>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</si>
  <si>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</si>
  <si>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</si>
  <si>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</si>
  <si>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</si>
  <si>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</si>
  <si>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</si>
  <si>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</si>
  <si>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</si>
  <si>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</si>
  <si>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</si>
  <si>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</si>
  <si>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</si>
  <si>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</si>
  <si>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</si>
  <si>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</si>
  <si>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</si>
  <si>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</si>
  <si>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</si>
  <si>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</si>
  <si>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</si>
  <si>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</si>
  <si>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</si>
  <si>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</si>
  <si>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</si>
  <si>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</si>
  <si>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</si>
  <si>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</si>
  <si>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</si>
  <si>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</si>
  <si>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</si>
  <si>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</si>
  <si>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</si>
  <si>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</si>
  <si>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</si>
  <si>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</si>
  <si>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</si>
  <si>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</si>
  <si>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</si>
  <si>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</si>
  <si>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</si>
  <si>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</si>
  <si>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</si>
  <si>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</si>
  <si>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</si>
  <si>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</si>
  <si>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</si>
  <si>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</si>
  <si>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</si>
  <si>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</si>
  <si>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</si>
  <si>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</si>
  <si>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</si>
  <si>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</si>
  <si>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</si>
  <si>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</si>
  <si>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</si>
  <si>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</si>
  <si>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</si>
  <si>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</si>
  <si>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</si>
  <si>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</si>
  <si>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</si>
  <si>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</si>
  <si>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</si>
  <si>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</si>
  <si>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</si>
  <si>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</si>
  <si>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</si>
  <si>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</si>
  <si>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</si>
  <si>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</si>
  <si>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</si>
  <si>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</si>
  <si>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</si>
  <si>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</si>
  <si>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</si>
  <si>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</si>
  <si>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</si>
  <si>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</si>
  <si>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</si>
  <si>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</si>
  <si>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</si>
  <si>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</si>
  <si>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</si>
  <si>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</si>
  <si>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</si>
  <si>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</si>
  <si>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</si>
  <si>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</si>
  <si>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</si>
  <si>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</si>
  <si>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</si>
  <si>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</si>
  <si>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</si>
  <si>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</si>
  <si>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</si>
  <si>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</si>
  <si>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</si>
  <si>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</si>
  <si>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</si>
  <si>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</si>
  <si>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</si>
  <si>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</si>
  <si>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</si>
  <si>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</si>
  <si>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</si>
  <si>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</si>
  <si>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</si>
  <si>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</si>
  <si>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</si>
  <si>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</si>
  <si>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</si>
  <si>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</si>
  <si>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</si>
  <si>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</si>
  <si>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</si>
  <si>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</si>
  <si>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</si>
  <si>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</si>
  <si>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</si>
  <si>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</si>
  <si>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</si>
  <si>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</si>
  <si>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</si>
  <si>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</si>
  <si>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</si>
  <si>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</si>
  <si>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</si>
  <si>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</si>
  <si>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</si>
  <si>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</si>
  <si>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</si>
  <si>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</si>
  <si>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</si>
  <si>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</si>
  <si>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</si>
  <si>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</si>
  <si>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</si>
  <si>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</si>
  <si>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</si>
  <si>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</si>
  <si>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</si>
  <si>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</si>
  <si>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</si>
  <si>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</si>
  <si>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</si>
  <si>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</si>
  <si>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</si>
  <si>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</si>
  <si>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</si>
  <si>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</si>
  <si>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</si>
  <si>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</si>
  <si>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</si>
  <si>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</si>
  <si>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</si>
  <si>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</si>
  <si>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</si>
  <si>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</si>
  <si>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</si>
  <si>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</si>
  <si>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</si>
  <si>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</si>
  <si>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</si>
  <si>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</si>
  <si>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</si>
  <si>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</si>
  <si>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</si>
  <si>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</si>
  <si>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</si>
  <si>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</si>
  <si>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</si>
  <si>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</si>
  <si>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</si>
  <si>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</si>
  <si>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</si>
  <si>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</si>
  <si>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</si>
  <si>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</si>
  <si>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</si>
  <si>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</si>
  <si>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</si>
  <si>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</si>
  <si>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</si>
  <si>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</si>
  <si>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</si>
  <si>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</si>
  <si>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</si>
  <si>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</si>
  <si>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</si>
  <si>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</si>
  <si>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</si>
  <si>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</si>
  <si>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</si>
  <si>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</si>
  <si>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</si>
  <si>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</si>
  <si>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</si>
  <si>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</si>
  <si>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</si>
  <si>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</si>
  <si>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</si>
  <si>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</si>
  <si>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</si>
  <si>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</si>
  <si>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</si>
  <si>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</si>
  <si>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</si>
  <si>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</si>
  <si>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</si>
  <si>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</si>
  <si>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</si>
  <si>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</si>
  <si>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</si>
  <si>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</si>
  <si>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</si>
  <si>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</si>
  <si>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</si>
  <si>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</si>
  <si>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</si>
  <si>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</si>
  <si>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</si>
  <si>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</si>
  <si>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</si>
  <si>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</si>
  <si>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</si>
  <si>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</si>
  <si>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</si>
  <si>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</si>
  <si>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</si>
  <si>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</si>
  <si>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</si>
  <si>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</si>
  <si>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</si>
  <si>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</si>
  <si>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</si>
  <si>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</si>
  <si>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</si>
  <si>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</si>
  <si>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</si>
  <si>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</si>
  <si>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</si>
  <si>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</si>
  <si>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</si>
  <si>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</si>
  <si>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</si>
  <si>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</si>
  <si>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</si>
  <si>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</si>
  <si>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</si>
  <si>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</si>
  <si>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</si>
  <si>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</si>
  <si>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</si>
  <si>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</si>
  <si>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</si>
  <si>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</si>
  <si>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</si>
  <si>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</si>
  <si>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</si>
  <si>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</si>
  <si>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</si>
  <si>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</si>
  <si>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</si>
  <si>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</si>
  <si>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</si>
  <si>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</si>
  <si>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</si>
  <si>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</si>
  <si>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</si>
  <si>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</si>
  <si>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</si>
  <si>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</si>
  <si>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</si>
  <si>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</si>
  <si>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</si>
  <si>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</si>
  <si>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</si>
  <si>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</si>
  <si>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</si>
  <si>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</si>
  <si>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</si>
  <si>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</si>
  <si>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</si>
  <si>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</si>
  <si>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</si>
  <si>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</si>
  <si>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</si>
  <si>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</si>
  <si>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</si>
  <si>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</si>
  <si>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</si>
  <si>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</si>
  <si>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</si>
  <si>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</si>
  <si>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</si>
  <si>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</si>
  <si>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</si>
  <si>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</si>
  <si>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</si>
  <si>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</si>
  <si>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</si>
  <si>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</si>
  <si>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</si>
  <si>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</si>
  <si>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</si>
  <si>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</si>
  <si>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</si>
  <si>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</si>
  <si>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</si>
  <si>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</si>
  <si>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</si>
  <si>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</si>
  <si>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</si>
  <si>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</si>
  <si>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</si>
  <si>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</si>
  <si>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</si>
  <si>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</si>
  <si>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</si>
  <si>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</si>
  <si>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</si>
  <si>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</si>
  <si>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</si>
  <si>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</si>
  <si>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</si>
  <si>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</si>
  <si>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</si>
  <si>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</si>
  <si>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</si>
  <si>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</si>
  <si>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</si>
  <si>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</si>
  <si>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</si>
  <si>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</si>
  <si>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</si>
  <si>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</si>
  <si>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</si>
  <si>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</si>
  <si>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</si>
  <si>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</si>
  <si>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</si>
  <si>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</si>
  <si>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</si>
  <si>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</si>
  <si>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</si>
  <si>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</si>
  <si>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</si>
  <si>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</si>
  <si>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</si>
  <si>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</si>
  <si>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</si>
  <si>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</si>
  <si>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</si>
  <si>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</si>
  <si>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</si>
  <si>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</si>
  <si>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</si>
  <si>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</si>
  <si>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</si>
  <si>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</si>
  <si>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</si>
  <si>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</si>
  <si>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</si>
  <si>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</si>
  <si>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</si>
  <si>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</si>
  <si>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</si>
  <si>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</si>
  <si>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</si>
  <si>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</si>
  <si>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</si>
  <si>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</si>
  <si>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</si>
  <si>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</si>
  <si>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</si>
  <si>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</si>
  <si>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</si>
  <si>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</si>
  <si>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</si>
  <si>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</si>
  <si>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</si>
  <si>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</si>
  <si>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</si>
  <si>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</si>
  <si>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</si>
  <si>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</si>
  <si>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</si>
  <si>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</si>
  <si>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</si>
  <si>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</si>
  <si>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</si>
  <si>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</si>
  <si>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</si>
  <si>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</si>
  <si>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</si>
  <si>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</si>
  <si>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</si>
  <si>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</si>
  <si>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</si>
  <si>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</si>
  <si>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</si>
  <si>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</si>
  <si>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</si>
  <si>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</si>
  <si>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</si>
  <si>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</si>
  <si>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</si>
  <si>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</si>
  <si>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</si>
  <si>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</si>
  <si>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</si>
  <si>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</si>
  <si>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</si>
  <si>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</si>
  <si>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</si>
  <si>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</si>
  <si>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</si>
  <si>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</si>
  <si>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</si>
  <si>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</si>
  <si>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</si>
  <si>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</si>
  <si>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</si>
  <si>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</si>
  <si>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</si>
  <si>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</si>
  <si>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</si>
  <si>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</si>
  <si>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</si>
  <si>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</si>
  <si>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</si>
  <si>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</si>
  <si>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</si>
  <si>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</si>
  <si>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</si>
  <si>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</si>
  <si>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</si>
  <si>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</si>
  <si>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</si>
  <si>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</si>
  <si>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</si>
  <si>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</si>
  <si>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</si>
  <si>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</si>
  <si>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</si>
  <si>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</si>
  <si>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</si>
  <si>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</si>
  <si>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</si>
  <si>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</si>
  <si>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</si>
  <si>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</si>
  <si>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</si>
  <si>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</si>
  <si>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</si>
  <si>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</si>
  <si>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</si>
  <si>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</si>
  <si>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</si>
  <si>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</si>
  <si>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</si>
  <si>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</si>
  <si>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</si>
  <si>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</si>
  <si>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</si>
  <si>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</si>
  <si>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</si>
  <si>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</si>
  <si>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</si>
  <si>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</si>
  <si>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</si>
  <si>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</si>
  <si>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</si>
  <si>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</si>
  <si>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</si>
  <si>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</si>
  <si>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</si>
  <si>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</si>
  <si>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</si>
  <si>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</si>
  <si>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</si>
  <si>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</si>
  <si>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</si>
  <si>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</si>
  <si>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</si>
  <si>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</si>
  <si>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</si>
  <si>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</si>
  <si>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</si>
  <si>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</si>
  <si>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</si>
  <si>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</si>
  <si>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</si>
  <si>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</si>
  <si>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</si>
  <si>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</si>
  <si>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</si>
  <si>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</si>
  <si>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</si>
  <si>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</si>
  <si>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</si>
  <si>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</si>
  <si>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</si>
  <si>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</si>
  <si>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</si>
  <si>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</si>
  <si>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</si>
  <si>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</si>
  <si>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</si>
  <si>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</si>
  <si>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</si>
  <si>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</si>
  <si>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</si>
  <si>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</si>
  <si>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</si>
  <si>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</si>
  <si>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</si>
  <si>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</si>
  <si>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</si>
  <si>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</si>
  <si>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</si>
  <si>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</si>
  <si>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</si>
  <si>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</si>
  <si>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</si>
  <si>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</si>
  <si>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</si>
  <si>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</si>
  <si>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</si>
  <si>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</si>
  <si>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</si>
  <si>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</si>
  <si>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</si>
  <si>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</si>
  <si>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</si>
  <si>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</si>
  <si>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</si>
  <si>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</si>
  <si>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</si>
  <si>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</si>
  <si>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</si>
  <si>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</si>
  <si>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</si>
  <si>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</si>
  <si>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</si>
  <si>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</si>
  <si>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</si>
  <si>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</si>
  <si>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</si>
  <si>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</si>
  <si>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</si>
  <si>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</si>
  <si>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</si>
  <si>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</si>
  <si>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</si>
  <si>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</si>
  <si>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</si>
  <si>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</si>
  <si>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</si>
  <si>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</si>
  <si>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</si>
  <si>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</si>
  <si>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</si>
  <si>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</si>
  <si>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</si>
  <si>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</si>
  <si>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</si>
  <si>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</si>
  <si>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</si>
  <si>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</si>
  <si>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</si>
  <si>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</si>
  <si>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</si>
  <si>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</si>
  <si>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</si>
  <si>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</si>
  <si>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</si>
  <si>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</si>
  <si>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</si>
  <si>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</si>
  <si>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</si>
  <si>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</si>
  <si>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</si>
  <si>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</si>
  <si>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</si>
  <si>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</si>
  <si>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</si>
  <si>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</si>
  <si>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</si>
  <si>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</si>
  <si>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</si>
  <si>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</si>
  <si>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</si>
  <si>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</si>
  <si>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</si>
  <si>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</si>
  <si>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</si>
  <si>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</si>
  <si>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</si>
  <si>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</si>
  <si>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</si>
  <si>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</si>
  <si>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</si>
  <si>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</si>
  <si>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</si>
  <si>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</si>
  <si>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</si>
  <si>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</si>
  <si>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</si>
  <si>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</si>
  <si>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</si>
  <si>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</si>
  <si>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</si>
  <si>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</si>
  <si>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</si>
  <si>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</si>
  <si>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</si>
  <si>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</si>
  <si>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</si>
  <si>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</si>
  <si>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</si>
  <si>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</si>
  <si>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</si>
  <si>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</si>
  <si>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</si>
  <si>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</si>
  <si>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</si>
  <si>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</si>
  <si>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</si>
  <si>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</si>
  <si>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</si>
  <si>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</si>
  <si>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</si>
  <si>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</si>
  <si>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</si>
  <si>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</si>
  <si>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</si>
  <si>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</si>
  <si>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</si>
  <si>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</si>
  <si>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</si>
  <si>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</si>
  <si>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</si>
  <si>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</si>
  <si>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</si>
  <si>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</si>
  <si>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</si>
  <si>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</si>
  <si>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</si>
  <si>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</si>
  <si>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</si>
  <si>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</si>
  <si>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</si>
  <si>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</si>
  <si>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</si>
  <si>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</si>
  <si>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</si>
  <si>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</si>
  <si>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</si>
  <si>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</si>
  <si>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</si>
  <si>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</si>
  <si>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</si>
  <si>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</si>
  <si>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</si>
  <si>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</si>
  <si>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</si>
  <si>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</si>
  <si>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</si>
  <si>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</si>
  <si>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</si>
  <si>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</si>
  <si>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</si>
  <si>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</si>
  <si>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</si>
  <si>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</si>
  <si>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</si>
  <si>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</si>
  <si>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</si>
  <si>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</si>
  <si>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</si>
  <si>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</si>
  <si>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</si>
  <si>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</si>
  <si>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</si>
  <si>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</si>
  <si>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</si>
  <si>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</si>
  <si>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</si>
  <si>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</si>
  <si>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</si>
  <si>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</si>
  <si>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</si>
  <si>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</si>
  <si>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</si>
  <si>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</si>
  <si>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</si>
  <si>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</si>
  <si>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</si>
  <si>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</si>
  <si>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</si>
  <si>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</si>
  <si>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</si>
  <si>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</si>
  <si>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</si>
  <si>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</si>
  <si>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</si>
  <si>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</si>
  <si>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</si>
  <si>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</si>
  <si>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</si>
  <si>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</si>
  <si>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</si>
  <si>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</si>
  <si>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</si>
  <si>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</si>
  <si>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</si>
  <si>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</si>
  <si>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</si>
  <si>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</si>
  <si>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</si>
  <si>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</si>
  <si>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</si>
  <si>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</si>
  <si>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</si>
  <si>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</si>
  <si>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</si>
  <si>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</si>
  <si>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</si>
  <si>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</si>
  <si>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</si>
  <si>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</si>
  <si>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</si>
  <si>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</si>
  <si>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</si>
  <si>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</si>
  <si>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</si>
  <si>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</si>
  <si>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</si>
  <si>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</si>
  <si>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</si>
  <si>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</si>
  <si>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</si>
  <si>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</si>
  <si>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</si>
  <si>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</si>
  <si>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</si>
  <si>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</si>
  <si>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</si>
  <si>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</si>
  <si>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</si>
  <si>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</si>
  <si>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</si>
  <si>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</si>
  <si>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</si>
  <si>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</si>
  <si>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</si>
  <si>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</si>
  <si>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</si>
  <si>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</si>
  <si>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</si>
  <si>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</si>
  <si>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</si>
  <si>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</si>
  <si>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</si>
  <si>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</si>
  <si>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</si>
  <si>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</si>
  <si>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</si>
  <si>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</si>
  <si>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</si>
  <si>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</si>
  <si>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</si>
  <si>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</si>
  <si>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</si>
  <si>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</si>
  <si>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</si>
  <si>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</si>
  <si>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</si>
  <si>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</si>
  <si>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</si>
  <si>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</si>
  <si>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</si>
  <si>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</si>
  <si>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</si>
  <si>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</si>
  <si>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</si>
  <si>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</si>
  <si>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</si>
  <si>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</si>
  <si>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</si>
  <si>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</si>
  <si>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</si>
  <si>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</si>
  <si>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</si>
  <si>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</si>
  <si>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</si>
  <si>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</si>
  <si>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</si>
  <si>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</si>
  <si>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</si>
  <si>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</si>
  <si>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</si>
  <si>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</si>
  <si>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</si>
  <si>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</si>
  <si>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</si>
  <si>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</si>
  <si>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</si>
  <si>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</si>
  <si>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</si>
  <si>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</si>
  <si>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</si>
  <si>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</si>
  <si>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</si>
  <si>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</si>
  <si>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</si>
  <si>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</si>
  <si>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</si>
  <si>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</si>
  <si>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</si>
  <si>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</si>
  <si>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</si>
  <si>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</si>
  <si>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</si>
  <si>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</si>
  <si>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</si>
  <si>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</si>
  <si>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</si>
  <si>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</si>
  <si>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</si>
  <si>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</si>
  <si>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</si>
  <si>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</si>
  <si>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</si>
  <si>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</si>
  <si>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</si>
  <si>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</si>
  <si>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</si>
  <si>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</si>
  <si>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</si>
  <si>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</si>
  <si>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</si>
  <si>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</si>
  <si>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</si>
  <si>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</si>
  <si>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</si>
  <si>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</si>
  <si>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</si>
  <si>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</si>
  <si>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</si>
  <si>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</si>
  <si>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</si>
  <si>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</si>
  <si>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</si>
  <si>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</si>
  <si>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</si>
  <si>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</si>
  <si>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</si>
  <si>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</si>
  <si>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</si>
  <si>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</si>
  <si>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</si>
  <si>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</si>
  <si>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</si>
  <si>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</si>
  <si>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</si>
  <si>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</si>
  <si>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</si>
  <si>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</si>
  <si>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</si>
  <si>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</si>
  <si>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</si>
  <si>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</si>
  <si>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</si>
  <si>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</si>
  <si>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</si>
  <si>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</si>
  <si>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</si>
  <si>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</si>
  <si>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</si>
  <si>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</si>
  <si>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</si>
  <si>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</si>
  <si>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</si>
  <si>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</si>
  <si>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</si>
  <si>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</si>
  <si>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</si>
  <si>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</si>
  <si>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</si>
  <si>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</si>
  <si>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</si>
  <si>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</si>
  <si>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</si>
  <si>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</si>
  <si>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</si>
  <si>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</si>
  <si>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</si>
  <si>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</si>
  <si>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</si>
  <si>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</si>
  <si>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</si>
  <si>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</si>
  <si>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</si>
  <si>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</si>
  <si>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</si>
  <si>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</si>
  <si>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</si>
  <si>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</si>
  <si>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</si>
  <si>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</si>
  <si>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</si>
  <si>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</si>
  <si>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</si>
  <si>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</si>
  <si>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</si>
  <si>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</si>
  <si>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</si>
  <si>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</si>
  <si>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</si>
  <si>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</si>
  <si>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</si>
  <si>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</si>
  <si>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</si>
  <si>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</si>
  <si>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</si>
  <si>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</si>
  <si>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</si>
  <si>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</si>
  <si>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</si>
  <si>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</si>
  <si>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</si>
  <si>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</si>
  <si>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</si>
  <si>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</si>
  <si>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</si>
  <si>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</si>
  <si>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</si>
  <si>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</si>
  <si>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</si>
  <si>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</si>
  <si>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</si>
  <si>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</si>
  <si>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</si>
  <si>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</si>
  <si>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</si>
  <si>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</si>
  <si>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</si>
  <si>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</si>
  <si>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</si>
  <si>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</si>
  <si>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</si>
  <si>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</si>
  <si>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</si>
  <si>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</si>
  <si>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</si>
  <si>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</si>
  <si>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</si>
  <si>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</si>
  <si>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</si>
  <si>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</si>
  <si>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</si>
  <si>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</si>
  <si>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</si>
  <si>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</si>
  <si>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</si>
  <si>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</si>
  <si>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</si>
  <si>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</si>
  <si>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</si>
  <si>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</si>
  <si>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</si>
  <si>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</si>
  <si>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</si>
  <si>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</si>
  <si>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</si>
  <si>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</si>
  <si>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</si>
  <si>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</si>
  <si>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</si>
  <si>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</si>
  <si>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</si>
  <si>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</si>
  <si>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</si>
  <si>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</si>
  <si>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</si>
  <si>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</si>
  <si>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</si>
  <si>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</si>
  <si>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</si>
  <si>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</si>
  <si>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</si>
  <si>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</si>
  <si>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</si>
  <si>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</si>
  <si>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</si>
  <si>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</si>
  <si>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</si>
  <si>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</si>
  <si>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</si>
  <si>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</si>
  <si>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</si>
  <si>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</si>
  <si>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</si>
  <si>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</si>
  <si>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</si>
  <si>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</si>
  <si>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</si>
  <si>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</si>
  <si>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</si>
  <si>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</si>
  <si>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</si>
  <si>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</si>
  <si>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</si>
  <si>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</si>
  <si>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</si>
  <si>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</si>
  <si>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</si>
  <si>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</si>
  <si>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</si>
  <si>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</si>
  <si>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</si>
  <si>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</si>
  <si>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</si>
  <si>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</si>
  <si>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</si>
  <si>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</si>
  <si>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</si>
  <si>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</si>
  <si>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</si>
  <si>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</si>
  <si>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</si>
  <si>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</si>
  <si>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</si>
  <si>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</si>
  <si>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</si>
  <si>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</si>
  <si>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</si>
  <si>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</si>
  <si>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</si>
  <si>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</si>
  <si>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</si>
  <si>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</si>
  <si>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</si>
  <si>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</si>
  <si>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</si>
  <si>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</si>
  <si>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</si>
  <si>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</si>
  <si>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</si>
  <si>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</si>
  <si>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</si>
  <si>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</si>
  <si>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</si>
  <si>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</si>
  <si>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</si>
  <si>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</si>
  <si>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</si>
  <si>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</si>
  <si>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</si>
  <si>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</si>
  <si>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</si>
  <si>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</si>
  <si>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</si>
  <si>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</si>
  <si>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</si>
  <si>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</si>
  <si>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</si>
  <si>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</si>
  <si>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</si>
  <si>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</si>
  <si>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</si>
  <si>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</si>
  <si>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</si>
  <si>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</si>
  <si>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</si>
  <si>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</si>
  <si>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</si>
  <si>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</si>
  <si>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</si>
  <si>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</si>
  <si>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</si>
  <si>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</si>
  <si>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</si>
  <si>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</si>
  <si>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</si>
  <si>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</si>
  <si>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</si>
  <si>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</si>
  <si>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</si>
  <si>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</si>
  <si>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</si>
  <si>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</si>
  <si>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</si>
  <si>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</si>
  <si>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</si>
  <si>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</si>
  <si>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</si>
  <si>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</si>
  <si>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</si>
  <si>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</si>
  <si>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</si>
  <si>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</si>
  <si>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</si>
  <si>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</si>
  <si>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</si>
  <si>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</si>
  <si>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</si>
  <si>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</si>
  <si>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</si>
  <si>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</si>
  <si>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</si>
  <si>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</si>
  <si>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</si>
  <si>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</si>
  <si>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</si>
  <si>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</si>
  <si>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</si>
  <si>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</si>
  <si>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</si>
  <si>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</si>
  <si>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</si>
  <si>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</si>
  <si>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</si>
  <si>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</si>
  <si>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</si>
  <si>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</si>
  <si>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</si>
  <si>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</si>
  <si>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</si>
  <si>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</si>
  <si>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</si>
  <si>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</si>
  <si>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</si>
  <si>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</si>
  <si>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</si>
  <si>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</si>
  <si>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</si>
  <si>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</si>
  <si>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</si>
  <si>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</si>
  <si>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</si>
  <si>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</si>
  <si>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</si>
  <si>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</si>
  <si>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</si>
  <si>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</si>
  <si>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</si>
  <si>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</si>
  <si>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</si>
  <si>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</si>
  <si>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</si>
  <si>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</si>
  <si>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</si>
  <si>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</si>
  <si>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</si>
  <si>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</si>
  <si>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</si>
  <si>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</si>
  <si>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</si>
  <si>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</si>
  <si>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</si>
  <si>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</si>
  <si>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</si>
  <si>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</si>
  <si>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</si>
  <si>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</si>
  <si>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</si>
  <si>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</si>
  <si>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</si>
  <si>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</si>
  <si>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</si>
  <si>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</si>
  <si>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</si>
  <si>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</si>
  <si>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</si>
  <si>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</si>
  <si>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</si>
  <si>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</si>
  <si>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</si>
  <si>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</si>
  <si>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</si>
  <si>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</si>
  <si>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</si>
  <si>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</si>
  <si>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</si>
  <si>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</si>
  <si>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</si>
  <si>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</si>
  <si>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</si>
  <si>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</si>
  <si>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</si>
  <si>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</si>
  <si>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</si>
  <si>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</si>
  <si>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</si>
  <si>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</si>
  <si>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</si>
  <si>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</si>
  <si>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</si>
  <si>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</si>
  <si>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</si>
  <si>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</si>
  <si>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</si>
  <si>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</si>
  <si>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</si>
  <si>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</si>
  <si>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</si>
  <si>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</si>
  <si>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</si>
  <si>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</si>
  <si>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</si>
  <si>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</si>
  <si>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</si>
  <si>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</si>
  <si>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</si>
  <si>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</si>
  <si>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</si>
  <si>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</si>
  <si>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</si>
  <si>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</si>
  <si>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</si>
  <si>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</si>
  <si>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</si>
  <si>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</si>
  <si>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</si>
  <si>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</si>
  <si>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</si>
  <si>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</si>
  <si>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</si>
  <si>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</si>
  <si>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</si>
  <si>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</si>
  <si>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</si>
  <si>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</si>
  <si>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</si>
  <si>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</si>
  <si>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</si>
  <si>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</si>
  <si>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</si>
  <si>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</si>
  <si>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</si>
  <si>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</si>
  <si>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</si>
  <si>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</si>
  <si>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</si>
  <si>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</si>
  <si>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</si>
  <si>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</si>
  <si>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</si>
  <si>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</si>
  <si>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</si>
  <si>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</si>
  <si>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</si>
  <si>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</si>
  <si>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</si>
  <si>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</si>
  <si>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</si>
  <si>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</si>
  <si>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</si>
  <si>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</si>
  <si>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</si>
  <si>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</si>
  <si>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</si>
  <si>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</si>
  <si>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</si>
  <si>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</si>
  <si>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</si>
  <si>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</si>
  <si>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</si>
  <si>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</si>
  <si>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</si>
  <si>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</si>
  <si>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</si>
  <si>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</si>
  <si>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</si>
  <si>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</si>
  <si>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</si>
  <si>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</si>
  <si>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</si>
  <si>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</si>
  <si>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</si>
  <si>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</si>
  <si>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</si>
  <si>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</si>
  <si>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</si>
  <si>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</si>
  <si>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</si>
  <si>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</si>
  <si>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</si>
  <si>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</si>
  <si>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</si>
  <si>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</si>
  <si>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</si>
  <si>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</si>
  <si>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</si>
  <si>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</si>
  <si>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</si>
  <si>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</si>
  <si>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</si>
  <si>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</si>
  <si>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</si>
  <si>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</si>
  <si>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</si>
  <si>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</si>
  <si>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</si>
  <si>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</si>
  <si>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</si>
  <si>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</si>
  <si>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</si>
  <si>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</si>
  <si>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</si>
  <si>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</si>
  <si>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</si>
  <si>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</si>
  <si>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</si>
  <si>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</si>
  <si>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</si>
  <si>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</si>
  <si>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</si>
  <si>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</si>
  <si>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</si>
  <si>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</si>
  <si>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</si>
  <si>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</si>
  <si>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</si>
  <si>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</si>
  <si>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</si>
  <si>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</si>
  <si>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</si>
  <si>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</si>
  <si>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</si>
  <si>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</si>
  <si>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</si>
  <si>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</si>
  <si>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</si>
  <si>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</si>
  <si>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</si>
  <si>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</si>
  <si>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</si>
  <si>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</si>
  <si>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</si>
  <si>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</si>
  <si>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</si>
  <si>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</si>
  <si>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</si>
  <si>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</si>
  <si>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</si>
  <si>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</si>
  <si>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</si>
  <si>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</si>
  <si>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</si>
  <si>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</si>
  <si>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</si>
  <si>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</si>
  <si>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</si>
  <si>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</si>
  <si>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</si>
  <si>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</si>
  <si>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</si>
  <si>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</si>
  <si>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</si>
  <si>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</si>
  <si>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</si>
  <si>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</si>
  <si>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</si>
  <si>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</si>
  <si>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</si>
  <si>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</si>
  <si>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</si>
  <si>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</si>
  <si>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</si>
  <si>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</si>
  <si>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</si>
  <si>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</si>
  <si>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</si>
  <si>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</si>
  <si>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</si>
  <si>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</si>
  <si>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</si>
  <si>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</si>
  <si>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</si>
  <si>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</si>
  <si>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</si>
  <si>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</si>
  <si>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</si>
  <si>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</si>
  <si>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</si>
  <si>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</si>
  <si>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</si>
  <si>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</si>
  <si>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</si>
  <si>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</si>
  <si>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</si>
  <si>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</si>
  <si>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</si>
  <si>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</si>
  <si>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</si>
  <si>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</si>
  <si>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</si>
  <si>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</si>
  <si>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</si>
  <si>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</si>
  <si>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</si>
  <si>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</si>
  <si>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</si>
  <si>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</si>
  <si>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</si>
  <si>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</si>
  <si>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</si>
  <si>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</si>
  <si>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</si>
  <si>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</si>
  <si>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</si>
  <si>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</si>
  <si>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</si>
  <si>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</si>
  <si>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</si>
  <si>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</si>
  <si>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</si>
  <si>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</si>
  <si>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</si>
  <si>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</si>
  <si>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</si>
  <si>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</si>
  <si>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</si>
  <si>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</si>
  <si>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</si>
  <si>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</si>
  <si>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</si>
  <si>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</si>
  <si>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</si>
  <si>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</si>
  <si>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</si>
  <si>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</si>
  <si>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</si>
  <si>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</si>
  <si>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</si>
  <si>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</si>
  <si>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</si>
  <si>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</si>
  <si>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</si>
  <si>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</si>
  <si>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</si>
  <si>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</si>
  <si>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</si>
  <si>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</si>
  <si>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</si>
  <si>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</si>
  <si>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</si>
  <si>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</si>
  <si>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</si>
  <si>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</si>
  <si>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</si>
  <si>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</si>
  <si>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</si>
  <si>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</si>
  <si>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</si>
  <si>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</si>
  <si>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</si>
  <si>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</si>
  <si>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</si>
  <si>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</si>
  <si>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</si>
  <si>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</si>
  <si>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</si>
  <si>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</si>
  <si>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</si>
  <si>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</si>
  <si>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</si>
  <si>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</si>
  <si>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</si>
  <si>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</si>
  <si>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</si>
  <si>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</si>
  <si>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</si>
  <si>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</si>
  <si>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</si>
  <si>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</si>
  <si>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</si>
  <si>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</si>
  <si>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</si>
  <si>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</si>
  <si>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</si>
  <si>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</si>
  <si>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</si>
  <si>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</si>
  <si>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</si>
  <si>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</si>
  <si>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</si>
  <si>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</si>
  <si>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</si>
  <si>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</si>
  <si>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</si>
  <si>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</si>
  <si>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</si>
  <si>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</si>
  <si>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</si>
  <si>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</si>
  <si>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</si>
  <si>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</si>
  <si>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</si>
  <si>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</si>
  <si>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</si>
  <si>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</si>
  <si>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</si>
  <si>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</si>
  <si>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</si>
  <si>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</si>
  <si>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</si>
  <si>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</si>
  <si>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</si>
  <si>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</si>
  <si>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</si>
  <si>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</si>
  <si>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</si>
  <si>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</si>
  <si>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</si>
  <si>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</si>
  <si>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</si>
  <si>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</si>
  <si>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</si>
  <si>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</si>
  <si>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</si>
  <si>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</si>
  <si>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</si>
  <si>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</si>
  <si>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</si>
  <si>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</si>
  <si>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</si>
  <si>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</si>
  <si>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</si>
  <si>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</si>
  <si>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</si>
  <si>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</si>
  <si>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</si>
  <si>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</si>
  <si>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</si>
  <si>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</si>
  <si>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</si>
  <si>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</si>
  <si>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</si>
  <si>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</si>
  <si>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</si>
  <si>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</si>
  <si>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</si>
  <si>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</si>
  <si>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</si>
  <si>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</si>
  <si>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</si>
  <si>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</si>
  <si>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</si>
  <si>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</si>
  <si>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</si>
  <si>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</si>
  <si>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</si>
  <si>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</si>
  <si>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</si>
  <si>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</si>
  <si>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</si>
  <si>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</si>
  <si>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</si>
  <si>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</si>
  <si>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</si>
  <si>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</si>
  <si>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</si>
  <si>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</si>
  <si>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</si>
  <si>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</si>
  <si>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</si>
  <si>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</si>
  <si>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</si>
  <si>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</si>
  <si>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</si>
  <si>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</si>
  <si>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</si>
  <si>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</si>
  <si>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</si>
  <si>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</si>
  <si>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</si>
  <si>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</si>
  <si>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</si>
  <si>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</si>
  <si>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</si>
  <si>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</si>
  <si>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</si>
  <si>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</si>
  <si>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</si>
  <si>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</si>
  <si>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</si>
  <si>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</si>
  <si>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</si>
  <si>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</si>
  <si>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</si>
  <si>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</si>
  <si>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</si>
  <si>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</si>
  <si>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</si>
  <si>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</si>
  <si>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</si>
  <si>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</si>
  <si>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</si>
  <si>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</si>
  <si>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</si>
  <si>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</si>
  <si>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</si>
  <si>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</si>
  <si>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</si>
  <si>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</si>
  <si>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</si>
  <si>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</si>
  <si>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</si>
  <si>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</si>
  <si>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</si>
  <si>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</si>
  <si>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</si>
  <si>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</si>
  <si>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</si>
  <si>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</si>
  <si>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</si>
  <si>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</si>
  <si>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</si>
  <si>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</si>
  <si>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</si>
  <si>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</si>
  <si>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</si>
  <si>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</si>
  <si>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</si>
  <si>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</si>
  <si>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</si>
  <si>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</si>
  <si>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</si>
  <si>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</si>
  <si>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</si>
  <si>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</si>
  <si>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</si>
  <si>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</si>
  <si>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</si>
  <si>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</si>
  <si>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</si>
  <si>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</si>
  <si>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</si>
  <si>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</si>
  <si>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</si>
  <si>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</si>
  <si>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</si>
  <si>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</si>
  <si>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</si>
  <si>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</si>
  <si>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</si>
  <si>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</si>
  <si>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</si>
  <si>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</si>
  <si>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</si>
  <si>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</si>
  <si>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</si>
  <si>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</si>
  <si>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</si>
  <si>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</si>
  <si>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</si>
  <si>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</si>
  <si>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</si>
  <si>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</si>
  <si>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</si>
  <si>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</si>
  <si>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</si>
  <si>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</si>
  <si>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</si>
  <si>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</si>
  <si>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</si>
  <si>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</si>
  <si>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</si>
  <si>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</si>
  <si>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</si>
  <si>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</si>
  <si>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</si>
  <si>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</si>
  <si>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</si>
  <si>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</si>
  <si>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</si>
  <si>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</si>
  <si>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</si>
  <si>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</si>
  <si>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</si>
  <si>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</si>
  <si>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</si>
  <si>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</si>
  <si>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</si>
  <si>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</si>
  <si>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</si>
  <si>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</si>
  <si>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</si>
  <si>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</si>
  <si>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</si>
  <si>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</si>
  <si>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</si>
  <si>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</si>
  <si>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</si>
  <si>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</si>
  <si>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</si>
  <si>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</si>
  <si>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</si>
  <si>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</si>
  <si>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</si>
  <si>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</si>
  <si>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</si>
  <si>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</si>
  <si>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</si>
  <si>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</si>
  <si>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</si>
  <si>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</si>
  <si>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</si>
  <si>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</si>
  <si>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</si>
  <si>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</si>
  <si>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</si>
  <si>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</si>
  <si>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</si>
  <si>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</si>
  <si>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</si>
  <si>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</si>
  <si>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</si>
  <si>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</si>
  <si>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</si>
  <si>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</si>
  <si>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</si>
  <si>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</si>
  <si>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</si>
  <si>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</si>
  <si>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</si>
  <si>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</si>
  <si>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</si>
  <si>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</si>
  <si>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</si>
  <si>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</si>
  <si>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</si>
  <si>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</si>
  <si>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</si>
  <si>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</si>
  <si>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</si>
  <si>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</si>
  <si>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</si>
  <si>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</si>
  <si>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</si>
  <si>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</si>
  <si>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</si>
  <si>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</si>
  <si>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</si>
  <si>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</si>
  <si>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</si>
  <si>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</si>
  <si>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</si>
  <si>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</si>
  <si>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</si>
  <si>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</si>
  <si>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</si>
  <si>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</si>
  <si>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</si>
  <si>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</si>
  <si>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</si>
  <si>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</si>
  <si>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</si>
  <si>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</si>
  <si>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</si>
  <si>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</si>
  <si>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</si>
  <si>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</si>
  <si>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</si>
  <si>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</si>
  <si>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</si>
  <si>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</si>
  <si>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</si>
  <si>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</si>
  <si>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</si>
  <si>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</si>
  <si>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</si>
  <si>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</si>
  <si>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</si>
  <si>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</si>
  <si>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</si>
  <si>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</si>
  <si>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</si>
  <si>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</si>
  <si>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</si>
  <si>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</si>
  <si>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</si>
  <si>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</si>
  <si>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</si>
  <si>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</si>
  <si>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</si>
  <si>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</si>
  <si>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</si>
  <si>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</si>
  <si>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</si>
  <si>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</si>
  <si>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</si>
  <si>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</si>
  <si>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</si>
  <si>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</si>
  <si>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</si>
  <si>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</si>
  <si>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</si>
  <si>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</si>
  <si>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</si>
  <si>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</si>
  <si>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</si>
  <si>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</si>
  <si>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</si>
  <si>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</si>
  <si>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</si>
  <si>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</si>
  <si>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</si>
  <si>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</si>
  <si>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</si>
  <si>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</si>
  <si>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</si>
  <si>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</si>
  <si>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</si>
  <si>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</si>
  <si>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</si>
  <si>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</si>
  <si>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</si>
  <si>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</si>
  <si>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</si>
  <si>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</si>
  <si>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</si>
  <si>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</si>
  <si>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</si>
  <si>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</si>
  <si>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</si>
  <si>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</si>
  <si>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</si>
  <si>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</si>
  <si>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</si>
  <si>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</si>
  <si>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</si>
  <si>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</si>
  <si>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</si>
  <si>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</si>
  <si>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</si>
  <si>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</si>
  <si>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</si>
  <si>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</si>
  <si>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</si>
  <si>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</si>
  <si>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</si>
  <si>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</si>
  <si>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</si>
  <si>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</si>
  <si>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</si>
  <si>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</si>
  <si>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</si>
  <si>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</si>
  <si>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</si>
  <si>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</si>
  <si>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</si>
  <si>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</si>
  <si>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</si>
  <si>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</si>
  <si>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</si>
  <si>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</si>
  <si>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</si>
  <si>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</si>
  <si>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</si>
  <si>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</si>
  <si>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</si>
  <si>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</si>
  <si>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</si>
  <si>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</si>
  <si>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</si>
  <si>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</si>
  <si>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</si>
  <si>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</si>
  <si>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</si>
  <si>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</si>
  <si>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</si>
  <si>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</si>
  <si>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</si>
  <si>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</si>
  <si>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</si>
  <si>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</si>
  <si>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</si>
  <si>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</si>
  <si>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</si>
  <si>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</si>
  <si>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</si>
  <si>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</si>
  <si>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</si>
  <si>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</si>
  <si>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</si>
  <si>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</si>
  <si>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</si>
  <si>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</si>
  <si>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</si>
  <si>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</si>
  <si>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</si>
  <si>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</si>
  <si>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</si>
  <si>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</si>
  <si>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</si>
  <si>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</si>
  <si>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</si>
  <si>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</si>
  <si>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</si>
  <si>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</si>
  <si>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</si>
  <si>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</si>
  <si>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</si>
  <si>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</si>
  <si>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</si>
  <si>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</si>
  <si>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</si>
  <si>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</si>
  <si>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</si>
  <si>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</si>
  <si>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</si>
  <si>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</si>
  <si>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</si>
  <si>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</si>
  <si>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</si>
  <si>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</si>
  <si>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</si>
  <si>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</si>
  <si>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</si>
  <si>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</si>
  <si>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</si>
  <si>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</si>
  <si>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</si>
  <si>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</si>
  <si>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</si>
  <si>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</si>
  <si>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</si>
  <si>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</si>
  <si>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</si>
  <si>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</si>
  <si>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</si>
  <si>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</si>
  <si>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</si>
  <si>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</si>
  <si>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</si>
  <si>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</si>
  <si>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</si>
  <si>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</si>
  <si>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</si>
  <si>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</si>
  <si>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</si>
  <si>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</si>
  <si>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</si>
  <si>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</si>
  <si>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</si>
  <si>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</si>
  <si>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</si>
  <si>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</si>
  <si>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</si>
  <si>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</si>
  <si>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</si>
  <si>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</si>
  <si>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</si>
  <si>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</si>
  <si>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</si>
  <si>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</si>
  <si>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</si>
  <si>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</si>
  <si>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</si>
  <si>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</si>
  <si>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</si>
  <si>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</si>
  <si>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</si>
  <si>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</si>
  <si>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</si>
  <si>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</si>
  <si>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</si>
  <si>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</si>
  <si>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</si>
  <si>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</si>
  <si>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</si>
  <si>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</si>
  <si>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</si>
  <si>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</si>
  <si>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</si>
  <si>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</si>
  <si>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</si>
  <si>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</si>
  <si>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</si>
  <si>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</si>
  <si>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</si>
  <si>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</si>
  <si>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</si>
  <si>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</si>
  <si>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</si>
  <si>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</si>
  <si>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</si>
  <si>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</si>
  <si>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</si>
  <si>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</si>
  <si>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</si>
  <si>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</si>
  <si>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</si>
  <si>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</si>
  <si>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</si>
  <si>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</si>
  <si>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</si>
  <si>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</si>
  <si>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</si>
  <si>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</si>
  <si>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</si>
  <si>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</si>
  <si>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</si>
  <si>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</si>
  <si>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</si>
  <si>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</si>
  <si>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</si>
  <si>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</si>
  <si>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</si>
  <si>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</si>
  <si>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</si>
  <si>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</si>
  <si>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</si>
  <si>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</si>
  <si>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</si>
  <si>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</si>
  <si>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</si>
  <si>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</si>
  <si>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</si>
  <si>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</si>
  <si>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</si>
  <si>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</si>
  <si>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</si>
  <si>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</si>
  <si>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</si>
  <si>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</si>
  <si>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</si>
  <si>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</si>
  <si>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</si>
  <si>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</si>
  <si>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</si>
  <si>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</si>
  <si>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</si>
  <si>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</si>
  <si>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</si>
  <si>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</si>
  <si>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</si>
  <si>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</si>
  <si>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</si>
  <si>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</si>
  <si>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</si>
  <si>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</si>
  <si>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</si>
  <si>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</si>
  <si>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</si>
  <si>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</si>
  <si>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</si>
  <si>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</si>
  <si>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</si>
  <si>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</si>
  <si>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</si>
  <si>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</si>
  <si>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</si>
  <si>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</si>
  <si>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</si>
  <si>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</si>
  <si>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</si>
  <si>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</si>
  <si>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</si>
  <si>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</si>
  <si>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</si>
  <si>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</si>
  <si>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</si>
  <si>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</si>
  <si>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</si>
  <si>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</si>
  <si>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</si>
  <si>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</si>
  <si>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</si>
  <si>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</si>
  <si>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</si>
  <si>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</si>
  <si>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</si>
  <si>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</si>
  <si>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</si>
  <si>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</si>
  <si>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</si>
  <si>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</si>
  <si>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</si>
  <si>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</si>
  <si>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</si>
  <si>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</si>
  <si>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</si>
  <si>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</si>
  <si>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</si>
  <si>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</si>
  <si>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</si>
  <si>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</si>
  <si>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</si>
  <si>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</si>
  <si>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</si>
  <si>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</si>
  <si>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</si>
  <si>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</si>
  <si>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</si>
  <si>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</si>
  <si>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</si>
  <si>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</si>
  <si>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</si>
  <si>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</si>
  <si>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</si>
  <si>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</si>
  <si>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</si>
  <si>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</si>
  <si>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</si>
  <si>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</si>
  <si>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</si>
  <si>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</si>
  <si>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</si>
  <si>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</si>
  <si>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</si>
  <si>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</si>
  <si>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</si>
  <si>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</si>
  <si>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</si>
  <si>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</si>
  <si>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</si>
  <si>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</si>
  <si>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</si>
  <si>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</si>
  <si>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</si>
  <si>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</si>
  <si>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</si>
  <si>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</si>
  <si>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</si>
  <si>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</si>
  <si>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</si>
  <si>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</si>
  <si>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</si>
  <si>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</si>
  <si>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</si>
  <si>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</si>
  <si>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</si>
  <si>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</si>
  <si>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</si>
  <si>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</si>
  <si>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</si>
  <si>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</si>
  <si>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</si>
  <si>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</si>
  <si>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</si>
  <si>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</si>
  <si>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</si>
  <si>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</si>
  <si>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</si>
  <si>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</si>
  <si>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</si>
  <si>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</si>
  <si>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</si>
  <si>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</si>
  <si>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</si>
  <si>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</si>
  <si>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</si>
  <si>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</si>
  <si>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</si>
  <si>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</si>
  <si>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</si>
  <si>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</si>
  <si>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</si>
  <si>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</si>
  <si>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</si>
  <si>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</si>
  <si>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</si>
  <si>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</si>
  <si>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</si>
  <si>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</si>
  <si>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</si>
  <si>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</si>
  <si>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</si>
  <si>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</si>
  <si>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</si>
  <si>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</si>
  <si>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</si>
  <si>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</si>
  <si>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</si>
  <si>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</si>
  <si>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</si>
  <si>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</si>
  <si>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</si>
  <si>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</si>
  <si>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</si>
  <si>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</si>
  <si>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</si>
  <si>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</si>
  <si>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</si>
  <si>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</si>
  <si>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</si>
  <si>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</si>
  <si>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</si>
  <si>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</si>
  <si>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</si>
  <si>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</si>
  <si>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</si>
  <si>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</si>
  <si>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</si>
  <si>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</si>
  <si>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</si>
  <si>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</si>
  <si>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</si>
  <si>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</si>
  <si>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</si>
  <si>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</si>
  <si>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</si>
  <si>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</si>
  <si>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</si>
  <si>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</si>
  <si>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</si>
  <si>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</si>
  <si>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</si>
  <si>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</si>
  <si>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</si>
  <si>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</si>
  <si>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</si>
  <si>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</si>
  <si>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</si>
  <si>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</si>
  <si>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</si>
  <si>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</si>
  <si>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</si>
  <si>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</si>
  <si>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</si>
  <si>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</si>
  <si>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</si>
  <si>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</si>
  <si>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</si>
  <si>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</si>
  <si>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</si>
  <si>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</si>
  <si>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</si>
  <si>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</si>
  <si>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</si>
  <si>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</si>
  <si>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</si>
  <si>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</si>
  <si>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</si>
  <si>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</si>
  <si>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</si>
  <si>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</si>
  <si>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</si>
  <si>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</si>
  <si>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</si>
  <si>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</si>
  <si>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</si>
  <si>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</si>
  <si>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</si>
  <si>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</si>
  <si>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</si>
  <si>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</si>
  <si>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</si>
  <si>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</si>
  <si>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</si>
  <si>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</si>
  <si>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</si>
  <si>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</si>
  <si>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</si>
  <si>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</si>
  <si>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</si>
  <si>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</si>
  <si>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</si>
  <si>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</si>
  <si>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</si>
  <si>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</si>
  <si>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</si>
  <si>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</si>
  <si>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</si>
  <si>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</si>
  <si>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</si>
  <si>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</si>
  <si>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</si>
  <si>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</si>
  <si>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</si>
  <si>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</si>
  <si>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</si>
  <si>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</si>
  <si>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</si>
  <si>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</si>
  <si>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</si>
  <si>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</si>
  <si>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</si>
  <si>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</si>
  <si>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</si>
  <si>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</si>
  <si>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</si>
  <si>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</si>
  <si>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</si>
  <si>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</si>
  <si>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</si>
  <si>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</si>
  <si>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</si>
  <si>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</si>
  <si>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</si>
  <si>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</si>
  <si>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</si>
  <si>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</si>
  <si>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</si>
  <si>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</si>
  <si>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</si>
  <si>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</si>
  <si>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</si>
  <si>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</si>
  <si>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</si>
  <si>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</si>
  <si>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</si>
  <si>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</si>
  <si>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</si>
  <si>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</si>
  <si>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</si>
  <si>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</si>
  <si>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</si>
  <si>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</si>
  <si>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</si>
  <si>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</si>
  <si>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</si>
  <si>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</si>
  <si>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</si>
  <si>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</si>
  <si>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</si>
  <si>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</si>
  <si>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</si>
  <si>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</si>
  <si>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</si>
  <si>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</si>
  <si>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</si>
  <si>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</si>
  <si>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</si>
  <si>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</si>
  <si>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</si>
  <si>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</si>
  <si>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</si>
  <si>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</si>
  <si>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</si>
  <si>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</si>
  <si>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</si>
  <si>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</si>
  <si>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</si>
  <si>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</si>
  <si>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</si>
  <si>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</si>
  <si>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</si>
  <si>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</si>
  <si>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</si>
  <si>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</si>
  <si>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</si>
  <si>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</si>
  <si>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</si>
  <si>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</si>
  <si>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</si>
  <si>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</si>
  <si>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</si>
  <si>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</si>
  <si>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</si>
  <si>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</si>
  <si>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</si>
  <si>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</si>
  <si>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</si>
  <si>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</si>
  <si>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</si>
  <si>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</si>
  <si>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</si>
  <si>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</si>
  <si>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</si>
  <si>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</si>
  <si>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</si>
  <si>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</si>
  <si>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</si>
  <si>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</si>
  <si>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</si>
  <si>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</si>
  <si>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</si>
  <si>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</si>
  <si>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</si>
  <si>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</si>
  <si>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</si>
  <si>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</si>
  <si>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</si>
  <si>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</si>
  <si>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</si>
  <si>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</si>
  <si>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</si>
  <si>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</si>
  <si>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</si>
  <si>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</si>
  <si>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</si>
  <si>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</si>
  <si>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</si>
  <si>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</si>
  <si>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</si>
  <si>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</si>
  <si>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</si>
  <si>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</si>
  <si>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</si>
  <si>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</si>
  <si>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</si>
  <si>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</si>
  <si>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</si>
  <si>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</si>
  <si>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</si>
  <si>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</si>
  <si>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</si>
  <si>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</si>
  <si>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</si>
  <si>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</si>
  <si>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</si>
  <si>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</si>
  <si>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</si>
  <si>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</si>
  <si>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</si>
  <si>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</si>
  <si>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</si>
  <si>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</si>
  <si>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</si>
  <si>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</si>
  <si>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</si>
  <si>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</si>
  <si>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</si>
  <si>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</si>
  <si>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</si>
  <si>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</si>
  <si>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</si>
  <si>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</si>
  <si>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</si>
  <si>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</si>
  <si>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</si>
  <si>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</si>
  <si>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</si>
  <si>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</si>
  <si>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</si>
  <si>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</si>
  <si>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</si>
  <si>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</si>
  <si>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</si>
  <si>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</si>
  <si>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</si>
  <si>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</si>
  <si>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</si>
  <si>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</si>
  <si>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</si>
  <si>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</si>
  <si>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</si>
  <si>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</si>
  <si>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</si>
  <si>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</si>
  <si>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</si>
  <si>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</si>
  <si>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</si>
  <si>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</si>
  <si>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</si>
  <si>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</si>
  <si>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</si>
  <si>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</si>
  <si>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</si>
  <si>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</si>
  <si>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</si>
  <si>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</si>
  <si>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</si>
  <si>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</si>
  <si>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</si>
  <si>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</si>
  <si>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</si>
  <si>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</si>
  <si>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</si>
  <si>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</si>
  <si>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</si>
  <si>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</si>
  <si>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</si>
  <si>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</si>
  <si>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</si>
  <si>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</si>
  <si>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</si>
  <si>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</si>
  <si>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</si>
  <si>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</si>
  <si>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</si>
  <si>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</si>
  <si>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</si>
  <si>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</si>
  <si>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</si>
  <si>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</si>
  <si>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</si>
  <si>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</si>
  <si>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</si>
  <si>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</si>
  <si>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</si>
  <si>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</si>
  <si>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</si>
  <si>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</si>
  <si>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</si>
  <si>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</si>
  <si>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</si>
  <si>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</si>
  <si>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</si>
  <si>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</si>
  <si>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</si>
  <si>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</si>
  <si>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</si>
  <si>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</si>
  <si>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</si>
  <si>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</si>
  <si>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</si>
  <si>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</si>
  <si>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</si>
  <si>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</si>
  <si>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</si>
  <si>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</si>
  <si>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</si>
  <si>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</si>
  <si>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</si>
  <si>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</si>
  <si>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</si>
  <si>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</si>
  <si>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</si>
  <si>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</si>
  <si>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</si>
  <si>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</si>
  <si>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</si>
  <si>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</si>
  <si>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</si>
  <si>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</si>
  <si>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</si>
  <si>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</si>
  <si>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</si>
  <si>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</si>
  <si>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</si>
  <si>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</si>
  <si>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</si>
  <si>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</si>
  <si>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</si>
  <si>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</si>
  <si>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</si>
  <si>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</si>
  <si>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</si>
  <si>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</si>
  <si>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</si>
  <si>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</si>
  <si>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</si>
  <si>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</si>
  <si>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</si>
  <si>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</si>
  <si>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</si>
  <si>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</si>
  <si>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</si>
  <si>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</si>
  <si>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</si>
  <si>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</si>
  <si>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</si>
  <si>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</si>
  <si>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</si>
  <si>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</si>
  <si>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</si>
  <si>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</si>
  <si>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</si>
  <si>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</si>
  <si>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</si>
  <si>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</si>
  <si>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</si>
  <si>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</si>
  <si>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</si>
  <si>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</si>
  <si>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</si>
  <si>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</si>
  <si>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</si>
  <si>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</si>
  <si>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</si>
  <si>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</si>
  <si>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</si>
  <si>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</si>
  <si>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</si>
  <si>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</si>
  <si>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</si>
  <si>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</si>
  <si>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</si>
  <si>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</si>
  <si>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</si>
  <si>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</si>
  <si>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</si>
  <si>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</si>
  <si>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</si>
  <si>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</si>
  <si>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</si>
  <si>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</si>
  <si>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</si>
  <si>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</si>
  <si>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</si>
  <si>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</si>
  <si>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</si>
  <si>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</si>
  <si>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</si>
  <si>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</si>
  <si>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</si>
  <si>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</si>
  <si>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</si>
  <si>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</si>
  <si>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</si>
  <si>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</si>
  <si>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</si>
  <si>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</si>
  <si>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</si>
  <si>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</si>
  <si>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</si>
  <si>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</si>
  <si>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</si>
  <si>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</si>
  <si>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</si>
  <si>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</si>
  <si>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</si>
  <si>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</si>
  <si>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</si>
  <si>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</si>
  <si>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</si>
  <si>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</si>
  <si>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</si>
  <si>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</si>
  <si>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</si>
  <si>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</si>
  <si>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</si>
  <si>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</si>
  <si>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</si>
  <si>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</si>
  <si>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</si>
  <si>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</si>
  <si>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</si>
  <si>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</si>
  <si>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</si>
  <si>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</si>
  <si>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</si>
  <si>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</si>
  <si>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</si>
  <si>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</si>
  <si>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</si>
  <si>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</si>
  <si>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</si>
  <si>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</si>
  <si>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</si>
  <si>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</si>
  <si>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</si>
  <si>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</si>
  <si>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</si>
  <si>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</si>
  <si>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</si>
  <si>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</si>
  <si>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</si>
  <si>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</si>
  <si>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</si>
  <si>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</si>
  <si>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</si>
  <si>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</si>
  <si>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</si>
  <si>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</si>
  <si>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</si>
  <si>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</si>
  <si>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</si>
  <si>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</si>
  <si>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</si>
  <si>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</si>
  <si>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</si>
  <si>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</si>
  <si>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</si>
  <si>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</si>
  <si>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</si>
  <si>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</si>
  <si>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</si>
  <si>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</si>
  <si>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</si>
  <si>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</si>
  <si>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</si>
  <si>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</si>
  <si>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</si>
  <si>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</si>
  <si>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</si>
  <si>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</si>
  <si>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</si>
  <si>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</si>
  <si>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</si>
  <si>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</si>
  <si>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</si>
  <si>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</si>
  <si>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</si>
  <si>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</si>
  <si>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</si>
  <si>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</si>
  <si>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</si>
  <si>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</si>
  <si>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</si>
  <si>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</si>
  <si>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</si>
  <si>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</si>
  <si>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</si>
  <si>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</si>
  <si>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</si>
  <si>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</si>
  <si>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</si>
  <si>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</si>
  <si>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</si>
  <si>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</si>
  <si>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</si>
  <si>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</si>
  <si>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</si>
  <si>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</si>
  <si>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</si>
  <si>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</si>
  <si>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</si>
  <si>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</si>
  <si>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</si>
  <si>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</si>
  <si>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</si>
  <si>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</si>
  <si>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</si>
  <si>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</si>
  <si>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</si>
  <si>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</si>
  <si>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</si>
  <si>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</si>
  <si>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</si>
  <si>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</si>
  <si>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</si>
  <si>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</si>
  <si>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</si>
  <si>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</si>
  <si>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</si>
  <si>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</si>
  <si>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</si>
  <si>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</si>
  <si>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</si>
  <si>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</si>
  <si>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</si>
  <si>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</si>
  <si>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</si>
  <si>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</si>
  <si>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</si>
  <si>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</si>
  <si>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</si>
  <si>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</si>
  <si>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</si>
  <si>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</si>
  <si>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</si>
  <si>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</si>
  <si>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</si>
  <si>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</si>
  <si>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</si>
  <si>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</si>
  <si>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</si>
  <si>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</si>
  <si>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</si>
  <si>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</si>
  <si>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</si>
  <si>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</si>
  <si>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</si>
  <si>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</si>
  <si>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</si>
  <si>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</si>
  <si>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</si>
  <si>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</si>
  <si>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</si>
  <si>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</si>
  <si>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</si>
  <si>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</si>
  <si>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</si>
  <si>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</si>
  <si>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</si>
  <si>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</si>
  <si>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</si>
  <si>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</si>
  <si>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</si>
  <si>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</si>
  <si>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</si>
  <si>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</si>
  <si>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</si>
  <si>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</si>
  <si>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</si>
  <si>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</si>
  <si>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</si>
  <si>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</si>
  <si>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</si>
  <si>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</si>
  <si>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</si>
  <si>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</si>
  <si>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</si>
  <si>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</si>
  <si>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</si>
  <si>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</si>
  <si>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</si>
  <si>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</si>
  <si>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</si>
  <si>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</si>
  <si>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</si>
  <si>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</si>
  <si>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</si>
  <si>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</si>
  <si>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</si>
  <si>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</si>
  <si>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</si>
  <si>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</si>
  <si>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</si>
  <si>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</si>
  <si>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</si>
  <si>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</si>
  <si>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</si>
  <si>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</si>
  <si>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</si>
  <si>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</si>
  <si>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</si>
  <si>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</si>
  <si>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</si>
  <si>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</si>
  <si>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</si>
  <si>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</si>
  <si>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</si>
  <si>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</si>
  <si>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</si>
  <si>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</si>
  <si>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</si>
  <si>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</si>
  <si>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</si>
  <si>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</si>
  <si>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</si>
  <si>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</si>
  <si>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</si>
  <si>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</si>
  <si>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</si>
  <si>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</si>
  <si>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</si>
  <si>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</si>
  <si>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</si>
  <si>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</si>
  <si>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</si>
  <si>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</si>
  <si>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</si>
  <si>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</si>
  <si>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</si>
  <si>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</si>
  <si>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</si>
  <si>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</si>
  <si>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</si>
  <si>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</si>
  <si>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</si>
  <si>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</si>
  <si>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</si>
  <si>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</si>
  <si>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</si>
  <si>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</si>
  <si>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</si>
  <si>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</si>
  <si>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</si>
  <si>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</si>
  <si>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</si>
  <si>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</si>
  <si>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</si>
  <si>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</si>
  <si>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</si>
  <si>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</si>
  <si>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</si>
  <si>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</si>
  <si>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</si>
  <si>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</si>
  <si>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</si>
  <si>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</si>
  <si>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</si>
  <si>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</si>
  <si>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</si>
  <si>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</si>
  <si>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</si>
  <si>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</si>
  <si>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</si>
  <si>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</si>
  <si>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</si>
  <si>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</si>
  <si>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</si>
  <si>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</si>
  <si>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</si>
  <si>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</si>
  <si>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</si>
  <si>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</si>
  <si>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</si>
  <si>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</si>
  <si>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</si>
  <si>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</si>
  <si>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</si>
  <si>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</si>
  <si>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</si>
  <si>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</si>
  <si>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</si>
  <si>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</si>
  <si>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</si>
  <si>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</si>
  <si>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</si>
  <si>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</si>
  <si>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</si>
  <si>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</si>
  <si>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</si>
  <si>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</si>
  <si>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</si>
  <si>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</si>
  <si>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</si>
  <si>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</si>
  <si>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</si>
  <si>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</si>
  <si>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</si>
  <si>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</si>
  <si>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</si>
  <si>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</si>
  <si>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</si>
  <si>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</si>
  <si>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</si>
  <si>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</si>
  <si>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</si>
  <si>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</si>
  <si>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</si>
  <si>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</si>
  <si>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</si>
  <si>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</si>
  <si>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</si>
  <si>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</si>
  <si>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</si>
  <si>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</si>
  <si>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</si>
  <si>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</si>
  <si>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</si>
  <si>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</si>
  <si>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</si>
  <si>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</si>
  <si>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</si>
  <si>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</si>
  <si>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</si>
  <si>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</si>
  <si>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</si>
  <si>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</si>
  <si>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</si>
  <si>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</si>
  <si>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</si>
  <si>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</si>
  <si>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</si>
  <si>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</si>
  <si>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</si>
  <si>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</si>
  <si>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</si>
  <si>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</si>
  <si>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</si>
  <si>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</si>
  <si>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</si>
  <si>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</si>
  <si>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</si>
  <si>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</si>
  <si>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</si>
  <si>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</si>
  <si>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</si>
  <si>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</si>
  <si>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</si>
  <si>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</si>
  <si>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</si>
  <si>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</si>
  <si>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</si>
  <si>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</si>
  <si>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</si>
  <si>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</si>
  <si>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</si>
  <si>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</si>
  <si>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</si>
  <si>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</si>
  <si>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</si>
  <si>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</si>
  <si>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</si>
  <si>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</si>
  <si>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</si>
  <si>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</si>
  <si>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</si>
  <si>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</si>
  <si>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</si>
  <si>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</si>
  <si>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</si>
  <si>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</si>
  <si>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</si>
  <si>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</si>
  <si>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</si>
  <si>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</si>
  <si>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</si>
  <si>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</si>
  <si>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</si>
  <si>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</si>
  <si>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</si>
  <si>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</si>
  <si>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</si>
  <si>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</si>
  <si>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</si>
  <si>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</si>
  <si>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</si>
  <si>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</si>
  <si>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</si>
  <si>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</si>
  <si>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</si>
  <si>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</si>
  <si>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</si>
  <si>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</si>
  <si>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</si>
  <si>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</si>
  <si>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</si>
  <si>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</si>
  <si>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</si>
  <si>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</si>
  <si>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</si>
  <si>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</si>
  <si>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</si>
  <si>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</si>
  <si>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</si>
  <si>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</si>
  <si>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</si>
  <si>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</si>
  <si>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</si>
  <si>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</si>
  <si>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</si>
  <si>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</si>
  <si>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</si>
  <si>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</si>
  <si>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</si>
  <si>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</si>
  <si>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</si>
  <si>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</si>
  <si>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</si>
  <si>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</si>
  <si>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</si>
  <si>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</si>
  <si>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</si>
  <si>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</si>
  <si>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</si>
  <si>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</si>
  <si>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</si>
  <si>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</si>
  <si>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</si>
  <si>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</si>
  <si>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</si>
  <si>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</si>
  <si>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</si>
  <si>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</si>
  <si>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</si>
  <si>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</si>
  <si>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</si>
  <si>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</si>
  <si>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</si>
  <si>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</si>
  <si>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</si>
  <si>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</si>
  <si>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</si>
  <si>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</si>
  <si>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</si>
  <si>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</si>
  <si>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</si>
  <si>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</si>
  <si>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</si>
  <si>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</si>
  <si>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</si>
  <si>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</si>
  <si>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</si>
  <si>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</si>
  <si>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</si>
  <si>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</si>
  <si>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</si>
  <si>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</si>
  <si>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</si>
  <si>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</si>
  <si>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</si>
  <si>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</si>
  <si>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</si>
  <si>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</si>
  <si>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</si>
  <si>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</si>
  <si>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</si>
  <si>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</si>
  <si>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</si>
  <si>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</si>
  <si>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</si>
  <si>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</si>
  <si>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</si>
  <si>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</si>
  <si>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</si>
  <si>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</si>
  <si>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</si>
  <si>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</si>
  <si>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</si>
  <si>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</si>
  <si>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</si>
  <si>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</si>
  <si>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</si>
  <si>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</si>
  <si>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</si>
  <si>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</si>
  <si>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</si>
  <si>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</si>
  <si>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</si>
  <si>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</si>
  <si>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</si>
  <si>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</si>
  <si>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</si>
  <si>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</si>
  <si>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</si>
  <si>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</si>
  <si>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</si>
  <si>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</si>
  <si>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</si>
  <si>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</si>
  <si>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</si>
  <si>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</si>
  <si>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</si>
  <si>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</si>
  <si>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</si>
  <si>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</si>
  <si>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</si>
  <si>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</si>
  <si>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</si>
  <si>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</si>
  <si>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</si>
  <si>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</si>
  <si>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</si>
  <si>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</si>
  <si>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</si>
  <si>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</si>
  <si>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</si>
  <si>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</si>
  <si>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</si>
  <si>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</si>
  <si>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</si>
  <si>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</si>
  <si>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</si>
  <si>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</si>
  <si>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</si>
  <si>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</si>
  <si>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</si>
  <si>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</si>
  <si>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</si>
  <si>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</si>
  <si>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</si>
  <si>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</si>
  <si>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</si>
  <si>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</si>
  <si>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</si>
  <si>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</si>
  <si>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</si>
  <si>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</si>
  <si>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</si>
  <si>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</si>
  <si>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</si>
  <si>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</si>
  <si>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</si>
  <si>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</si>
  <si>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</si>
  <si>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</si>
  <si>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</si>
  <si>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</si>
  <si>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</si>
  <si>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</si>
  <si>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</si>
  <si>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</si>
  <si>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</si>
  <si>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</si>
  <si>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</si>
  <si>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</si>
  <si>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</si>
  <si>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</si>
  <si>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</si>
  <si>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</si>
  <si>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</si>
  <si>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</si>
  <si>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</si>
  <si>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</si>
  <si>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</si>
  <si>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</si>
  <si>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</si>
  <si>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</si>
  <si>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</si>
  <si>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</si>
  <si>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</si>
  <si>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</si>
  <si>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</si>
  <si>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</si>
  <si>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</si>
  <si>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</si>
  <si>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</si>
  <si>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</si>
  <si>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</si>
  <si>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</si>
  <si>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</si>
  <si>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</si>
  <si>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</si>
  <si>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</si>
  <si>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</si>
  <si>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</si>
  <si>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</si>
  <si>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</si>
  <si>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</si>
  <si>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</si>
  <si>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</si>
  <si>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</si>
  <si>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</si>
  <si>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</si>
  <si>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</si>
  <si>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</si>
  <si>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</si>
  <si>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</si>
  <si>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</si>
  <si>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</si>
  <si>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</si>
  <si>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</si>
  <si>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</si>
  <si>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</si>
  <si>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</si>
  <si>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</si>
  <si>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</si>
  <si>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</si>
  <si>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</si>
  <si>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</si>
  <si>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</si>
  <si>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</si>
  <si>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</si>
  <si>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</si>
  <si>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</si>
  <si>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</si>
  <si>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</si>
  <si>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</si>
  <si>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</si>
  <si>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</si>
  <si>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</si>
  <si>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</si>
  <si>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</si>
  <si>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</si>
  <si>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</si>
  <si>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</si>
  <si>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</si>
  <si>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</si>
  <si>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</si>
  <si>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</si>
  <si>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</si>
  <si>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</si>
  <si>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</si>
  <si>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</si>
  <si>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</si>
  <si>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</si>
  <si>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</si>
  <si>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</si>
  <si>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</si>
  <si>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</si>
  <si>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</si>
  <si>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</si>
  <si>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</si>
  <si>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</si>
  <si>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</si>
  <si>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</si>
  <si>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</si>
  <si>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</si>
  <si>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</si>
  <si>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</si>
  <si>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</si>
  <si>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</si>
  <si>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</si>
  <si>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</si>
  <si>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</si>
  <si>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</si>
  <si>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</si>
  <si>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</si>
  <si>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</si>
  <si>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</si>
  <si>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</si>
  <si>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</si>
  <si>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</si>
  <si>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</si>
  <si>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</si>
  <si>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</si>
  <si>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</si>
  <si>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</si>
  <si>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</si>
  <si>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</si>
  <si>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</si>
  <si>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</si>
  <si>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</si>
  <si>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</si>
  <si>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</si>
  <si>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</si>
  <si>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</si>
  <si>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</si>
  <si>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</si>
  <si>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</si>
  <si>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</si>
  <si>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</si>
  <si>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</si>
  <si>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</si>
  <si>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</si>
  <si>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</si>
  <si>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</si>
  <si>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</si>
  <si>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</si>
  <si>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</si>
  <si>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</si>
  <si>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</si>
  <si>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</si>
  <si>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</si>
  <si>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</si>
  <si>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</si>
  <si>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</si>
  <si>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</si>
  <si>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</si>
  <si>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</si>
  <si>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</si>
  <si>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</si>
  <si>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</si>
  <si>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</si>
  <si>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</si>
  <si>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</si>
  <si>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</si>
  <si>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</si>
  <si>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</si>
  <si>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</si>
  <si>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</si>
  <si>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</si>
  <si>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</si>
  <si>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</si>
  <si>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</si>
  <si>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</si>
  <si>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</si>
  <si>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</si>
  <si>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</si>
  <si>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</si>
  <si>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</si>
  <si>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</si>
  <si>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</si>
  <si>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</si>
  <si>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</si>
  <si>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</si>
  <si>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</si>
  <si>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</si>
  <si>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</si>
  <si>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</si>
  <si>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</si>
  <si>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</si>
  <si>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</si>
  <si>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</si>
  <si>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</si>
  <si>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</si>
  <si>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</si>
  <si>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</si>
  <si>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</si>
  <si>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</si>
  <si>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</si>
  <si>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</si>
  <si>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</si>
  <si>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</si>
  <si>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</si>
  <si>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</si>
  <si>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</si>
  <si>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</si>
  <si>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</si>
  <si>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</si>
  <si>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</si>
  <si>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</si>
  <si>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</si>
  <si>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</si>
  <si>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</si>
  <si>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</si>
  <si>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</si>
  <si>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</si>
  <si>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</si>
  <si>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</si>
  <si>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</si>
  <si>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</si>
  <si>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</si>
  <si>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</si>
  <si>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</si>
  <si>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</si>
  <si>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</si>
  <si>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</si>
  <si>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</si>
  <si>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</si>
  <si>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</si>
  <si>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</si>
  <si>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</si>
  <si>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</si>
  <si>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</si>
  <si>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</si>
  <si>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</si>
  <si>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</si>
  <si>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</si>
  <si>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</si>
  <si>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</si>
  <si>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</si>
  <si>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</si>
  <si>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</si>
  <si>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</si>
  <si>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</si>
  <si>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</si>
  <si>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</si>
  <si>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</si>
  <si>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</si>
  <si>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</si>
  <si>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</si>
  <si>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</si>
  <si>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</si>
  <si>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</si>
  <si>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</si>
  <si>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</si>
  <si>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</si>
  <si>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</si>
  <si>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</si>
  <si>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</si>
  <si>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</si>
  <si>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</si>
  <si>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</si>
  <si>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</si>
  <si>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</si>
  <si>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</si>
  <si>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</si>
  <si>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</si>
  <si>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</si>
  <si>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</si>
  <si>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</si>
  <si>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</si>
  <si>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</si>
  <si>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</si>
  <si>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</si>
  <si>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</si>
  <si>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</si>
  <si>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</si>
  <si>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</si>
  <si>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</si>
  <si>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</si>
  <si>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</si>
  <si>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</si>
  <si>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</si>
  <si>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</si>
  <si>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</si>
  <si>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</si>
  <si>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</si>
  <si>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</si>
  <si>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</si>
  <si>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</si>
  <si>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</si>
  <si>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</si>
  <si>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</si>
  <si>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</si>
  <si>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</si>
  <si>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</si>
  <si>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</si>
  <si>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</si>
  <si>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</si>
  <si>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</si>
  <si>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</si>
  <si>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</si>
  <si>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</si>
  <si>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</si>
  <si>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</si>
  <si>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</si>
  <si>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</si>
  <si>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</si>
  <si>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</si>
  <si>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</si>
  <si>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</si>
  <si>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</si>
  <si>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</si>
  <si>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</si>
  <si>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</si>
  <si>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</si>
  <si>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</si>
  <si>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</si>
  <si>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</si>
  <si>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</si>
  <si>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</si>
  <si>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</si>
  <si>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</si>
  <si>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</si>
  <si>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</si>
  <si>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</si>
  <si>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</si>
  <si>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</si>
  <si>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</si>
  <si>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</si>
  <si>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</si>
  <si>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</si>
  <si>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</si>
  <si>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</si>
  <si>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</si>
  <si>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</si>
  <si>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</si>
  <si>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</si>
  <si>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</si>
  <si>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</si>
  <si>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</si>
  <si>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</si>
  <si>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</si>
  <si>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</si>
  <si>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</si>
  <si>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</si>
  <si>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</si>
  <si>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</si>
  <si>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</si>
  <si>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</si>
  <si>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</si>
  <si>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</si>
  <si>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</si>
  <si>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</si>
  <si>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</si>
  <si>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</si>
  <si>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</si>
  <si>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</si>
  <si>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</si>
  <si>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</si>
  <si>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</si>
  <si>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</si>
  <si>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</si>
  <si>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</si>
  <si>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</si>
  <si>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</si>
  <si>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</si>
  <si>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</si>
  <si>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</si>
  <si>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</si>
  <si>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</si>
  <si>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</si>
  <si>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</si>
  <si>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</si>
  <si>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</si>
  <si>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</si>
  <si>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</si>
  <si>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</si>
  <si>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</si>
  <si>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</si>
  <si>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</si>
  <si>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</si>
  <si>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</si>
  <si>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</si>
  <si>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</si>
  <si>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</si>
  <si>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</si>
  <si>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</si>
  <si>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</si>
  <si>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</si>
  <si>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</si>
  <si>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</si>
  <si>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</si>
  <si>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</si>
  <si>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</si>
  <si>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</si>
  <si>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</si>
  <si>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</si>
  <si>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</si>
  <si>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</si>
  <si>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</si>
  <si>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</si>
  <si>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</si>
  <si>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</si>
  <si>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</si>
  <si>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</si>
  <si>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</si>
  <si>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</si>
  <si>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</si>
  <si>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</si>
  <si>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</si>
  <si>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</si>
  <si>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</si>
  <si>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</si>
  <si>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</si>
  <si>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</si>
  <si>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</si>
  <si>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</si>
  <si>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</si>
  <si>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</si>
  <si>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</si>
  <si>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</si>
  <si>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</si>
  <si>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</si>
  <si>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</si>
  <si>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</si>
  <si>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</si>
  <si>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</si>
  <si>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</si>
  <si>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</si>
  <si>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</si>
  <si>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</si>
  <si>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</si>
  <si>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</si>
  <si>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</si>
  <si>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</si>
  <si>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</si>
  <si>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</si>
  <si>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</si>
  <si>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</si>
  <si>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</si>
  <si>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</si>
  <si>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</si>
  <si>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</si>
  <si>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</si>
  <si>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</si>
  <si>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</si>
  <si>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</si>
  <si>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</si>
  <si>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</si>
  <si>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</si>
  <si>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</si>
  <si>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</si>
  <si>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</si>
  <si>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</si>
  <si>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</si>
  <si>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</si>
  <si>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</si>
  <si>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</si>
  <si>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</si>
  <si>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</si>
  <si>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</si>
  <si>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</si>
  <si>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</si>
  <si>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</si>
  <si>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</si>
  <si>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</si>
  <si>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</si>
  <si>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</si>
  <si>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</si>
  <si>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</si>
  <si>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</si>
  <si>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</si>
  <si>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</si>
  <si>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</si>
  <si>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</si>
  <si>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</si>
  <si>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</si>
  <si>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</si>
  <si>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</si>
  <si>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</si>
  <si>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</si>
  <si>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</si>
  <si>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</si>
  <si>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</si>
  <si>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</si>
  <si>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</si>
  <si>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</si>
  <si>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</si>
  <si>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</si>
  <si>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</si>
  <si>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</si>
  <si>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</si>
  <si>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</si>
  <si>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</si>
  <si>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</si>
  <si>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</si>
  <si>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</si>
  <si>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</si>
  <si>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</si>
  <si>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</si>
  <si>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</si>
  <si>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</si>
  <si>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</si>
  <si>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</si>
  <si>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</si>
  <si>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</si>
  <si>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</si>
  <si>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</si>
  <si>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</si>
  <si>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</si>
  <si>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</si>
  <si>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</si>
  <si>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</si>
  <si>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</si>
  <si>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</si>
  <si>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</si>
  <si>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</si>
  <si>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</si>
  <si>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</si>
  <si>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</si>
  <si>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</si>
  <si>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</si>
  <si>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</si>
  <si>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</si>
  <si>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</si>
  <si>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</si>
  <si>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</si>
  <si>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</si>
  <si>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</si>
  <si>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</si>
  <si>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</si>
  <si>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</si>
  <si>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</si>
  <si>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</si>
  <si>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</si>
  <si>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</si>
  <si>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</si>
  <si>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</si>
  <si>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</si>
  <si>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</si>
  <si>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</si>
  <si>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</si>
  <si>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</si>
  <si>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</si>
  <si>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</si>
  <si>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</si>
  <si>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</si>
  <si>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</si>
  <si>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</si>
  <si>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</si>
  <si>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</si>
  <si>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</si>
  <si>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</si>
  <si>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</si>
  <si>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</si>
  <si>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</si>
  <si>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</si>
  <si>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</si>
  <si>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</si>
  <si>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</si>
  <si>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</si>
  <si>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</si>
  <si>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</si>
  <si>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</si>
  <si>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</si>
  <si>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</si>
  <si>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</si>
  <si>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</si>
  <si>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</si>
  <si>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</si>
  <si>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</si>
  <si>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</si>
  <si>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</si>
  <si>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</si>
  <si>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</si>
  <si>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</si>
  <si>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</si>
  <si>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</si>
  <si>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</si>
  <si>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</si>
  <si>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</si>
  <si>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</si>
  <si>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</si>
  <si>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</si>
  <si>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</si>
  <si>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</si>
  <si>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</si>
  <si>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</si>
  <si>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</si>
  <si>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</si>
  <si>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</si>
  <si>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</si>
  <si>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</si>
  <si>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</si>
  <si>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</si>
  <si>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</si>
  <si>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</si>
  <si>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</si>
  <si>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</si>
  <si>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</si>
  <si>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</si>
  <si>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</si>
  <si>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</si>
  <si>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</si>
  <si>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</si>
  <si>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</si>
  <si>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</si>
  <si>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</si>
  <si>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</si>
  <si>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</si>
  <si>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</si>
  <si>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</si>
  <si>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</si>
  <si>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</si>
  <si>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</si>
  <si>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</si>
  <si>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</si>
  <si>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</si>
  <si>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</si>
  <si>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</si>
  <si>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</si>
  <si>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</si>
  <si>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</si>
  <si>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</si>
  <si>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</si>
  <si>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</si>
  <si>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</si>
  <si>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</si>
  <si>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</si>
  <si>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</si>
  <si>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</si>
  <si>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</si>
  <si>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</si>
  <si>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</si>
  <si>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</si>
  <si>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</si>
  <si>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</si>
  <si>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</si>
  <si>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</si>
  <si>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</si>
  <si>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</si>
  <si>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</si>
  <si>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</si>
  <si>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</si>
  <si>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</si>
  <si>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</si>
  <si>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</si>
  <si>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</si>
  <si>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</si>
  <si>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</si>
  <si>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</si>
  <si>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</si>
  <si>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</si>
  <si>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</si>
  <si>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</si>
  <si>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</si>
  <si>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</si>
  <si>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</si>
  <si>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</si>
  <si>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</si>
  <si>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</si>
  <si>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</si>
  <si>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</si>
  <si>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</si>
  <si>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</si>
  <si>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</si>
  <si>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</si>
  <si>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</si>
  <si>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</si>
  <si>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</si>
  <si>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</si>
  <si>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</si>
  <si>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</si>
  <si>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</si>
  <si>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</si>
  <si>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</si>
  <si>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</si>
  <si>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</si>
  <si>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</si>
  <si>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</si>
  <si>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</si>
  <si>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</si>
  <si>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</si>
  <si>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</si>
  <si>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</si>
  <si>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</si>
  <si>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</si>
  <si>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</si>
  <si>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</si>
  <si>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</si>
  <si>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</si>
  <si>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</si>
  <si>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</si>
  <si>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</si>
  <si>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</si>
  <si>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</si>
  <si>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</si>
  <si>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</si>
  <si>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</si>
  <si>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</si>
  <si>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</si>
  <si>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</si>
  <si>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</si>
  <si>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</si>
  <si>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</si>
  <si>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</si>
  <si>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</si>
  <si>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</si>
  <si>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</si>
  <si>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</si>
  <si>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</si>
  <si>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</si>
  <si>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</si>
  <si>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</si>
  <si>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</si>
  <si>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</si>
  <si>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</si>
  <si>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</si>
  <si>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</si>
  <si>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</si>
  <si>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</si>
  <si>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</si>
  <si>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</si>
  <si>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</si>
  <si>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</si>
  <si>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</si>
  <si>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</si>
  <si>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</si>
  <si>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</si>
  <si>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</si>
  <si>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</si>
  <si>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</si>
  <si>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</si>
  <si>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</si>
  <si>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</si>
  <si>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</si>
  <si>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</si>
  <si>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</si>
  <si>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</si>
  <si>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</si>
  <si>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</si>
  <si>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</si>
  <si>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</si>
  <si>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</si>
  <si>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</si>
  <si>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</si>
  <si>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</si>
  <si>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</si>
  <si>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</si>
  <si>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</si>
  <si>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</si>
  <si>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</si>
  <si>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</si>
  <si>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</si>
  <si>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</si>
  <si>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</si>
  <si>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</si>
  <si>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</si>
  <si>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</si>
  <si>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</si>
  <si>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</si>
  <si>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</si>
  <si>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</si>
  <si>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</si>
  <si>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</si>
  <si>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</si>
  <si>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</si>
  <si>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</si>
  <si>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</si>
  <si>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</si>
  <si>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</si>
  <si>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</si>
  <si>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</si>
  <si>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</si>
  <si>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</si>
  <si>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</si>
  <si>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</si>
  <si>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</si>
  <si>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</si>
  <si>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</si>
  <si>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</si>
  <si>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</si>
  <si>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</si>
  <si>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</si>
  <si>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</si>
  <si>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</si>
  <si>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</si>
  <si>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</si>
  <si>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</si>
  <si>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</si>
  <si>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</si>
  <si>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</si>
  <si>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</si>
  <si>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</si>
  <si>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</si>
  <si>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</si>
  <si>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</si>
  <si>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</si>
  <si>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</si>
  <si>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</si>
  <si>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</si>
  <si>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</si>
  <si>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</si>
  <si>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</si>
  <si>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</si>
  <si>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</si>
  <si>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</si>
  <si>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</si>
  <si>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</si>
  <si>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</si>
  <si>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</si>
  <si>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</si>
  <si>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</si>
  <si>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</si>
  <si>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</si>
  <si>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</si>
  <si>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</si>
  <si>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</si>
  <si>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</si>
  <si>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</si>
  <si>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</si>
  <si>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</si>
  <si>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</si>
  <si>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</si>
  <si>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</si>
  <si>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</si>
  <si>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</si>
  <si>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</si>
  <si>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</si>
  <si>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</si>
  <si>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</si>
  <si>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</si>
  <si>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</si>
  <si>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</si>
  <si>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</si>
  <si>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</si>
  <si>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</si>
  <si>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</si>
  <si>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</si>
  <si>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</si>
  <si>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</si>
  <si>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</si>
  <si>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</si>
  <si>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</si>
  <si>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</si>
  <si>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</si>
  <si>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</si>
  <si>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</si>
  <si>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</si>
  <si>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</si>
  <si>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</si>
  <si>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</si>
  <si>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</si>
  <si>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</si>
  <si>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</si>
  <si>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</si>
  <si>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</si>
  <si>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</si>
  <si>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</si>
  <si>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</si>
  <si>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</si>
  <si>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</si>
  <si>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</si>
  <si>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</si>
  <si>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</si>
  <si>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</si>
  <si>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</si>
  <si>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</si>
  <si>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</si>
  <si>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</si>
  <si>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</si>
  <si>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</si>
  <si>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</si>
  <si>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</si>
  <si>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</si>
  <si>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</si>
  <si>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</si>
  <si>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</si>
  <si>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</si>
  <si>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</si>
  <si>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</si>
  <si>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</si>
  <si>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</si>
  <si>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</si>
  <si>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</si>
  <si>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</si>
  <si>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</si>
  <si>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</si>
  <si>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</si>
  <si>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</si>
  <si>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</si>
  <si>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</si>
  <si>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</si>
  <si>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</si>
  <si>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</si>
  <si>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</si>
  <si>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</si>
  <si>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</si>
  <si>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</si>
  <si>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</si>
  <si>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</si>
  <si>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</si>
  <si>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</si>
  <si>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</si>
  <si>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</si>
  <si>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</si>
  <si>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</si>
  <si>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</si>
  <si>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</si>
  <si>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</si>
  <si>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</si>
  <si>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</si>
  <si>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</si>
  <si>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</si>
  <si>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</si>
  <si>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</si>
  <si>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</si>
  <si>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</si>
  <si>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</si>
  <si>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</si>
  <si>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</si>
  <si>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</si>
  <si>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</si>
  <si>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</si>
  <si>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</si>
  <si>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</si>
  <si>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</si>
  <si>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</si>
  <si>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</si>
  <si>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</si>
  <si>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</si>
  <si>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</si>
  <si>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</si>
  <si>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</si>
  <si>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</si>
  <si>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</si>
  <si>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</si>
  <si>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</si>
  <si>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</si>
  <si>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</si>
  <si>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</si>
  <si>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</si>
  <si>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</si>
  <si>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</si>
  <si>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</si>
  <si>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</si>
  <si>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</si>
  <si>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</si>
  <si>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</si>
  <si>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</si>
  <si>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</si>
  <si>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</si>
  <si>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</si>
  <si>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</si>
  <si>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</si>
  <si>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</si>
  <si>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</si>
  <si>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</si>
  <si>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</si>
  <si>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</si>
  <si>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</si>
  <si>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</si>
  <si>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</si>
  <si>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</si>
  <si>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</si>
  <si>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</si>
  <si>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</si>
  <si>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</si>
  <si>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</si>
  <si>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</si>
  <si>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</si>
  <si>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</si>
  <si>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</si>
  <si>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</si>
  <si>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</si>
  <si>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</si>
  <si>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</si>
  <si>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</si>
  <si>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</si>
  <si>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</si>
  <si>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</si>
  <si>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</si>
  <si>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</si>
  <si>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</si>
  <si>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</si>
  <si>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</si>
  <si>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</si>
  <si>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</si>
  <si>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</si>
  <si>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</si>
  <si>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</si>
  <si>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</si>
  <si>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</si>
  <si>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</si>
  <si>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</si>
  <si>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</si>
  <si>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</si>
  <si>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</si>
  <si>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</si>
  <si>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</si>
  <si>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</si>
  <si>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</si>
  <si>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</si>
  <si>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</si>
  <si>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</si>
  <si>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</si>
  <si>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</si>
  <si>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</si>
  <si>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</si>
  <si>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</si>
  <si>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</si>
  <si>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</si>
  <si>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</si>
  <si>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</si>
  <si>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</si>
  <si>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</si>
  <si>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</si>
  <si>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</si>
  <si>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</si>
  <si>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</si>
  <si>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</si>
  <si>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</si>
  <si>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</si>
  <si>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</si>
  <si>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</si>
  <si>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</si>
  <si>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</si>
  <si>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</si>
  <si>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</si>
  <si>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</si>
  <si>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</si>
  <si>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</si>
  <si>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</si>
  <si>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</si>
  <si>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</si>
  <si>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</si>
  <si>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</si>
  <si>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</si>
  <si>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</si>
  <si>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</si>
  <si>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</si>
  <si>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</si>
  <si>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</si>
  <si>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</si>
  <si>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</si>
  <si>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</si>
  <si>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</si>
  <si>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</si>
  <si>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</si>
  <si>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</si>
  <si>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</si>
  <si>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</si>
  <si>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</si>
  <si>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</si>
  <si>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</si>
  <si>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</si>
  <si>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</si>
  <si>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</si>
  <si>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</si>
  <si>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</si>
  <si>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</si>
  <si>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</si>
  <si>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</si>
  <si>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</si>
  <si>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</si>
  <si>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</si>
  <si>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</si>
  <si>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</si>
  <si>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</si>
  <si>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</si>
  <si>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</si>
  <si>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</si>
  <si>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</si>
  <si>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</si>
  <si>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</si>
  <si>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</si>
  <si>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</si>
  <si>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</si>
  <si>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</si>
  <si>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</si>
  <si>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</si>
  <si>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</si>
  <si>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</si>
  <si>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</si>
  <si>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</si>
  <si>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</si>
  <si>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</si>
  <si>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</si>
  <si>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</si>
  <si>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</si>
  <si>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</si>
  <si>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</si>
  <si>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</si>
  <si>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</si>
  <si>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</si>
  <si>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</si>
  <si>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</si>
  <si>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</si>
  <si>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</si>
  <si>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</si>
  <si>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</si>
  <si>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</si>
  <si>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</si>
  <si>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</si>
  <si>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</si>
  <si>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</si>
  <si>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</si>
  <si>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</si>
  <si>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</si>
  <si>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</si>
  <si>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</si>
  <si>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</si>
  <si>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</si>
  <si>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</si>
  <si>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</si>
  <si>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</si>
  <si>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</si>
  <si>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</si>
  <si>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</si>
  <si>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</si>
  <si>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</si>
  <si>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</si>
  <si>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</si>
  <si>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</si>
  <si>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</si>
  <si>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</si>
  <si>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</si>
  <si>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</si>
  <si>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</si>
  <si>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</si>
  <si>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</si>
  <si>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</si>
  <si>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</si>
  <si>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</si>
  <si>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</si>
  <si>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</si>
  <si>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</si>
  <si>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</si>
  <si>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</si>
  <si>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</si>
  <si>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</si>
  <si>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</si>
  <si>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</si>
  <si>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</si>
  <si>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</si>
  <si>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</si>
  <si>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</si>
  <si>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</si>
  <si>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</si>
  <si>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</si>
  <si>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</si>
  <si>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</si>
  <si>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</si>
  <si>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</si>
  <si>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</si>
  <si>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</si>
  <si>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</si>
  <si>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</si>
  <si>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</si>
  <si>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</si>
  <si>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</si>
  <si>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</si>
  <si>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</si>
  <si>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</si>
  <si>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</si>
  <si>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</si>
  <si>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</si>
  <si>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</si>
  <si>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</si>
  <si>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</si>
  <si>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</si>
  <si>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</si>
  <si>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</si>
  <si>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</si>
  <si>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</si>
  <si>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</si>
  <si>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</si>
  <si>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</si>
  <si>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</si>
  <si>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</si>
  <si>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</si>
  <si>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</si>
  <si>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</si>
  <si>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</si>
  <si>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</si>
  <si>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</si>
  <si>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</si>
  <si>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</si>
  <si>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</si>
  <si>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</si>
  <si>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</si>
  <si>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</si>
  <si>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</si>
  <si>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</si>
  <si>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</si>
  <si>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</si>
  <si>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</si>
  <si>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</si>
  <si>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</si>
  <si>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</si>
  <si>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</si>
  <si>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</si>
  <si>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</si>
  <si>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</si>
  <si>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</si>
  <si>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</si>
  <si>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</si>
  <si>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</si>
  <si>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</si>
  <si>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</si>
  <si>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</si>
  <si>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</si>
  <si>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</si>
  <si>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</si>
  <si>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</si>
  <si>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</si>
  <si>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</si>
  <si>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</si>
  <si>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</si>
  <si>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</si>
  <si>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</si>
  <si>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</si>
  <si>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</si>
  <si>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</si>
  <si>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</si>
  <si>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</si>
  <si>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</si>
  <si>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</si>
  <si>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</si>
  <si>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</si>
  <si>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</si>
  <si>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</si>
  <si>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</si>
  <si>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</si>
  <si>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</si>
  <si>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</si>
  <si>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</si>
  <si>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</si>
  <si>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</si>
  <si>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</si>
  <si>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</si>
  <si>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</si>
  <si>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</si>
  <si>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</si>
  <si>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</si>
  <si>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</si>
  <si>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</si>
  <si>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</si>
  <si>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</si>
  <si>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</si>
  <si>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</si>
  <si>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</si>
  <si>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</si>
  <si>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</si>
  <si>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</si>
  <si>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</si>
  <si>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</si>
  <si>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</si>
  <si>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</si>
  <si>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</si>
  <si>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</si>
  <si>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</si>
  <si>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</si>
  <si>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</si>
  <si>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</si>
  <si>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</si>
  <si>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</si>
  <si>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</si>
  <si>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</si>
  <si>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</si>
  <si>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</si>
  <si>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</si>
  <si>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</si>
  <si>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</si>
  <si>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</si>
  <si>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</si>
  <si>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</si>
  <si>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</si>
  <si>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</si>
  <si>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</si>
  <si>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</si>
  <si>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</si>
  <si>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</si>
  <si>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</si>
  <si>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</si>
  <si>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</si>
  <si>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</si>
  <si>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</si>
  <si>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</si>
  <si>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</si>
  <si>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</si>
  <si>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</si>
  <si>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</si>
  <si>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</si>
  <si>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</si>
  <si>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</si>
  <si>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</si>
  <si>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</si>
  <si>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</si>
  <si>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</si>
  <si>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</si>
  <si>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</si>
  <si>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</si>
  <si>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</si>
  <si>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</si>
  <si>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</si>
  <si>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</si>
  <si>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</si>
  <si>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</si>
  <si>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</si>
  <si>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</si>
  <si>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</si>
  <si>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</si>
  <si>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</si>
  <si>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</si>
  <si>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</si>
  <si>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</si>
  <si>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</si>
  <si>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</si>
  <si>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</si>
  <si>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</si>
  <si>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</si>
  <si>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</si>
  <si>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</si>
  <si>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</si>
  <si>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</si>
  <si>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</si>
  <si>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</si>
  <si>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</si>
  <si>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</si>
  <si>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</si>
  <si>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</si>
  <si>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</si>
  <si>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</si>
  <si>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</si>
  <si>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</si>
  <si>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</si>
  <si>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</si>
  <si>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</si>
  <si>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</si>
  <si>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</si>
  <si>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</si>
  <si>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</si>
  <si>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</si>
  <si>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</si>
  <si>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</si>
  <si>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</si>
  <si>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</si>
  <si>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</si>
  <si>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</si>
  <si>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</si>
  <si>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</si>
  <si>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</si>
  <si>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</si>
  <si>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</si>
  <si>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</si>
  <si>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</si>
  <si>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</si>
  <si>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</si>
  <si>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</si>
  <si>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</si>
  <si>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</si>
  <si>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</si>
  <si>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</si>
  <si>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</si>
  <si>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</si>
  <si>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</si>
  <si>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</si>
  <si>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</si>
  <si>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</si>
  <si>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</si>
  <si>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</si>
  <si>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</si>
  <si>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</si>
  <si>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</si>
  <si>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</si>
  <si>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</si>
  <si>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</si>
  <si>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</si>
  <si>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</si>
  <si>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</si>
  <si>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</si>
  <si>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</si>
  <si>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</si>
  <si>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</si>
  <si>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</si>
  <si>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</si>
  <si>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</si>
  <si>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</si>
  <si>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</si>
  <si>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</si>
  <si>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</si>
  <si>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</si>
  <si>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</si>
  <si>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</si>
  <si>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</si>
  <si>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</si>
  <si>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</si>
  <si>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</si>
  <si>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</si>
  <si>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</si>
  <si>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</si>
  <si>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</si>
  <si>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</si>
  <si>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</si>
  <si>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</si>
  <si>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</si>
  <si>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</si>
  <si>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</si>
  <si>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</si>
  <si>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</si>
  <si>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</si>
  <si>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</si>
  <si>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</si>
  <si>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</si>
  <si>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</si>
  <si>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</si>
  <si>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</si>
  <si>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</si>
  <si>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</si>
  <si>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</si>
  <si>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</si>
  <si>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</si>
  <si>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</si>
  <si>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</si>
  <si>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</si>
  <si>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</si>
  <si>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</si>
  <si>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</si>
  <si>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</si>
  <si>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</si>
  <si>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</si>
  <si>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</si>
  <si>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</si>
  <si>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</si>
  <si>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</si>
  <si>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</si>
  <si>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</si>
  <si>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</si>
  <si>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</si>
  <si>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</si>
  <si>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</si>
  <si>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</si>
  <si>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</si>
  <si>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</si>
  <si>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</si>
  <si>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</si>
  <si>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</si>
  <si>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</si>
  <si>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</si>
  <si>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</si>
  <si>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</si>
  <si>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</si>
  <si>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</si>
  <si>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</si>
  <si>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</si>
  <si>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</si>
  <si>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</si>
  <si>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</si>
  <si>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</si>
  <si>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</si>
  <si>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</si>
  <si>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</si>
  <si>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</si>
  <si>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</si>
  <si>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</si>
  <si>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</si>
  <si>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</si>
  <si>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</si>
  <si>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</si>
  <si>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</si>
  <si>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</si>
  <si>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</si>
  <si>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</si>
  <si>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</si>
  <si>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</si>
  <si>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</si>
  <si>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</si>
  <si>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</si>
  <si>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</si>
  <si>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</si>
  <si>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</si>
  <si>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</si>
  <si>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</si>
  <si>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</si>
  <si>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</si>
  <si>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</si>
  <si>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</si>
  <si>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</si>
  <si>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</si>
  <si>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</si>
  <si>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</si>
  <si>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</si>
  <si>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</si>
  <si>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</si>
  <si>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</si>
  <si>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</si>
  <si>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</si>
  <si>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</si>
  <si>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</si>
  <si>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</si>
  <si>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</si>
  <si>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</si>
  <si>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</si>
  <si>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</si>
  <si>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</si>
  <si>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</si>
  <si>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</si>
  <si>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</si>
  <si>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</si>
  <si>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</si>
  <si>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</si>
  <si>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</si>
  <si>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</si>
  <si>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</si>
  <si>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</si>
  <si>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</si>
  <si>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</si>
  <si>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</si>
  <si>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</si>
  <si>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</si>
  <si>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</si>
  <si>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</si>
  <si>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</si>
  <si>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</si>
  <si>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</si>
  <si>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</si>
  <si>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</si>
  <si>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</si>
  <si>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</si>
  <si>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</si>
  <si>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</si>
  <si>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</si>
  <si>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</si>
  <si>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</si>
  <si>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</si>
  <si>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</si>
  <si>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</si>
  <si>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</si>
  <si>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</si>
  <si>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</si>
  <si>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</si>
  <si>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</si>
  <si>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</si>
  <si>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</si>
  <si>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</si>
  <si>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</si>
  <si>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</si>
  <si>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</si>
  <si>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</si>
  <si>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</si>
  <si>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</si>
  <si>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</si>
  <si>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</si>
  <si>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</si>
  <si>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</si>
  <si>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</si>
  <si>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</si>
  <si>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</si>
  <si>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</si>
  <si>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</si>
  <si>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</si>
  <si>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</si>
  <si>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</si>
  <si>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</si>
  <si>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</si>
  <si>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</si>
  <si>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</si>
  <si>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</si>
  <si>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</si>
  <si>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</si>
  <si>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</si>
  <si>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</si>
  <si>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</si>
  <si>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</si>
  <si>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</si>
  <si>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</si>
  <si>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</si>
  <si>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</si>
  <si>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</si>
  <si>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</si>
  <si>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</si>
  <si>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</si>
  <si>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</si>
  <si>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</si>
  <si>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</si>
  <si>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</si>
  <si>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</si>
  <si>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</si>
  <si>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</si>
  <si>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</si>
  <si>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</si>
  <si>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</si>
  <si>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</si>
  <si>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</si>
  <si>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</si>
  <si>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</si>
  <si>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</si>
  <si>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</si>
  <si>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</si>
  <si>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</si>
  <si>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</si>
  <si>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</si>
  <si>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</si>
  <si>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</si>
  <si>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</si>
  <si>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</si>
  <si>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</si>
  <si>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</si>
  <si>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</si>
  <si>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</si>
  <si>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</si>
  <si>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</si>
  <si>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</si>
  <si>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</si>
  <si>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</si>
  <si>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</si>
  <si>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</si>
  <si>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</si>
  <si>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</si>
  <si>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</si>
  <si>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</si>
  <si>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</si>
  <si>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</si>
  <si>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</si>
  <si>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</si>
  <si>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</si>
  <si>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</si>
  <si>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</si>
  <si>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</si>
  <si>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</si>
  <si>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</si>
  <si>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</si>
  <si>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</si>
  <si>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</si>
  <si>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</si>
  <si>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</si>
  <si>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</si>
  <si>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</si>
  <si>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</si>
  <si>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</si>
  <si>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</si>
  <si>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</si>
  <si>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</si>
  <si>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</si>
  <si>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</si>
  <si>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</si>
  <si>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</si>
  <si>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</si>
  <si>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</si>
  <si>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</si>
  <si>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</si>
  <si>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</si>
  <si>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</si>
  <si>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</si>
  <si>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</si>
  <si>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</si>
  <si>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</si>
  <si>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</si>
  <si>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</si>
  <si>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</si>
  <si>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</si>
  <si>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</si>
  <si>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</si>
  <si>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</si>
  <si>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</si>
  <si>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</si>
  <si>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</si>
  <si>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</si>
  <si>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</si>
  <si>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</si>
  <si>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</si>
  <si>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</si>
  <si>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</si>
  <si>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</si>
  <si>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</si>
  <si>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</si>
  <si>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</si>
  <si>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</si>
  <si>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</si>
  <si>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</si>
  <si>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</si>
  <si>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</si>
  <si>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</si>
  <si>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</si>
  <si>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</si>
  <si>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</si>
  <si>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</si>
  <si>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</si>
  <si>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</si>
  <si>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</si>
  <si>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</si>
  <si>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</si>
  <si>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</si>
  <si>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</si>
  <si>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</si>
  <si>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</si>
  <si>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</si>
  <si>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</si>
  <si>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</si>
  <si>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</si>
  <si>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</si>
  <si>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</si>
  <si>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</si>
  <si>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</si>
  <si>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</si>
  <si>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</si>
  <si>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</si>
  <si>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</si>
  <si>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</si>
  <si>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</si>
  <si>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</si>
  <si>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</si>
  <si>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</si>
  <si>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</si>
  <si>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</si>
  <si>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</si>
  <si>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</si>
  <si>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</si>
  <si>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</si>
  <si>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</si>
  <si>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</si>
  <si>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</si>
  <si>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</si>
  <si>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</si>
  <si>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</si>
  <si>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</si>
  <si>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</si>
  <si>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</si>
  <si>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</si>
  <si>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</si>
  <si>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</si>
  <si>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</si>
  <si>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</si>
  <si>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</si>
  <si>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</si>
  <si>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</si>
  <si>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</si>
  <si>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</si>
  <si>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</si>
  <si>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</si>
  <si>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</si>
  <si>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</si>
  <si>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</si>
  <si>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</si>
  <si>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</si>
  <si>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</si>
  <si>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</si>
  <si>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</si>
  <si>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</si>
  <si>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</si>
  <si>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</si>
  <si>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</si>
  <si>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</si>
  <si>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</si>
  <si>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</si>
  <si>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</si>
  <si>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</si>
  <si>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</si>
  <si>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</si>
  <si>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</si>
  <si>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</si>
  <si>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</si>
  <si>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</si>
  <si>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</si>
  <si>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</si>
  <si>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</si>
  <si>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</si>
  <si>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</si>
  <si>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0.10.2-beta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</si>
</sst>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6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04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4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9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7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7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workbookViewId="0">
      <selection activeCell="I19" sqref="I19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4510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4509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3747</v>
      </c>
      <c r="F13" s="516"/>
      <c r="G13" s="546" t="s">
        <v>6131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U21" sqref="U21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18-sep-2017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3493</v>
      </c>
      <c r="G4" s="661" t="str">
        <f>Txt_Pat_PatNo</f>
        <v/>
      </c>
      <c r="H4" s="664"/>
      <c r="I4" s="666"/>
      <c r="J4" s="664"/>
      <c r="K4" s="664"/>
      <c r="L4" s="661" t="s">
        <v>5392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3492</v>
      </c>
      <c r="C7" s="708" t="s">
        <v>3324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3328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9" t="str">
        <f>GlobBerMedDisc!AR2</f>
        <v/>
      </c>
      <c r="G9" s="819"/>
      <c r="H9" s="819"/>
      <c r="I9" s="819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8" t="str">
        <f>GlobBerMedDisc!AR31</f>
        <v/>
      </c>
      <c r="G38" s="818"/>
      <c r="H38" s="818"/>
      <c r="I38" s="818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1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1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1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1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1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1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1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2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2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2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2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2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2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2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2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2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3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3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3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3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4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4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4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4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9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9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9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9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10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10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10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10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10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11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1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11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11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11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12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12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12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12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12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13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13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13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13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13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13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14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14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14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14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14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14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14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14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14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15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M48"/>
  <sheetViews>
    <sheetView showZeros="0" showOutlineSymbols="0" zoomScaleNormal="100" workbookViewId="0">
      <pane xSplit="1" ySplit="1" topLeftCell="AS2" activePane="bottomRight" state="frozen"/>
      <selection pane="topRight" activeCell="B1" sqref="B1"/>
      <selection pane="bottomLeft" activeCell="A2" sqref="A2"/>
      <selection pane="bottomRight" activeCell="BG2" sqref="BG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5" width="9.42578125" bestFit="1" customWidth="1"/>
  </cols>
  <sheetData>
    <row r="1" spans="1:65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</row>
    <row r="2" spans="1:6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</row>
    <row r="3" spans="1:6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7">IF(_Pat_Gewicht&gt;0,IF(ROUND(10*K3/_Pat_Gewicht,1) = 0,ROUND(10*K3/_Pat_Gewicht,2),ROUND(10*K3/_Pat_Gewicht,1) ),0)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0">IF(D3="","",IF(V3=-1,C3,D3))</f>
        <v/>
      </c>
      <c r="X3" s="208" t="str">
        <f t="shared" si="6"/>
        <v/>
      </c>
      <c r="Y3" s="208" t="str">
        <f t="shared" ref="Y3:Y31" si="21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2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3">IF(AH3,"PRN","")</f>
        <v/>
      </c>
      <c r="AR3" s="208" t="str">
        <f t="shared" si="14"/>
        <v/>
      </c>
      <c r="AS3" s="208" t="str">
        <f t="shared" ref="AS3:AS31" si="24">IF(AH3,"PRN: "&amp;AI3&amp;" "&amp;AD3,IF(AD3="","",AD3))</f>
        <v/>
      </c>
      <c r="AV3" s="208" t="b">
        <f t="shared" ref="AV3:AV31" si="25">AND(AT3&lt;&gt;0,$M3&lt;AT3)</f>
        <v>0</v>
      </c>
      <c r="AW3" s="208" t="b">
        <f t="shared" ref="AW3:AW31" si="26">AND(AU3&lt;&gt;0,$M3&gt;AU3)</f>
        <v>0</v>
      </c>
      <c r="BA3" s="208" t="b">
        <f t="shared" ref="BA3:BA31" si="27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8">AND(AZ3&lt;&gt;"",AZ3&lt;&gt;0,R3&lt;AZ3)</f>
        <v>0</v>
      </c>
      <c r="BD3" s="208">
        <f t="shared" ref="BD3:BD31" si="29">IF(AND(C3&gt;1,P3&gt;1,O3&gt;0),ROUND(H3/O3,2),0)</f>
        <v>0</v>
      </c>
      <c r="BF3" s="208" t="b">
        <f t="shared" ref="BF3:BF31" si="30">AND(BE3&lt;&gt;"",BE3&lt;&gt;0,NOT(ContainsCaseInsensitive(BE3,X3)))</f>
        <v>0</v>
      </c>
      <c r="BH3" s="209" t="b">
        <f t="shared" ref="BH3:BH31" si="31">AND(OR(AT3=0,AT3=""),BG3&lt;&gt;0,BG3&lt;&gt;"",M3&lt;0.9*BG3)</f>
        <v>0</v>
      </c>
      <c r="BI3" s="209" t="b">
        <f t="shared" ref="BI3:BI31" si="32">AND(OR(AU3=0,AU3=""),BG3&lt;&gt;0,BG3&lt;&gt;"",M3&gt;(1.1*BG3))</f>
        <v>0</v>
      </c>
      <c r="BK3" s="208" t="b">
        <f t="shared" si="16"/>
        <v>0</v>
      </c>
      <c r="BL3" s="208" t="b">
        <f t="shared" ref="BL3:BL31" si="33">OR(BH3,BI3)</f>
        <v>0</v>
      </c>
      <c r="BM3" s="208" t="b">
        <f t="shared" ref="BM3:BM31" si="34">OR(AV3,AW3,BK3)</f>
        <v>0</v>
      </c>
    </row>
    <row r="4" spans="1:6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7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0"/>
        <v/>
      </c>
      <c r="X4" s="208" t="str">
        <f t="shared" si="6"/>
        <v/>
      </c>
      <c r="Y4" s="208" t="str">
        <f t="shared" si="21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2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3"/>
        <v/>
      </c>
      <c r="AR4" s="208" t="str">
        <f t="shared" si="14"/>
        <v/>
      </c>
      <c r="AS4" s="208" t="str">
        <f t="shared" si="24"/>
        <v/>
      </c>
      <c r="AV4" s="208" t="b">
        <f t="shared" si="25"/>
        <v>0</v>
      </c>
      <c r="AW4" s="208" t="b">
        <f t="shared" si="26"/>
        <v>0</v>
      </c>
      <c r="BA4" s="208" t="b">
        <f t="shared" si="27"/>
        <v>0</v>
      </c>
      <c r="BB4" s="208" t="b">
        <f t="shared" si="15"/>
        <v>0</v>
      </c>
      <c r="BC4" s="209" t="b">
        <f t="shared" si="28"/>
        <v>0</v>
      </c>
      <c r="BD4" s="208">
        <f t="shared" si="29"/>
        <v>0</v>
      </c>
      <c r="BF4" s="208" t="b">
        <f t="shared" si="30"/>
        <v>0</v>
      </c>
      <c r="BH4" s="209" t="b">
        <f t="shared" si="31"/>
        <v>0</v>
      </c>
      <c r="BI4" s="209" t="b">
        <f t="shared" si="32"/>
        <v>0</v>
      </c>
      <c r="BK4" s="208" t="b">
        <f t="shared" si="16"/>
        <v>0</v>
      </c>
      <c r="BL4" s="208" t="b">
        <f t="shared" si="33"/>
        <v>0</v>
      </c>
      <c r="BM4" s="208" t="b">
        <f t="shared" si="34"/>
        <v>0</v>
      </c>
    </row>
    <row r="5" spans="1:6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7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0"/>
        <v/>
      </c>
      <c r="X5" s="208" t="str">
        <f t="shared" si="6"/>
        <v/>
      </c>
      <c r="Y5" s="208" t="str">
        <f t="shared" si="21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2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3"/>
        <v/>
      </c>
      <c r="AR5" s="208" t="str">
        <f t="shared" si="14"/>
        <v/>
      </c>
      <c r="AS5" s="208" t="str">
        <f t="shared" si="24"/>
        <v/>
      </c>
      <c r="AV5" s="208" t="b">
        <f t="shared" si="25"/>
        <v>0</v>
      </c>
      <c r="AW5" s="208" t="b">
        <f t="shared" si="26"/>
        <v>0</v>
      </c>
      <c r="BA5" s="208" t="b">
        <f t="shared" si="27"/>
        <v>0</v>
      </c>
      <c r="BB5" s="208" t="b">
        <f t="shared" si="15"/>
        <v>0</v>
      </c>
      <c r="BC5" s="209" t="b">
        <f t="shared" si="28"/>
        <v>0</v>
      </c>
      <c r="BD5" s="208">
        <f t="shared" si="29"/>
        <v>0</v>
      </c>
      <c r="BF5" s="208" t="b">
        <f t="shared" si="30"/>
        <v>0</v>
      </c>
      <c r="BH5" s="209" t="b">
        <f t="shared" si="31"/>
        <v>0</v>
      </c>
      <c r="BI5" s="209" t="b">
        <f t="shared" si="32"/>
        <v>0</v>
      </c>
      <c r="BK5" s="208" t="b">
        <f t="shared" si="16"/>
        <v>0</v>
      </c>
      <c r="BL5" s="208" t="b">
        <f t="shared" si="33"/>
        <v>0</v>
      </c>
      <c r="BM5" s="208" t="b">
        <f t="shared" si="34"/>
        <v>0</v>
      </c>
    </row>
    <row r="6" spans="1:6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7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0"/>
        <v/>
      </c>
      <c r="X6" s="208" t="str">
        <f t="shared" si="6"/>
        <v/>
      </c>
      <c r="Y6" s="208" t="str">
        <f t="shared" si="21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2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3"/>
        <v/>
      </c>
      <c r="AR6" s="208" t="str">
        <f t="shared" si="14"/>
        <v/>
      </c>
      <c r="AS6" s="208" t="str">
        <f t="shared" si="24"/>
        <v/>
      </c>
      <c r="AV6" s="208" t="b">
        <f t="shared" si="25"/>
        <v>0</v>
      </c>
      <c r="AW6" s="208" t="b">
        <f t="shared" si="26"/>
        <v>0</v>
      </c>
      <c r="BA6" s="208" t="b">
        <f t="shared" si="27"/>
        <v>0</v>
      </c>
      <c r="BB6" s="208" t="b">
        <f t="shared" si="15"/>
        <v>0</v>
      </c>
      <c r="BC6" s="209" t="b">
        <f t="shared" si="28"/>
        <v>0</v>
      </c>
      <c r="BD6" s="208">
        <f t="shared" si="29"/>
        <v>0</v>
      </c>
      <c r="BF6" s="208" t="b">
        <f t="shared" si="30"/>
        <v>0</v>
      </c>
      <c r="BH6" s="209" t="b">
        <f t="shared" si="31"/>
        <v>0</v>
      </c>
      <c r="BI6" s="209" t="b">
        <f t="shared" si="32"/>
        <v>0</v>
      </c>
      <c r="BK6" s="208" t="b">
        <f t="shared" si="16"/>
        <v>0</v>
      </c>
      <c r="BL6" s="208" t="b">
        <f t="shared" si="33"/>
        <v>0</v>
      </c>
      <c r="BM6" s="208" t="b">
        <f t="shared" si="34"/>
        <v>0</v>
      </c>
    </row>
    <row r="7" spans="1:6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7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0"/>
        <v/>
      </c>
      <c r="X7" s="208" t="str">
        <f t="shared" si="6"/>
        <v/>
      </c>
      <c r="Y7" s="208" t="str">
        <f t="shared" si="21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2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3"/>
        <v/>
      </c>
      <c r="AR7" s="208" t="str">
        <f t="shared" si="14"/>
        <v/>
      </c>
      <c r="AS7" s="208" t="str">
        <f t="shared" si="24"/>
        <v/>
      </c>
      <c r="AV7" s="208" t="b">
        <f t="shared" si="25"/>
        <v>0</v>
      </c>
      <c r="AW7" s="208" t="b">
        <f t="shared" si="26"/>
        <v>0</v>
      </c>
      <c r="BA7" s="208" t="b">
        <f t="shared" si="27"/>
        <v>0</v>
      </c>
      <c r="BB7" s="208" t="b">
        <f t="shared" si="15"/>
        <v>0</v>
      </c>
      <c r="BC7" s="209" t="b">
        <f t="shared" si="28"/>
        <v>0</v>
      </c>
      <c r="BD7" s="208">
        <f t="shared" si="29"/>
        <v>0</v>
      </c>
      <c r="BF7" s="208" t="b">
        <f t="shared" si="30"/>
        <v>0</v>
      </c>
      <c r="BH7" s="209" t="b">
        <f t="shared" si="31"/>
        <v>0</v>
      </c>
      <c r="BI7" s="209" t="b">
        <f t="shared" si="32"/>
        <v>0</v>
      </c>
      <c r="BK7" s="208" t="b">
        <f t="shared" si="16"/>
        <v>0</v>
      </c>
      <c r="BL7" s="208" t="b">
        <f t="shared" si="33"/>
        <v>0</v>
      </c>
      <c r="BM7" s="208" t="b">
        <f t="shared" si="34"/>
        <v>0</v>
      </c>
    </row>
    <row r="8" spans="1:6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7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0"/>
        <v/>
      </c>
      <c r="X8" s="208" t="str">
        <f t="shared" si="6"/>
        <v/>
      </c>
      <c r="Y8" s="208" t="str">
        <f t="shared" si="21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2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3"/>
        <v/>
      </c>
      <c r="AR8" s="208" t="str">
        <f t="shared" si="14"/>
        <v/>
      </c>
      <c r="AS8" s="208" t="str">
        <f t="shared" si="24"/>
        <v/>
      </c>
      <c r="AV8" s="208" t="b">
        <f t="shared" si="25"/>
        <v>0</v>
      </c>
      <c r="AW8" s="208" t="b">
        <f t="shared" si="26"/>
        <v>0</v>
      </c>
      <c r="BA8" s="208" t="b">
        <f t="shared" si="27"/>
        <v>0</v>
      </c>
      <c r="BB8" s="208" t="b">
        <f t="shared" si="15"/>
        <v>0</v>
      </c>
      <c r="BC8" s="209" t="b">
        <f t="shared" si="28"/>
        <v>0</v>
      </c>
      <c r="BD8" s="208">
        <f t="shared" si="29"/>
        <v>0</v>
      </c>
      <c r="BF8" s="208" t="b">
        <f t="shared" si="30"/>
        <v>0</v>
      </c>
      <c r="BH8" s="209" t="b">
        <f t="shared" si="31"/>
        <v>0</v>
      </c>
      <c r="BI8" s="209" t="b">
        <f t="shared" si="32"/>
        <v>0</v>
      </c>
      <c r="BK8" s="208" t="b">
        <f t="shared" si="16"/>
        <v>0</v>
      </c>
      <c r="BL8" s="208" t="b">
        <f t="shared" si="33"/>
        <v>0</v>
      </c>
      <c r="BM8" s="208" t="b">
        <f t="shared" si="34"/>
        <v>0</v>
      </c>
    </row>
    <row r="9" spans="1:6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7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0"/>
        <v/>
      </c>
      <c r="X9" s="208" t="str">
        <f t="shared" si="6"/>
        <v/>
      </c>
      <c r="Y9" s="208" t="str">
        <f t="shared" si="21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2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3"/>
        <v/>
      </c>
      <c r="AR9" s="208" t="str">
        <f t="shared" si="14"/>
        <v/>
      </c>
      <c r="AS9" s="208" t="str">
        <f t="shared" si="24"/>
        <v/>
      </c>
      <c r="AV9" s="208" t="b">
        <f t="shared" si="25"/>
        <v>0</v>
      </c>
      <c r="AW9" s="208" t="b">
        <f t="shared" si="26"/>
        <v>0</v>
      </c>
      <c r="BA9" s="208" t="b">
        <f t="shared" si="27"/>
        <v>0</v>
      </c>
      <c r="BB9" s="208" t="b">
        <f t="shared" si="15"/>
        <v>0</v>
      </c>
      <c r="BC9" s="209" t="b">
        <f t="shared" si="28"/>
        <v>0</v>
      </c>
      <c r="BD9" s="208">
        <f t="shared" si="29"/>
        <v>0</v>
      </c>
      <c r="BF9" s="208" t="b">
        <f t="shared" si="30"/>
        <v>0</v>
      </c>
      <c r="BH9" s="209" t="b">
        <f t="shared" si="31"/>
        <v>0</v>
      </c>
      <c r="BI9" s="209" t="b">
        <f t="shared" si="32"/>
        <v>0</v>
      </c>
      <c r="BK9" s="208" t="b">
        <f t="shared" si="16"/>
        <v>0</v>
      </c>
      <c r="BL9" s="208" t="b">
        <f t="shared" si="33"/>
        <v>0</v>
      </c>
      <c r="BM9" s="208" t="b">
        <f t="shared" si="34"/>
        <v>0</v>
      </c>
    </row>
    <row r="10" spans="1:6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7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0"/>
        <v/>
      </c>
      <c r="X10" s="208" t="str">
        <f t="shared" si="6"/>
        <v/>
      </c>
      <c r="Y10" s="208" t="str">
        <f t="shared" si="21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2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3"/>
        <v/>
      </c>
      <c r="AR10" s="208" t="str">
        <f t="shared" si="14"/>
        <v/>
      </c>
      <c r="AS10" s="208" t="str">
        <f t="shared" si="24"/>
        <v/>
      </c>
      <c r="AV10" s="208" t="b">
        <f t="shared" si="25"/>
        <v>0</v>
      </c>
      <c r="AW10" s="208" t="b">
        <f t="shared" si="26"/>
        <v>0</v>
      </c>
      <c r="BA10" s="208" t="b">
        <f t="shared" si="27"/>
        <v>0</v>
      </c>
      <c r="BB10" s="208" t="b">
        <f t="shared" si="15"/>
        <v>0</v>
      </c>
      <c r="BC10" s="209" t="b">
        <f t="shared" si="28"/>
        <v>0</v>
      </c>
      <c r="BD10" s="208">
        <f t="shared" si="29"/>
        <v>0</v>
      </c>
      <c r="BF10" s="208" t="b">
        <f t="shared" si="30"/>
        <v>0</v>
      </c>
      <c r="BH10" s="209" t="b">
        <f t="shared" si="31"/>
        <v>0</v>
      </c>
      <c r="BI10" s="209" t="b">
        <f t="shared" si="32"/>
        <v>0</v>
      </c>
      <c r="BK10" s="208" t="b">
        <f t="shared" si="16"/>
        <v>0</v>
      </c>
      <c r="BL10" s="208" t="b">
        <f t="shared" si="33"/>
        <v>0</v>
      </c>
      <c r="BM10" s="208" t="b">
        <f t="shared" si="34"/>
        <v>0</v>
      </c>
    </row>
    <row r="11" spans="1:6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7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0"/>
        <v/>
      </c>
      <c r="X11" s="208" t="str">
        <f t="shared" si="6"/>
        <v/>
      </c>
      <c r="Y11" s="208" t="str">
        <f t="shared" si="21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2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3"/>
        <v/>
      </c>
      <c r="AR11" s="208" t="str">
        <f t="shared" si="14"/>
        <v/>
      </c>
      <c r="AS11" s="208" t="str">
        <f t="shared" si="24"/>
        <v/>
      </c>
      <c r="AV11" s="208" t="b">
        <f t="shared" si="25"/>
        <v>0</v>
      </c>
      <c r="AW11" s="208" t="b">
        <f t="shared" si="26"/>
        <v>0</v>
      </c>
      <c r="BA11" s="208" t="b">
        <f t="shared" si="27"/>
        <v>0</v>
      </c>
      <c r="BB11" s="208" t="b">
        <f t="shared" si="15"/>
        <v>0</v>
      </c>
      <c r="BC11" s="209" t="b">
        <f t="shared" si="28"/>
        <v>0</v>
      </c>
      <c r="BD11" s="208">
        <f t="shared" si="29"/>
        <v>0</v>
      </c>
      <c r="BF11" s="208" t="b">
        <f t="shared" si="30"/>
        <v>0</v>
      </c>
      <c r="BH11" s="209" t="b">
        <f t="shared" si="31"/>
        <v>0</v>
      </c>
      <c r="BI11" s="209" t="b">
        <f t="shared" si="32"/>
        <v>0</v>
      </c>
      <c r="BK11" s="208" t="b">
        <f t="shared" si="16"/>
        <v>0</v>
      </c>
      <c r="BL11" s="208" t="b">
        <f t="shared" si="33"/>
        <v>0</v>
      </c>
      <c r="BM11" s="208" t="b">
        <f t="shared" si="34"/>
        <v>0</v>
      </c>
    </row>
    <row r="12" spans="1:6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7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0"/>
        <v/>
      </c>
      <c r="X12" s="208" t="str">
        <f t="shared" si="6"/>
        <v/>
      </c>
      <c r="Y12" s="208" t="str">
        <f t="shared" si="21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2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3"/>
        <v/>
      </c>
      <c r="AR12" s="208" t="str">
        <f t="shared" si="14"/>
        <v/>
      </c>
      <c r="AS12" s="208" t="str">
        <f t="shared" si="24"/>
        <v/>
      </c>
      <c r="AV12" s="208" t="b">
        <f t="shared" si="25"/>
        <v>0</v>
      </c>
      <c r="AW12" s="208" t="b">
        <f t="shared" si="26"/>
        <v>0</v>
      </c>
      <c r="BA12" s="208" t="b">
        <f t="shared" si="27"/>
        <v>0</v>
      </c>
      <c r="BB12" s="208" t="b">
        <f t="shared" si="15"/>
        <v>0</v>
      </c>
      <c r="BC12" s="209" t="b">
        <f t="shared" si="28"/>
        <v>0</v>
      </c>
      <c r="BD12" s="208">
        <f t="shared" si="29"/>
        <v>0</v>
      </c>
      <c r="BF12" s="208" t="b">
        <f t="shared" si="30"/>
        <v>0</v>
      </c>
      <c r="BH12" s="209" t="b">
        <f t="shared" si="31"/>
        <v>0</v>
      </c>
      <c r="BI12" s="209" t="b">
        <f t="shared" si="32"/>
        <v>0</v>
      </c>
      <c r="BK12" s="208" t="b">
        <f t="shared" si="16"/>
        <v>0</v>
      </c>
      <c r="BL12" s="208" t="b">
        <f t="shared" si="33"/>
        <v>0</v>
      </c>
      <c r="BM12" s="208" t="b">
        <f t="shared" si="34"/>
        <v>0</v>
      </c>
    </row>
    <row r="13" spans="1:6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7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0"/>
        <v/>
      </c>
      <c r="X13" s="208" t="str">
        <f t="shared" si="6"/>
        <v/>
      </c>
      <c r="Y13" s="208" t="str">
        <f t="shared" si="21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2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3"/>
        <v/>
      </c>
      <c r="AR13" s="208" t="str">
        <f t="shared" si="14"/>
        <v/>
      </c>
      <c r="AS13" s="208" t="str">
        <f t="shared" si="24"/>
        <v/>
      </c>
      <c r="AV13" s="208" t="b">
        <f t="shared" si="25"/>
        <v>0</v>
      </c>
      <c r="AW13" s="208" t="b">
        <f t="shared" si="26"/>
        <v>0</v>
      </c>
      <c r="BA13" s="208" t="b">
        <f t="shared" si="27"/>
        <v>0</v>
      </c>
      <c r="BB13" s="208" t="b">
        <f t="shared" si="15"/>
        <v>0</v>
      </c>
      <c r="BC13" s="209" t="b">
        <f t="shared" si="28"/>
        <v>0</v>
      </c>
      <c r="BD13" s="208">
        <f t="shared" si="29"/>
        <v>0</v>
      </c>
      <c r="BF13" s="208" t="b">
        <f t="shared" si="30"/>
        <v>0</v>
      </c>
      <c r="BH13" s="209" t="b">
        <f t="shared" si="31"/>
        <v>0</v>
      </c>
      <c r="BI13" s="209" t="b">
        <f t="shared" si="32"/>
        <v>0</v>
      </c>
      <c r="BK13" s="208" t="b">
        <f t="shared" si="16"/>
        <v>0</v>
      </c>
      <c r="BL13" s="208" t="b">
        <f t="shared" si="33"/>
        <v>0</v>
      </c>
      <c r="BM13" s="208" t="b">
        <f t="shared" si="34"/>
        <v>0</v>
      </c>
    </row>
    <row r="14" spans="1:6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7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0"/>
        <v/>
      </c>
      <c r="X14" s="208" t="str">
        <f t="shared" si="6"/>
        <v/>
      </c>
      <c r="Y14" s="208" t="str">
        <f t="shared" si="21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2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3"/>
        <v/>
      </c>
      <c r="AR14" s="208" t="str">
        <f t="shared" si="14"/>
        <v/>
      </c>
      <c r="AS14" s="208" t="str">
        <f t="shared" si="24"/>
        <v/>
      </c>
      <c r="AV14" s="208" t="b">
        <f t="shared" si="25"/>
        <v>0</v>
      </c>
      <c r="AW14" s="208" t="b">
        <f t="shared" si="26"/>
        <v>0</v>
      </c>
      <c r="BA14" s="208" t="b">
        <f t="shared" si="27"/>
        <v>0</v>
      </c>
      <c r="BB14" s="208" t="b">
        <f t="shared" si="15"/>
        <v>0</v>
      </c>
      <c r="BC14" s="209" t="b">
        <f t="shared" si="28"/>
        <v>0</v>
      </c>
      <c r="BD14" s="208">
        <f t="shared" si="29"/>
        <v>0</v>
      </c>
      <c r="BF14" s="208" t="b">
        <f t="shared" si="30"/>
        <v>0</v>
      </c>
      <c r="BH14" s="209" t="b">
        <f t="shared" si="31"/>
        <v>0</v>
      </c>
      <c r="BI14" s="209" t="b">
        <f t="shared" si="32"/>
        <v>0</v>
      </c>
      <c r="BK14" s="208" t="b">
        <f t="shared" si="16"/>
        <v>0</v>
      </c>
      <c r="BL14" s="208" t="b">
        <f t="shared" si="33"/>
        <v>0</v>
      </c>
      <c r="BM14" s="208" t="b">
        <f t="shared" si="34"/>
        <v>0</v>
      </c>
    </row>
    <row r="15" spans="1:6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7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0"/>
        <v/>
      </c>
      <c r="X15" s="208" t="str">
        <f t="shared" si="6"/>
        <v/>
      </c>
      <c r="Y15" s="208" t="str">
        <f t="shared" si="21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2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3"/>
        <v/>
      </c>
      <c r="AR15" s="208" t="str">
        <f t="shared" si="14"/>
        <v/>
      </c>
      <c r="AS15" s="208" t="str">
        <f t="shared" si="24"/>
        <v/>
      </c>
      <c r="AV15" s="208" t="b">
        <f t="shared" si="25"/>
        <v>0</v>
      </c>
      <c r="AW15" s="208" t="b">
        <f t="shared" si="26"/>
        <v>0</v>
      </c>
      <c r="BA15" s="208" t="b">
        <f t="shared" si="27"/>
        <v>0</v>
      </c>
      <c r="BB15" s="208" t="b">
        <f t="shared" si="15"/>
        <v>0</v>
      </c>
      <c r="BC15" s="209" t="b">
        <f t="shared" si="28"/>
        <v>0</v>
      </c>
      <c r="BD15" s="208">
        <f t="shared" si="29"/>
        <v>0</v>
      </c>
      <c r="BF15" s="208" t="b">
        <f t="shared" si="30"/>
        <v>0</v>
      </c>
      <c r="BH15" s="209" t="b">
        <f t="shared" si="31"/>
        <v>0</v>
      </c>
      <c r="BI15" s="209" t="b">
        <f t="shared" si="32"/>
        <v>0</v>
      </c>
      <c r="BK15" s="208" t="b">
        <f t="shared" si="16"/>
        <v>0</v>
      </c>
      <c r="BL15" s="208" t="b">
        <f t="shared" si="33"/>
        <v>0</v>
      </c>
      <c r="BM15" s="208" t="b">
        <f t="shared" si="34"/>
        <v>0</v>
      </c>
    </row>
    <row r="16" spans="1:6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7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0"/>
        <v/>
      </c>
      <c r="X16" s="208" t="str">
        <f t="shared" si="6"/>
        <v/>
      </c>
      <c r="Y16" s="208" t="str">
        <f t="shared" si="21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2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3"/>
        <v/>
      </c>
      <c r="AR16" s="208" t="str">
        <f t="shared" si="14"/>
        <v/>
      </c>
      <c r="AS16" s="208" t="str">
        <f t="shared" si="24"/>
        <v/>
      </c>
      <c r="AV16" s="208" t="b">
        <f t="shared" si="25"/>
        <v>0</v>
      </c>
      <c r="AW16" s="208" t="b">
        <f t="shared" si="26"/>
        <v>0</v>
      </c>
      <c r="BA16" s="208" t="b">
        <f t="shared" si="27"/>
        <v>0</v>
      </c>
      <c r="BB16" s="208" t="b">
        <f t="shared" si="15"/>
        <v>0</v>
      </c>
      <c r="BC16" s="209" t="b">
        <f t="shared" si="28"/>
        <v>0</v>
      </c>
      <c r="BD16" s="208">
        <f t="shared" si="29"/>
        <v>0</v>
      </c>
      <c r="BF16" s="208" t="b">
        <f t="shared" si="30"/>
        <v>0</v>
      </c>
      <c r="BH16" s="209" t="b">
        <f t="shared" si="31"/>
        <v>0</v>
      </c>
      <c r="BI16" s="209" t="b">
        <f t="shared" si="32"/>
        <v>0</v>
      </c>
      <c r="BK16" s="208" t="b">
        <f t="shared" si="16"/>
        <v>0</v>
      </c>
      <c r="BL16" s="208" t="b">
        <f t="shared" si="33"/>
        <v>0</v>
      </c>
      <c r="BM16" s="208" t="b">
        <f t="shared" si="34"/>
        <v>0</v>
      </c>
    </row>
    <row r="17" spans="1:6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7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0"/>
        <v/>
      </c>
      <c r="X17" s="208" t="str">
        <f t="shared" si="6"/>
        <v/>
      </c>
      <c r="Y17" s="208" t="str">
        <f t="shared" si="21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2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3"/>
        <v/>
      </c>
      <c r="AR17" s="208" t="str">
        <f t="shared" si="14"/>
        <v/>
      </c>
      <c r="AS17" s="208" t="str">
        <f t="shared" si="24"/>
        <v/>
      </c>
      <c r="AV17" s="208" t="b">
        <f t="shared" si="25"/>
        <v>0</v>
      </c>
      <c r="AW17" s="208" t="b">
        <f t="shared" si="26"/>
        <v>0</v>
      </c>
      <c r="BA17" s="208" t="b">
        <f t="shared" si="27"/>
        <v>0</v>
      </c>
      <c r="BB17" s="208" t="b">
        <f t="shared" si="15"/>
        <v>0</v>
      </c>
      <c r="BC17" s="209" t="b">
        <f t="shared" si="28"/>
        <v>0</v>
      </c>
      <c r="BD17" s="208">
        <f t="shared" si="29"/>
        <v>0</v>
      </c>
      <c r="BF17" s="208" t="b">
        <f t="shared" si="30"/>
        <v>0</v>
      </c>
      <c r="BH17" s="209" t="b">
        <f t="shared" si="31"/>
        <v>0</v>
      </c>
      <c r="BI17" s="209" t="b">
        <f t="shared" si="32"/>
        <v>0</v>
      </c>
      <c r="BK17" s="208" t="b">
        <f t="shared" si="16"/>
        <v>0</v>
      </c>
      <c r="BL17" s="208" t="b">
        <f t="shared" si="33"/>
        <v>0</v>
      </c>
      <c r="BM17" s="208" t="b">
        <f t="shared" si="34"/>
        <v>0</v>
      </c>
    </row>
    <row r="18" spans="1:6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7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0"/>
        <v/>
      </c>
      <c r="X18" s="208" t="str">
        <f t="shared" si="6"/>
        <v/>
      </c>
      <c r="Y18" s="208" t="str">
        <f t="shared" si="21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2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3"/>
        <v/>
      </c>
      <c r="AR18" s="208" t="str">
        <f t="shared" si="14"/>
        <v/>
      </c>
      <c r="AS18" s="208" t="str">
        <f t="shared" si="24"/>
        <v/>
      </c>
      <c r="AV18" s="208" t="b">
        <f t="shared" si="25"/>
        <v>0</v>
      </c>
      <c r="AW18" s="208" t="b">
        <f t="shared" si="26"/>
        <v>0</v>
      </c>
      <c r="BA18" s="208" t="b">
        <f t="shared" si="27"/>
        <v>0</v>
      </c>
      <c r="BB18" s="208" t="b">
        <f t="shared" si="15"/>
        <v>0</v>
      </c>
      <c r="BC18" s="209" t="b">
        <f t="shared" si="28"/>
        <v>0</v>
      </c>
      <c r="BD18" s="208">
        <f t="shared" si="29"/>
        <v>0</v>
      </c>
      <c r="BF18" s="208" t="b">
        <f t="shared" si="30"/>
        <v>0</v>
      </c>
      <c r="BH18" s="209" t="b">
        <f t="shared" si="31"/>
        <v>0</v>
      </c>
      <c r="BI18" s="209" t="b">
        <f t="shared" si="32"/>
        <v>0</v>
      </c>
      <c r="BK18" s="208" t="b">
        <f t="shared" si="16"/>
        <v>0</v>
      </c>
      <c r="BL18" s="208" t="b">
        <f t="shared" si="33"/>
        <v>0</v>
      </c>
      <c r="BM18" s="208" t="b">
        <f t="shared" si="34"/>
        <v>0</v>
      </c>
    </row>
    <row r="19" spans="1:6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7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0"/>
        <v/>
      </c>
      <c r="X19" s="208" t="str">
        <f t="shared" si="6"/>
        <v/>
      </c>
      <c r="Y19" s="208" t="str">
        <f t="shared" si="21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2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3"/>
        <v/>
      </c>
      <c r="AR19" s="208" t="str">
        <f t="shared" si="14"/>
        <v/>
      </c>
      <c r="AS19" s="208" t="str">
        <f t="shared" si="24"/>
        <v/>
      </c>
      <c r="AV19" s="208" t="b">
        <f t="shared" si="25"/>
        <v>0</v>
      </c>
      <c r="AW19" s="208" t="b">
        <f t="shared" si="26"/>
        <v>0</v>
      </c>
      <c r="BA19" s="208" t="b">
        <f t="shared" si="27"/>
        <v>0</v>
      </c>
      <c r="BB19" s="208" t="b">
        <f t="shared" si="15"/>
        <v>0</v>
      </c>
      <c r="BC19" s="209" t="b">
        <f t="shared" si="28"/>
        <v>0</v>
      </c>
      <c r="BD19" s="208">
        <f t="shared" si="29"/>
        <v>0</v>
      </c>
      <c r="BF19" s="208" t="b">
        <f t="shared" si="30"/>
        <v>0</v>
      </c>
      <c r="BH19" s="209" t="b">
        <f t="shared" si="31"/>
        <v>0</v>
      </c>
      <c r="BI19" s="209" t="b">
        <f t="shared" si="32"/>
        <v>0</v>
      </c>
      <c r="BK19" s="208" t="b">
        <f t="shared" si="16"/>
        <v>0</v>
      </c>
      <c r="BL19" s="208" t="b">
        <f t="shared" si="33"/>
        <v>0</v>
      </c>
      <c r="BM19" s="208" t="b">
        <f t="shared" si="34"/>
        <v>0</v>
      </c>
    </row>
    <row r="20" spans="1:6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7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0"/>
        <v/>
      </c>
      <c r="X20" s="208" t="str">
        <f t="shared" si="6"/>
        <v/>
      </c>
      <c r="Y20" s="208" t="str">
        <f t="shared" si="21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2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3"/>
        <v/>
      </c>
      <c r="AR20" s="208" t="str">
        <f t="shared" si="14"/>
        <v/>
      </c>
      <c r="AS20" s="208" t="str">
        <f t="shared" si="24"/>
        <v/>
      </c>
      <c r="AV20" s="208" t="b">
        <f t="shared" si="25"/>
        <v>0</v>
      </c>
      <c r="AW20" s="208" t="b">
        <f t="shared" si="26"/>
        <v>0</v>
      </c>
      <c r="BA20" s="208" t="b">
        <f t="shared" si="27"/>
        <v>0</v>
      </c>
      <c r="BB20" s="208" t="b">
        <f t="shared" si="15"/>
        <v>0</v>
      </c>
      <c r="BC20" s="209" t="b">
        <f t="shared" si="28"/>
        <v>0</v>
      </c>
      <c r="BD20" s="208">
        <f t="shared" si="29"/>
        <v>0</v>
      </c>
      <c r="BF20" s="208" t="b">
        <f t="shared" si="30"/>
        <v>0</v>
      </c>
      <c r="BH20" s="209" t="b">
        <f t="shared" si="31"/>
        <v>0</v>
      </c>
      <c r="BI20" s="209" t="b">
        <f t="shared" si="32"/>
        <v>0</v>
      </c>
      <c r="BK20" s="208" t="b">
        <f t="shared" si="16"/>
        <v>0</v>
      </c>
      <c r="BL20" s="208" t="b">
        <f t="shared" si="33"/>
        <v>0</v>
      </c>
      <c r="BM20" s="208" t="b">
        <f t="shared" si="34"/>
        <v>0</v>
      </c>
    </row>
    <row r="21" spans="1:6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7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0"/>
        <v/>
      </c>
      <c r="X21" s="208" t="str">
        <f t="shared" si="6"/>
        <v/>
      </c>
      <c r="Y21" s="208" t="str">
        <f t="shared" si="21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2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3"/>
        <v/>
      </c>
      <c r="AR21" s="208" t="str">
        <f t="shared" si="14"/>
        <v/>
      </c>
      <c r="AS21" s="208" t="str">
        <f t="shared" si="24"/>
        <v/>
      </c>
      <c r="AV21" s="208" t="b">
        <f t="shared" si="25"/>
        <v>0</v>
      </c>
      <c r="AW21" s="208" t="b">
        <f t="shared" si="26"/>
        <v>0</v>
      </c>
      <c r="BA21" s="208" t="b">
        <f t="shared" si="27"/>
        <v>0</v>
      </c>
      <c r="BB21" s="208" t="b">
        <f t="shared" si="15"/>
        <v>0</v>
      </c>
      <c r="BC21" s="209" t="b">
        <f t="shared" si="28"/>
        <v>0</v>
      </c>
      <c r="BD21" s="208">
        <f t="shared" si="29"/>
        <v>0</v>
      </c>
      <c r="BF21" s="208" t="b">
        <f t="shared" si="30"/>
        <v>0</v>
      </c>
      <c r="BH21" s="209" t="b">
        <f t="shared" si="31"/>
        <v>0</v>
      </c>
      <c r="BI21" s="209" t="b">
        <f t="shared" si="32"/>
        <v>0</v>
      </c>
      <c r="BK21" s="208" t="b">
        <f t="shared" si="16"/>
        <v>0</v>
      </c>
      <c r="BL21" s="208" t="b">
        <f t="shared" si="33"/>
        <v>0</v>
      </c>
      <c r="BM21" s="208" t="b">
        <f t="shared" si="34"/>
        <v>0</v>
      </c>
    </row>
    <row r="22" spans="1:6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5">E22*G22</f>
        <v>0</v>
      </c>
      <c r="I22" s="208">
        <v>1</v>
      </c>
      <c r="J22" s="208">
        <f t="shared" si="1"/>
        <v>0</v>
      </c>
      <c r="K22" s="208">
        <f t="shared" ref="K22:K31" si="36">J22*H22</f>
        <v>0</v>
      </c>
      <c r="L22" s="208"/>
      <c r="M22" s="7">
        <f t="shared" si="17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37">IF(P22&gt;1,O22*J22,0)</f>
        <v>0</v>
      </c>
      <c r="R22" s="208">
        <v>0</v>
      </c>
      <c r="S22" s="208">
        <f t="shared" ref="S22:S31" si="38">IF(P22=2,Q22*0.155,0)</f>
        <v>0</v>
      </c>
      <c r="T22" s="208">
        <f t="shared" ref="T22:T31" si="39">IF(P22=3,Q22*0.05,0)</f>
        <v>0</v>
      </c>
      <c r="U22" s="208">
        <f t="shared" ref="U22:U31" si="40">IF(P22=4,Q22*0.1,0)</f>
        <v>0</v>
      </c>
      <c r="V22" s="208"/>
      <c r="W22" s="208" t="str">
        <f t="shared" si="20"/>
        <v/>
      </c>
      <c r="X22" s="208" t="str">
        <f t="shared" si="6"/>
        <v/>
      </c>
      <c r="Y22" s="208" t="str">
        <f t="shared" si="21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1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3"/>
        <v/>
      </c>
      <c r="AR22" s="208" t="str">
        <f t="shared" si="14"/>
        <v/>
      </c>
      <c r="AS22" s="208" t="str">
        <f t="shared" si="24"/>
        <v/>
      </c>
      <c r="AV22" s="208" t="b">
        <f t="shared" si="25"/>
        <v>0</v>
      </c>
      <c r="AW22" s="208" t="b">
        <f t="shared" si="26"/>
        <v>0</v>
      </c>
      <c r="BA22" s="208" t="b">
        <f t="shared" si="27"/>
        <v>0</v>
      </c>
      <c r="BB22" s="208" t="b">
        <f t="shared" si="15"/>
        <v>0</v>
      </c>
      <c r="BC22" s="209" t="b">
        <f t="shared" si="28"/>
        <v>0</v>
      </c>
      <c r="BD22" s="208">
        <f t="shared" si="29"/>
        <v>0</v>
      </c>
      <c r="BF22" s="208" t="b">
        <f t="shared" si="30"/>
        <v>0</v>
      </c>
      <c r="BH22" s="209" t="b">
        <f t="shared" si="31"/>
        <v>0</v>
      </c>
      <c r="BI22" s="209" t="b">
        <f t="shared" si="32"/>
        <v>0</v>
      </c>
      <c r="BK22" s="208" t="b">
        <f t="shared" si="16"/>
        <v>0</v>
      </c>
      <c r="BL22" s="208" t="b">
        <f t="shared" si="33"/>
        <v>0</v>
      </c>
      <c r="BM22" s="208" t="b">
        <f t="shared" si="34"/>
        <v>0</v>
      </c>
    </row>
    <row r="23" spans="1:6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5"/>
        <v>0</v>
      </c>
      <c r="I23" s="208">
        <v>1</v>
      </c>
      <c r="J23" s="208">
        <f t="shared" si="1"/>
        <v>0</v>
      </c>
      <c r="K23" s="208">
        <f t="shared" si="36"/>
        <v>0</v>
      </c>
      <c r="L23" s="208"/>
      <c r="M23" s="7">
        <f t="shared" si="17"/>
        <v>0</v>
      </c>
      <c r="N23" s="7">
        <f t="shared" si="18"/>
        <v>0</v>
      </c>
      <c r="O23" s="208">
        <v>0</v>
      </c>
      <c r="P23" s="208">
        <v>1</v>
      </c>
      <c r="Q23" s="208">
        <f t="shared" si="37"/>
        <v>0</v>
      </c>
      <c r="R23" s="208">
        <v>0</v>
      </c>
      <c r="S23" s="208">
        <f t="shared" si="38"/>
        <v>0</v>
      </c>
      <c r="T23" s="208">
        <f t="shared" si="39"/>
        <v>0</v>
      </c>
      <c r="U23" s="208">
        <f t="shared" si="40"/>
        <v>0</v>
      </c>
      <c r="V23" s="208"/>
      <c r="W23" s="208" t="str">
        <f t="shared" si="20"/>
        <v/>
      </c>
      <c r="X23" s="208" t="str">
        <f t="shared" si="6"/>
        <v/>
      </c>
      <c r="Y23" s="208" t="str">
        <f t="shared" si="21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1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3"/>
        <v/>
      </c>
      <c r="AR23" s="208" t="str">
        <f t="shared" si="14"/>
        <v/>
      </c>
      <c r="AS23" s="208" t="str">
        <f t="shared" si="24"/>
        <v/>
      </c>
      <c r="AV23" s="208" t="b">
        <f t="shared" si="25"/>
        <v>0</v>
      </c>
      <c r="AW23" s="208" t="b">
        <f t="shared" si="26"/>
        <v>0</v>
      </c>
      <c r="BA23" s="208" t="b">
        <f t="shared" si="27"/>
        <v>0</v>
      </c>
      <c r="BB23" s="208" t="b">
        <f t="shared" si="15"/>
        <v>0</v>
      </c>
      <c r="BC23" s="209" t="b">
        <f t="shared" si="28"/>
        <v>0</v>
      </c>
      <c r="BD23" s="208">
        <f t="shared" si="29"/>
        <v>0</v>
      </c>
      <c r="BF23" s="208" t="b">
        <f t="shared" si="30"/>
        <v>0</v>
      </c>
      <c r="BH23" s="209" t="b">
        <f t="shared" si="31"/>
        <v>0</v>
      </c>
      <c r="BI23" s="209" t="b">
        <f t="shared" si="32"/>
        <v>0</v>
      </c>
      <c r="BK23" s="208" t="b">
        <f t="shared" si="16"/>
        <v>0</v>
      </c>
      <c r="BL23" s="208" t="b">
        <f t="shared" si="33"/>
        <v>0</v>
      </c>
      <c r="BM23" s="208" t="b">
        <f t="shared" si="34"/>
        <v>0</v>
      </c>
    </row>
    <row r="24" spans="1:6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5"/>
        <v>0</v>
      </c>
      <c r="I24" s="208">
        <v>1</v>
      </c>
      <c r="J24" s="208">
        <f t="shared" si="1"/>
        <v>0</v>
      </c>
      <c r="K24" s="208">
        <f t="shared" si="36"/>
        <v>0</v>
      </c>
      <c r="L24" s="208"/>
      <c r="M24" s="7">
        <f t="shared" si="17"/>
        <v>0</v>
      </c>
      <c r="N24" s="7">
        <f t="shared" si="18"/>
        <v>0</v>
      </c>
      <c r="O24" s="208">
        <v>0</v>
      </c>
      <c r="P24" s="208">
        <v>1</v>
      </c>
      <c r="Q24" s="208">
        <f t="shared" si="37"/>
        <v>0</v>
      </c>
      <c r="R24" s="208">
        <v>0</v>
      </c>
      <c r="S24" s="208">
        <f t="shared" si="38"/>
        <v>0</v>
      </c>
      <c r="T24" s="208">
        <f t="shared" si="39"/>
        <v>0</v>
      </c>
      <c r="U24" s="208">
        <f t="shared" si="40"/>
        <v>0</v>
      </c>
      <c r="V24" s="208"/>
      <c r="W24" s="208" t="str">
        <f t="shared" si="20"/>
        <v/>
      </c>
      <c r="X24" s="208" t="str">
        <f t="shared" si="6"/>
        <v/>
      </c>
      <c r="Y24" s="208" t="str">
        <f t="shared" si="21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1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3"/>
        <v/>
      </c>
      <c r="AR24" s="208" t="str">
        <f t="shared" si="14"/>
        <v/>
      </c>
      <c r="AS24" s="208" t="str">
        <f t="shared" si="24"/>
        <v/>
      </c>
      <c r="AV24" s="208" t="b">
        <f t="shared" si="25"/>
        <v>0</v>
      </c>
      <c r="AW24" s="208" t="b">
        <f t="shared" si="26"/>
        <v>0</v>
      </c>
      <c r="BA24" s="208" t="b">
        <f t="shared" si="27"/>
        <v>0</v>
      </c>
      <c r="BB24" s="208" t="b">
        <f t="shared" si="15"/>
        <v>0</v>
      </c>
      <c r="BC24" s="209" t="b">
        <f t="shared" si="28"/>
        <v>0</v>
      </c>
      <c r="BD24" s="208">
        <f t="shared" si="29"/>
        <v>0</v>
      </c>
      <c r="BF24" s="208" t="b">
        <f t="shared" si="30"/>
        <v>0</v>
      </c>
      <c r="BH24" s="209" t="b">
        <f t="shared" si="31"/>
        <v>0</v>
      </c>
      <c r="BI24" s="209" t="b">
        <f t="shared" si="32"/>
        <v>0</v>
      </c>
      <c r="BK24" s="208" t="b">
        <f t="shared" si="16"/>
        <v>0</v>
      </c>
      <c r="BL24" s="208" t="b">
        <f t="shared" si="33"/>
        <v>0</v>
      </c>
      <c r="BM24" s="208" t="b">
        <f t="shared" si="34"/>
        <v>0</v>
      </c>
    </row>
    <row r="25" spans="1:6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5"/>
        <v>0</v>
      </c>
      <c r="I25" s="208">
        <v>1</v>
      </c>
      <c r="J25" s="208">
        <f t="shared" si="1"/>
        <v>0</v>
      </c>
      <c r="K25" s="208">
        <f t="shared" si="36"/>
        <v>0</v>
      </c>
      <c r="L25" s="208"/>
      <c r="M25" s="7">
        <f t="shared" si="17"/>
        <v>0</v>
      </c>
      <c r="N25" s="7">
        <f t="shared" si="18"/>
        <v>0</v>
      </c>
      <c r="O25" s="208">
        <v>0</v>
      </c>
      <c r="P25" s="208">
        <v>1</v>
      </c>
      <c r="Q25" s="208">
        <f t="shared" si="37"/>
        <v>0</v>
      </c>
      <c r="R25" s="208">
        <v>0</v>
      </c>
      <c r="S25" s="208">
        <f t="shared" si="38"/>
        <v>0</v>
      </c>
      <c r="T25" s="208">
        <f t="shared" si="39"/>
        <v>0</v>
      </c>
      <c r="U25" s="208">
        <f t="shared" si="40"/>
        <v>0</v>
      </c>
      <c r="V25" s="208"/>
      <c r="W25" s="208" t="str">
        <f t="shared" si="20"/>
        <v/>
      </c>
      <c r="X25" s="208" t="str">
        <f t="shared" si="6"/>
        <v/>
      </c>
      <c r="Y25" s="208" t="str">
        <f t="shared" si="21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1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3"/>
        <v/>
      </c>
      <c r="AR25" s="208" t="str">
        <f t="shared" si="14"/>
        <v/>
      </c>
      <c r="AS25" s="208" t="str">
        <f t="shared" si="24"/>
        <v/>
      </c>
      <c r="AV25" s="208" t="b">
        <f t="shared" si="25"/>
        <v>0</v>
      </c>
      <c r="AW25" s="208" t="b">
        <f t="shared" si="26"/>
        <v>0</v>
      </c>
      <c r="BA25" s="208" t="b">
        <f t="shared" si="27"/>
        <v>0</v>
      </c>
      <c r="BB25" s="208" t="b">
        <f t="shared" si="15"/>
        <v>0</v>
      </c>
      <c r="BC25" s="209" t="b">
        <f t="shared" si="28"/>
        <v>0</v>
      </c>
      <c r="BD25" s="208">
        <f t="shared" si="29"/>
        <v>0</v>
      </c>
      <c r="BF25" s="208" t="b">
        <f t="shared" si="30"/>
        <v>0</v>
      </c>
      <c r="BH25" s="209" t="b">
        <f t="shared" si="31"/>
        <v>0</v>
      </c>
      <c r="BI25" s="209" t="b">
        <f t="shared" si="32"/>
        <v>0</v>
      </c>
      <c r="BK25" s="208" t="b">
        <f t="shared" si="16"/>
        <v>0</v>
      </c>
      <c r="BL25" s="208" t="b">
        <f t="shared" si="33"/>
        <v>0</v>
      </c>
      <c r="BM25" s="208" t="b">
        <f t="shared" si="34"/>
        <v>0</v>
      </c>
    </row>
    <row r="26" spans="1:6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5"/>
        <v>0</v>
      </c>
      <c r="I26" s="208">
        <v>1</v>
      </c>
      <c r="J26" s="208">
        <f t="shared" si="1"/>
        <v>0</v>
      </c>
      <c r="K26" s="208">
        <f t="shared" si="36"/>
        <v>0</v>
      </c>
      <c r="L26" s="208"/>
      <c r="M26" s="7">
        <f t="shared" si="17"/>
        <v>0</v>
      </c>
      <c r="N26" s="7">
        <f t="shared" si="18"/>
        <v>0</v>
      </c>
      <c r="O26" s="208">
        <v>0</v>
      </c>
      <c r="P26" s="208">
        <v>1</v>
      </c>
      <c r="Q26" s="208">
        <f t="shared" si="37"/>
        <v>0</v>
      </c>
      <c r="R26" s="208">
        <v>0</v>
      </c>
      <c r="S26" s="208">
        <f t="shared" si="38"/>
        <v>0</v>
      </c>
      <c r="T26" s="208">
        <f t="shared" si="39"/>
        <v>0</v>
      </c>
      <c r="U26" s="208">
        <f t="shared" si="40"/>
        <v>0</v>
      </c>
      <c r="V26" s="208"/>
      <c r="W26" s="208" t="str">
        <f t="shared" si="20"/>
        <v/>
      </c>
      <c r="X26" s="208" t="str">
        <f t="shared" si="6"/>
        <v/>
      </c>
      <c r="Y26" s="208" t="str">
        <f t="shared" si="21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1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3"/>
        <v/>
      </c>
      <c r="AR26" s="208" t="str">
        <f t="shared" si="14"/>
        <v/>
      </c>
      <c r="AS26" s="208" t="str">
        <f t="shared" si="24"/>
        <v/>
      </c>
      <c r="AV26" s="208" t="b">
        <f t="shared" si="25"/>
        <v>0</v>
      </c>
      <c r="AW26" s="208" t="b">
        <f t="shared" si="26"/>
        <v>0</v>
      </c>
      <c r="BA26" s="208" t="b">
        <f t="shared" si="27"/>
        <v>0</v>
      </c>
      <c r="BB26" s="208" t="b">
        <f t="shared" si="15"/>
        <v>0</v>
      </c>
      <c r="BC26" s="209" t="b">
        <f t="shared" si="28"/>
        <v>0</v>
      </c>
      <c r="BD26" s="208">
        <f t="shared" si="29"/>
        <v>0</v>
      </c>
      <c r="BF26" s="208" t="b">
        <f t="shared" si="30"/>
        <v>0</v>
      </c>
      <c r="BH26" s="209" t="b">
        <f t="shared" si="31"/>
        <v>0</v>
      </c>
      <c r="BI26" s="209" t="b">
        <f t="shared" si="32"/>
        <v>0</v>
      </c>
      <c r="BK26" s="208" t="b">
        <f t="shared" si="16"/>
        <v>0</v>
      </c>
      <c r="BL26" s="208" t="b">
        <f t="shared" si="33"/>
        <v>0</v>
      </c>
      <c r="BM26" s="208" t="b">
        <f t="shared" si="34"/>
        <v>0</v>
      </c>
    </row>
    <row r="27" spans="1:6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5"/>
        <v>0</v>
      </c>
      <c r="I27" s="208">
        <v>1</v>
      </c>
      <c r="J27" s="208">
        <f t="shared" si="1"/>
        <v>0</v>
      </c>
      <c r="K27" s="208">
        <f t="shared" si="36"/>
        <v>0</v>
      </c>
      <c r="L27" s="208"/>
      <c r="M27" s="7">
        <f t="shared" si="17"/>
        <v>0</v>
      </c>
      <c r="N27" s="7">
        <f t="shared" si="18"/>
        <v>0</v>
      </c>
      <c r="O27" s="208">
        <v>0</v>
      </c>
      <c r="P27" s="208">
        <v>1</v>
      </c>
      <c r="Q27" s="208">
        <f t="shared" si="37"/>
        <v>0</v>
      </c>
      <c r="R27" s="208">
        <v>0</v>
      </c>
      <c r="S27" s="208">
        <f t="shared" si="38"/>
        <v>0</v>
      </c>
      <c r="T27" s="208">
        <f t="shared" si="39"/>
        <v>0</v>
      </c>
      <c r="U27" s="208">
        <f t="shared" si="40"/>
        <v>0</v>
      </c>
      <c r="V27" s="208"/>
      <c r="W27" s="208" t="str">
        <f t="shared" si="20"/>
        <v/>
      </c>
      <c r="X27" s="208" t="str">
        <f t="shared" si="6"/>
        <v/>
      </c>
      <c r="Y27" s="208" t="str">
        <f t="shared" si="21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1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3"/>
        <v/>
      </c>
      <c r="AR27" s="208" t="str">
        <f t="shared" si="14"/>
        <v/>
      </c>
      <c r="AS27" s="208" t="str">
        <f t="shared" si="24"/>
        <v/>
      </c>
      <c r="AV27" s="208" t="b">
        <f t="shared" si="25"/>
        <v>0</v>
      </c>
      <c r="AW27" s="208" t="b">
        <f t="shared" si="26"/>
        <v>0</v>
      </c>
      <c r="BA27" s="208" t="b">
        <f t="shared" si="27"/>
        <v>0</v>
      </c>
      <c r="BB27" s="208" t="b">
        <f t="shared" si="15"/>
        <v>0</v>
      </c>
      <c r="BC27" s="209" t="b">
        <f t="shared" si="28"/>
        <v>0</v>
      </c>
      <c r="BD27" s="208">
        <f t="shared" si="29"/>
        <v>0</v>
      </c>
      <c r="BF27" s="208" t="b">
        <f t="shared" si="30"/>
        <v>0</v>
      </c>
      <c r="BH27" s="209" t="b">
        <f t="shared" si="31"/>
        <v>0</v>
      </c>
      <c r="BI27" s="209" t="b">
        <f t="shared" si="32"/>
        <v>0</v>
      </c>
      <c r="BK27" s="208" t="b">
        <f t="shared" si="16"/>
        <v>0</v>
      </c>
      <c r="BL27" s="208" t="b">
        <f t="shared" si="33"/>
        <v>0</v>
      </c>
      <c r="BM27" s="208" t="b">
        <f t="shared" si="34"/>
        <v>0</v>
      </c>
    </row>
    <row r="28" spans="1:6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5"/>
        <v>0</v>
      </c>
      <c r="I28" s="208">
        <v>1</v>
      </c>
      <c r="J28" s="208">
        <f t="shared" si="1"/>
        <v>0</v>
      </c>
      <c r="K28" s="208">
        <f t="shared" si="36"/>
        <v>0</v>
      </c>
      <c r="L28" s="208"/>
      <c r="M28" s="7">
        <f t="shared" si="17"/>
        <v>0</v>
      </c>
      <c r="N28" s="7">
        <f t="shared" si="18"/>
        <v>0</v>
      </c>
      <c r="O28" s="208">
        <v>0</v>
      </c>
      <c r="P28" s="208">
        <v>1</v>
      </c>
      <c r="Q28" s="208">
        <f t="shared" si="37"/>
        <v>0</v>
      </c>
      <c r="R28" s="208">
        <v>0</v>
      </c>
      <c r="S28" s="208">
        <f t="shared" si="38"/>
        <v>0</v>
      </c>
      <c r="T28" s="208">
        <f t="shared" si="39"/>
        <v>0</v>
      </c>
      <c r="U28" s="208">
        <f t="shared" si="40"/>
        <v>0</v>
      </c>
      <c r="V28" s="208"/>
      <c r="W28" s="208" t="str">
        <f t="shared" si="20"/>
        <v/>
      </c>
      <c r="X28" s="208" t="str">
        <f t="shared" si="6"/>
        <v/>
      </c>
      <c r="Y28" s="208" t="str">
        <f t="shared" si="21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1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3"/>
        <v/>
      </c>
      <c r="AR28" s="208" t="str">
        <f t="shared" si="14"/>
        <v/>
      </c>
      <c r="AS28" s="208" t="str">
        <f t="shared" si="24"/>
        <v/>
      </c>
      <c r="AV28" s="208" t="b">
        <f t="shared" si="25"/>
        <v>0</v>
      </c>
      <c r="AW28" s="208" t="b">
        <f t="shared" si="26"/>
        <v>0</v>
      </c>
      <c r="BA28" s="208" t="b">
        <f t="shared" si="27"/>
        <v>0</v>
      </c>
      <c r="BB28" s="208" t="b">
        <f t="shared" si="15"/>
        <v>0</v>
      </c>
      <c r="BC28" s="209" t="b">
        <f t="shared" si="28"/>
        <v>0</v>
      </c>
      <c r="BD28" s="208">
        <f t="shared" si="29"/>
        <v>0</v>
      </c>
      <c r="BF28" s="208" t="b">
        <f t="shared" si="30"/>
        <v>0</v>
      </c>
      <c r="BH28" s="209" t="b">
        <f t="shared" si="31"/>
        <v>0</v>
      </c>
      <c r="BI28" s="209" t="b">
        <f t="shared" si="32"/>
        <v>0</v>
      </c>
      <c r="BK28" s="208" t="b">
        <f t="shared" si="16"/>
        <v>0</v>
      </c>
      <c r="BL28" s="208" t="b">
        <f t="shared" si="33"/>
        <v>0</v>
      </c>
      <c r="BM28" s="208" t="b">
        <f t="shared" si="34"/>
        <v>0</v>
      </c>
    </row>
    <row r="29" spans="1:6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5"/>
        <v>0</v>
      </c>
      <c r="I29" s="208">
        <v>1</v>
      </c>
      <c r="J29" s="208">
        <f t="shared" si="1"/>
        <v>0</v>
      </c>
      <c r="K29" s="208">
        <f t="shared" si="36"/>
        <v>0</v>
      </c>
      <c r="L29" s="208"/>
      <c r="M29" s="7">
        <f t="shared" si="17"/>
        <v>0</v>
      </c>
      <c r="N29" s="7">
        <f t="shared" si="18"/>
        <v>0</v>
      </c>
      <c r="O29" s="208">
        <v>0</v>
      </c>
      <c r="P29" s="208">
        <v>1</v>
      </c>
      <c r="Q29" s="208">
        <f t="shared" si="37"/>
        <v>0</v>
      </c>
      <c r="R29" s="208">
        <v>0</v>
      </c>
      <c r="S29" s="208">
        <f t="shared" si="38"/>
        <v>0</v>
      </c>
      <c r="T29" s="208">
        <f t="shared" si="39"/>
        <v>0</v>
      </c>
      <c r="U29" s="208">
        <f t="shared" si="40"/>
        <v>0</v>
      </c>
      <c r="V29" s="208"/>
      <c r="W29" s="208" t="str">
        <f t="shared" si="20"/>
        <v/>
      </c>
      <c r="X29" s="208" t="str">
        <f t="shared" si="6"/>
        <v/>
      </c>
      <c r="Y29" s="208" t="str">
        <f t="shared" si="21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1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3"/>
        <v/>
      </c>
      <c r="AR29" s="208" t="str">
        <f t="shared" si="14"/>
        <v/>
      </c>
      <c r="AS29" s="208" t="str">
        <f t="shared" si="24"/>
        <v/>
      </c>
      <c r="AV29" s="208" t="b">
        <f t="shared" si="25"/>
        <v>0</v>
      </c>
      <c r="AW29" s="208" t="b">
        <f t="shared" si="26"/>
        <v>0</v>
      </c>
      <c r="BA29" s="208" t="b">
        <f t="shared" si="27"/>
        <v>0</v>
      </c>
      <c r="BB29" s="208" t="b">
        <f t="shared" si="15"/>
        <v>0</v>
      </c>
      <c r="BC29" s="209" t="b">
        <f t="shared" si="28"/>
        <v>0</v>
      </c>
      <c r="BD29" s="208">
        <f t="shared" si="29"/>
        <v>0</v>
      </c>
      <c r="BF29" s="208" t="b">
        <f t="shared" si="30"/>
        <v>0</v>
      </c>
      <c r="BH29" s="209" t="b">
        <f t="shared" si="31"/>
        <v>0</v>
      </c>
      <c r="BI29" s="209" t="b">
        <f t="shared" si="32"/>
        <v>0</v>
      </c>
      <c r="BK29" s="208" t="b">
        <f t="shared" si="16"/>
        <v>0</v>
      </c>
      <c r="BL29" s="208" t="b">
        <f t="shared" si="33"/>
        <v>0</v>
      </c>
      <c r="BM29" s="208" t="b">
        <f t="shared" si="34"/>
        <v>0</v>
      </c>
    </row>
    <row r="30" spans="1:6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5"/>
        <v>0</v>
      </c>
      <c r="I30" s="208">
        <v>1</v>
      </c>
      <c r="J30" s="208">
        <f t="shared" si="1"/>
        <v>0</v>
      </c>
      <c r="K30" s="208">
        <f t="shared" si="36"/>
        <v>0</v>
      </c>
      <c r="L30" s="208"/>
      <c r="M30" s="7">
        <f t="shared" si="17"/>
        <v>0</v>
      </c>
      <c r="N30" s="7">
        <f t="shared" si="18"/>
        <v>0</v>
      </c>
      <c r="O30" s="208">
        <v>0</v>
      </c>
      <c r="P30" s="208">
        <v>1</v>
      </c>
      <c r="Q30" s="208">
        <f t="shared" si="37"/>
        <v>0</v>
      </c>
      <c r="R30" s="208">
        <v>0</v>
      </c>
      <c r="S30" s="208">
        <f t="shared" si="38"/>
        <v>0</v>
      </c>
      <c r="T30" s="208">
        <f t="shared" si="39"/>
        <v>0</v>
      </c>
      <c r="U30" s="208">
        <f t="shared" si="40"/>
        <v>0</v>
      </c>
      <c r="V30" s="208"/>
      <c r="W30" s="208" t="str">
        <f t="shared" si="20"/>
        <v/>
      </c>
      <c r="X30" s="208" t="str">
        <f t="shared" si="6"/>
        <v/>
      </c>
      <c r="Y30" s="208" t="str">
        <f t="shared" si="21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1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3"/>
        <v/>
      </c>
      <c r="AR30" s="208" t="str">
        <f t="shared" si="14"/>
        <v/>
      </c>
      <c r="AS30" s="208" t="str">
        <f t="shared" si="24"/>
        <v/>
      </c>
      <c r="AV30" s="208" t="b">
        <f t="shared" si="25"/>
        <v>0</v>
      </c>
      <c r="AW30" s="208" t="b">
        <f t="shared" si="26"/>
        <v>0</v>
      </c>
      <c r="BA30" s="208" t="b">
        <f t="shared" si="27"/>
        <v>0</v>
      </c>
      <c r="BB30" s="208" t="b">
        <f t="shared" si="15"/>
        <v>0</v>
      </c>
      <c r="BC30" s="209" t="b">
        <f t="shared" si="28"/>
        <v>0</v>
      </c>
      <c r="BD30" s="208">
        <f t="shared" si="29"/>
        <v>0</v>
      </c>
      <c r="BF30" s="208" t="b">
        <f t="shared" si="30"/>
        <v>0</v>
      </c>
      <c r="BH30" s="209" t="b">
        <f t="shared" si="31"/>
        <v>0</v>
      </c>
      <c r="BI30" s="209" t="b">
        <f t="shared" si="32"/>
        <v>0</v>
      </c>
      <c r="BK30" s="208" t="b">
        <f t="shared" si="16"/>
        <v>0</v>
      </c>
      <c r="BL30" s="208" t="b">
        <f t="shared" si="33"/>
        <v>0</v>
      </c>
      <c r="BM30" s="208" t="b">
        <f t="shared" si="34"/>
        <v>0</v>
      </c>
    </row>
    <row r="31" spans="1:6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5"/>
        <v>0</v>
      </c>
      <c r="I31" s="208">
        <v>1</v>
      </c>
      <c r="J31" s="208">
        <f t="shared" si="1"/>
        <v>0</v>
      </c>
      <c r="K31" s="208">
        <f t="shared" si="36"/>
        <v>0</v>
      </c>
      <c r="L31" s="208"/>
      <c r="M31" s="7">
        <f t="shared" si="17"/>
        <v>0</v>
      </c>
      <c r="N31" s="7">
        <f t="shared" si="18"/>
        <v>0</v>
      </c>
      <c r="O31" s="208">
        <v>0</v>
      </c>
      <c r="P31" s="208">
        <v>1</v>
      </c>
      <c r="Q31" s="208">
        <f t="shared" si="37"/>
        <v>0</v>
      </c>
      <c r="R31" s="208">
        <v>0</v>
      </c>
      <c r="S31" s="208">
        <f t="shared" si="38"/>
        <v>0</v>
      </c>
      <c r="T31" s="208">
        <f t="shared" si="39"/>
        <v>0</v>
      </c>
      <c r="U31" s="208">
        <f t="shared" si="40"/>
        <v>0</v>
      </c>
      <c r="V31" s="208"/>
      <c r="W31" s="208" t="str">
        <f t="shared" si="20"/>
        <v/>
      </c>
      <c r="X31" s="208" t="str">
        <f t="shared" si="6"/>
        <v/>
      </c>
      <c r="Y31" s="208" t="str">
        <f t="shared" si="21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1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3"/>
        <v/>
      </c>
      <c r="AR31" s="208" t="str">
        <f t="shared" si="14"/>
        <v/>
      </c>
      <c r="AS31" s="208" t="str">
        <f t="shared" si="24"/>
        <v/>
      </c>
      <c r="AV31" s="208" t="b">
        <f t="shared" si="25"/>
        <v>0</v>
      </c>
      <c r="AW31" s="208" t="b">
        <f t="shared" si="26"/>
        <v>0</v>
      </c>
      <c r="BA31" s="208" t="b">
        <f t="shared" si="27"/>
        <v>0</v>
      </c>
      <c r="BB31" s="208" t="b">
        <f t="shared" si="15"/>
        <v>0</v>
      </c>
      <c r="BC31" s="209" t="b">
        <f t="shared" si="28"/>
        <v>0</v>
      </c>
      <c r="BD31" s="208">
        <f t="shared" si="29"/>
        <v>0</v>
      </c>
      <c r="BF31" s="208" t="b">
        <f t="shared" si="30"/>
        <v>0</v>
      </c>
      <c r="BH31" s="209" t="b">
        <f t="shared" si="31"/>
        <v>0</v>
      </c>
      <c r="BI31" s="209" t="b">
        <f t="shared" si="32"/>
        <v>0</v>
      </c>
      <c r="BK31" s="208" t="b">
        <f t="shared" si="16"/>
        <v>0</v>
      </c>
      <c r="BL31" s="208" t="b">
        <f t="shared" si="33"/>
        <v>0</v>
      </c>
      <c r="BM31" s="208" t="b">
        <f t="shared" si="34"/>
        <v>0</v>
      </c>
    </row>
    <row r="32" spans="1:6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F22" sqref="F22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4552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4553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4554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4555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4556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4557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4558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4559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4560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4561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4562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4563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4564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5438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4565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4566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5437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4567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4568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4569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4570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4571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4572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4573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4574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4575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1</v>
      </c>
      <c r="D2" s="208" t="s">
        <v>5393</v>
      </c>
      <c r="E2" s="209" t="s">
        <v>2780</v>
      </c>
      <c r="G2" s="209" t="s">
        <v>3525</v>
      </c>
      <c r="H2" s="352" t="s">
        <v>3518</v>
      </c>
      <c r="I2" s="352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2" t="s">
        <v>3522</v>
      </c>
      <c r="I3" s="372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3" t="s">
        <v>3530</v>
      </c>
      <c r="Q3" s="413" t="s">
        <v>3522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90" t="s">
        <v>3521</v>
      </c>
      <c r="I4" s="690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92" t="s">
        <v>3530</v>
      </c>
      <c r="Q4" s="692" t="s">
        <v>3521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60" t="s">
        <v>3519</v>
      </c>
      <c r="I5" s="660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61" t="s">
        <v>3530</v>
      </c>
      <c r="Q5" s="661" t="s">
        <v>3519</v>
      </c>
      <c r="R5" s="661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91" t="s">
        <v>3520</v>
      </c>
      <c r="I6" s="691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704" t="s">
        <v>3530</v>
      </c>
      <c r="Q6" s="704" t="s">
        <v>3520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23" t="s">
        <v>3523</v>
      </c>
      <c r="I7" s="723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24" t="s">
        <v>3530</v>
      </c>
      <c r="Q7" s="724" t="s">
        <v>3523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3" t="s">
        <v>89</v>
      </c>
      <c r="I8" s="353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70" t="s">
        <v>3530</v>
      </c>
      <c r="Q8" s="370" t="s">
        <v>3526</v>
      </c>
      <c r="R8" s="370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4" t="s">
        <v>3524</v>
      </c>
      <c r="I9" s="354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71" t="s">
        <v>3530</v>
      </c>
      <c r="Q9" s="371" t="s">
        <v>3524</v>
      </c>
      <c r="R9" s="371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19" t="s">
        <v>4532</v>
      </c>
      <c r="I10" s="519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20" t="s">
        <v>3514</v>
      </c>
      <c r="I11" s="520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21" t="s">
        <v>3515</v>
      </c>
      <c r="I12" s="521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7" t="s">
        <v>178</v>
      </c>
      <c r="B2" s="218">
        <v>1</v>
      </c>
      <c r="C2" s="417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4084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4958</v>
      </c>
    </row>
    <row r="4" spans="1:21" ht="15" x14ac:dyDescent="0.25">
      <c r="A4" s="460" t="s">
        <v>4097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4959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4960</v>
      </c>
    </row>
    <row r="8" spans="1:21" x14ac:dyDescent="0.2">
      <c r="A8" s="348" t="s">
        <v>4091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4961</v>
      </c>
    </row>
    <row r="10" spans="1:21" x14ac:dyDescent="0.2">
      <c r="A10" s="348" t="s">
        <v>4092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4962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4963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4964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4965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4966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4967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4968</v>
      </c>
      <c r="S17" s="446"/>
      <c r="U17" s="446"/>
    </row>
    <row r="18" spans="1:21" x14ac:dyDescent="0.2">
      <c r="A18" s="348" t="s">
        <v>4093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4094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4278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4969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4970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4774</v>
      </c>
      <c r="B1" s="571" t="s">
        <v>4101</v>
      </c>
      <c r="O1" s="465" t="s">
        <v>4086</v>
      </c>
      <c r="P1" s="571" t="s">
        <v>4776</v>
      </c>
      <c r="AG1" s="467"/>
      <c r="AH1" s="464"/>
      <c r="AI1" s="467"/>
    </row>
    <row r="2" spans="1:35" x14ac:dyDescent="0.2">
      <c r="B2" s="466" t="s">
        <v>4081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4100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4775</v>
      </c>
      <c r="B43" s="571" t="s">
        <v>4102</v>
      </c>
      <c r="O43" s="465" t="s">
        <v>4087</v>
      </c>
      <c r="P43" s="571" t="s">
        <v>4777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815" t="str">
        <f t="shared" si="0"/>
        <v>strSql = strSql &amp; "DECLARE @bd AS int" &amp; vbNewLine</v>
      </c>
    </row>
    <row r="5" spans="1:2" ht="15" x14ac:dyDescent="0.25">
      <c r="A5" t="s">
        <v>5336</v>
      </c>
      <c r="B5" s="815" t="str">
        <f t="shared" si="0"/>
        <v>strSql = strSql &amp; "DECLARE @weightKg AS int" &amp; vbNewLine</v>
      </c>
    </row>
    <row r="6" spans="1:2" ht="15" x14ac:dyDescent="0.25">
      <c r="A6" t="s">
        <v>5337</v>
      </c>
      <c r="B6" s="815" t="str">
        <f t="shared" si="0"/>
        <v>strSql = strSql &amp; "DECLARE @weightGr AS int" &amp; vbNewLine</v>
      </c>
    </row>
    <row r="7" spans="1:2" ht="15" x14ac:dyDescent="0.25">
      <c r="A7" t="s">
        <v>5338</v>
      </c>
      <c r="B7" s="815" t="str">
        <f t="shared" si="0"/>
        <v>strSql = strSql &amp; "DECLARE @bwGr AS int" &amp; vbNewLine</v>
      </c>
    </row>
    <row r="8" spans="1:2" ht="15" x14ac:dyDescent="0.25">
      <c r="A8" t="s">
        <v>5339</v>
      </c>
      <c r="B8" s="815" t="str">
        <f t="shared" si="0"/>
        <v>strSql = strSql &amp; "DECLARE @length AS int" &amp; vbNewLine</v>
      </c>
    </row>
    <row r="9" spans="1:2" ht="15" x14ac:dyDescent="0.25">
      <c r="A9" t="s">
        <v>5359</v>
      </c>
      <c r="B9" s="815" t="str">
        <f t="shared" si="0"/>
        <v>strSql = strSql &amp; "DECLARE @gesl AS int" &amp; vbNewLine</v>
      </c>
    </row>
    <row r="10" spans="1:2" ht="15" x14ac:dyDescent="0.25">
      <c r="A10" t="s">
        <v>5340</v>
      </c>
      <c r="B10" s="815" t="str">
        <f t="shared" si="0"/>
        <v>strSql = strSql &amp; "DECLARE @adD AS int" &amp; vbNewLine</v>
      </c>
    </row>
    <row r="11" spans="1:2" ht="15" x14ac:dyDescent="0.25">
      <c r="A11" t="s">
        <v>5341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5342</v>
      </c>
      <c r="B13" s="815" t="str">
        <f t="shared" si="0"/>
        <v>strSql = strSql &amp; "SET @bd = 5372" &amp; vbNewLine</v>
      </c>
    </row>
    <row r="14" spans="1:2" ht="15" x14ac:dyDescent="0.25">
      <c r="A14" t="s">
        <v>5343</v>
      </c>
      <c r="B14" s="815" t="str">
        <f t="shared" si="0"/>
        <v>strSql = strSql &amp; "SET @weightKg = 8365" &amp; vbNewLine</v>
      </c>
    </row>
    <row r="15" spans="1:2" ht="15" x14ac:dyDescent="0.25">
      <c r="A15" t="s">
        <v>5344</v>
      </c>
      <c r="B15" s="815" t="str">
        <f t="shared" si="0"/>
        <v>strSql = strSql &amp; "SET @weightGr = 8456" &amp; vbNewLine</v>
      </c>
    </row>
    <row r="16" spans="1:2" ht="15" x14ac:dyDescent="0.25">
      <c r="A16" t="s">
        <v>5345</v>
      </c>
      <c r="B16" s="815" t="str">
        <f t="shared" si="0"/>
        <v>strSql = strSql &amp; "SET @bwGr = 7734" &amp; vbNewLine</v>
      </c>
    </row>
    <row r="17" spans="1:2" ht="15" x14ac:dyDescent="0.25">
      <c r="A17" t="s">
        <v>5346</v>
      </c>
      <c r="B17" s="815" t="str">
        <f t="shared" si="0"/>
        <v>strSql = strSql &amp; "SET @adD = 10213" &amp; vbNewLine</v>
      </c>
    </row>
    <row r="18" spans="1:2" ht="15" x14ac:dyDescent="0.25">
      <c r="A18" t="s">
        <v>5347</v>
      </c>
      <c r="B18" s="815" t="str">
        <f t="shared" si="0"/>
        <v>strSql = strSql &amp; "SET @adW = 10214" &amp; vbNewLine</v>
      </c>
    </row>
    <row r="19" spans="1:2" ht="15" x14ac:dyDescent="0.25">
      <c r="A19" t="s">
        <v>5348</v>
      </c>
      <c r="B19" s="815" t="str">
        <f t="shared" si="0"/>
        <v>strSql = strSql &amp; "SET @length = 9505" &amp; vbNewLine</v>
      </c>
    </row>
    <row r="20" spans="1:2" ht="15" x14ac:dyDescent="0.25">
      <c r="A20" t="s">
        <v>5360</v>
      </c>
      <c r="B20" s="815" t="str">
        <f t="shared" si="0"/>
        <v>strSql = strSql &amp; "SET @gesl = 5373" &amp; vbNewLine</v>
      </c>
    </row>
    <row r="21" spans="1:2" ht="15" x14ac:dyDescent="0.25">
      <c r="A21" t="s">
        <v>5436</v>
      </c>
      <c r="B21" s="815" t="str">
        <f t="shared" si="0"/>
        <v>strSql = strSql &amp; "SET @Bed = 'H2.01.03'" &amp; vbNewLine</v>
      </c>
    </row>
    <row r="22" spans="1:2" ht="15" x14ac:dyDescent="0.25">
      <c r="A22" t="s">
        <v>5349</v>
      </c>
      <c r="B22" s="815" t="str">
        <f t="shared" si="0"/>
        <v>strSql = strSql &amp; "SELECT DISTINCT" &amp; vbNewLine</v>
      </c>
    </row>
    <row r="23" spans="1:2" ht="15" x14ac:dyDescent="0.25">
      <c r="A23" t="s">
        <v>5361</v>
      </c>
      <c r="B23" s="815" t="str">
        <f t="shared" si="0"/>
        <v>strSql = strSql &amp; "pl.PatientID" &amp; vbNewLine</v>
      </c>
    </row>
    <row r="24" spans="1:2" ht="15" x14ac:dyDescent="0.25">
      <c r="A24" t="s">
        <v>5362</v>
      </c>
      <c r="B24" s="815" t="str">
        <f t="shared" si="0"/>
        <v>strSql = strSql &amp; ", pl.HospitalNumber" &amp; vbNewLine</v>
      </c>
    </row>
    <row r="25" spans="1:2" ht="15" x14ac:dyDescent="0.25">
      <c r="A25" t="s">
        <v>5363</v>
      </c>
      <c r="B25" s="815" t="str">
        <f t="shared" si="0"/>
        <v>strSql = strSql &amp; ", pl.LastName" &amp; vbNewLine</v>
      </c>
    </row>
    <row r="26" spans="1:2" ht="15" x14ac:dyDescent="0.25">
      <c r="A26" t="s">
        <v>5364</v>
      </c>
      <c r="B26" s="815" t="str">
        <f t="shared" si="0"/>
        <v>strSql = strSql &amp; ", pl.FirstName" &amp; vbNewLine</v>
      </c>
    </row>
    <row r="27" spans="1:2" ht="15" x14ac:dyDescent="0.25">
      <c r="A27" t="s">
        <v>5365</v>
      </c>
      <c r="B27" s="815" t="str">
        <f t="shared" si="0"/>
        <v>strSql = strSql &amp; ", dts.value BirthDate" &amp; vbNewLine</v>
      </c>
    </row>
    <row r="28" spans="1:2" ht="15" x14ac:dyDescent="0.25">
      <c r="A28" t="s">
        <v>5366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815" t="str">
        <f t="shared" si="0"/>
        <v>strSql = strSql &amp; "   FROM Signals s " &amp; vbNewLine</v>
      </c>
    </row>
    <row r="30" spans="1:2" ht="15" x14ac:dyDescent="0.25">
      <c r="A30" t="s">
        <v>5368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5367</v>
      </c>
      <c r="B33" s="815" t="str">
        <f t="shared" si="0"/>
        <v>strSql = strSql &amp; "   FROM Signals s " &amp; vbNewLine</v>
      </c>
    </row>
    <row r="34" spans="1:2" ht="15" x14ac:dyDescent="0.25">
      <c r="A34" t="s">
        <v>5371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815" t="str">
        <f t="shared" si="0"/>
        <v>strSql = strSql &amp; "   FROM Signals s " &amp; vbNewLine</v>
      </c>
    </row>
    <row r="38" spans="1:2" ht="15" x14ac:dyDescent="0.25">
      <c r="A38" t="s">
        <v>5374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5367</v>
      </c>
      <c r="B41" s="815" t="str">
        <f t="shared" si="0"/>
        <v>strSql = strSql &amp; "   FROM Signals s " &amp; vbNewLine</v>
      </c>
    </row>
    <row r="42" spans="1:2" ht="15" x14ac:dyDescent="0.25">
      <c r="A42" t="s">
        <v>5376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815" t="str">
        <f t="shared" si="0"/>
        <v>strSql = strSql &amp; "   FROM Signals s " &amp; vbNewLine</v>
      </c>
    </row>
    <row r="46" spans="1:2" ht="15" x14ac:dyDescent="0.25">
      <c r="A46" t="s">
        <v>5379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815" t="str">
        <f t="shared" si="0"/>
        <v>strSql = strSql &amp; ", (SELECT TOP 1 pt.Text " &amp; vbNewLine</v>
      </c>
    </row>
    <row r="50" spans="1:2" ht="15" x14ac:dyDescent="0.25">
      <c r="A50" t="s">
        <v>5383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815" t="str">
        <f t="shared" si="0"/>
        <v>strSql = strSql &amp; ", lu.Name Department" &amp; vbNewLine</v>
      </c>
    </row>
    <row r="56" spans="1:2" ht="15" x14ac:dyDescent="0.25">
      <c r="A56" t="s">
        <v>5389</v>
      </c>
      <c r="B56" s="815" t="str">
        <f t="shared" si="0"/>
        <v>strSql = strSql &amp; ", b.BedName" &amp; vbNewLine</v>
      </c>
    </row>
    <row r="57" spans="1:2" ht="15" x14ac:dyDescent="0.25">
      <c r="A57" t="s">
        <v>5390</v>
      </c>
      <c r="B57" s="815" t="str">
        <f t="shared" si="0"/>
        <v>strSql = strSql &amp; ", pl.LocationFromTime" &amp; vbNewLine</v>
      </c>
    </row>
    <row r="58" spans="1:2" ht="15" x14ac:dyDescent="0.25">
      <c r="A58" t="s">
        <v>5350</v>
      </c>
      <c r="B58" s="815" t="str">
        <f t="shared" si="0"/>
        <v>strSql = strSql &amp; "FROM PatientLogs pl" &amp; vbNewLine</v>
      </c>
    </row>
    <row r="59" spans="1:2" ht="15" x14ac:dyDescent="0.25">
      <c r="A59" t="s">
        <v>5351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815" t="str">
        <f t="shared" si="0"/>
        <v>strSql = strSql &amp; "WHERE " &amp; vbNewLine</v>
      </c>
    </row>
    <row r="63" spans="1:2" ht="15" x14ac:dyDescent="0.25">
      <c r="A63" t="s">
        <v>5355</v>
      </c>
      <c r="B63" s="815" t="str">
        <f t="shared" si="0"/>
        <v>strSql = strSql &amp; "dts.ParameterID = @bd" &amp; vbNewLine</v>
      </c>
    </row>
    <row r="64" spans="1:2" ht="15" x14ac:dyDescent="0.25">
      <c r="A64" t="s">
        <v>5356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41535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5244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5244</v>
      </c>
      <c r="D101" s="350" t="s">
        <v>5245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5244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5244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5244</v>
      </c>
      <c r="D104" s="350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5244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5245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5246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5247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47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47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47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47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47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47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47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47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47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47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47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47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51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816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816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816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816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816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816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816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816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816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816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816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816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816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816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47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42996</v>
      </c>
    </row>
    <row r="16" spans="1:7" x14ac:dyDescent="0.2">
      <c r="A16" t="s">
        <v>353</v>
      </c>
      <c r="B16" s="98">
        <v>42989.814062500001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18-sep-2017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54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41535)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18-sep-2017</v>
      </c>
      <c r="F2" s="665"/>
      <c r="G2" s="666"/>
      <c r="H2" s="664" t="s">
        <v>3496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3497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3493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3327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3321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1">
        <f>PedBerMedIV!C29</f>
        <v>0</v>
      </c>
      <c r="G31" s="822"/>
      <c r="H31" s="822"/>
      <c r="I31" s="822"/>
      <c r="J31" s="822"/>
      <c r="K31" s="822"/>
      <c r="L31" s="822"/>
      <c r="M31" s="822"/>
      <c r="N31" s="822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2"/>
      <c r="G32" s="822"/>
      <c r="H32" s="822"/>
      <c r="I32" s="822"/>
      <c r="J32" s="822"/>
      <c r="K32" s="822"/>
      <c r="L32" s="822"/>
      <c r="M32" s="822"/>
      <c r="N32" s="822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2"/>
      <c r="G33" s="822"/>
      <c r="H33" s="822"/>
      <c r="I33" s="822"/>
      <c r="J33" s="822"/>
      <c r="K33" s="822"/>
      <c r="L33" s="822"/>
      <c r="M33" s="822"/>
      <c r="N33" s="822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4811</v>
      </c>
      <c r="F35" s="726" t="s">
        <v>86</v>
      </c>
      <c r="G35" s="726"/>
      <c r="H35" s="726" t="s">
        <v>433</v>
      </c>
      <c r="I35" s="726"/>
      <c r="J35" s="726" t="s">
        <v>4811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30" customFormat="1" x14ac:dyDescent="0.2">
      <c r="A2" s="253" t="s">
        <v>4120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7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08" t="b">
        <f t="shared" ref="Z5:Z19" si="12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3">IF(AND($C5&gt;1,$H5&gt;0,$I5&gt;0),($H5/$I5)&lt;INDEX(Tbl_Ped_MedContIV,$C5,AB$2),FALSE)</f>
        <v>0</v>
      </c>
      <c r="AC5" s="208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4">IF(C6&gt;1,IF(D6&gt;0,D6,INDEX(Tbl_Ped_MedContIV,C6,H$2)),"")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5">Q6</f>
        <v>0</v>
      </c>
      <c r="S6">
        <f t="shared" ref="S6:S25" si="26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si="10"/>
        <v>0</v>
      </c>
      <c r="Y6" s="208" t="b">
        <f t="shared" si="11"/>
        <v>0</v>
      </c>
      <c r="Z6" s="208" t="b">
        <f t="shared" si="12"/>
        <v>0</v>
      </c>
      <c r="AA6" s="208" t="b">
        <f t="shared" ref="AA6:AA19" si="27">OR(AB6,AC6)</f>
        <v>0</v>
      </c>
      <c r="AB6" s="208" t="b">
        <f t="shared" si="13"/>
        <v>0</v>
      </c>
      <c r="AC6" s="208" t="b">
        <f t="shared" si="14"/>
        <v>0</v>
      </c>
      <c r="AD6" s="208" t="str">
        <f t="shared" si="15"/>
        <v/>
      </c>
      <c r="AE6" s="208" t="str">
        <f t="shared" ref="AE6:AE19" si="28">IF(NOT(OR(X6,Y6,Z6)),"","stand")</f>
        <v/>
      </c>
      <c r="AF6" s="208" t="str">
        <f t="shared" si="16"/>
        <v/>
      </c>
      <c r="AG6" s="208" t="str">
        <f t="shared" si="17"/>
        <v/>
      </c>
      <c r="AH6" s="208" t="str">
        <f t="shared" si="18"/>
        <v/>
      </c>
      <c r="AI6" s="208" t="str">
        <f t="shared" si="19"/>
        <v/>
      </c>
      <c r="AJ6" s="208" t="str">
        <f t="shared" si="20"/>
        <v/>
      </c>
      <c r="AK6" s="208" t="str">
        <f t="shared" ref="AK6:AK19" si="29">IF(AND(C6&gt;1,J6&lt;&gt;""),J6*1,"")</f>
        <v/>
      </c>
      <c r="AL6" s="208" t="str">
        <f t="shared" si="21"/>
        <v/>
      </c>
      <c r="AM6" s="208" t="str">
        <f t="shared" si="22"/>
        <v/>
      </c>
      <c r="AN6" s="208" t="str">
        <f t="shared" si="23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4"/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5"/>
        <v>0</v>
      </c>
      <c r="S7">
        <f t="shared" si="26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10"/>
        <v>0</v>
      </c>
      <c r="Y7" s="208" t="b">
        <f t="shared" si="11"/>
        <v>0</v>
      </c>
      <c r="Z7" s="208" t="b">
        <f t="shared" si="12"/>
        <v>0</v>
      </c>
      <c r="AA7" s="208" t="b">
        <f t="shared" si="27"/>
        <v>0</v>
      </c>
      <c r="AB7" s="208" t="b">
        <f t="shared" si="13"/>
        <v>0</v>
      </c>
      <c r="AC7" s="208" t="b">
        <f t="shared" si="14"/>
        <v>0</v>
      </c>
      <c r="AD7" s="208" t="str">
        <f t="shared" si="15"/>
        <v/>
      </c>
      <c r="AE7" s="208" t="str">
        <f t="shared" si="28"/>
        <v/>
      </c>
      <c r="AF7" s="208" t="str">
        <f t="shared" si="16"/>
        <v/>
      </c>
      <c r="AG7" s="208" t="str">
        <f t="shared" si="17"/>
        <v/>
      </c>
      <c r="AH7" s="208" t="str">
        <f t="shared" si="18"/>
        <v/>
      </c>
      <c r="AI7" s="208" t="str">
        <f t="shared" si="19"/>
        <v/>
      </c>
      <c r="AJ7" s="208" t="str">
        <f t="shared" si="20"/>
        <v/>
      </c>
      <c r="AK7" s="208" t="str">
        <f t="shared" si="29"/>
        <v/>
      </c>
      <c r="AL7" s="208" t="str">
        <f t="shared" si="21"/>
        <v/>
      </c>
      <c r="AM7" s="208" t="str">
        <f t="shared" si="22"/>
        <v/>
      </c>
      <c r="AN7" s="208" t="str">
        <f t="shared" si="23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4"/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5"/>
        <v>0</v>
      </c>
      <c r="S8">
        <f t="shared" si="26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10"/>
        <v>0</v>
      </c>
      <c r="Y8" s="208" t="b">
        <f t="shared" si="11"/>
        <v>0</v>
      </c>
      <c r="Z8" s="208" t="b">
        <f t="shared" si="12"/>
        <v>0</v>
      </c>
      <c r="AA8" s="208" t="b">
        <f t="shared" si="27"/>
        <v>0</v>
      </c>
      <c r="AB8" s="208" t="b">
        <f t="shared" si="13"/>
        <v>0</v>
      </c>
      <c r="AC8" s="208" t="b">
        <f t="shared" si="14"/>
        <v>0</v>
      </c>
      <c r="AD8" s="208" t="str">
        <f t="shared" si="15"/>
        <v/>
      </c>
      <c r="AE8" s="208" t="str">
        <f t="shared" si="28"/>
        <v/>
      </c>
      <c r="AF8" s="208" t="str">
        <f t="shared" si="16"/>
        <v/>
      </c>
      <c r="AG8" s="208" t="str">
        <f t="shared" si="17"/>
        <v/>
      </c>
      <c r="AH8" s="208" t="str">
        <f t="shared" si="18"/>
        <v/>
      </c>
      <c r="AI8" s="208" t="str">
        <f t="shared" si="19"/>
        <v/>
      </c>
      <c r="AJ8" s="208" t="str">
        <f t="shared" si="20"/>
        <v/>
      </c>
      <c r="AK8" s="208" t="str">
        <f t="shared" si="29"/>
        <v/>
      </c>
      <c r="AL8" s="208" t="str">
        <f t="shared" si="21"/>
        <v/>
      </c>
      <c r="AM8" s="208" t="str">
        <f t="shared" si="22"/>
        <v/>
      </c>
      <c r="AN8" s="208" t="str">
        <f t="shared" si="23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4"/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5"/>
        <v>0</v>
      </c>
      <c r="S9">
        <f t="shared" si="26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10"/>
        <v>0</v>
      </c>
      <c r="Y9" s="208" t="b">
        <f t="shared" si="11"/>
        <v>0</v>
      </c>
      <c r="Z9" s="208" t="b">
        <f t="shared" si="12"/>
        <v>0</v>
      </c>
      <c r="AA9" s="208" t="b">
        <f t="shared" si="27"/>
        <v>0</v>
      </c>
      <c r="AB9" s="208" t="b">
        <f t="shared" si="13"/>
        <v>0</v>
      </c>
      <c r="AC9" s="208" t="b">
        <f t="shared" si="14"/>
        <v>0</v>
      </c>
      <c r="AD9" s="208" t="str">
        <f t="shared" si="15"/>
        <v/>
      </c>
      <c r="AE9" s="208" t="str">
        <f t="shared" si="28"/>
        <v/>
      </c>
      <c r="AF9" s="208" t="str">
        <f t="shared" si="16"/>
        <v/>
      </c>
      <c r="AG9" s="208" t="str">
        <f t="shared" si="17"/>
        <v/>
      </c>
      <c r="AH9" s="208" t="str">
        <f t="shared" si="18"/>
        <v/>
      </c>
      <c r="AI9" s="208" t="str">
        <f t="shared" si="19"/>
        <v/>
      </c>
      <c r="AJ9" s="208" t="str">
        <f t="shared" si="20"/>
        <v/>
      </c>
      <c r="AK9" s="208" t="str">
        <f t="shared" si="29"/>
        <v/>
      </c>
      <c r="AL9" s="208" t="str">
        <f t="shared" si="21"/>
        <v/>
      </c>
      <c r="AM9" s="208" t="str">
        <f t="shared" si="22"/>
        <v/>
      </c>
      <c r="AN9" s="208" t="str">
        <f t="shared" si="23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4"/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5"/>
        <v>0</v>
      </c>
      <c r="S10">
        <f t="shared" si="26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10"/>
        <v>0</v>
      </c>
      <c r="Y10" s="208" t="b">
        <f t="shared" si="11"/>
        <v>0</v>
      </c>
      <c r="Z10" s="208" t="b">
        <f t="shared" si="12"/>
        <v>0</v>
      </c>
      <c r="AA10" s="208" t="b">
        <f t="shared" si="27"/>
        <v>0</v>
      </c>
      <c r="AB10" s="208" t="b">
        <f t="shared" si="13"/>
        <v>0</v>
      </c>
      <c r="AC10" s="208" t="b">
        <f t="shared" si="14"/>
        <v>0</v>
      </c>
      <c r="AD10" s="208" t="str">
        <f t="shared" si="15"/>
        <v/>
      </c>
      <c r="AE10" s="208" t="str">
        <f t="shared" si="28"/>
        <v/>
      </c>
      <c r="AF10" s="208" t="str">
        <f t="shared" si="16"/>
        <v/>
      </c>
      <c r="AG10" s="208" t="str">
        <f t="shared" si="17"/>
        <v/>
      </c>
      <c r="AH10" s="208" t="str">
        <f t="shared" si="18"/>
        <v/>
      </c>
      <c r="AI10" s="208" t="str">
        <f t="shared" si="19"/>
        <v/>
      </c>
      <c r="AJ10" s="208" t="str">
        <f t="shared" si="20"/>
        <v/>
      </c>
      <c r="AK10" s="208" t="str">
        <f t="shared" si="29"/>
        <v/>
      </c>
      <c r="AL10" s="208" t="str">
        <f t="shared" si="21"/>
        <v/>
      </c>
      <c r="AM10" s="208" t="str">
        <f t="shared" si="22"/>
        <v/>
      </c>
      <c r="AN10" s="208" t="str">
        <f t="shared" si="23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4"/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5"/>
        <v>0</v>
      </c>
      <c r="S11">
        <f t="shared" si="26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10"/>
        <v>0</v>
      </c>
      <c r="Y11" s="208" t="b">
        <f t="shared" si="11"/>
        <v>0</v>
      </c>
      <c r="Z11" s="208" t="b">
        <f t="shared" si="12"/>
        <v>0</v>
      </c>
      <c r="AA11" s="208" t="b">
        <f t="shared" si="27"/>
        <v>0</v>
      </c>
      <c r="AB11" s="208" t="b">
        <f t="shared" si="13"/>
        <v>0</v>
      </c>
      <c r="AC11" s="208" t="b">
        <f t="shared" si="14"/>
        <v>0</v>
      </c>
      <c r="AD11" s="208" t="str">
        <f t="shared" si="15"/>
        <v/>
      </c>
      <c r="AE11" s="208" t="str">
        <f t="shared" si="28"/>
        <v/>
      </c>
      <c r="AF11" s="208" t="str">
        <f t="shared" si="16"/>
        <v/>
      </c>
      <c r="AG11" s="208" t="str">
        <f t="shared" si="17"/>
        <v/>
      </c>
      <c r="AH11" s="208" t="str">
        <f t="shared" si="18"/>
        <v/>
      </c>
      <c r="AI11" s="208" t="str">
        <f t="shared" si="19"/>
        <v/>
      </c>
      <c r="AJ11" s="208" t="str">
        <f t="shared" si="20"/>
        <v/>
      </c>
      <c r="AK11" s="208" t="str">
        <f t="shared" si="29"/>
        <v/>
      </c>
      <c r="AL11" s="208" t="str">
        <f t="shared" si="21"/>
        <v/>
      </c>
      <c r="AM11" s="208" t="str">
        <f t="shared" si="22"/>
        <v/>
      </c>
      <c r="AN11" s="208" t="str">
        <f t="shared" si="23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4"/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5"/>
        <v>0</v>
      </c>
      <c r="S12">
        <f t="shared" si="26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10"/>
        <v>0</v>
      </c>
      <c r="Y12" s="208" t="b">
        <f t="shared" si="11"/>
        <v>0</v>
      </c>
      <c r="Z12" s="208" t="b">
        <f t="shared" si="12"/>
        <v>0</v>
      </c>
      <c r="AA12" s="208" t="b">
        <f t="shared" si="27"/>
        <v>0</v>
      </c>
      <c r="AB12" s="208" t="b">
        <f t="shared" si="13"/>
        <v>0</v>
      </c>
      <c r="AC12" s="208" t="b">
        <f t="shared" si="14"/>
        <v>0</v>
      </c>
      <c r="AD12" s="208" t="str">
        <f t="shared" si="15"/>
        <v/>
      </c>
      <c r="AE12" s="208" t="str">
        <f t="shared" si="28"/>
        <v/>
      </c>
      <c r="AF12" s="208" t="str">
        <f t="shared" si="16"/>
        <v/>
      </c>
      <c r="AG12" s="208" t="str">
        <f t="shared" si="17"/>
        <v/>
      </c>
      <c r="AH12" s="208" t="str">
        <f t="shared" si="18"/>
        <v/>
      </c>
      <c r="AI12" s="208" t="str">
        <f t="shared" si="19"/>
        <v/>
      </c>
      <c r="AJ12" s="208" t="str">
        <f t="shared" si="20"/>
        <v/>
      </c>
      <c r="AK12" s="208" t="str">
        <f t="shared" si="29"/>
        <v/>
      </c>
      <c r="AL12" s="208" t="str">
        <f t="shared" si="21"/>
        <v/>
      </c>
      <c r="AM12" s="208" t="str">
        <f t="shared" si="22"/>
        <v/>
      </c>
      <c r="AN12" s="208" t="str">
        <f t="shared" si="23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4"/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5"/>
        <v>0</v>
      </c>
      <c r="S13">
        <f t="shared" si="26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10"/>
        <v>0</v>
      </c>
      <c r="Y13" s="208" t="b">
        <f t="shared" si="11"/>
        <v>0</v>
      </c>
      <c r="Z13" s="208" t="b">
        <f t="shared" si="12"/>
        <v>0</v>
      </c>
      <c r="AA13" s="208" t="b">
        <f t="shared" si="27"/>
        <v>0</v>
      </c>
      <c r="AB13" s="208" t="b">
        <f t="shared" si="13"/>
        <v>0</v>
      </c>
      <c r="AC13" s="208" t="b">
        <f t="shared" si="14"/>
        <v>0</v>
      </c>
      <c r="AD13" s="208" t="str">
        <f t="shared" si="15"/>
        <v/>
      </c>
      <c r="AE13" s="208" t="str">
        <f t="shared" si="28"/>
        <v/>
      </c>
      <c r="AF13" s="208" t="str">
        <f t="shared" si="16"/>
        <v/>
      </c>
      <c r="AG13" s="208" t="str">
        <f t="shared" si="17"/>
        <v/>
      </c>
      <c r="AH13" s="208" t="str">
        <f t="shared" si="18"/>
        <v/>
      </c>
      <c r="AI13" s="208" t="str">
        <f t="shared" si="19"/>
        <v/>
      </c>
      <c r="AJ13" s="208" t="str">
        <f t="shared" si="20"/>
        <v/>
      </c>
      <c r="AK13" s="208" t="str">
        <f t="shared" si="29"/>
        <v/>
      </c>
      <c r="AL13" s="208" t="str">
        <f t="shared" si="21"/>
        <v/>
      </c>
      <c r="AM13" s="208" t="str">
        <f t="shared" si="22"/>
        <v/>
      </c>
      <c r="AN13" s="208" t="str">
        <f t="shared" si="23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4"/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5"/>
        <v>0</v>
      </c>
      <c r="S14">
        <f t="shared" si="26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10"/>
        <v>0</v>
      </c>
      <c r="Y14" s="208" t="b">
        <f t="shared" si="11"/>
        <v>0</v>
      </c>
      <c r="Z14" s="208" t="b">
        <f t="shared" si="12"/>
        <v>0</v>
      </c>
      <c r="AA14" s="208" t="b">
        <f t="shared" si="27"/>
        <v>0</v>
      </c>
      <c r="AB14" s="208" t="b">
        <f t="shared" si="13"/>
        <v>0</v>
      </c>
      <c r="AC14" s="208" t="b">
        <f t="shared" si="14"/>
        <v>0</v>
      </c>
      <c r="AD14" s="208" t="str">
        <f t="shared" si="15"/>
        <v/>
      </c>
      <c r="AE14" s="208" t="str">
        <f t="shared" si="28"/>
        <v/>
      </c>
      <c r="AF14" s="208" t="str">
        <f t="shared" si="16"/>
        <v/>
      </c>
      <c r="AG14" s="208" t="str">
        <f t="shared" si="17"/>
        <v/>
      </c>
      <c r="AH14" s="208" t="str">
        <f t="shared" si="18"/>
        <v/>
      </c>
      <c r="AI14" s="208" t="str">
        <f t="shared" si="19"/>
        <v/>
      </c>
      <c r="AJ14" s="208" t="str">
        <f t="shared" si="20"/>
        <v/>
      </c>
      <c r="AK14" s="208" t="str">
        <f t="shared" si="29"/>
        <v/>
      </c>
      <c r="AL14" s="208" t="str">
        <f t="shared" si="21"/>
        <v/>
      </c>
      <c r="AM14" s="208" t="str">
        <f t="shared" si="22"/>
        <v/>
      </c>
      <c r="AN14" s="208" t="str">
        <f t="shared" si="23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4"/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5"/>
        <v>0</v>
      </c>
      <c r="S15" s="208">
        <f t="shared" si="26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10"/>
        <v>0</v>
      </c>
      <c r="Y15" s="208" t="b">
        <f t="shared" si="11"/>
        <v>0</v>
      </c>
      <c r="Z15" s="208" t="b">
        <f t="shared" si="12"/>
        <v>0</v>
      </c>
      <c r="AA15" s="208" t="b">
        <f t="shared" si="27"/>
        <v>0</v>
      </c>
      <c r="AB15" s="208" t="b">
        <f t="shared" si="13"/>
        <v>0</v>
      </c>
      <c r="AC15" s="208" t="b">
        <f t="shared" si="14"/>
        <v>0</v>
      </c>
      <c r="AD15" s="208" t="str">
        <f t="shared" si="15"/>
        <v/>
      </c>
      <c r="AE15" s="208" t="str">
        <f t="shared" si="28"/>
        <v/>
      </c>
      <c r="AF15" s="208" t="str">
        <f t="shared" si="16"/>
        <v/>
      </c>
      <c r="AG15" s="208" t="str">
        <f t="shared" si="17"/>
        <v/>
      </c>
      <c r="AH15" s="208" t="str">
        <f t="shared" si="18"/>
        <v/>
      </c>
      <c r="AI15" s="208" t="str">
        <f t="shared" si="19"/>
        <v/>
      </c>
      <c r="AJ15" s="208" t="str">
        <f t="shared" si="20"/>
        <v/>
      </c>
      <c r="AK15" s="208" t="str">
        <f t="shared" si="29"/>
        <v/>
      </c>
      <c r="AL15" s="208" t="str">
        <f t="shared" si="21"/>
        <v/>
      </c>
      <c r="AM15" s="208" t="str">
        <f t="shared" si="22"/>
        <v/>
      </c>
      <c r="AN15" s="208" t="str">
        <f t="shared" si="23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4"/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5"/>
        <v>0</v>
      </c>
      <c r="S16" s="208">
        <f t="shared" si="26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10"/>
        <v>0</v>
      </c>
      <c r="Y16" s="208" t="b">
        <f t="shared" si="11"/>
        <v>0</v>
      </c>
      <c r="Z16" s="208" t="b">
        <f t="shared" si="12"/>
        <v>0</v>
      </c>
      <c r="AA16" s="208" t="b">
        <f t="shared" si="27"/>
        <v>0</v>
      </c>
      <c r="AB16" s="208" t="b">
        <f t="shared" si="13"/>
        <v>0</v>
      </c>
      <c r="AC16" s="208" t="b">
        <f t="shared" si="14"/>
        <v>0</v>
      </c>
      <c r="AD16" s="208" t="str">
        <f t="shared" si="15"/>
        <v/>
      </c>
      <c r="AE16" s="208" t="str">
        <f t="shared" si="28"/>
        <v/>
      </c>
      <c r="AF16" s="208" t="str">
        <f t="shared" si="16"/>
        <v/>
      </c>
      <c r="AG16" s="208" t="str">
        <f t="shared" si="17"/>
        <v/>
      </c>
      <c r="AH16" s="208" t="str">
        <f t="shared" si="18"/>
        <v/>
      </c>
      <c r="AI16" s="208" t="str">
        <f t="shared" si="19"/>
        <v/>
      </c>
      <c r="AJ16" s="208" t="str">
        <f t="shared" si="20"/>
        <v/>
      </c>
      <c r="AK16" s="208" t="str">
        <f t="shared" si="29"/>
        <v/>
      </c>
      <c r="AL16" s="208" t="str">
        <f t="shared" si="21"/>
        <v/>
      </c>
      <c r="AM16" s="208" t="str">
        <f t="shared" si="22"/>
        <v/>
      </c>
      <c r="AN16" s="208" t="str">
        <f t="shared" si="23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4"/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5"/>
        <v>0</v>
      </c>
      <c r="S17" s="208">
        <f t="shared" si="26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10"/>
        <v>0</v>
      </c>
      <c r="Y17" s="208" t="b">
        <f t="shared" si="11"/>
        <v>0</v>
      </c>
      <c r="Z17" s="208" t="b">
        <f t="shared" si="12"/>
        <v>0</v>
      </c>
      <c r="AA17" s="208" t="b">
        <f t="shared" si="27"/>
        <v>0</v>
      </c>
      <c r="AB17" s="208" t="b">
        <f t="shared" si="13"/>
        <v>0</v>
      </c>
      <c r="AC17" s="208" t="b">
        <f t="shared" si="14"/>
        <v>0</v>
      </c>
      <c r="AD17" s="208" t="str">
        <f t="shared" si="15"/>
        <v/>
      </c>
      <c r="AE17" s="208" t="str">
        <f t="shared" si="28"/>
        <v/>
      </c>
      <c r="AF17" s="208" t="str">
        <f t="shared" si="16"/>
        <v/>
      </c>
      <c r="AG17" s="208" t="str">
        <f t="shared" si="17"/>
        <v/>
      </c>
      <c r="AH17" s="208" t="str">
        <f t="shared" si="18"/>
        <v/>
      </c>
      <c r="AI17" s="208" t="str">
        <f t="shared" si="19"/>
        <v/>
      </c>
      <c r="AJ17" s="208" t="str">
        <f t="shared" si="20"/>
        <v/>
      </c>
      <c r="AK17" s="208" t="str">
        <f t="shared" si="29"/>
        <v/>
      </c>
      <c r="AL17" s="208" t="str">
        <f t="shared" si="21"/>
        <v/>
      </c>
      <c r="AM17" s="208" t="str">
        <f t="shared" si="22"/>
        <v/>
      </c>
      <c r="AN17" s="208" t="str">
        <f t="shared" si="23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4"/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5"/>
        <v>0</v>
      </c>
      <c r="S18" s="208">
        <f t="shared" si="26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10"/>
        <v>0</v>
      </c>
      <c r="Y18" s="208" t="b">
        <f t="shared" si="11"/>
        <v>0</v>
      </c>
      <c r="Z18" s="208" t="b">
        <f t="shared" si="12"/>
        <v>0</v>
      </c>
      <c r="AA18" s="208" t="b">
        <f t="shared" si="27"/>
        <v>0</v>
      </c>
      <c r="AB18" s="208" t="b">
        <f t="shared" si="13"/>
        <v>0</v>
      </c>
      <c r="AC18" s="208" t="b">
        <f t="shared" si="14"/>
        <v>0</v>
      </c>
      <c r="AD18" s="208" t="str">
        <f t="shared" si="15"/>
        <v/>
      </c>
      <c r="AE18" s="208" t="str">
        <f t="shared" si="28"/>
        <v/>
      </c>
      <c r="AF18" s="208" t="str">
        <f t="shared" si="16"/>
        <v/>
      </c>
      <c r="AG18" s="208" t="str">
        <f t="shared" si="17"/>
        <v/>
      </c>
      <c r="AH18" s="208" t="str">
        <f t="shared" si="18"/>
        <v/>
      </c>
      <c r="AI18" s="208" t="str">
        <f t="shared" si="19"/>
        <v/>
      </c>
      <c r="AJ18" s="208" t="str">
        <f t="shared" si="20"/>
        <v/>
      </c>
      <c r="AK18" s="208" t="str">
        <f t="shared" si="29"/>
        <v/>
      </c>
      <c r="AL18" s="208" t="str">
        <f t="shared" si="21"/>
        <v/>
      </c>
      <c r="AM18" s="208" t="str">
        <f t="shared" si="22"/>
        <v/>
      </c>
      <c r="AN18" s="208" t="str">
        <f t="shared" si="23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4"/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5"/>
        <v>0</v>
      </c>
      <c r="S19" s="208">
        <f t="shared" si="26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10"/>
        <v>0</v>
      </c>
      <c r="Y19" s="208" t="b">
        <f t="shared" si="11"/>
        <v>0</v>
      </c>
      <c r="Z19" s="208" t="b">
        <f t="shared" si="12"/>
        <v>0</v>
      </c>
      <c r="AA19" s="208" t="b">
        <f t="shared" si="27"/>
        <v>0</v>
      </c>
      <c r="AB19" s="208" t="b">
        <f t="shared" si="13"/>
        <v>0</v>
      </c>
      <c r="AC19" s="208" t="b">
        <f t="shared" si="14"/>
        <v>0</v>
      </c>
      <c r="AD19" s="208" t="str">
        <f t="shared" si="15"/>
        <v/>
      </c>
      <c r="AE19" s="208" t="str">
        <f t="shared" si="28"/>
        <v/>
      </c>
      <c r="AF19" s="208" t="str">
        <f t="shared" si="16"/>
        <v/>
      </c>
      <c r="AG19" s="208" t="str">
        <f t="shared" si="17"/>
        <v/>
      </c>
      <c r="AH19" s="208" t="str">
        <f t="shared" si="18"/>
        <v/>
      </c>
      <c r="AI19" s="208" t="str">
        <f t="shared" si="19"/>
        <v/>
      </c>
      <c r="AJ19" s="208" t="str">
        <f t="shared" si="20"/>
        <v/>
      </c>
      <c r="AK19" s="208" t="str">
        <f t="shared" si="29"/>
        <v/>
      </c>
      <c r="AL19" s="208" t="str">
        <f t="shared" si="21"/>
        <v/>
      </c>
      <c r="AM19" s="208" t="str">
        <f t="shared" si="22"/>
        <v/>
      </c>
      <c r="AN19" s="208" t="str">
        <f t="shared" si="23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6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30">Q22</f>
        <v>0</v>
      </c>
      <c r="S22" s="348">
        <f t="shared" si="26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1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30"/>
        <v>0</v>
      </c>
      <c r="S23" s="348">
        <f t="shared" si="26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1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30"/>
        <v>0</v>
      </c>
      <c r="S24" s="348">
        <f t="shared" si="26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1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30"/>
        <v>0</v>
      </c>
      <c r="S25" s="429">
        <f t="shared" si="26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1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E4" activePane="bottomRight" state="frozen"/>
      <selection activeCell="A6" sqref="A6"/>
      <selection pane="topRight" activeCell="A6" sqref="A6"/>
      <selection pane="bottomLeft" activeCell="A6" sqref="A6"/>
      <selection pane="bottomRight" activeCell="P20" sqref="P20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4118</v>
      </c>
      <c r="F1" s="433"/>
      <c r="G1" s="433"/>
      <c r="H1" s="433"/>
      <c r="I1" s="433"/>
      <c r="J1" s="433"/>
      <c r="K1" s="433" t="s">
        <v>4119</v>
      </c>
      <c r="L1" s="433"/>
      <c r="M1" s="433"/>
      <c r="N1" s="433"/>
      <c r="O1" s="433"/>
      <c r="P1" s="433"/>
      <c r="Q1" s="433"/>
      <c r="R1" s="433" t="s">
        <v>4107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4121</v>
      </c>
      <c r="C3" s="437" t="s">
        <v>3321</v>
      </c>
      <c r="D3" s="437" t="s">
        <v>4123</v>
      </c>
      <c r="E3" s="437" t="s">
        <v>4122</v>
      </c>
      <c r="F3" s="437" t="s">
        <v>378</v>
      </c>
      <c r="G3" s="437" t="s">
        <v>4122</v>
      </c>
      <c r="H3" s="437" t="s">
        <v>378</v>
      </c>
      <c r="I3" s="437" t="s">
        <v>4122</v>
      </c>
      <c r="J3" s="437" t="s">
        <v>378</v>
      </c>
      <c r="K3" s="437" t="s">
        <v>4115</v>
      </c>
      <c r="L3" s="437" t="s">
        <v>4116</v>
      </c>
      <c r="M3" s="437" t="s">
        <v>4117</v>
      </c>
      <c r="N3" s="437" t="s">
        <v>4909</v>
      </c>
      <c r="O3" s="437" t="s">
        <v>4907</v>
      </c>
      <c r="P3" s="437" t="s">
        <v>4105</v>
      </c>
      <c r="Q3" s="437" t="s">
        <v>4125</v>
      </c>
      <c r="R3" s="437" t="s">
        <v>368</v>
      </c>
      <c r="S3" s="437" t="s">
        <v>4122</v>
      </c>
      <c r="T3" s="437" t="s">
        <v>378</v>
      </c>
      <c r="U3" s="437" t="s">
        <v>4781</v>
      </c>
      <c r="V3" s="437" t="s">
        <v>4113</v>
      </c>
      <c r="X3" s="431" t="s">
        <v>4753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4288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4291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4287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4291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4083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4083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4120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18-sep-2017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3493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3327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3">
        <f>_Ped_Lijn_Opm</f>
        <v>0</v>
      </c>
      <c r="F16" s="824"/>
      <c r="G16" s="824"/>
      <c r="H16" s="824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3337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3338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18-sep-2017</v>
      </c>
      <c r="G2" s="666"/>
      <c r="H2" s="664"/>
      <c r="I2" s="668" t="s">
        <v>3496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3497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3493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3327</v>
      </c>
      <c r="C7" s="704"/>
      <c r="D7" s="713" t="s">
        <v>3494</v>
      </c>
      <c r="E7" s="704"/>
      <c r="F7" s="713"/>
      <c r="G7" s="714"/>
      <c r="H7" s="713"/>
      <c r="I7" s="715"/>
      <c r="J7" s="715" t="s">
        <v>3327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3495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4081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5">
        <f>_Ped_Ent_Opm</f>
        <v>0</v>
      </c>
      <c r="G18" s="826"/>
      <c r="H18" s="826"/>
      <c r="I18" s="826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3327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3327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3501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3512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3502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3503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3503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3504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3504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3505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3506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4784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3507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3508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3509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3510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3511</v>
      </c>
      <c r="F39" s="825">
        <f>_Ped_TPN_Opm</f>
        <v>0</v>
      </c>
      <c r="G39" s="826"/>
      <c r="H39" s="826"/>
      <c r="I39" s="826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4811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4811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4782</v>
      </c>
      <c r="W2" s="212" t="s">
        <v>4783</v>
      </c>
      <c r="X2" s="810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5281</v>
      </c>
      <c r="C30" s="809" t="s">
        <v>5282</v>
      </c>
      <c r="D30" s="809" t="s">
        <v>5283</v>
      </c>
      <c r="E30" s="809" t="s">
        <v>5284</v>
      </c>
      <c r="F30" s="809" t="s">
        <v>5285</v>
      </c>
      <c r="G30" s="809" t="s">
        <v>5286</v>
      </c>
      <c r="H30" s="809" t="s">
        <v>5287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4077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18-sep-2017</v>
      </c>
      <c r="E2" s="666"/>
      <c r="F2" s="664"/>
      <c r="G2" s="663"/>
      <c r="H2" s="668" t="s">
        <v>3496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3497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3493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7" t="str">
        <f>IF(_Ped_Lab_Opm=0,"",_Ped_Lab_Opm)</f>
        <v/>
      </c>
      <c r="E43" s="828"/>
      <c r="F43" s="828"/>
      <c r="G43" s="828"/>
      <c r="H43" s="828"/>
      <c r="I43" s="828"/>
      <c r="J43" s="828"/>
      <c r="K43" s="828"/>
      <c r="L43" s="828"/>
    </row>
    <row r="44" spans="2:12" ht="20.100000000000001" customHeight="1" x14ac:dyDescent="0.2">
      <c r="B44" s="699"/>
      <c r="C44" s="699"/>
      <c r="D44" s="828"/>
      <c r="E44" s="828"/>
      <c r="F44" s="828"/>
      <c r="G44" s="828"/>
      <c r="H44" s="828"/>
      <c r="I44" s="828"/>
      <c r="J44" s="828"/>
      <c r="K44" s="828"/>
      <c r="L44" s="82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18-sep-2017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3493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9" t="str">
        <f>IF(_Ped_AfsprOverig=0,"",_Ped_AfsprOverig)</f>
        <v/>
      </c>
      <c r="H18" s="830"/>
      <c r="I18" s="830"/>
      <c r="J18" s="830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30"/>
      <c r="H19" s="830"/>
      <c r="I19" s="830"/>
      <c r="J19" s="830"/>
      <c r="O19" s="409"/>
    </row>
    <row r="20" spans="2:15" ht="18" customHeight="1" thickTop="1" x14ac:dyDescent="0.2">
      <c r="G20" s="830"/>
      <c r="H20" s="830"/>
      <c r="I20" s="830"/>
      <c r="J20" s="830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4" t="str">
        <f>"= "&amp;IF(ROUND(0.02*(E5),1)&lt;0.1,0.1,IF(ROUND(0.02*(E5),1)&gt;0.5,0.5,ROUND(0.02*(E5),1)))*2&amp;" ml van 0,5 mg/ml (min 0,1 mg)"</f>
        <v>= 0,2 ml van 0,5 mg/ml (min 0,1 mg)</v>
      </c>
      <c r="F16" s="834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5"/>
      <c r="F17" s="835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4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5"/>
      <c r="F21" s="835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2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3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1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1"/>
      <c r="C31" s="693" t="s">
        <v>210</v>
      </c>
      <c r="D31" s="511" t="str">
        <f>IF((20*E5)&gt;1500,"1500 mg iv",20*E5&amp;" mg iv")</f>
        <v>0 mg iv</v>
      </c>
      <c r="E31" s="83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4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4"/>
      <c r="F32" s="834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18-sep-2017</v>
      </c>
      <c r="E2" s="273" t="s">
        <v>363</v>
      </c>
      <c r="F2" s="836" t="str">
        <f>Txt_Pat_FullName</f>
        <v/>
      </c>
      <c r="G2" s="83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41535)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7">
        <f>_Ped_Ent_Opm</f>
        <v>0</v>
      </c>
      <c r="E12" s="838"/>
      <c r="F12" s="838"/>
      <c r="G12" s="838"/>
      <c r="H12" s="838"/>
      <c r="I12" s="838"/>
      <c r="J12" s="83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5" t="str">
        <f>TRIM(Txt_Ped_Lab_1)</f>
        <v/>
      </c>
      <c r="E15" s="846"/>
      <c r="F15" s="846"/>
      <c r="G15" s="846"/>
      <c r="H15" s="846"/>
      <c r="I15" s="846"/>
      <c r="J15" s="846"/>
      <c r="L15" s="276"/>
    </row>
    <row r="16" spans="1:12" ht="12.6" customHeight="1" x14ac:dyDescent="0.2">
      <c r="B16" s="275"/>
      <c r="C16" s="275" t="s">
        <v>358</v>
      </c>
      <c r="D16" s="843" t="str">
        <f>TRIM(Txt_Ped_Lab_2)</f>
        <v/>
      </c>
      <c r="E16" s="844"/>
      <c r="F16" s="844"/>
      <c r="G16" s="844"/>
      <c r="H16" s="844"/>
      <c r="I16" s="844"/>
      <c r="J16" s="844"/>
      <c r="L16" s="276"/>
    </row>
    <row r="17" spans="1:12" ht="12.6" customHeight="1" x14ac:dyDescent="0.2">
      <c r="B17" s="275"/>
      <c r="C17" s="275" t="s">
        <v>359</v>
      </c>
      <c r="D17" s="843" t="str">
        <f>TRIM(Txt_Ped_Lab_3)</f>
        <v/>
      </c>
      <c r="E17" s="847"/>
      <c r="F17" s="847"/>
      <c r="G17" s="847"/>
      <c r="H17" s="847"/>
      <c r="I17" s="847"/>
      <c r="J17" s="847"/>
      <c r="L17" s="276"/>
    </row>
    <row r="18" spans="1:12" ht="12.6" customHeight="1" x14ac:dyDescent="0.2">
      <c r="B18" s="275"/>
      <c r="C18" s="275" t="s">
        <v>111</v>
      </c>
      <c r="D18" s="843" t="str">
        <f>TRIM(Txt_Ped_Lab_4)</f>
        <v/>
      </c>
      <c r="E18" s="847"/>
      <c r="F18" s="847"/>
      <c r="G18" s="847"/>
      <c r="H18" s="847"/>
      <c r="I18" s="847"/>
      <c r="J18" s="847"/>
      <c r="L18" s="276"/>
    </row>
    <row r="19" spans="1:12" ht="12.6" customHeight="1" x14ac:dyDescent="0.2">
      <c r="B19" s="275"/>
      <c r="C19" s="285" t="s">
        <v>18</v>
      </c>
      <c r="D19" s="843" t="str">
        <f>TRIM(Txt_Ped_Lab_5)</f>
        <v/>
      </c>
      <c r="E19" s="848"/>
      <c r="F19" s="848"/>
      <c r="G19" s="848"/>
      <c r="H19" s="848"/>
      <c r="I19" s="848"/>
      <c r="J19" s="848"/>
      <c r="L19" s="276"/>
    </row>
    <row r="20" spans="1:12" ht="12.6" customHeight="1" x14ac:dyDescent="0.2">
      <c r="B20" s="275"/>
      <c r="C20" s="285" t="s">
        <v>225</v>
      </c>
      <c r="D20" s="839">
        <f>_Ped_Lab_Opm</f>
        <v>0</v>
      </c>
      <c r="E20" s="840"/>
      <c r="F20" s="840"/>
      <c r="G20" s="840"/>
      <c r="H20" s="840"/>
      <c r="I20" s="840"/>
      <c r="J20" s="840"/>
      <c r="L20" s="276"/>
    </row>
    <row r="21" spans="1:12" ht="12.6" customHeight="1" x14ac:dyDescent="0.2">
      <c r="A21" s="279"/>
      <c r="B21" s="284"/>
      <c r="C21" s="286"/>
      <c r="D21" s="841"/>
      <c r="E21" s="841"/>
      <c r="F21" s="841"/>
      <c r="G21" s="841"/>
      <c r="H21" s="841"/>
      <c r="I21" s="841"/>
      <c r="J21" s="84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18-sep-2017</v>
      </c>
      <c r="E34" s="273" t="s">
        <v>363</v>
      </c>
      <c r="F34" s="836" t="str">
        <f>Txt_Pat_FullName</f>
        <v/>
      </c>
      <c r="G34" s="83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41535)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7">
        <f>_Ped_Lijn_Opm</f>
        <v>0</v>
      </c>
      <c r="E46" s="838"/>
      <c r="F46" s="838"/>
      <c r="G46" s="838"/>
      <c r="H46" s="838"/>
      <c r="I46" s="838"/>
      <c r="J46" s="83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9">
        <f>_Ped_MedIV_Opm</f>
        <v>0</v>
      </c>
      <c r="E72" s="839"/>
      <c r="F72" s="839"/>
      <c r="G72" s="839"/>
      <c r="H72" s="839"/>
      <c r="I72" s="839"/>
      <c r="J72" s="839"/>
      <c r="L72" s="276"/>
    </row>
    <row r="73" spans="1:12" ht="12.6" customHeight="1" x14ac:dyDescent="0.2">
      <c r="D73" s="842"/>
      <c r="E73" s="842"/>
      <c r="F73" s="842"/>
      <c r="G73" s="842"/>
      <c r="H73" s="842"/>
      <c r="I73" s="842"/>
      <c r="J73" s="842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18-sep-2017</v>
      </c>
      <c r="E75" s="273" t="s">
        <v>363</v>
      </c>
      <c r="F75" s="836" t="str">
        <f>Txt_Pat_FullName</f>
        <v/>
      </c>
      <c r="G75" s="836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41535)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7">
        <f>_Ped_TPN_Opm</f>
        <v>0</v>
      </c>
      <c r="E99" s="838"/>
      <c r="F99" s="838"/>
      <c r="G99" s="838"/>
      <c r="H99" s="838"/>
      <c r="I99" s="838"/>
      <c r="J99" s="83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42996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2">
        <f ca="1">TODAY()</f>
        <v>42996</v>
      </c>
      <c r="AB25" s="852"/>
      <c r="AC25" s="852"/>
      <c r="AD25" s="85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3" t="s">
        <v>16</v>
      </c>
      <c r="B11" s="854"/>
      <c r="C11" s="854"/>
      <c r="D11" s="854"/>
      <c r="E11" s="854"/>
      <c r="F11" s="854"/>
      <c r="G11" s="854"/>
      <c r="H11" s="855"/>
    </row>
    <row r="12" spans="1:8" ht="25.5" x14ac:dyDescent="0.2">
      <c r="A12" s="12" t="s">
        <v>238</v>
      </c>
      <c r="B12" s="856" t="s">
        <v>127</v>
      </c>
      <c r="C12" s="858"/>
      <c r="D12" s="860" t="s">
        <v>128</v>
      </c>
      <c r="E12" s="860" t="s">
        <v>129</v>
      </c>
      <c r="F12" s="860" t="s">
        <v>130</v>
      </c>
      <c r="G12" s="13"/>
      <c r="H12" s="13" t="s">
        <v>131</v>
      </c>
    </row>
    <row r="13" spans="1:8" x14ac:dyDescent="0.2">
      <c r="A13" s="14" t="s">
        <v>132</v>
      </c>
      <c r="B13" s="857"/>
      <c r="C13" s="859"/>
      <c r="D13" s="861"/>
      <c r="E13" s="861"/>
      <c r="F13" s="861"/>
      <c r="G13" s="13" t="s">
        <v>133</v>
      </c>
      <c r="H13" s="15" t="s">
        <v>134</v>
      </c>
    </row>
    <row r="14" spans="1:8" ht="20.100000000000001" customHeight="1" x14ac:dyDescent="0.2">
      <c r="A14" s="86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9" t="s">
        <v>164</v>
      </c>
      <c r="F21" s="86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6"/>
      <c r="B24" s="50" t="s">
        <v>151</v>
      </c>
      <c r="C24" s="51"/>
      <c r="D24" s="51"/>
      <c r="E24" s="870" t="s">
        <v>224</v>
      </c>
      <c r="F24" s="87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0"/>
      <c r="F25" s="871"/>
      <c r="G25" s="53"/>
      <c r="H25" s="13"/>
    </row>
    <row r="26" spans="1:8" ht="15.95" customHeight="1" x14ac:dyDescent="0.2">
      <c r="A26" s="12"/>
      <c r="B26" s="39"/>
      <c r="C26" s="39"/>
      <c r="D26" s="39"/>
      <c r="E26" s="872" t="s">
        <v>164</v>
      </c>
      <c r="F26" s="87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7" t="s">
        <v>88</v>
      </c>
      <c r="C28" s="868"/>
      <c r="D28" s="868"/>
      <c r="E28" s="868"/>
      <c r="F28" s="868"/>
      <c r="G28" s="37"/>
      <c r="H28" s="20"/>
    </row>
    <row r="29" spans="1:8" ht="20.100000000000001" customHeight="1" x14ac:dyDescent="0.2">
      <c r="A29" s="86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2" t="s">
        <v>165</v>
      </c>
      <c r="F35" s="87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3" t="s">
        <v>185</v>
      </c>
      <c r="C37" s="874"/>
      <c r="D37" s="874"/>
      <c r="E37" s="874"/>
      <c r="F37" s="875"/>
      <c r="G37" s="20" t="s">
        <v>186</v>
      </c>
      <c r="H37" s="20"/>
    </row>
    <row r="38" spans="1:8" ht="15.95" customHeight="1" x14ac:dyDescent="0.2">
      <c r="A38" s="21"/>
      <c r="B38" s="862" t="s">
        <v>187</v>
      </c>
      <c r="C38" s="863"/>
      <c r="D38" s="863"/>
      <c r="E38" s="863"/>
      <c r="F38" s="864"/>
      <c r="G38" s="15" t="s">
        <v>188</v>
      </c>
      <c r="H38" s="13"/>
    </row>
    <row r="39" spans="1:8" ht="15.95" customHeight="1" x14ac:dyDescent="0.2">
      <c r="A39" s="21"/>
      <c r="B39" s="862" t="s">
        <v>189</v>
      </c>
      <c r="C39" s="863"/>
      <c r="D39" s="863"/>
      <c r="E39" s="863"/>
      <c r="F39" s="86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97">
        <f ca="1">TODAY()</f>
        <v>42996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607" t="s">
        <v>238</v>
      </c>
      <c r="B11" s="888" t="s">
        <v>127</v>
      </c>
      <c r="C11" s="890"/>
      <c r="D11" s="860" t="s">
        <v>128</v>
      </c>
      <c r="E11" s="860" t="s">
        <v>129</v>
      </c>
      <c r="F11" s="860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9"/>
      <c r="C12" s="891"/>
      <c r="D12" s="861"/>
      <c r="E12" s="861"/>
      <c r="F12" s="861"/>
      <c r="G12" s="608" t="s">
        <v>133</v>
      </c>
      <c r="H12" s="610" t="s">
        <v>134</v>
      </c>
    </row>
    <row r="13" spans="1:8" ht="20.100000000000001" customHeight="1" x14ac:dyDescent="0.2">
      <c r="A13" s="892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93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4898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4899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6" t="s">
        <v>164</v>
      </c>
      <c r="F21" s="876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83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84"/>
      <c r="B24" s="615" t="s">
        <v>151</v>
      </c>
      <c r="C24" s="616"/>
      <c r="D24" s="616"/>
      <c r="E24" s="896" t="s">
        <v>295</v>
      </c>
      <c r="F24" s="897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96" t="s">
        <v>295</v>
      </c>
      <c r="F25" s="897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6" t="s">
        <v>164</v>
      </c>
      <c r="F26" s="876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94" t="s">
        <v>88</v>
      </c>
      <c r="C28" s="895"/>
      <c r="D28" s="895"/>
      <c r="E28" s="895"/>
      <c r="F28" s="895"/>
      <c r="G28" s="626"/>
      <c r="H28" s="627"/>
    </row>
    <row r="29" spans="1:8" ht="20.100000000000001" customHeight="1" x14ac:dyDescent="0.2">
      <c r="A29" s="883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84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6" t="s">
        <v>165</v>
      </c>
      <c r="F35" s="876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77" t="s">
        <v>185</v>
      </c>
      <c r="C37" s="878"/>
      <c r="D37" s="878"/>
      <c r="E37" s="878"/>
      <c r="F37" s="879"/>
      <c r="G37" s="627" t="s">
        <v>186</v>
      </c>
      <c r="H37" s="627"/>
    </row>
    <row r="38" spans="1:8" ht="15.95" customHeight="1" x14ac:dyDescent="0.2">
      <c r="A38" s="638"/>
      <c r="B38" s="880" t="s">
        <v>187</v>
      </c>
      <c r="C38" s="881"/>
      <c r="D38" s="881"/>
      <c r="E38" s="881"/>
      <c r="F38" s="882"/>
      <c r="G38" s="610" t="s">
        <v>188</v>
      </c>
      <c r="H38" s="608"/>
    </row>
    <row r="39" spans="1:8" ht="15.95" customHeight="1" x14ac:dyDescent="0.2">
      <c r="A39" s="638"/>
      <c r="B39" s="880" t="s">
        <v>189</v>
      </c>
      <c r="C39" s="881"/>
      <c r="D39" s="881"/>
      <c r="E39" s="881"/>
      <c r="F39" s="882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3" t="s">
        <v>16</v>
      </c>
      <c r="B10" s="854"/>
      <c r="C10" s="854"/>
      <c r="D10" s="854"/>
      <c r="E10" s="854"/>
      <c r="F10" s="854"/>
      <c r="G10" s="854"/>
      <c r="H10" s="855"/>
    </row>
    <row r="11" spans="1:8" ht="25.5" x14ac:dyDescent="0.2">
      <c r="A11" s="12" t="s">
        <v>238</v>
      </c>
      <c r="B11" s="856" t="s">
        <v>127</v>
      </c>
      <c r="C11" s="858"/>
      <c r="D11" s="860" t="s">
        <v>128</v>
      </c>
      <c r="E11" s="860" t="s">
        <v>129</v>
      </c>
      <c r="F11" s="86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7"/>
      <c r="C12" s="859"/>
      <c r="D12" s="861"/>
      <c r="E12" s="861"/>
      <c r="F12" s="861"/>
      <c r="G12" s="13" t="s">
        <v>133</v>
      </c>
      <c r="H12" s="15" t="s">
        <v>134</v>
      </c>
    </row>
    <row r="13" spans="1:8" ht="20.100000000000001" customHeight="1" x14ac:dyDescent="0.2">
      <c r="A13" s="90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8" t="s">
        <v>97</v>
      </c>
      <c r="F16" s="89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2" t="s">
        <v>164</v>
      </c>
      <c r="F21" s="87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0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1"/>
      <c r="B24" s="50" t="s">
        <v>151</v>
      </c>
      <c r="C24" s="51"/>
      <c r="D24" s="51"/>
      <c r="E24" s="898" t="s">
        <v>295</v>
      </c>
      <c r="F24" s="89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8" t="s">
        <v>295</v>
      </c>
      <c r="F25" s="89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2" t="s">
        <v>164</v>
      </c>
      <c r="F26" s="87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7" t="s">
        <v>88</v>
      </c>
      <c r="C28" s="868"/>
      <c r="D28" s="868"/>
      <c r="E28" s="868"/>
      <c r="F28" s="868"/>
      <c r="G28" s="37"/>
      <c r="H28" s="20"/>
    </row>
    <row r="29" spans="1:8" ht="20.100000000000001" customHeight="1" x14ac:dyDescent="0.2">
      <c r="A29" s="90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1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2" t="s">
        <v>165</v>
      </c>
      <c r="F35" s="87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3" t="s">
        <v>185</v>
      </c>
      <c r="C37" s="874"/>
      <c r="D37" s="874"/>
      <c r="E37" s="874"/>
      <c r="F37" s="875"/>
      <c r="G37" s="20" t="s">
        <v>186</v>
      </c>
      <c r="H37" s="20"/>
    </row>
    <row r="38" spans="1:8" ht="15.95" customHeight="1" x14ac:dyDescent="0.2">
      <c r="A38" s="21"/>
      <c r="B38" s="862" t="s">
        <v>187</v>
      </c>
      <c r="C38" s="863"/>
      <c r="D38" s="863"/>
      <c r="E38" s="863"/>
      <c r="F38" s="864"/>
      <c r="G38" s="15" t="s">
        <v>188</v>
      </c>
      <c r="H38" s="13"/>
    </row>
    <row r="39" spans="1:8" ht="15.95" customHeight="1" x14ac:dyDescent="0.2">
      <c r="A39" s="21"/>
      <c r="B39" s="862" t="s">
        <v>189</v>
      </c>
      <c r="C39" s="863"/>
      <c r="D39" s="863"/>
      <c r="E39" s="863"/>
      <c r="F39" s="86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3" t="s">
        <v>16</v>
      </c>
      <c r="B10" s="854"/>
      <c r="C10" s="854"/>
      <c r="D10" s="854"/>
      <c r="E10" s="854"/>
      <c r="F10" s="854"/>
      <c r="G10" s="854"/>
      <c r="H10" s="855"/>
    </row>
    <row r="11" spans="1:8" ht="25.5" x14ac:dyDescent="0.2">
      <c r="A11" s="12" t="s">
        <v>238</v>
      </c>
      <c r="B11" s="856" t="s">
        <v>127</v>
      </c>
      <c r="C11" s="858"/>
      <c r="D11" s="860" t="s">
        <v>128</v>
      </c>
      <c r="E11" s="860" t="s">
        <v>129</v>
      </c>
      <c r="F11" s="86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7"/>
      <c r="C12" s="859"/>
      <c r="D12" s="861"/>
      <c r="E12" s="861"/>
      <c r="F12" s="861"/>
      <c r="G12" s="13" t="s">
        <v>133</v>
      </c>
      <c r="H12" s="15" t="s">
        <v>134</v>
      </c>
    </row>
    <row r="13" spans="1:8" ht="20.100000000000001" customHeight="1" x14ac:dyDescent="0.2">
      <c r="A13" s="90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8" t="s">
        <v>97</v>
      </c>
      <c r="F16" s="89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2" t="s">
        <v>164</v>
      </c>
      <c r="F22" s="87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00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1"/>
      <c r="B25" s="50" t="s">
        <v>151</v>
      </c>
      <c r="C25" s="51"/>
      <c r="D25" s="51"/>
      <c r="E25" s="898" t="s">
        <v>295</v>
      </c>
      <c r="F25" s="89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8" t="s">
        <v>295</v>
      </c>
      <c r="F26" s="89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2" t="s">
        <v>164</v>
      </c>
      <c r="F27" s="87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2" t="s">
        <v>88</v>
      </c>
      <c r="C29" s="903"/>
      <c r="D29" s="903"/>
      <c r="E29" s="903"/>
      <c r="F29" s="903"/>
      <c r="G29" s="37"/>
      <c r="H29" s="20"/>
    </row>
    <row r="30" spans="1:8" ht="20.100000000000001" customHeight="1" x14ac:dyDescent="0.2">
      <c r="A30" s="900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1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9" t="s">
        <v>165</v>
      </c>
      <c r="F36" s="86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3" t="s">
        <v>185</v>
      </c>
      <c r="C38" s="874"/>
      <c r="D38" s="874"/>
      <c r="E38" s="874"/>
      <c r="F38" s="875"/>
      <c r="G38" s="20" t="s">
        <v>186</v>
      </c>
      <c r="H38" s="20"/>
    </row>
    <row r="39" spans="1:8" ht="15.95" customHeight="1" x14ac:dyDescent="0.2">
      <c r="A39" s="21"/>
      <c r="B39" s="862" t="s">
        <v>187</v>
      </c>
      <c r="C39" s="863"/>
      <c r="D39" s="863"/>
      <c r="E39" s="863"/>
      <c r="F39" s="864"/>
      <c r="G39" s="15" t="s">
        <v>188</v>
      </c>
      <c r="H39" s="13"/>
    </row>
    <row r="40" spans="1:8" ht="15.95" customHeight="1" x14ac:dyDescent="0.2">
      <c r="A40" s="21"/>
      <c r="B40" s="862" t="s">
        <v>189</v>
      </c>
      <c r="C40" s="863"/>
      <c r="D40" s="863"/>
      <c r="E40" s="863"/>
      <c r="F40" s="86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42996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3" t="s">
        <v>16</v>
      </c>
      <c r="B10" s="854"/>
      <c r="C10" s="854"/>
      <c r="D10" s="854"/>
      <c r="E10" s="854"/>
      <c r="F10" s="854"/>
      <c r="G10" s="854"/>
      <c r="H10" s="855"/>
    </row>
    <row r="11" spans="1:8" ht="25.5" x14ac:dyDescent="0.2">
      <c r="A11" s="12" t="s">
        <v>238</v>
      </c>
      <c r="B11" s="856" t="s">
        <v>127</v>
      </c>
      <c r="C11" s="858"/>
      <c r="D11" s="860" t="s">
        <v>128</v>
      </c>
      <c r="E11" s="860" t="s">
        <v>129</v>
      </c>
      <c r="F11" s="860" t="s">
        <v>130</v>
      </c>
      <c r="G11" s="13"/>
      <c r="H11" s="13" t="s">
        <v>131</v>
      </c>
    </row>
    <row r="12" spans="1:8" x14ac:dyDescent="0.2">
      <c r="A12" s="14" t="s">
        <v>132</v>
      </c>
      <c r="B12" s="857"/>
      <c r="C12" s="859"/>
      <c r="D12" s="861"/>
      <c r="E12" s="861"/>
      <c r="F12" s="861"/>
      <c r="G12" s="13" t="s">
        <v>133</v>
      </c>
      <c r="H12" s="15" t="s">
        <v>134</v>
      </c>
    </row>
    <row r="13" spans="1:8" ht="20.100000000000001" customHeight="1" x14ac:dyDescent="0.2">
      <c r="A13" s="900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1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1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1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2" t="s">
        <v>164</v>
      </c>
      <c r="F19" s="87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1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1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2" t="s">
        <v>164</v>
      </c>
      <c r="F24" s="87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2" t="s">
        <v>88</v>
      </c>
      <c r="C26" s="903"/>
      <c r="D26" s="903"/>
      <c r="E26" s="903"/>
      <c r="F26" s="903"/>
      <c r="G26" s="37"/>
      <c r="H26" s="20"/>
    </row>
    <row r="27" spans="1:8" ht="20.100000000000001" customHeight="1" x14ac:dyDescent="0.2">
      <c r="A27" s="900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1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9" t="s">
        <v>165</v>
      </c>
      <c r="F33" s="86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3" t="s">
        <v>185</v>
      </c>
      <c r="C35" s="874"/>
      <c r="D35" s="874"/>
      <c r="E35" s="874"/>
      <c r="F35" s="875"/>
      <c r="G35" s="20" t="s">
        <v>186</v>
      </c>
      <c r="H35" s="20"/>
    </row>
    <row r="36" spans="1:8" ht="20.100000000000001" customHeight="1" x14ac:dyDescent="0.2">
      <c r="A36" s="21"/>
      <c r="B36" s="862" t="s">
        <v>187</v>
      </c>
      <c r="C36" s="863"/>
      <c r="D36" s="863"/>
      <c r="E36" s="863"/>
      <c r="F36" s="864"/>
      <c r="G36" s="15" t="s">
        <v>188</v>
      </c>
      <c r="H36" s="13"/>
    </row>
    <row r="37" spans="1:8" ht="20.100000000000001" customHeight="1" x14ac:dyDescent="0.2">
      <c r="A37" s="21"/>
      <c r="B37" s="862" t="s">
        <v>189</v>
      </c>
      <c r="C37" s="863"/>
      <c r="D37" s="863"/>
      <c r="E37" s="863"/>
      <c r="F37" s="86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S19" sqref="S1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6" t="str">
        <f>NeoBerInfB!B3</f>
        <v>Actuele Afspraken</v>
      </c>
      <c r="D9" s="906"/>
      <c r="E9" s="906"/>
      <c r="F9" s="906"/>
      <c r="G9" s="906"/>
      <c r="H9" s="741" t="s">
        <v>4545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4547</v>
      </c>
      <c r="Q9" s="742" t="str">
        <f ca="1">Txt_Pat_GeboorteDat</f>
        <v/>
      </c>
      <c r="R9" s="741"/>
    </row>
    <row r="10" spans="1:18" ht="20.100000000000001" customHeight="1" x14ac:dyDescent="0.2">
      <c r="C10" s="906"/>
      <c r="D10" s="906"/>
      <c r="E10" s="906"/>
      <c r="F10" s="906"/>
      <c r="G10" s="906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4548</v>
      </c>
      <c r="Q10" s="742" t="str">
        <f>Txt_Pat_GestAge</f>
        <v/>
      </c>
      <c r="R10" s="741"/>
    </row>
    <row r="11" spans="1:18" ht="20.100000000000001" customHeight="1" x14ac:dyDescent="0.2">
      <c r="C11" s="906"/>
      <c r="D11" s="906"/>
      <c r="E11" s="906"/>
      <c r="F11" s="906"/>
      <c r="G11" s="906"/>
      <c r="H11" s="741" t="s">
        <v>235</v>
      </c>
      <c r="I11" s="741" t="str">
        <f ca="1">Txt_Pat_AfspraakDat</f>
        <v>18-sep-2017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4926</v>
      </c>
      <c r="Q11" s="742" t="str">
        <f>Txt_Pat_GebGew</f>
        <v/>
      </c>
      <c r="R11" s="741"/>
    </row>
    <row r="12" spans="1:18" ht="20.100000000000001" customHeight="1" x14ac:dyDescent="0.2">
      <c r="C12" s="906"/>
      <c r="D12" s="906"/>
      <c r="E12" s="906"/>
      <c r="F12" s="906"/>
      <c r="G12" s="906"/>
      <c r="H12" s="741" t="s">
        <v>399</v>
      </c>
      <c r="I12" s="741" t="str">
        <f>Txt_Pat_Bed</f>
        <v/>
      </c>
      <c r="J12" s="745"/>
      <c r="K12" s="741"/>
      <c r="L12" s="741"/>
      <c r="M12" s="741" t="s">
        <v>5391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4299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4300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4974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7" t="str">
        <f>IF(Var_Neo_InfB_Cont_MedTekst_1="","",Var_Neo_InfB_Cont_MedTekst_1)</f>
        <v/>
      </c>
      <c r="E42" s="907"/>
      <c r="F42" s="907"/>
      <c r="G42" s="907"/>
      <c r="H42" s="907"/>
      <c r="I42" s="907"/>
      <c r="J42" s="907"/>
      <c r="K42" s="908"/>
      <c r="L42" s="907"/>
      <c r="M42" s="907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9" t="str">
        <f>IF(Var_Neo_InfB_Cont_MedTekst_2="","",Var_Neo_InfB_Cont_MedTekst_2)</f>
        <v/>
      </c>
      <c r="E43" s="909"/>
      <c r="F43" s="909"/>
      <c r="G43" s="909"/>
      <c r="H43" s="909"/>
      <c r="I43" s="909"/>
      <c r="J43" s="909"/>
      <c r="K43" s="909"/>
      <c r="L43" s="909"/>
      <c r="M43" s="909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4301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4303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4302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4294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4295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4296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4297</v>
      </c>
      <c r="C71" s="739"/>
      <c r="D71" s="739"/>
      <c r="E71" s="738" t="s">
        <v>225</v>
      </c>
      <c r="F71" s="904" t="str">
        <f>IF(_Neo_Lab_Opm=0,"",_Neo_Lab_Opm)</f>
        <v/>
      </c>
      <c r="G71" s="905"/>
      <c r="H71" s="905"/>
      <c r="I71" s="905"/>
      <c r="J71" s="905"/>
      <c r="K71" s="905"/>
      <c r="L71" s="905"/>
      <c r="M71" s="905"/>
      <c r="N71" s="905"/>
      <c r="O71" s="905"/>
      <c r="P71" s="905"/>
      <c r="Q71" s="905"/>
      <c r="R71" s="905"/>
    </row>
    <row r="72" spans="1:18" ht="20.100000000000001" customHeight="1" x14ac:dyDescent="0.2">
      <c r="C72" s="739"/>
      <c r="D72" s="739"/>
      <c r="E72" s="740"/>
      <c r="F72" s="905"/>
      <c r="G72" s="905"/>
      <c r="H72" s="905"/>
      <c r="I72" s="905"/>
      <c r="J72" s="905"/>
      <c r="K72" s="905"/>
      <c r="L72" s="905"/>
      <c r="M72" s="905"/>
      <c r="N72" s="905"/>
      <c r="O72" s="905"/>
      <c r="P72" s="905"/>
      <c r="Q72" s="905"/>
      <c r="R72" s="905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C23" sqref="C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4275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4122</v>
      </c>
      <c r="D2" s="426" t="s">
        <v>3322</v>
      </c>
      <c r="E2" s="426" t="s">
        <v>4105</v>
      </c>
      <c r="F2" s="426" t="s">
        <v>4279</v>
      </c>
      <c r="G2" s="426" t="s">
        <v>882</v>
      </c>
      <c r="H2" s="426" t="s">
        <v>4281</v>
      </c>
      <c r="I2" s="426" t="s">
        <v>405</v>
      </c>
      <c r="J2" s="426" t="s">
        <v>261</v>
      </c>
      <c r="K2" s="426" t="s">
        <v>3328</v>
      </c>
      <c r="L2" s="426" t="s">
        <v>4122</v>
      </c>
      <c r="M2" s="426" t="s">
        <v>156</v>
      </c>
      <c r="N2" s="426" t="s">
        <v>3321</v>
      </c>
      <c r="O2" s="426" t="s">
        <v>3322</v>
      </c>
      <c r="P2" s="426" t="s">
        <v>4280</v>
      </c>
      <c r="Q2" s="426" t="s">
        <v>4273</v>
      </c>
      <c r="R2" s="426" t="s">
        <v>4276</v>
      </c>
      <c r="S2" s="426" t="s">
        <v>433</v>
      </c>
      <c r="T2" s="426" t="s">
        <v>4927</v>
      </c>
      <c r="U2" s="426" t="s">
        <v>4956</v>
      </c>
      <c r="V2" s="426" t="s">
        <v>4930</v>
      </c>
      <c r="W2" s="426" t="s">
        <v>4957</v>
      </c>
      <c r="X2" s="426" t="s">
        <v>4972</v>
      </c>
      <c r="Y2" s="426" t="s">
        <v>4973</v>
      </c>
      <c r="Z2" s="426" t="s">
        <v>299</v>
      </c>
      <c r="AA2" s="426" t="s">
        <v>4537</v>
      </c>
      <c r="AB2" s="426" t="s">
        <v>4535</v>
      </c>
      <c r="AC2" s="426" t="s">
        <v>4536</v>
      </c>
      <c r="AD2" s="426" t="s">
        <v>4533</v>
      </c>
      <c r="AE2" s="426" t="s">
        <v>4534</v>
      </c>
      <c r="AF2" s="426" t="s">
        <v>4911</v>
      </c>
      <c r="AG2" s="426" t="s">
        <v>4912</v>
      </c>
      <c r="AH2" s="426" t="s">
        <v>4913</v>
      </c>
      <c r="AI2" s="426" t="s">
        <v>4292</v>
      </c>
      <c r="AJ2" s="426" t="s">
        <v>4293</v>
      </c>
      <c r="AK2" s="426" t="s">
        <v>5000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4283</v>
      </c>
    </row>
    <row r="3" spans="1:56" s="321" customFormat="1" x14ac:dyDescent="0.2">
      <c r="A3" s="235" t="s">
        <v>3747</v>
      </c>
      <c r="B3" s="321" t="s">
        <v>5185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41535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4304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4282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21" t="s">
        <v>4732</v>
      </c>
      <c r="AP60" s="321" t="s">
        <v>4732</v>
      </c>
      <c r="AQ60" s="321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21" t="s">
        <v>4732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5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E24" sqref="E24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10">
        <f ca="1">TODAY()</f>
        <v>42996</v>
      </c>
      <c r="J2" s="910"/>
      <c r="K2" s="910"/>
      <c r="L2" s="159" t="s">
        <v>409</v>
      </c>
      <c r="M2" s="911">
        <f ca="1">NOW()</f>
        <v>42996.698176851853</v>
      </c>
      <c r="N2" s="911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2" t="s">
        <v>414</v>
      </c>
      <c r="N5" s="913"/>
      <c r="O5" s="914" t="s">
        <v>5186</v>
      </c>
      <c r="P5" s="91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E9" sqref="E9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4126</v>
      </c>
    </row>
    <row r="2" spans="1:22" s="445" customFormat="1" ht="38.25" x14ac:dyDescent="0.2">
      <c r="A2" s="443"/>
      <c r="B2" s="444" t="s">
        <v>463</v>
      </c>
      <c r="C2" s="444" t="s">
        <v>3321</v>
      </c>
      <c r="D2" s="444" t="s">
        <v>4124</v>
      </c>
      <c r="E2" s="444" t="s">
        <v>4914</v>
      </c>
      <c r="F2" s="444" t="s">
        <v>4915</v>
      </c>
      <c r="G2" s="444" t="s">
        <v>848</v>
      </c>
      <c r="H2" s="444" t="s">
        <v>849</v>
      </c>
      <c r="I2" s="444" t="s">
        <v>847</v>
      </c>
      <c r="J2" s="444" t="s">
        <v>4909</v>
      </c>
      <c r="K2" s="444" t="s">
        <v>4907</v>
      </c>
      <c r="L2" s="444" t="s">
        <v>850</v>
      </c>
      <c r="M2" s="444" t="s">
        <v>4125</v>
      </c>
      <c r="N2" s="444" t="s">
        <v>4971</v>
      </c>
      <c r="O2" s="444" t="s">
        <v>43</v>
      </c>
      <c r="P2" s="444" t="s">
        <v>4927</v>
      </c>
      <c r="Q2" s="444" t="s">
        <v>4955</v>
      </c>
      <c r="R2" s="444" t="s">
        <v>4954</v>
      </c>
      <c r="S2" s="444" t="s">
        <v>4928</v>
      </c>
      <c r="T2" s="444" t="s">
        <v>464</v>
      </c>
      <c r="U2" s="444" t="s">
        <v>4076</v>
      </c>
      <c r="V2" s="445" t="s">
        <v>4120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4929</v>
      </c>
      <c r="Q4" s="218">
        <v>1</v>
      </c>
      <c r="R4" s="218" t="s">
        <v>4930</v>
      </c>
      <c r="S4" s="218" t="s">
        <v>5212</v>
      </c>
      <c r="T4" s="446" t="s">
        <v>5187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4931</v>
      </c>
      <c r="Q5" s="218">
        <v>1</v>
      </c>
      <c r="R5" s="218" t="s">
        <v>4930</v>
      </c>
      <c r="S5" s="218" t="s">
        <v>5213</v>
      </c>
      <c r="T5" s="446" t="s">
        <v>5188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4932</v>
      </c>
      <c r="Q6" s="218">
        <v>1</v>
      </c>
      <c r="R6" s="218" t="s">
        <v>4930</v>
      </c>
      <c r="S6" s="218" t="s">
        <v>5214</v>
      </c>
      <c r="T6" s="446" t="s">
        <v>5189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5208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4291</v>
      </c>
      <c r="N7" s="218">
        <v>24</v>
      </c>
      <c r="O7" s="218">
        <v>1</v>
      </c>
      <c r="P7" s="218" t="s">
        <v>4994</v>
      </c>
      <c r="Q7" s="218">
        <v>1</v>
      </c>
      <c r="R7" s="218" t="s">
        <v>4930</v>
      </c>
      <c r="S7" s="218" t="s">
        <v>5215</v>
      </c>
      <c r="T7" s="446" t="s">
        <v>5211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4933</v>
      </c>
      <c r="Q8" s="218">
        <v>1</v>
      </c>
      <c r="R8" s="218" t="s">
        <v>4930</v>
      </c>
      <c r="S8" s="218" t="s">
        <v>5216</v>
      </c>
      <c r="T8" s="446" t="s">
        <v>5190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4934</v>
      </c>
      <c r="Q9" s="218">
        <v>1</v>
      </c>
      <c r="R9" s="218" t="s">
        <v>4930</v>
      </c>
      <c r="S9" s="218" t="s">
        <v>5217</v>
      </c>
      <c r="T9" s="446" t="s">
        <v>5191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4935</v>
      </c>
      <c r="Q10" s="219">
        <v>1</v>
      </c>
      <c r="R10" s="219" t="s">
        <v>4930</v>
      </c>
      <c r="S10" s="219" t="s">
        <v>5218</v>
      </c>
      <c r="T10" s="446" t="s">
        <v>5192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5209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4936</v>
      </c>
      <c r="Q11" s="322">
        <v>1</v>
      </c>
      <c r="R11" s="322" t="s">
        <v>4930</v>
      </c>
      <c r="S11" s="322" t="s">
        <v>5219</v>
      </c>
      <c r="T11" s="446" t="s">
        <v>5193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4937</v>
      </c>
      <c r="Q12" s="322">
        <v>1</v>
      </c>
      <c r="R12" s="322" t="s">
        <v>4930</v>
      </c>
      <c r="S12" s="322" t="s">
        <v>4995</v>
      </c>
      <c r="T12" s="446" t="s">
        <v>5194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4938</v>
      </c>
      <c r="Q13" s="218">
        <v>1</v>
      </c>
      <c r="R13" s="218" t="s">
        <v>4930</v>
      </c>
      <c r="S13" s="218" t="s">
        <v>4996</v>
      </c>
      <c r="T13" s="446" t="s">
        <v>5195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4939</v>
      </c>
      <c r="Q14" s="218">
        <v>1</v>
      </c>
      <c r="R14" s="218" t="s">
        <v>4930</v>
      </c>
      <c r="S14" s="218" t="s">
        <v>4997</v>
      </c>
      <c r="T14" s="446" t="s">
        <v>5196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4083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4940</v>
      </c>
      <c r="Q15" s="218">
        <v>1</v>
      </c>
      <c r="R15" s="218" t="s">
        <v>4930</v>
      </c>
      <c r="S15" s="218" t="s">
        <v>4998</v>
      </c>
      <c r="T15" s="446" t="s">
        <v>5197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4941</v>
      </c>
      <c r="Q16" s="218">
        <v>1</v>
      </c>
      <c r="R16" s="218" t="s">
        <v>4930</v>
      </c>
      <c r="S16" s="218" t="s">
        <v>5220</v>
      </c>
      <c r="T16" s="446" t="s">
        <v>5198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4942</v>
      </c>
      <c r="Q17" s="218">
        <v>1</v>
      </c>
      <c r="R17" s="218" t="s">
        <v>4930</v>
      </c>
      <c r="S17" s="218" t="s">
        <v>5221</v>
      </c>
      <c r="T17" s="446" t="s">
        <v>5199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4289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4943</v>
      </c>
      <c r="Q18" s="218">
        <v>1</v>
      </c>
      <c r="R18" s="218" t="s">
        <v>4930</v>
      </c>
      <c r="S18" s="218" t="s">
        <v>5222</v>
      </c>
      <c r="T18" s="446" t="s">
        <v>5200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4944</v>
      </c>
      <c r="Q19" s="322">
        <v>1</v>
      </c>
      <c r="R19" s="322" t="s">
        <v>4930</v>
      </c>
      <c r="S19" s="322" t="s">
        <v>5223</v>
      </c>
      <c r="T19" s="446" t="s">
        <v>5201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4945</v>
      </c>
      <c r="Q20" s="218">
        <v>1</v>
      </c>
      <c r="R20" s="218" t="s">
        <v>4930</v>
      </c>
      <c r="S20" s="218" t="s">
        <v>5224</v>
      </c>
      <c r="T20" s="446" t="s">
        <v>5202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4946</v>
      </c>
      <c r="Q21" s="218">
        <v>1</v>
      </c>
      <c r="R21" s="218" t="s">
        <v>4930</v>
      </c>
      <c r="S21" s="218" t="s">
        <v>5225</v>
      </c>
      <c r="T21" s="446" t="s">
        <v>5203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4290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4947</v>
      </c>
      <c r="Q22" s="218">
        <v>1</v>
      </c>
      <c r="R22" s="218" t="s">
        <v>4930</v>
      </c>
      <c r="S22" s="218" t="s">
        <v>5226</v>
      </c>
      <c r="T22" s="446" t="s">
        <v>5204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4948</v>
      </c>
      <c r="Q23" s="218">
        <v>1</v>
      </c>
      <c r="R23" s="218" t="s">
        <v>4930</v>
      </c>
      <c r="S23" s="218" t="s">
        <v>5227</v>
      </c>
      <c r="T23" s="446" t="s">
        <v>5205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4949</v>
      </c>
      <c r="Q24" s="218">
        <v>1</v>
      </c>
      <c r="R24" s="218" t="s">
        <v>4930</v>
      </c>
      <c r="S24" s="218" t="s">
        <v>5228</v>
      </c>
      <c r="T24" s="446" t="s">
        <v>5206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4950</v>
      </c>
      <c r="Q25" s="218">
        <v>1</v>
      </c>
      <c r="R25" s="218" t="s">
        <v>4930</v>
      </c>
      <c r="S25" s="218" t="s">
        <v>5229</v>
      </c>
      <c r="T25" s="446" t="s">
        <v>5207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5210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4291</v>
      </c>
      <c r="N26" s="322">
        <v>24</v>
      </c>
      <c r="O26" s="322">
        <v>1</v>
      </c>
      <c r="P26" s="218" t="s">
        <v>4999</v>
      </c>
      <c r="Q26" s="218">
        <v>1</v>
      </c>
      <c r="R26" s="218" t="s">
        <v>4930</v>
      </c>
      <c r="S26" s="218" t="s">
        <v>5230</v>
      </c>
      <c r="T26" s="446" t="s">
        <v>5211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4114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5212</v>
      </c>
    </row>
    <row r="30" spans="1:22" ht="12.75" customHeight="1" x14ac:dyDescent="0.2">
      <c r="A30" s="348" t="s">
        <v>5231</v>
      </c>
      <c r="S30" s="348" t="s">
        <v>5213</v>
      </c>
      <c r="T30" s="445"/>
    </row>
    <row r="31" spans="1:22" x14ac:dyDescent="0.2">
      <c r="S31" s="348" t="s">
        <v>5214</v>
      </c>
      <c r="T31" s="445"/>
    </row>
    <row r="32" spans="1:22" x14ac:dyDescent="0.2">
      <c r="S32" s="348" t="s">
        <v>5215</v>
      </c>
      <c r="T32" s="445"/>
    </row>
    <row r="33" spans="19:20" x14ac:dyDescent="0.2">
      <c r="S33" s="348" t="s">
        <v>5216</v>
      </c>
      <c r="T33" s="445"/>
    </row>
    <row r="34" spans="19:20" x14ac:dyDescent="0.2">
      <c r="S34" s="348" t="s">
        <v>5217</v>
      </c>
      <c r="T34" s="445"/>
    </row>
    <row r="35" spans="19:20" x14ac:dyDescent="0.2">
      <c r="S35" s="348" t="s">
        <v>5218</v>
      </c>
      <c r="T35" s="445"/>
    </row>
    <row r="36" spans="19:20" x14ac:dyDescent="0.2">
      <c r="S36" s="348" t="s">
        <v>5219</v>
      </c>
      <c r="T36" s="445"/>
    </row>
    <row r="37" spans="19:20" x14ac:dyDescent="0.2">
      <c r="S37" s="348" t="s">
        <v>4995</v>
      </c>
      <c r="T37" s="445"/>
    </row>
    <row r="38" spans="19:20" x14ac:dyDescent="0.2">
      <c r="S38" s="348" t="s">
        <v>4996</v>
      </c>
      <c r="T38" s="445"/>
    </row>
    <row r="39" spans="19:20" x14ac:dyDescent="0.2">
      <c r="S39" s="348" t="s">
        <v>4997</v>
      </c>
      <c r="T39" s="445"/>
    </row>
    <row r="40" spans="19:20" x14ac:dyDescent="0.2">
      <c r="S40" s="348" t="s">
        <v>4998</v>
      </c>
      <c r="T40" s="445"/>
    </row>
    <row r="41" spans="19:20" x14ac:dyDescent="0.2">
      <c r="S41" s="348" t="s">
        <v>5220</v>
      </c>
      <c r="T41" s="445"/>
    </row>
    <row r="42" spans="19:20" x14ac:dyDescent="0.2">
      <c r="S42" s="348" t="s">
        <v>5221</v>
      </c>
      <c r="T42" s="445"/>
    </row>
    <row r="43" spans="19:20" x14ac:dyDescent="0.2">
      <c r="S43" s="348" t="s">
        <v>5222</v>
      </c>
      <c r="T43" s="445"/>
    </row>
    <row r="44" spans="19:20" x14ac:dyDescent="0.2">
      <c r="S44" s="348" t="s">
        <v>5223</v>
      </c>
      <c r="T44" s="445"/>
    </row>
    <row r="45" spans="19:20" x14ac:dyDescent="0.2">
      <c r="S45" s="348" t="s">
        <v>5224</v>
      </c>
      <c r="T45" s="445"/>
    </row>
    <row r="46" spans="19:20" x14ac:dyDescent="0.2">
      <c r="S46" s="348" t="s">
        <v>5225</v>
      </c>
      <c r="T46" s="445"/>
    </row>
    <row r="47" spans="19:20" x14ac:dyDescent="0.2">
      <c r="S47" s="348" t="s">
        <v>5226</v>
      </c>
      <c r="T47" s="445"/>
    </row>
    <row r="48" spans="19:20" x14ac:dyDescent="0.2">
      <c r="S48" s="348" t="s">
        <v>5227</v>
      </c>
      <c r="T48" s="445"/>
    </row>
    <row r="49" spans="19:20" x14ac:dyDescent="0.2">
      <c r="S49" s="348" t="s">
        <v>5228</v>
      </c>
      <c r="T49" s="445"/>
    </row>
    <row r="50" spans="19:20" x14ac:dyDescent="0.2">
      <c r="S50" s="348" t="s">
        <v>5229</v>
      </c>
      <c r="T50" s="445"/>
    </row>
    <row r="51" spans="19:20" x14ac:dyDescent="0.2">
      <c r="S51" s="348" t="s">
        <v>5230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4088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4274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18-sep-2017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4549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3493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1" t="e">
        <f>IF(_Neo_AfsprD_WondkweekTekst=0,"",_Neo_AfsprD_WondkweekTekst)</f>
        <v>#NAME?</v>
      </c>
      <c r="I31" s="916"/>
    </row>
    <row r="32" spans="3:15" ht="18" customHeight="1" x14ac:dyDescent="0.2">
      <c r="C32" s="540"/>
      <c r="H32" s="916"/>
      <c r="I32" s="916"/>
    </row>
    <row r="33" spans="3:14" ht="18" customHeight="1" x14ac:dyDescent="0.2">
      <c r="H33" s="916"/>
      <c r="I33" s="916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18-sep-2017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4550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4551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3493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7" t="str">
        <f>IF(_Neo_Lab_Opm=0,"",_Neo_Lab_Opm)</f>
        <v/>
      </c>
      <c r="D41" s="918"/>
      <c r="E41" s="918"/>
      <c r="F41" s="918"/>
      <c r="G41" s="918"/>
      <c r="H41" s="918"/>
      <c r="I41" s="918"/>
      <c r="J41" s="918"/>
      <c r="K41" s="918"/>
      <c r="L41" s="918"/>
      <c r="M41" s="918"/>
      <c r="N41" s="918"/>
      <c r="O41" s="918"/>
      <c r="P41" s="918"/>
      <c r="Q41" s="918"/>
      <c r="R41" s="918"/>
      <c r="S41" s="918"/>
      <c r="T41" s="918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9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20"/>
      <c r="F21" s="920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2">
        <f ca="1">TODAY()</f>
        <v>42996</v>
      </c>
      <c r="N1" s="923"/>
      <c r="O1" s="640"/>
      <c r="P1" s="640"/>
      <c r="Q1" s="111">
        <f ca="1">NOW()</f>
        <v>42996.698176851853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24">
        <f>__0_PatNum</f>
        <v>0</v>
      </c>
      <c r="N3" s="924"/>
      <c r="O3" s="641"/>
      <c r="P3" s="641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25" t="str">
        <f ca="1">Txt_Pat_GeboorteDat</f>
        <v/>
      </c>
      <c r="N5" s="925"/>
      <c r="O5" s="925"/>
      <c r="P5" s="925"/>
      <c r="Q5" s="925"/>
      <c r="R5" s="925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26" t="str">
        <f ca="1">Txt_Pat_AfspraakDat</f>
        <v>18-sep-2017</v>
      </c>
      <c r="E9" s="926"/>
      <c r="F9" s="923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7" t="str">
        <f ca="1">Txt_Pat_Leeftijd</f>
        <v/>
      </c>
      <c r="J10" s="923"/>
      <c r="K10" s="923"/>
      <c r="L10" s="923"/>
      <c r="M10" s="923"/>
      <c r="N10" s="923"/>
      <c r="O10" s="923"/>
      <c r="P10" s="923"/>
      <c r="Q10" s="928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1" t="s">
        <v>89</v>
      </c>
      <c r="C69" s="921"/>
      <c r="D69" s="921"/>
      <c r="E69" s="921"/>
      <c r="F69" s="921"/>
      <c r="G69" s="921"/>
      <c r="H69" s="921"/>
      <c r="I69" s="921"/>
      <c r="J69" s="921"/>
      <c r="K69" s="921"/>
      <c r="L69" s="921"/>
      <c r="M69" s="921"/>
      <c r="N69" s="921"/>
      <c r="O69" s="921"/>
      <c r="P69" s="921"/>
      <c r="Q69" s="921"/>
      <c r="R69" s="921"/>
      <c r="S69" s="921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1" t="s">
        <v>57</v>
      </c>
      <c r="C80" s="921"/>
      <c r="D80" s="921"/>
      <c r="E80" s="921"/>
      <c r="F80" s="921"/>
      <c r="G80" s="921"/>
      <c r="H80" s="921"/>
      <c r="I80" s="921"/>
      <c r="J80" s="921"/>
      <c r="K80" s="921"/>
      <c r="L80" s="921"/>
      <c r="M80" s="921"/>
      <c r="N80" s="921"/>
      <c r="O80" s="921"/>
      <c r="P80" s="921"/>
      <c r="Q80" s="921"/>
      <c r="R80" s="921"/>
      <c r="S80" s="921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5182</v>
      </c>
      <c r="B1" s="115" t="s">
        <v>4993</v>
      </c>
      <c r="H1" s="929" t="s">
        <v>408</v>
      </c>
      <c r="I1" s="929"/>
      <c r="J1" s="930" t="str">
        <f ca="1">DateToString(TODAY())</f>
        <v>18-sep-2017</v>
      </c>
      <c r="K1" s="930"/>
      <c r="L1" s="930"/>
      <c r="M1" s="929" t="s">
        <v>399</v>
      </c>
      <c r="N1" s="929"/>
      <c r="O1" s="929">
        <f>__1_Bed</f>
        <v>0</v>
      </c>
      <c r="P1" s="929"/>
    </row>
    <row r="2" spans="1:17" x14ac:dyDescent="0.2">
      <c r="B2" s="931" t="s">
        <v>407</v>
      </c>
      <c r="C2" s="931"/>
      <c r="D2" s="932" t="str">
        <f>__3_VoorNaam&amp;" "&amp;__2_AchterNaam</f>
        <v xml:space="preserve"> </v>
      </c>
      <c r="E2" s="932"/>
      <c r="F2" s="932"/>
      <c r="G2" s="932"/>
      <c r="H2" s="929" t="s">
        <v>411</v>
      </c>
      <c r="I2" s="929"/>
      <c r="J2" s="924" t="s">
        <v>3513</v>
      </c>
      <c r="K2" s="924"/>
      <c r="L2" s="924"/>
      <c r="M2" s="929" t="s">
        <v>409</v>
      </c>
      <c r="N2" s="929"/>
      <c r="O2" s="933">
        <f ca="1">NOW()</f>
        <v>42996.698176851853</v>
      </c>
      <c r="P2" s="933"/>
    </row>
    <row r="3" spans="1:17" x14ac:dyDescent="0.2">
      <c r="B3" s="321" t="s">
        <v>5183</v>
      </c>
      <c r="D3" s="929">
        <f>__0_PatNum</f>
        <v>0</v>
      </c>
      <c r="E3" s="929"/>
      <c r="H3" s="931" t="s">
        <v>410</v>
      </c>
      <c r="I3" s="931"/>
      <c r="J3" s="115">
        <f>(_Pat_Gewicht/10)</f>
        <v>0</v>
      </c>
      <c r="K3" s="321" t="s">
        <v>498</v>
      </c>
      <c r="L3" s="117"/>
      <c r="M3" s="929" t="s">
        <v>426</v>
      </c>
      <c r="N3" s="929"/>
      <c r="O3" s="931"/>
      <c r="P3" s="931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4" t="s">
        <v>4951</v>
      </c>
      <c r="C9" s="934"/>
      <c r="D9" s="934"/>
      <c r="E9" s="934"/>
      <c r="F9" s="934"/>
      <c r="G9" s="934"/>
      <c r="H9" s="934"/>
      <c r="I9" s="934"/>
      <c r="J9" s="935" t="s">
        <v>5184</v>
      </c>
      <c r="K9" s="935"/>
      <c r="L9" s="935"/>
      <c r="M9" s="935" t="s">
        <v>4952</v>
      </c>
      <c r="N9" s="935"/>
      <c r="O9" s="935" t="s">
        <v>4953</v>
      </c>
      <c r="P9" s="935"/>
      <c r="Q9" s="117"/>
    </row>
    <row r="10" spans="1:17" ht="15.75" customHeight="1" x14ac:dyDescent="0.2">
      <c r="A10" s="783"/>
      <c r="B10" s="936" t="str">
        <f>"Product: "&amp;INDEX(Tbl_Neo_BerMedCont,A5,20)</f>
        <v xml:space="preserve">Product: </v>
      </c>
      <c r="C10" s="936"/>
      <c r="D10" s="936"/>
      <c r="E10" s="936"/>
      <c r="F10" s="936"/>
      <c r="G10" s="936"/>
      <c r="H10" s="936"/>
      <c r="I10" s="936"/>
      <c r="J10" s="936"/>
      <c r="K10" s="936"/>
      <c r="L10" s="936"/>
      <c r="M10" s="936"/>
      <c r="N10" s="936"/>
      <c r="O10" s="936"/>
      <c r="P10" s="936"/>
      <c r="Q10" s="117"/>
    </row>
    <row r="11" spans="1:17" ht="15.75" customHeight="1" x14ac:dyDescent="0.2">
      <c r="A11" s="783"/>
      <c r="B11" s="936"/>
      <c r="C11" s="936"/>
      <c r="D11" s="936"/>
      <c r="E11" s="936"/>
      <c r="F11" s="936"/>
      <c r="G11" s="936"/>
      <c r="H11" s="936"/>
      <c r="I11" s="936"/>
      <c r="J11" s="936"/>
      <c r="K11" s="936"/>
      <c r="L11" s="936"/>
      <c r="M11" s="936"/>
      <c r="N11" s="936"/>
      <c r="O11" s="936"/>
      <c r="P11" s="936"/>
      <c r="Q11" s="117"/>
    </row>
    <row r="12" spans="1:17" ht="9.9499999999999993" customHeight="1" x14ac:dyDescent="0.2">
      <c r="A12" s="783"/>
      <c r="B12" s="936"/>
      <c r="C12" s="936"/>
      <c r="D12" s="936"/>
      <c r="E12" s="936"/>
      <c r="F12" s="936"/>
      <c r="G12" s="936"/>
      <c r="H12" s="936"/>
      <c r="I12" s="936"/>
      <c r="J12" s="936"/>
      <c r="K12" s="936"/>
      <c r="L12" s="936"/>
      <c r="M12" s="936"/>
      <c r="N12" s="936"/>
      <c r="O12" s="936"/>
      <c r="P12" s="936"/>
      <c r="Q12" s="117"/>
    </row>
    <row r="13" spans="1:17" ht="15.75" customHeight="1" x14ac:dyDescent="0.2">
      <c r="A13" s="783"/>
      <c r="B13" s="936" t="str">
        <f>"Oplosmiddel: "&amp;IFERROR( VLOOKUP(J6,Tbl_Glob_ParEnt,14,FALSE),"")</f>
        <v xml:space="preserve">Oplosmiddel: </v>
      </c>
      <c r="C13" s="936"/>
      <c r="D13" s="936"/>
      <c r="E13" s="936"/>
      <c r="F13" s="936"/>
      <c r="G13" s="936"/>
      <c r="H13" s="936"/>
      <c r="I13" s="936"/>
      <c r="J13" s="936"/>
      <c r="K13" s="936"/>
      <c r="L13" s="936"/>
      <c r="M13" s="936"/>
      <c r="N13" s="936"/>
      <c r="O13" s="936"/>
      <c r="P13" s="936"/>
      <c r="Q13" s="117"/>
    </row>
    <row r="14" spans="1:17" ht="15.75" customHeight="1" x14ac:dyDescent="0.2">
      <c r="A14" s="783"/>
      <c r="B14" s="936"/>
      <c r="C14" s="936"/>
      <c r="D14" s="936"/>
      <c r="E14" s="936"/>
      <c r="F14" s="936"/>
      <c r="G14" s="936"/>
      <c r="H14" s="936"/>
      <c r="I14" s="936"/>
      <c r="J14" s="936"/>
      <c r="K14" s="936"/>
      <c r="L14" s="936"/>
      <c r="M14" s="936"/>
      <c r="N14" s="936"/>
      <c r="O14" s="936"/>
      <c r="P14" s="936"/>
      <c r="Q14" s="117"/>
    </row>
    <row r="15" spans="1:17" ht="15.75" customHeight="1" x14ac:dyDescent="0.2">
      <c r="A15" s="783"/>
      <c r="B15" s="936"/>
      <c r="C15" s="936"/>
      <c r="D15" s="936"/>
      <c r="E15" s="936"/>
      <c r="F15" s="936"/>
      <c r="G15" s="936"/>
      <c r="H15" s="936"/>
      <c r="I15" s="936"/>
      <c r="J15" s="936"/>
      <c r="K15" s="936"/>
      <c r="L15" s="936"/>
      <c r="M15" s="936"/>
      <c r="N15" s="936"/>
      <c r="O15" s="936"/>
      <c r="P15" s="936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4928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7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7"/>
      <c r="D19" s="937"/>
      <c r="E19" s="937"/>
      <c r="F19" s="937"/>
      <c r="G19" s="937"/>
      <c r="H19" s="937"/>
      <c r="I19" s="937"/>
      <c r="J19" s="937"/>
      <c r="K19" s="937"/>
      <c r="L19" s="937"/>
      <c r="M19" s="937"/>
      <c r="N19" s="937"/>
      <c r="O19" s="937"/>
      <c r="P19" s="937"/>
      <c r="Q19" s="117"/>
    </row>
    <row r="20" spans="1:17" ht="9.9499999999999993" customHeight="1" x14ac:dyDescent="0.2">
      <c r="A20" s="783"/>
      <c r="B20" s="937"/>
      <c r="C20" s="937"/>
      <c r="D20" s="937"/>
      <c r="E20" s="937"/>
      <c r="F20" s="937"/>
      <c r="G20" s="937"/>
      <c r="H20" s="937"/>
      <c r="I20" s="937"/>
      <c r="J20" s="937"/>
      <c r="K20" s="937"/>
      <c r="L20" s="937"/>
      <c r="M20" s="937"/>
      <c r="N20" s="937"/>
      <c r="O20" s="937"/>
      <c r="P20" s="937"/>
      <c r="Q20" s="117"/>
    </row>
    <row r="21" spans="1:17" ht="14.25" customHeight="1" x14ac:dyDescent="0.2">
      <c r="A21" s="783"/>
      <c r="B21" s="937"/>
      <c r="C21" s="937"/>
      <c r="D21" s="937"/>
      <c r="E21" s="937"/>
      <c r="F21" s="937"/>
      <c r="G21" s="937"/>
      <c r="H21" s="937"/>
      <c r="I21" s="937"/>
      <c r="J21" s="937"/>
      <c r="K21" s="937"/>
      <c r="L21" s="937"/>
      <c r="M21" s="937"/>
      <c r="N21" s="937"/>
      <c r="O21" s="937"/>
      <c r="P21" s="937"/>
      <c r="Q21" s="117"/>
    </row>
    <row r="22" spans="1:17" ht="14.25" customHeight="1" x14ac:dyDescent="0.2">
      <c r="A22" s="783"/>
      <c r="B22" s="937"/>
      <c r="C22" s="937"/>
      <c r="D22" s="937"/>
      <c r="E22" s="937"/>
      <c r="F22" s="937"/>
      <c r="G22" s="937"/>
      <c r="H22" s="937"/>
      <c r="I22" s="937"/>
      <c r="J22" s="937"/>
      <c r="K22" s="937"/>
      <c r="L22" s="937"/>
      <c r="M22" s="937"/>
      <c r="N22" s="937"/>
      <c r="O22" s="937"/>
      <c r="P22" s="937"/>
      <c r="Q22" s="117"/>
    </row>
    <row r="23" spans="1:17" ht="14.25" customHeight="1" x14ac:dyDescent="0.2">
      <c r="A23" s="783"/>
      <c r="B23" s="937"/>
      <c r="C23" s="937"/>
      <c r="D23" s="937"/>
      <c r="E23" s="937"/>
      <c r="F23" s="937"/>
      <c r="G23" s="937"/>
      <c r="H23" s="937"/>
      <c r="I23" s="937"/>
      <c r="J23" s="937"/>
      <c r="K23" s="937"/>
      <c r="L23" s="937"/>
      <c r="M23" s="937"/>
      <c r="N23" s="937"/>
      <c r="O23" s="937"/>
      <c r="P23" s="937"/>
      <c r="Q23" s="117"/>
    </row>
    <row r="24" spans="1:17" ht="9.9499999999999993" customHeight="1" x14ac:dyDescent="0.2">
      <c r="A24" s="783"/>
      <c r="B24" s="937"/>
      <c r="C24" s="937"/>
      <c r="D24" s="937"/>
      <c r="E24" s="937"/>
      <c r="F24" s="937"/>
      <c r="G24" s="937"/>
      <c r="H24" s="937"/>
      <c r="I24" s="937"/>
      <c r="J24" s="937"/>
      <c r="K24" s="937"/>
      <c r="L24" s="937"/>
      <c r="M24" s="937"/>
      <c r="N24" s="937"/>
      <c r="O24" s="937"/>
      <c r="P24" s="937"/>
      <c r="Q24" s="117"/>
    </row>
    <row r="25" spans="1:17" ht="14.25" customHeight="1" x14ac:dyDescent="0.2">
      <c r="A25" s="783"/>
      <c r="B25" s="937"/>
      <c r="C25" s="937"/>
      <c r="D25" s="937"/>
      <c r="E25" s="937"/>
      <c r="F25" s="937"/>
      <c r="G25" s="937"/>
      <c r="H25" s="937"/>
      <c r="I25" s="937"/>
      <c r="J25" s="937"/>
      <c r="K25" s="937"/>
      <c r="L25" s="937"/>
      <c r="M25" s="937"/>
      <c r="N25" s="937"/>
      <c r="O25" s="937"/>
      <c r="P25" s="937"/>
      <c r="Q25" s="117"/>
    </row>
    <row r="26" spans="1:17" ht="14.25" customHeight="1" x14ac:dyDescent="0.2">
      <c r="A26" s="783"/>
      <c r="B26" s="937"/>
      <c r="C26" s="937"/>
      <c r="D26" s="937"/>
      <c r="E26" s="937"/>
      <c r="F26" s="937"/>
      <c r="G26" s="937"/>
      <c r="H26" s="937"/>
      <c r="I26" s="937"/>
      <c r="J26" s="937"/>
      <c r="K26" s="937"/>
      <c r="L26" s="937"/>
      <c r="M26" s="937"/>
      <c r="N26" s="937"/>
      <c r="O26" s="937"/>
      <c r="P26" s="937"/>
      <c r="Q26" s="117"/>
    </row>
    <row r="27" spans="1:17" ht="14.25" customHeight="1" x14ac:dyDescent="0.2">
      <c r="A27" s="783"/>
      <c r="B27" s="937"/>
      <c r="C27" s="937"/>
      <c r="D27" s="937"/>
      <c r="E27" s="937"/>
      <c r="F27" s="937"/>
      <c r="G27" s="937"/>
      <c r="H27" s="937"/>
      <c r="I27" s="937"/>
      <c r="J27" s="937"/>
      <c r="K27" s="937"/>
      <c r="L27" s="937"/>
      <c r="M27" s="937"/>
      <c r="N27" s="937"/>
      <c r="O27" s="937"/>
      <c r="P27" s="937"/>
      <c r="Q27" s="117"/>
    </row>
    <row r="28" spans="1:17" ht="9.9499999999999993" customHeight="1" x14ac:dyDescent="0.2">
      <c r="A28" s="783"/>
      <c r="B28" s="937"/>
      <c r="C28" s="937"/>
      <c r="D28" s="937"/>
      <c r="E28" s="937"/>
      <c r="F28" s="937"/>
      <c r="G28" s="937"/>
      <c r="H28" s="937"/>
      <c r="I28" s="937"/>
      <c r="J28" s="937"/>
      <c r="K28" s="937"/>
      <c r="L28" s="937"/>
      <c r="M28" s="937"/>
      <c r="N28" s="937"/>
      <c r="O28" s="937"/>
      <c r="P28" s="937"/>
      <c r="Q28" s="117"/>
    </row>
    <row r="29" spans="1:17" ht="14.25" customHeight="1" x14ac:dyDescent="0.2">
      <c r="A29" s="783"/>
      <c r="B29" s="937"/>
      <c r="C29" s="937"/>
      <c r="D29" s="937"/>
      <c r="E29" s="937"/>
      <c r="F29" s="937"/>
      <c r="G29" s="937"/>
      <c r="H29" s="937"/>
      <c r="I29" s="937"/>
      <c r="J29" s="937"/>
      <c r="K29" s="937"/>
      <c r="L29" s="937"/>
      <c r="M29" s="937"/>
      <c r="N29" s="937"/>
      <c r="O29" s="937"/>
      <c r="P29" s="937"/>
      <c r="Q29" s="117"/>
    </row>
    <row r="30" spans="1:17" ht="14.25" customHeight="1" x14ac:dyDescent="0.2">
      <c r="A30" s="783"/>
      <c r="B30" s="937"/>
      <c r="C30" s="937"/>
      <c r="D30" s="937"/>
      <c r="E30" s="937"/>
      <c r="F30" s="937"/>
      <c r="G30" s="937"/>
      <c r="H30" s="937"/>
      <c r="I30" s="937"/>
      <c r="J30" s="937"/>
      <c r="K30" s="937"/>
      <c r="L30" s="937"/>
      <c r="M30" s="937"/>
      <c r="N30" s="937"/>
      <c r="O30" s="937"/>
      <c r="P30" s="937"/>
      <c r="Q30" s="117"/>
    </row>
    <row r="31" spans="1:17" ht="14.25" customHeight="1" x14ac:dyDescent="0.2">
      <c r="A31" s="783"/>
      <c r="B31" s="937"/>
      <c r="C31" s="937"/>
      <c r="D31" s="937"/>
      <c r="E31" s="937"/>
      <c r="F31" s="937"/>
      <c r="G31" s="937"/>
      <c r="H31" s="937"/>
      <c r="I31" s="937"/>
      <c r="J31" s="937"/>
      <c r="K31" s="937"/>
      <c r="L31" s="937"/>
      <c r="M31" s="937"/>
      <c r="N31" s="937"/>
      <c r="O31" s="937"/>
      <c r="P31" s="937"/>
      <c r="Q31" s="117"/>
    </row>
    <row r="32" spans="1:17" ht="9.9499999999999993" customHeight="1" x14ac:dyDescent="0.2">
      <c r="A32" s="783"/>
      <c r="B32" s="937"/>
      <c r="C32" s="937"/>
      <c r="D32" s="937"/>
      <c r="E32" s="937"/>
      <c r="F32" s="937"/>
      <c r="G32" s="937"/>
      <c r="H32" s="937"/>
      <c r="I32" s="937"/>
      <c r="J32" s="937"/>
      <c r="K32" s="937"/>
      <c r="L32" s="937"/>
      <c r="M32" s="937"/>
      <c r="N32" s="937"/>
      <c r="O32" s="937"/>
      <c r="P32" s="937"/>
      <c r="Q32" s="117"/>
    </row>
    <row r="33" spans="1:17" ht="14.25" customHeight="1" x14ac:dyDescent="0.2">
      <c r="A33" s="783"/>
      <c r="B33" s="937"/>
      <c r="C33" s="937"/>
      <c r="D33" s="937"/>
      <c r="E33" s="937"/>
      <c r="F33" s="937"/>
      <c r="G33" s="937"/>
      <c r="H33" s="937"/>
      <c r="I33" s="937"/>
      <c r="J33" s="937"/>
      <c r="K33" s="937"/>
      <c r="L33" s="937"/>
      <c r="M33" s="937"/>
      <c r="N33" s="937"/>
      <c r="O33" s="937"/>
      <c r="P33" s="937"/>
      <c r="Q33" s="117"/>
    </row>
    <row r="34" spans="1:17" ht="14.25" customHeight="1" x14ac:dyDescent="0.2">
      <c r="A34" s="783"/>
      <c r="B34" s="937"/>
      <c r="C34" s="937"/>
      <c r="D34" s="937"/>
      <c r="E34" s="937"/>
      <c r="F34" s="937"/>
      <c r="G34" s="937"/>
      <c r="H34" s="937"/>
      <c r="I34" s="937"/>
      <c r="J34" s="937"/>
      <c r="K34" s="937"/>
      <c r="L34" s="937"/>
      <c r="M34" s="937"/>
      <c r="N34" s="937"/>
      <c r="O34" s="937"/>
      <c r="P34" s="937"/>
      <c r="Q34" s="117"/>
    </row>
    <row r="35" spans="1:17" ht="14.25" customHeight="1" x14ac:dyDescent="0.2">
      <c r="A35" s="783"/>
      <c r="B35" s="937"/>
      <c r="C35" s="937"/>
      <c r="D35" s="937"/>
      <c r="E35" s="937"/>
      <c r="F35" s="937"/>
      <c r="G35" s="937"/>
      <c r="H35" s="937"/>
      <c r="I35" s="937"/>
      <c r="J35" s="937"/>
      <c r="K35" s="937"/>
      <c r="L35" s="937"/>
      <c r="M35" s="937"/>
      <c r="N35" s="937"/>
      <c r="O35" s="937"/>
      <c r="P35" s="937"/>
      <c r="Q35" s="117"/>
    </row>
    <row r="36" spans="1:17" ht="9.9499999999999993" customHeight="1" x14ac:dyDescent="0.2">
      <c r="A36" s="783"/>
      <c r="B36" s="937"/>
      <c r="C36" s="937"/>
      <c r="D36" s="937"/>
      <c r="E36" s="937"/>
      <c r="F36" s="937"/>
      <c r="G36" s="937"/>
      <c r="H36" s="937"/>
      <c r="I36" s="937"/>
      <c r="J36" s="937"/>
      <c r="K36" s="937"/>
      <c r="L36" s="937"/>
      <c r="M36" s="937"/>
      <c r="N36" s="937"/>
      <c r="O36" s="937"/>
      <c r="P36" s="937"/>
      <c r="Q36" s="117"/>
    </row>
    <row r="37" spans="1:17" ht="14.25" customHeight="1" x14ac:dyDescent="0.2">
      <c r="A37" s="783"/>
      <c r="B37" s="937"/>
      <c r="C37" s="937"/>
      <c r="D37" s="937"/>
      <c r="E37" s="937"/>
      <c r="F37" s="937"/>
      <c r="G37" s="937"/>
      <c r="H37" s="937"/>
      <c r="I37" s="937"/>
      <c r="J37" s="937"/>
      <c r="K37" s="937"/>
      <c r="L37" s="937"/>
      <c r="M37" s="937"/>
      <c r="N37" s="937"/>
      <c r="O37" s="937"/>
      <c r="P37" s="937"/>
      <c r="Q37" s="117"/>
    </row>
    <row r="38" spans="1:17" ht="14.25" customHeight="1" x14ac:dyDescent="0.2">
      <c r="A38" s="783"/>
      <c r="B38" s="937"/>
      <c r="C38" s="937"/>
      <c r="D38" s="937"/>
      <c r="E38" s="937"/>
      <c r="F38" s="937"/>
      <c r="G38" s="937"/>
      <c r="H38" s="937"/>
      <c r="I38" s="937"/>
      <c r="J38" s="937"/>
      <c r="K38" s="937"/>
      <c r="L38" s="937"/>
      <c r="M38" s="937"/>
      <c r="N38" s="937"/>
      <c r="O38" s="937"/>
      <c r="P38" s="937"/>
      <c r="Q38" s="117"/>
    </row>
    <row r="39" spans="1:17" ht="14.25" customHeight="1" x14ac:dyDescent="0.2">
      <c r="A39" s="783"/>
      <c r="B39" s="937"/>
      <c r="C39" s="937"/>
      <c r="D39" s="937"/>
      <c r="E39" s="937"/>
      <c r="F39" s="937"/>
      <c r="G39" s="937"/>
      <c r="H39" s="937"/>
      <c r="I39" s="937"/>
      <c r="J39" s="937"/>
      <c r="K39" s="937"/>
      <c r="L39" s="937"/>
      <c r="M39" s="937"/>
      <c r="N39" s="937"/>
      <c r="O39" s="937"/>
      <c r="P39" s="937"/>
      <c r="Q39" s="117"/>
    </row>
    <row r="40" spans="1:17" ht="9.75" customHeight="1" x14ac:dyDescent="0.2">
      <c r="A40" s="783"/>
      <c r="B40" s="937"/>
      <c r="C40" s="937"/>
      <c r="D40" s="937"/>
      <c r="E40" s="937"/>
      <c r="F40" s="937"/>
      <c r="G40" s="937"/>
      <c r="H40" s="937"/>
      <c r="I40" s="937"/>
      <c r="J40" s="937"/>
      <c r="K40" s="937"/>
      <c r="L40" s="937"/>
      <c r="M40" s="937"/>
      <c r="N40" s="937"/>
      <c r="O40" s="937"/>
      <c r="P40" s="937"/>
      <c r="Q40" s="117"/>
    </row>
    <row r="41" spans="1:17" ht="14.25" customHeight="1" x14ac:dyDescent="0.2">
      <c r="A41" s="783"/>
      <c r="B41" s="937"/>
      <c r="C41" s="937"/>
      <c r="D41" s="937"/>
      <c r="E41" s="937"/>
      <c r="F41" s="937"/>
      <c r="G41" s="937"/>
      <c r="H41" s="937"/>
      <c r="I41" s="937"/>
      <c r="J41" s="937"/>
      <c r="K41" s="937"/>
      <c r="L41" s="937"/>
      <c r="M41" s="937"/>
      <c r="N41" s="937"/>
      <c r="O41" s="937"/>
      <c r="P41" s="937"/>
      <c r="Q41" s="117"/>
    </row>
    <row r="42" spans="1:17" ht="14.25" customHeight="1" x14ac:dyDescent="0.2">
      <c r="A42" s="783"/>
      <c r="B42" s="937"/>
      <c r="C42" s="937"/>
      <c r="D42" s="937"/>
      <c r="E42" s="937"/>
      <c r="F42" s="937"/>
      <c r="G42" s="937"/>
      <c r="H42" s="937"/>
      <c r="I42" s="937"/>
      <c r="J42" s="937"/>
      <c r="K42" s="937"/>
      <c r="L42" s="937"/>
      <c r="M42" s="937"/>
      <c r="N42" s="937"/>
      <c r="O42" s="937"/>
      <c r="P42" s="937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8">
        <f ca="1">IF(E44&lt;=$A$17,TODAY(),"")</f>
        <v>42996</v>
      </c>
      <c r="B45" s="938"/>
      <c r="C45" s="939">
        <f>IF(E44&lt;=$A$17,$O$1,"")</f>
        <v>0</v>
      </c>
      <c r="D45" s="939"/>
      <c r="F45" s="125"/>
      <c r="G45" s="938">
        <f ca="1">IF(K44&lt;=$A$17,TODAY(),"")</f>
        <v>42996</v>
      </c>
      <c r="H45" s="938"/>
      <c r="I45" s="939">
        <f>IF(K44&lt;=$A$17,$O$1,"")</f>
        <v>0</v>
      </c>
      <c r="J45" s="939"/>
      <c r="L45" s="125"/>
      <c r="M45" s="938">
        <f ca="1">IF(Q44&lt;=$A$17,TODAY(),"")</f>
        <v>42996</v>
      </c>
      <c r="N45" s="938"/>
      <c r="O45" s="939">
        <f>IF(Q44&lt;=$A$17,$O$1,"")</f>
        <v>0</v>
      </c>
      <c r="P45" s="939"/>
    </row>
    <row r="46" spans="1:17" ht="12" customHeight="1" x14ac:dyDescent="0.2">
      <c r="A46" s="924" t="str">
        <f>IF(E44&lt;=$A$17,$D$2,"")</f>
        <v xml:space="preserve"> </v>
      </c>
      <c r="B46" s="924"/>
      <c r="C46" s="924"/>
      <c r="D46" s="924"/>
      <c r="E46" s="924"/>
      <c r="F46" s="125"/>
      <c r="G46" s="924" t="str">
        <f>IF(K44&lt;=$A$17,$D$2,"")</f>
        <v xml:space="preserve"> </v>
      </c>
      <c r="H46" s="924"/>
      <c r="I46" s="924"/>
      <c r="J46" s="924"/>
      <c r="K46" s="924"/>
      <c r="L46" s="125"/>
      <c r="M46" s="924" t="str">
        <f>IF(Q44&lt;=$A$17,$D$2,"")</f>
        <v xml:space="preserve"> </v>
      </c>
      <c r="N46" s="924"/>
      <c r="O46" s="924"/>
      <c r="P46" s="924"/>
      <c r="Q46" s="924"/>
    </row>
    <row r="47" spans="1:17" ht="12" customHeight="1" x14ac:dyDescent="0.2">
      <c r="A47" s="939" t="str">
        <f>IF(E44&lt;=$A$17,$D$5&amp;" "&amp;IF(Var_Neo_InfB_Cont_DubbeleHoev,$G$5/2,$G$5)&amp;" "&amp;$H$5,"")</f>
        <v xml:space="preserve"> 0 </v>
      </c>
      <c r="B47" s="939"/>
      <c r="C47" s="939"/>
      <c r="D47" s="939"/>
      <c r="E47" s="939"/>
      <c r="F47" s="125"/>
      <c r="G47" s="939" t="str">
        <f>IF(K44&lt;=$A$17,$D$5&amp;" "&amp;IF(Var_Neo_InfB_Cont_DubbeleHoev,$G$5/2,$G$5)&amp;" "&amp;$H$5,"")</f>
        <v xml:space="preserve"> 0 </v>
      </c>
      <c r="H47" s="939"/>
      <c r="I47" s="939"/>
      <c r="J47" s="939"/>
      <c r="K47" s="939"/>
      <c r="L47" s="125"/>
      <c r="M47" s="939" t="str">
        <f>IF(Q44&lt;=$A$17,$D$5&amp;" "&amp;IF(Var_Neo_InfB_Cont_DubbeleHoev,$G$5/2,$G$5)&amp;" "&amp;$H$5,"")</f>
        <v xml:space="preserve"> 0 </v>
      </c>
      <c r="N47" s="939"/>
      <c r="O47" s="939"/>
      <c r="P47" s="939"/>
      <c r="Q47" s="939"/>
    </row>
    <row r="48" spans="1:17" ht="12" customHeight="1" x14ac:dyDescent="0.2">
      <c r="A48" s="939" t="e">
        <f>IF(E44&lt;=$A$17,$I$6&amp;" "&amp;IF(Var_Neo_InfB_Cont_DubbeleHoev,($N$7+$O$7/10)/2,$N$7+$O$7/10)&amp;" ml "&amp;$J$6&amp;" "&amp;$K$6,"")</f>
        <v>#VALUE!</v>
      </c>
      <c r="B48" s="939"/>
      <c r="C48" s="939"/>
      <c r="D48" s="940" t="str">
        <f>IF(E44&lt;=$A$17,"(12 ml extra)","")</f>
        <v>(12 ml extra)</v>
      </c>
      <c r="E48" s="940"/>
      <c r="F48" s="125"/>
      <c r="G48" s="939" t="e">
        <f>IF(K44&lt;=$A$17,$I$6&amp;" "&amp;IF(Var_Neo_InfB_Cont_DubbeleHoev,($N$7+$O$7/10)/2,$N$7+$O$7/10)&amp;" ml "&amp;$J$6&amp;" "&amp;$K$6,"")</f>
        <v>#VALUE!</v>
      </c>
      <c r="H48" s="939"/>
      <c r="I48" s="939"/>
      <c r="J48" s="940" t="str">
        <f>IF(K44&lt;=$A$17,"(12 ml extra)","")</f>
        <v>(12 ml extra)</v>
      </c>
      <c r="K48" s="940"/>
      <c r="L48" s="125"/>
      <c r="M48" s="939" t="e">
        <f>IF(Q44&lt;=$A$17,$I$6&amp;" "&amp;IF(Var_Neo_InfB_Cont_DubbeleHoev,($N$7+$O$7/10)/2,$N$7+$O$7/10)&amp;" ml "&amp;$J$6&amp;" "&amp;$K$6,"")</f>
        <v>#VALUE!</v>
      </c>
      <c r="N48" s="939"/>
      <c r="O48" s="939"/>
      <c r="P48" s="940" t="str">
        <f>IF(Q44&lt;=$A$17,"(12 ml extra)","")</f>
        <v>(12 ml extra)</v>
      </c>
      <c r="Q48" s="940"/>
    </row>
    <row r="49" spans="1:17" ht="12" customHeight="1" x14ac:dyDescent="0.2">
      <c r="A49" s="939" t="e">
        <f>IF(E44&lt;=$A$17,$D$6,"")</f>
        <v>#VALUE!</v>
      </c>
      <c r="B49" s="939"/>
      <c r="C49" s="940" t="str">
        <f>IF(E44&lt;=$A$17,$F$6,"")</f>
        <v xml:space="preserve">0 </v>
      </c>
      <c r="D49" s="940"/>
      <c r="E49" s="940"/>
      <c r="F49" s="125"/>
      <c r="G49" s="939" t="e">
        <f>IF(K44&lt;=$A$17,$D$6,"")</f>
        <v>#VALUE!</v>
      </c>
      <c r="H49" s="939"/>
      <c r="I49" s="940" t="str">
        <f>IF(K44&lt;=$A$17,$F$6,"")</f>
        <v xml:space="preserve">0 </v>
      </c>
      <c r="J49" s="940"/>
      <c r="K49" s="940"/>
      <c r="L49" s="125"/>
      <c r="M49" s="939" t="e">
        <f>IF(Q44&lt;=$A$17,$D$6,"")</f>
        <v>#VALUE!</v>
      </c>
      <c r="N49" s="939"/>
      <c r="O49" s="940" t="str">
        <f>IF(Q44&lt;=$A$17,$F$6,"")</f>
        <v xml:space="preserve">0 </v>
      </c>
      <c r="P49" s="940"/>
      <c r="Q49" s="940"/>
    </row>
    <row r="50" spans="1:17" ht="12" customHeight="1" x14ac:dyDescent="0.2">
      <c r="A50" s="125"/>
      <c r="B50" s="125"/>
      <c r="C50" s="125" t="str">
        <f>IF(E44&lt;=$A$17,"Exp:","")</f>
        <v>Exp:</v>
      </c>
      <c r="D50" s="941">
        <f ca="1">IF(E44&lt;=$A$17,TODAY()+1,"")</f>
        <v>42997</v>
      </c>
      <c r="E50" s="941"/>
      <c r="F50" s="125"/>
      <c r="G50" s="125"/>
      <c r="H50" s="125"/>
      <c r="I50" s="125" t="str">
        <f>IF(K44&lt;=$A$17,"Exp:","")</f>
        <v>Exp:</v>
      </c>
      <c r="J50" s="941">
        <f ca="1">IF(K44&lt;=$A$17,TODAY()+1,"")</f>
        <v>42997</v>
      </c>
      <c r="K50" s="941"/>
      <c r="L50" s="785"/>
      <c r="M50" s="125"/>
      <c r="N50" s="125"/>
      <c r="O50" s="125" t="str">
        <f>IF(Q44&lt;=$A$17,"Exp:","")</f>
        <v>Exp:</v>
      </c>
      <c r="P50" s="941">
        <f ca="1">IF(Q44&lt;=$A$17,TODAY()+1,"")</f>
        <v>42997</v>
      </c>
      <c r="Q50" s="941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8">
        <f ca="1">IF(E55&lt;=$A$17,TODAY(),"")</f>
        <v>42996</v>
      </c>
      <c r="B56" s="938"/>
      <c r="C56" s="939">
        <f>IF(E55&lt;=$A$17,$O$1,"")</f>
        <v>0</v>
      </c>
      <c r="D56" s="939"/>
      <c r="F56" s="125"/>
      <c r="G56" s="938">
        <f ca="1">IF(K55&lt;=$A$17,TODAY(),"")</f>
        <v>42996</v>
      </c>
      <c r="H56" s="938"/>
      <c r="I56" s="939">
        <f>IF(K55&lt;=$A$17,$O$1,"")</f>
        <v>0</v>
      </c>
      <c r="J56" s="939"/>
      <c r="L56" s="125"/>
      <c r="M56" s="938">
        <f ca="1">IF(Q55&lt;=$A$17,TODAY(),"")</f>
        <v>42996</v>
      </c>
      <c r="N56" s="938"/>
      <c r="O56" s="939">
        <f>IF(Q55&lt;=$A$17,$O$1,"")</f>
        <v>0</v>
      </c>
      <c r="P56" s="939"/>
    </row>
    <row r="57" spans="1:17" ht="12" customHeight="1" x14ac:dyDescent="0.2">
      <c r="A57" s="924" t="str">
        <f>IF(E55&lt;=$A$17,$D$2,"")</f>
        <v xml:space="preserve"> </v>
      </c>
      <c r="B57" s="924"/>
      <c r="C57" s="924"/>
      <c r="D57" s="924"/>
      <c r="E57" s="924"/>
      <c r="F57" s="125"/>
      <c r="G57" s="924" t="str">
        <f>IF(K55&lt;=$A$17,$D$2,"")</f>
        <v xml:space="preserve"> </v>
      </c>
      <c r="H57" s="924"/>
      <c r="I57" s="924"/>
      <c r="J57" s="924"/>
      <c r="K57" s="924"/>
      <c r="L57" s="125"/>
      <c r="M57" s="924" t="str">
        <f>IF(Q55&lt;=$A$17,$D$2,"")</f>
        <v xml:space="preserve"> </v>
      </c>
      <c r="N57" s="924"/>
      <c r="O57" s="924"/>
      <c r="P57" s="924"/>
      <c r="Q57" s="924"/>
    </row>
    <row r="58" spans="1:17" ht="12" customHeight="1" x14ac:dyDescent="0.2">
      <c r="A58" s="939" t="str">
        <f>IF(E55&lt;=$A$17,$D$5&amp;" "&amp;IF(Var_Neo_InfB_Cont_DubbeleHoev,$G$5/2,$G$5)&amp;" "&amp;$H$5,"")</f>
        <v xml:space="preserve"> 0 </v>
      </c>
      <c r="B58" s="939"/>
      <c r="C58" s="939"/>
      <c r="D58" s="939"/>
      <c r="E58" s="939"/>
      <c r="F58" s="125"/>
      <c r="G58" s="939" t="str">
        <f>IF(K55&lt;=$A$17,$D$5&amp;" "&amp;IF(Var_Neo_InfB_Cont_DubbeleHoev,$G$5/2,$G$5)&amp;" "&amp;$H$5,"")</f>
        <v xml:space="preserve"> 0 </v>
      </c>
      <c r="H58" s="939"/>
      <c r="I58" s="939"/>
      <c r="J58" s="939"/>
      <c r="K58" s="939"/>
      <c r="L58" s="125"/>
      <c r="M58" s="939" t="str">
        <f>IF(Q55&lt;=$A$17,$D$5&amp;" "&amp;IF(Var_Neo_InfB_Cont_DubbeleHoev,$G$5/2,$G$5)&amp;" "&amp;$H$5,"")</f>
        <v xml:space="preserve"> 0 </v>
      </c>
      <c r="N58" s="939"/>
      <c r="O58" s="939"/>
      <c r="P58" s="939"/>
      <c r="Q58" s="939"/>
    </row>
    <row r="59" spans="1:17" ht="12" customHeight="1" x14ac:dyDescent="0.2">
      <c r="A59" s="939" t="e">
        <f>IF(E55&lt;=$A$17,$I$6&amp;" "&amp;IF(Var_Neo_InfB_Cont_DubbeleHoev,($N$7+$O$7/10)/2,$N$7+$O$7/10)&amp;" ml "&amp;$J$6&amp;" "&amp;$K$6,"")</f>
        <v>#VALUE!</v>
      </c>
      <c r="B59" s="939"/>
      <c r="C59" s="939"/>
      <c r="D59" s="940" t="str">
        <f>IF(E55&lt;=$A$17,"(12 ml extra)","")</f>
        <v>(12 ml extra)</v>
      </c>
      <c r="E59" s="940"/>
      <c r="F59" s="125"/>
      <c r="G59" s="939" t="e">
        <f>IF(K55&lt;=$A$17,$I$6&amp;" "&amp;IF(Var_Neo_InfB_Cont_DubbeleHoev,($N$7+$O$7/10)/2,$N$7+$O$7/10)&amp;" ml "&amp;$J$6&amp;" "&amp;$K$6,"")</f>
        <v>#VALUE!</v>
      </c>
      <c r="H59" s="939"/>
      <c r="I59" s="939"/>
      <c r="J59" s="940" t="str">
        <f>IF(K55&lt;=$A$17,"(12 ml extra)","")</f>
        <v>(12 ml extra)</v>
      </c>
      <c r="K59" s="940"/>
      <c r="L59" s="125"/>
      <c r="M59" s="939" t="e">
        <f>IF(Q55&lt;=$A$17,$I$6&amp;" "&amp;IF(Var_Neo_InfB_Cont_DubbeleHoev,($N$7+$O$7/10)/2,$N$7+$O$7/10)&amp;" ml "&amp;$J$6&amp;" "&amp;$K$6,"")</f>
        <v>#VALUE!</v>
      </c>
      <c r="N59" s="939"/>
      <c r="O59" s="939"/>
      <c r="P59" s="940" t="str">
        <f>IF(Q55&lt;=$A$17,"(12 ml extra)","")</f>
        <v>(12 ml extra)</v>
      </c>
      <c r="Q59" s="940"/>
    </row>
    <row r="60" spans="1:17" ht="12" customHeight="1" x14ac:dyDescent="0.2">
      <c r="A60" s="939" t="e">
        <f>IF(E55&lt;=$A$17,$D$6,"")</f>
        <v>#VALUE!</v>
      </c>
      <c r="B60" s="939"/>
      <c r="C60" s="940" t="str">
        <f>IF(E55&lt;=$A$17,$F$6,"")</f>
        <v xml:space="preserve">0 </v>
      </c>
      <c r="D60" s="940"/>
      <c r="E60" s="940"/>
      <c r="F60" s="125"/>
      <c r="G60" s="939" t="e">
        <f>IF(K55&lt;=$A$17,$D$6,"")</f>
        <v>#VALUE!</v>
      </c>
      <c r="H60" s="939"/>
      <c r="I60" s="940" t="str">
        <f>IF(K55&lt;=$A$17,$F$6,"")</f>
        <v xml:space="preserve">0 </v>
      </c>
      <c r="J60" s="940"/>
      <c r="K60" s="940"/>
      <c r="L60" s="125"/>
      <c r="M60" s="939" t="e">
        <f>IF(Q55&lt;=$A$17,$D$6,"")</f>
        <v>#VALUE!</v>
      </c>
      <c r="N60" s="939"/>
      <c r="O60" s="940" t="str">
        <f>IF(Q55&lt;=$A$17,$F$6,"")</f>
        <v xml:space="preserve">0 </v>
      </c>
      <c r="P60" s="940"/>
      <c r="Q60" s="940"/>
    </row>
    <row r="61" spans="1:17" ht="12" customHeight="1" x14ac:dyDescent="0.2">
      <c r="A61" s="939"/>
      <c r="B61" s="939"/>
      <c r="C61" s="125" t="str">
        <f>IF(E55&lt;=$A$17,"Exp:","")</f>
        <v>Exp:</v>
      </c>
      <c r="D61" s="941">
        <f ca="1">IF(E55&lt;=$A$17,TODAY()+1,"")</f>
        <v>42997</v>
      </c>
      <c r="E61" s="941"/>
      <c r="F61" s="785"/>
      <c r="G61" s="939"/>
      <c r="H61" s="939"/>
      <c r="I61" s="125" t="str">
        <f>IF(K55&lt;=$A$17,"Exp:","")</f>
        <v>Exp:</v>
      </c>
      <c r="J61" s="941">
        <f ca="1">IF(K55&lt;=$A$17,TODAY()+1,"")</f>
        <v>42997</v>
      </c>
      <c r="K61" s="941"/>
      <c r="L61" s="785"/>
      <c r="M61" s="939"/>
      <c r="N61" s="939"/>
      <c r="O61" s="125" t="str">
        <f>IF(Q55&lt;=$A$17,"Exp:","")</f>
        <v>Exp:</v>
      </c>
      <c r="P61" s="941">
        <f ca="1">IF(Q55&lt;=$A$17,TODAY()+1,"")</f>
        <v>42997</v>
      </c>
      <c r="Q61" s="941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42996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2">
        <f ca="1">TODAY()</f>
        <v>42996</v>
      </c>
      <c r="AB25" s="852"/>
      <c r="AC25" s="852"/>
      <c r="AD25" s="85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2191</vt:i4>
      </vt:variant>
    </vt:vector>
  </HeadingPairs>
  <TitlesOfParts>
    <vt:vector size="225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2017-09-18T14:45:27Z</dcterms:modified>
</cp:coreProperties>
</file>